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Mike\Documents\Fincom\Fincom\2024\"/>
    </mc:Choice>
  </mc:AlternateContent>
  <bookViews>
    <workbookView xWindow="0" yWindow="0" windowWidth="28800" windowHeight="12435" firstSheet="2" activeTab="2"/>
  </bookViews>
  <sheets>
    <sheet name="Changes" sheetId="18" r:id="rId1"/>
    <sheet name="Omnibus BUDGET DETAIL" sheetId="34" state="hidden" r:id="rId2"/>
    <sheet name="RECAP SUMMARY" sheetId="10" r:id="rId3"/>
    <sheet name="LEVY LIMIT" sheetId="13" r:id="rId4"/>
    <sheet name="DE 1" sheetId="12" r:id="rId5"/>
    <sheet name="BUDGET" sheetId="1" r:id="rId6"/>
    <sheet name="PROJECTED SCH. B" sheetId="11" r:id="rId7"/>
    <sheet name="PROJECTED SCH. A2 WATER" sheetId="9" r:id="rId8"/>
    <sheet name="LONG-TERM DEBT" sheetId="3" r:id="rId9"/>
    <sheet name="SCH. A LOCAL RECEIPTS" sheetId="15" r:id="rId10"/>
    <sheet name="STATE RECEIPTS" sheetId="14" r:id="rId11"/>
    <sheet name="Masco Calculation" sheetId="33" r:id="rId12"/>
    <sheet name="Vote track budget" sheetId="29" r:id="rId13"/>
    <sheet name="Vote track warrant" sheetId="30" r:id="rId14"/>
    <sheet name="Track budget template" sheetId="31" r:id="rId15"/>
    <sheet name="Track warrant template" sheetId="32" r:id="rId16"/>
    <sheet name="PROJECTED SCH. A2 SOLID WASTE" sheetId="17" r:id="rId17"/>
    <sheet name="PROJECTED SCH. A3" sheetId="8" r:id="rId18"/>
    <sheet name="PROJECTED SCH. B1" sheetId="7" r:id="rId19"/>
    <sheet name="SCH. B" sheetId="6" r:id="rId20"/>
    <sheet name="SCH. A2 WATER" sheetId="4" r:id="rId21"/>
    <sheet name="SCH. A2 SOLID WASTE" sheetId="16" r:id="rId22"/>
    <sheet name="SCH. A3" sheetId="2" r:id="rId23"/>
    <sheet name="SCH. B1" sheetId="5" r:id="rId24"/>
    <sheet name="Assumptions" sheetId="28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_xlnm._FilterDatabase" localSheetId="5" hidden="1">BUDGET!$A$11:$BB$456</definedName>
    <definedName name="_xlnm._FilterDatabase" localSheetId="8" hidden="1">'LONG-TERM DEBT'!$A$5:$BD$130</definedName>
    <definedName name="_xlnm._FilterDatabase" localSheetId="1" hidden="1">'Omnibus BUDGET DETAIL'!$A$3:$CW$975</definedName>
    <definedName name="_xlnm._FilterDatabase" localSheetId="6" hidden="1">'PROJECTED SCH. B'!$A$19:$K$50</definedName>
    <definedName name="_xlnm._FilterDatabase" localSheetId="14" hidden="1">'Track budget template'!$B$10:$J$435</definedName>
    <definedName name="_xlnm._FilterDatabase" localSheetId="12" hidden="1">'Vote track budget'!$B$10:$L$441</definedName>
    <definedName name="_Print_Area" localSheetId="5">BUDGET!$A$9:$AY$456</definedName>
    <definedName name="_Print_Area" localSheetId="7">'PROJECTED SCH. A2 WATER'!$A$4:$I$49</definedName>
    <definedName name="_Print_Area" localSheetId="6">'PROJECTED SCH. B'!$A$4:$J$83</definedName>
    <definedName name="_Print_Area" localSheetId="2">'RECAP SUMMARY'!$A$2:$AI$68</definedName>
    <definedName name="_Print_Area" localSheetId="20">'SCH. A2 WATER'!$F$4:$I$46</definedName>
    <definedName name="_Print_Titles" localSheetId="5">BUDGET!$9:$11</definedName>
    <definedName name="_Print_Titles" localSheetId="8">'LONG-TERM DEBT'!$B:$E</definedName>
    <definedName name="Omnibus">#REF!</definedName>
    <definedName name="_xlnm.Print_Area" localSheetId="24">Assumptions!$A$1:$F$24</definedName>
    <definedName name="_xlnm.Print_Area" localSheetId="5">BUDGET!$A$1:$AY$452</definedName>
    <definedName name="_xlnm.Print_Area" localSheetId="4">'DE 1'!$B$566:$J$610</definedName>
    <definedName name="_xlnm.Print_Area" localSheetId="3">'LEVY LIMIT'!$B$1:$AP$31</definedName>
    <definedName name="_xlnm.Print_Area" localSheetId="8">'LONG-TERM DEBT'!$B$1:$BC$156</definedName>
    <definedName name="_xlnm.Print_Area" localSheetId="1">'Omnibus BUDGET DETAIL'!$A$1:$CF$976</definedName>
    <definedName name="_xlnm.Print_Area" localSheetId="7">'PROJECTED SCH. A2 WATER'!$A$1:$J$49</definedName>
    <definedName name="_xlnm.Print_Area" localSheetId="6">'PROJECTED SCH. B'!$A$4:$I$79</definedName>
    <definedName name="_xlnm.Print_Area" localSheetId="2">'RECAP SUMMARY'!$A$2:$AD$71</definedName>
    <definedName name="_xlnm.Print_Area" localSheetId="9">'SCH. A LOCAL RECEIPTS'!$A$1:$AW$34</definedName>
    <definedName name="_xlnm.Print_Area" localSheetId="10">'STATE RECEIPTS'!$A$1:$AQ$35</definedName>
    <definedName name="_xlnm.Print_Area" localSheetId="14">'Track budget template'!$B$7:$I$433</definedName>
    <definedName name="_xlnm.Print_Area" localSheetId="15">'Track warrant template'!$B$4:$M$55</definedName>
    <definedName name="_xlnm.Print_Area" localSheetId="12">'Vote track budget'!$E$7:$L$438</definedName>
    <definedName name="_xlnm.Print_Area" localSheetId="13">'Vote track warrant'!$B$4:$M$53</definedName>
    <definedName name="_xlnm.Print_Titles" localSheetId="5">BUDGET!$A:$A,BUDGET!$9:$11</definedName>
    <definedName name="_xlnm.Print_Titles" localSheetId="3">'LEVY LIMIT'!$A:$G,'LEVY LIMIT'!$1:$4</definedName>
    <definedName name="_xlnm.Print_Titles" localSheetId="8">'LONG-TERM DEBT'!$A:$B,'LONG-TERM DEBT'!$4:$5</definedName>
    <definedName name="_xlnm.Print_Titles" localSheetId="1">'Omnibus BUDGET DETAIL'!$1:$2</definedName>
    <definedName name="_xlnm.Print_Titles" localSheetId="6">'PROJECTED SCH. B'!$A:$B,'PROJECTED SCH. B'!$1:$9</definedName>
    <definedName name="_xlnm.Print_Titles" localSheetId="2">'RECAP SUMMARY'!$A:$A,'RECAP SUMMARY'!$2:$7</definedName>
    <definedName name="_xlnm.Print_Titles" localSheetId="9">'SCH. A LOCAL RECEIPTS'!$A:$A,'SCH. A LOCAL RECEIPTS'!$1:$5</definedName>
    <definedName name="_xlnm.Print_Titles" localSheetId="10">'STATE RECEIPTS'!$A:$A,'STATE RECEIPTS'!$1:$2</definedName>
    <definedName name="_xlnm.Print_Titles" localSheetId="14">'Track budget template'!$7:$11</definedName>
    <definedName name="_xlnm.Print_Titles" localSheetId="15">'Track warrant template'!$4:$9</definedName>
    <definedName name="_xlnm.Print_Titles" localSheetId="12">'Vote track budget'!$7:$11</definedName>
    <definedName name="_xlnm.Print_Titles" localSheetId="13">'Vote track warrant'!$4:$9</definedName>
    <definedName name="xxxx">#REF!</definedName>
  </definedNames>
  <calcPr calcId="15251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R243" i="1" l="1"/>
  <c r="AR110" i="1"/>
  <c r="AT21" i="10"/>
  <c r="AU26" i="10"/>
  <c r="AZ461" i="1"/>
  <c r="AA65" i="10" l="1"/>
  <c r="AZ82" i="1" l="1"/>
  <c r="AR213" i="1"/>
  <c r="AR104" i="1"/>
  <c r="D21" i="32" l="1"/>
  <c r="F21" i="32"/>
  <c r="B21" i="32"/>
  <c r="C21" i="32"/>
  <c r="M26" i="32" l="1"/>
  <c r="M27" i="32"/>
  <c r="M28" i="32"/>
  <c r="M29" i="32"/>
  <c r="M30" i="32"/>
  <c r="M31" i="32"/>
  <c r="M32" i="32"/>
  <c r="M33" i="32"/>
  <c r="M34" i="32"/>
  <c r="M35" i="32"/>
  <c r="M36" i="32"/>
  <c r="M37" i="32"/>
  <c r="M38" i="32"/>
  <c r="M39" i="32"/>
  <c r="M40" i="32"/>
  <c r="M41" i="32"/>
  <c r="M42" i="32"/>
  <c r="M43" i="32"/>
  <c r="M44" i="32"/>
  <c r="M25" i="32"/>
  <c r="AR82" i="1" l="1"/>
  <c r="C27" i="11" l="1"/>
  <c r="C24" i="11"/>
  <c r="L239" i="29" l="1"/>
  <c r="L124" i="29"/>
  <c r="L213" i="29"/>
  <c r="L110" i="29"/>
  <c r="L104" i="29"/>
  <c r="D194" i="29" l="1"/>
  <c r="L194" i="29" s="1"/>
  <c r="AZ39" i="1"/>
  <c r="G39" i="29" s="1"/>
  <c r="F301" i="29"/>
  <c r="AR301" i="1"/>
  <c r="G102" i="29"/>
  <c r="G103" i="29"/>
  <c r="G104" i="29"/>
  <c r="G105" i="29"/>
  <c r="G106" i="29"/>
  <c r="G107" i="29"/>
  <c r="G108" i="29"/>
  <c r="G109" i="29"/>
  <c r="G111" i="29"/>
  <c r="G112" i="29"/>
  <c r="G113" i="29"/>
  <c r="G83" i="29"/>
  <c r="G84" i="29"/>
  <c r="G85" i="29"/>
  <c r="G86" i="29"/>
  <c r="G61" i="29"/>
  <c r="G62" i="29"/>
  <c r="G63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5" i="29"/>
  <c r="G57" i="29"/>
  <c r="G58" i="29"/>
  <c r="G59" i="29"/>
  <c r="G60" i="29"/>
  <c r="G64" i="29"/>
  <c r="G65" i="29"/>
  <c r="G66" i="29"/>
  <c r="G67" i="29"/>
  <c r="G68" i="29"/>
  <c r="G69" i="29"/>
  <c r="G70" i="29"/>
  <c r="G71" i="29"/>
  <c r="G72" i="29"/>
  <c r="G74" i="29"/>
  <c r="G75" i="29"/>
  <c r="G76" i="29"/>
  <c r="G77" i="29"/>
  <c r="G78" i="29"/>
  <c r="G79" i="29"/>
  <c r="G80" i="29"/>
  <c r="G81" i="29"/>
  <c r="G87" i="29"/>
  <c r="G88" i="29"/>
  <c r="G89" i="29"/>
  <c r="G90" i="29"/>
  <c r="G91" i="29"/>
  <c r="G92" i="29"/>
  <c r="G93" i="29"/>
  <c r="G94" i="29"/>
  <c r="G95" i="29"/>
  <c r="G96" i="29"/>
  <c r="G97" i="29"/>
  <c r="G98" i="29"/>
  <c r="G99" i="29"/>
  <c r="G100" i="29"/>
  <c r="G101" i="29"/>
  <c r="G114" i="29"/>
  <c r="G115" i="29"/>
  <c r="G116" i="29"/>
  <c r="G117" i="29"/>
  <c r="G118" i="29"/>
  <c r="G119" i="29"/>
  <c r="G120" i="29"/>
  <c r="G121" i="29"/>
  <c r="G122" i="29"/>
  <c r="G123" i="29"/>
  <c r="G124" i="29"/>
  <c r="G125" i="29"/>
  <c r="G126" i="29"/>
  <c r="G127" i="29"/>
  <c r="G128" i="29"/>
  <c r="G129" i="29"/>
  <c r="G130" i="29"/>
  <c r="G131" i="29"/>
  <c r="G132" i="29"/>
  <c r="G133" i="29"/>
  <c r="G134" i="29"/>
  <c r="G135" i="29"/>
  <c r="G136" i="29"/>
  <c r="G137" i="29"/>
  <c r="G138" i="29"/>
  <c r="G140" i="29"/>
  <c r="G141" i="29"/>
  <c r="G142" i="29"/>
  <c r="G143" i="29"/>
  <c r="G144" i="29"/>
  <c r="G145" i="29"/>
  <c r="G146" i="29"/>
  <c r="G147" i="29"/>
  <c r="G148" i="29"/>
  <c r="G149" i="29"/>
  <c r="G150" i="29"/>
  <c r="G151" i="29"/>
  <c r="G152" i="29"/>
  <c r="G153" i="29"/>
  <c r="G154" i="29"/>
  <c r="G155" i="29"/>
  <c r="G156" i="29"/>
  <c r="G157" i="29"/>
  <c r="G158" i="29"/>
  <c r="G159" i="29"/>
  <c r="G160" i="29"/>
  <c r="G161" i="29"/>
  <c r="G162" i="29"/>
  <c r="G163" i="29"/>
  <c r="G164" i="29"/>
  <c r="G165" i="29"/>
  <c r="G166" i="29"/>
  <c r="G167" i="29"/>
  <c r="G168" i="29"/>
  <c r="G169" i="29"/>
  <c r="G170" i="29"/>
  <c r="G183" i="29"/>
  <c r="G198" i="29"/>
  <c r="G206" i="29"/>
  <c r="G207" i="29"/>
  <c r="G209" i="29"/>
  <c r="G210" i="29"/>
  <c r="G211" i="29"/>
  <c r="G213" i="29"/>
  <c r="G214" i="29"/>
  <c r="G251" i="29"/>
  <c r="G252" i="29"/>
  <c r="G301" i="29"/>
  <c r="G376" i="29"/>
  <c r="G391" i="29"/>
  <c r="G401" i="29"/>
  <c r="G410" i="29"/>
  <c r="G417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AT31" i="1"/>
  <c r="G12" i="29" l="1"/>
  <c r="C13" i="29"/>
  <c r="D13" i="29"/>
  <c r="C14" i="29"/>
  <c r="D14" i="29"/>
  <c r="C15" i="29"/>
  <c r="D15" i="29"/>
  <c r="C16" i="29"/>
  <c r="D16" i="29"/>
  <c r="C17" i="29"/>
  <c r="D17" i="29"/>
  <c r="C18" i="29"/>
  <c r="D18" i="29"/>
  <c r="C19" i="29"/>
  <c r="D19" i="29"/>
  <c r="C20" i="29"/>
  <c r="D20" i="29"/>
  <c r="C21" i="29"/>
  <c r="D21" i="29"/>
  <c r="C22" i="29"/>
  <c r="D22" i="29"/>
  <c r="C23" i="29"/>
  <c r="D23" i="29"/>
  <c r="C24" i="29"/>
  <c r="D24" i="29"/>
  <c r="C25" i="29"/>
  <c r="D25" i="29"/>
  <c r="C26" i="29"/>
  <c r="D26" i="29"/>
  <c r="C27" i="29"/>
  <c r="D27" i="29"/>
  <c r="C28" i="29"/>
  <c r="D28" i="29"/>
  <c r="C29" i="29"/>
  <c r="D29" i="29"/>
  <c r="C30" i="29"/>
  <c r="D30" i="29"/>
  <c r="C31" i="29"/>
  <c r="D31" i="29"/>
  <c r="C32" i="29"/>
  <c r="D32" i="29"/>
  <c r="C33" i="29"/>
  <c r="D33" i="29"/>
  <c r="C34" i="29"/>
  <c r="D34" i="29"/>
  <c r="C35" i="29"/>
  <c r="D35" i="29"/>
  <c r="C36" i="29"/>
  <c r="D36" i="29"/>
  <c r="C37" i="29"/>
  <c r="D37" i="29"/>
  <c r="C38" i="29"/>
  <c r="D38" i="29"/>
  <c r="C39" i="29"/>
  <c r="J39" i="29" s="1"/>
  <c r="D39" i="29"/>
  <c r="L39" i="29" s="1"/>
  <c r="C40" i="29"/>
  <c r="D40" i="29"/>
  <c r="C41" i="29"/>
  <c r="D41" i="29"/>
  <c r="C42" i="29"/>
  <c r="D42" i="29"/>
  <c r="C43" i="29"/>
  <c r="D43" i="29"/>
  <c r="C44" i="29"/>
  <c r="D44" i="29"/>
  <c r="C45" i="29"/>
  <c r="D45" i="29"/>
  <c r="C46" i="29"/>
  <c r="D46" i="29"/>
  <c r="C47" i="29"/>
  <c r="D47" i="29"/>
  <c r="C48" i="29"/>
  <c r="D48" i="29"/>
  <c r="C49" i="29"/>
  <c r="D49" i="29"/>
  <c r="C50" i="29"/>
  <c r="D50" i="29"/>
  <c r="C51" i="29"/>
  <c r="D51" i="29"/>
  <c r="C52" i="29"/>
  <c r="D52" i="29"/>
  <c r="C53" i="29"/>
  <c r="D53" i="29"/>
  <c r="C54" i="29"/>
  <c r="D54" i="29"/>
  <c r="C55" i="29"/>
  <c r="D55" i="29"/>
  <c r="C56" i="29"/>
  <c r="D56" i="29"/>
  <c r="L56" i="29" s="1"/>
  <c r="C57" i="29"/>
  <c r="D57" i="29"/>
  <c r="C58" i="29"/>
  <c r="D58" i="29"/>
  <c r="C59" i="29"/>
  <c r="D59" i="29"/>
  <c r="C60" i="29"/>
  <c r="D60" i="29"/>
  <c r="C61" i="29"/>
  <c r="D61" i="29"/>
  <c r="C62" i="29"/>
  <c r="D62" i="29"/>
  <c r="C63" i="29"/>
  <c r="D63" i="29"/>
  <c r="C64" i="29"/>
  <c r="D64" i="29"/>
  <c r="C65" i="29"/>
  <c r="D65" i="29"/>
  <c r="C66" i="29"/>
  <c r="D66" i="29"/>
  <c r="C67" i="29"/>
  <c r="D67" i="29"/>
  <c r="C68" i="29"/>
  <c r="J68" i="29" s="1"/>
  <c r="D68" i="29"/>
  <c r="L68" i="29" s="1"/>
  <c r="C69" i="29"/>
  <c r="D69" i="29"/>
  <c r="C70" i="29"/>
  <c r="D70" i="29"/>
  <c r="C71" i="29"/>
  <c r="D71" i="29"/>
  <c r="C72" i="29"/>
  <c r="D72" i="29"/>
  <c r="C73" i="29"/>
  <c r="D73" i="29"/>
  <c r="C74" i="29"/>
  <c r="D74" i="29"/>
  <c r="C75" i="29"/>
  <c r="D75" i="29"/>
  <c r="C76" i="29"/>
  <c r="D76" i="29"/>
  <c r="C77" i="29"/>
  <c r="D77" i="29"/>
  <c r="C78" i="29"/>
  <c r="D78" i="29"/>
  <c r="C79" i="29"/>
  <c r="D79" i="29"/>
  <c r="C80" i="29"/>
  <c r="D80" i="29"/>
  <c r="C81" i="29"/>
  <c r="D81" i="29"/>
  <c r="C82" i="29"/>
  <c r="C83" i="29"/>
  <c r="D83" i="29"/>
  <c r="C84" i="29"/>
  <c r="D84" i="29"/>
  <c r="C85" i="29"/>
  <c r="D85" i="29"/>
  <c r="C86" i="29"/>
  <c r="D86" i="29"/>
  <c r="C87" i="29"/>
  <c r="D87" i="29"/>
  <c r="C88" i="29"/>
  <c r="D88" i="29"/>
  <c r="C89" i="29"/>
  <c r="D89" i="29"/>
  <c r="C90" i="29"/>
  <c r="D90" i="29"/>
  <c r="C91" i="29"/>
  <c r="D91" i="29"/>
  <c r="C92" i="29"/>
  <c r="D92" i="29"/>
  <c r="C93" i="29"/>
  <c r="D93" i="29"/>
  <c r="C94" i="29"/>
  <c r="D94" i="29"/>
  <c r="C95" i="29"/>
  <c r="D95" i="29"/>
  <c r="C96" i="29"/>
  <c r="D96" i="29"/>
  <c r="C97" i="29"/>
  <c r="D97" i="29"/>
  <c r="C98" i="29"/>
  <c r="D98" i="29"/>
  <c r="C99" i="29"/>
  <c r="D99" i="29"/>
  <c r="C100" i="29"/>
  <c r="D100" i="29"/>
  <c r="C101" i="29"/>
  <c r="D101" i="29"/>
  <c r="C102" i="29"/>
  <c r="D102" i="29"/>
  <c r="C103" i="29"/>
  <c r="D103" i="29"/>
  <c r="C104" i="29"/>
  <c r="J104" i="29" s="1"/>
  <c r="C105" i="29"/>
  <c r="D105" i="29"/>
  <c r="C106" i="29"/>
  <c r="D106" i="29"/>
  <c r="C107" i="29"/>
  <c r="D107" i="29"/>
  <c r="C108" i="29"/>
  <c r="D108" i="29"/>
  <c r="C109" i="29"/>
  <c r="D109" i="29"/>
  <c r="C110" i="29"/>
  <c r="C111" i="29"/>
  <c r="D111" i="29"/>
  <c r="C112" i="29"/>
  <c r="D112" i="29"/>
  <c r="C113" i="29"/>
  <c r="D113" i="29"/>
  <c r="C114" i="29"/>
  <c r="D114" i="29"/>
  <c r="C115" i="29"/>
  <c r="D115" i="29"/>
  <c r="C116" i="29"/>
  <c r="D116" i="29"/>
  <c r="C117" i="29"/>
  <c r="D117" i="29"/>
  <c r="C118" i="29"/>
  <c r="D118" i="29"/>
  <c r="C119" i="29"/>
  <c r="D119" i="29"/>
  <c r="C120" i="29"/>
  <c r="D120" i="29"/>
  <c r="C121" i="29"/>
  <c r="D121" i="29"/>
  <c r="C122" i="29"/>
  <c r="D122" i="29"/>
  <c r="C123" i="29"/>
  <c r="D123" i="29"/>
  <c r="C124" i="29"/>
  <c r="J124" i="29" s="1"/>
  <c r="C125" i="29"/>
  <c r="D125" i="29"/>
  <c r="C126" i="29"/>
  <c r="J126" i="29" s="1"/>
  <c r="D126" i="29"/>
  <c r="L126" i="29" s="1"/>
  <c r="C127" i="29"/>
  <c r="D127" i="29"/>
  <c r="C128" i="29"/>
  <c r="D128" i="29"/>
  <c r="C129" i="29"/>
  <c r="D129" i="29"/>
  <c r="C130" i="29"/>
  <c r="D130" i="29"/>
  <c r="C131" i="29"/>
  <c r="D131" i="29"/>
  <c r="C132" i="29"/>
  <c r="J132" i="29" s="1"/>
  <c r="D132" i="29"/>
  <c r="L132" i="29" s="1"/>
  <c r="C133" i="29"/>
  <c r="D133" i="29"/>
  <c r="C134" i="29"/>
  <c r="D134" i="29"/>
  <c r="C135" i="29"/>
  <c r="D135" i="29"/>
  <c r="C136" i="29"/>
  <c r="D136" i="29"/>
  <c r="C137" i="29"/>
  <c r="D137" i="29"/>
  <c r="C138" i="29"/>
  <c r="D138" i="29"/>
  <c r="C139" i="29"/>
  <c r="D139" i="29"/>
  <c r="C140" i="29"/>
  <c r="D140" i="29"/>
  <c r="C141" i="29"/>
  <c r="J141" i="29" s="1"/>
  <c r="D141" i="29"/>
  <c r="L141" i="29" s="1"/>
  <c r="C142" i="29"/>
  <c r="J142" i="29" s="1"/>
  <c r="D142" i="29"/>
  <c r="L142" i="29" s="1"/>
  <c r="C143" i="29"/>
  <c r="D143" i="29"/>
  <c r="C144" i="29"/>
  <c r="D144" i="29"/>
  <c r="C145" i="29"/>
  <c r="D145" i="29"/>
  <c r="C146" i="29"/>
  <c r="D146" i="29"/>
  <c r="C147" i="29"/>
  <c r="D147" i="29"/>
  <c r="C148" i="29"/>
  <c r="D148" i="29"/>
  <c r="C149" i="29"/>
  <c r="D149" i="29"/>
  <c r="C150" i="29"/>
  <c r="D150" i="29"/>
  <c r="C151" i="29"/>
  <c r="D151" i="29"/>
  <c r="C152" i="29"/>
  <c r="D152" i="29"/>
  <c r="C153" i="29"/>
  <c r="D153" i="29"/>
  <c r="C154" i="29"/>
  <c r="D154" i="29"/>
  <c r="C155" i="29"/>
  <c r="D155" i="29"/>
  <c r="C156" i="29"/>
  <c r="D156" i="29"/>
  <c r="C157" i="29"/>
  <c r="D157" i="29"/>
  <c r="C158" i="29"/>
  <c r="D158" i="29"/>
  <c r="C159" i="29"/>
  <c r="D159" i="29"/>
  <c r="C160" i="29"/>
  <c r="D160" i="29"/>
  <c r="C161" i="29"/>
  <c r="D161" i="29"/>
  <c r="C162" i="29"/>
  <c r="D162" i="29"/>
  <c r="C163" i="29"/>
  <c r="D163" i="29"/>
  <c r="C164" i="29"/>
  <c r="D164" i="29"/>
  <c r="C165" i="29"/>
  <c r="D165" i="29"/>
  <c r="C166" i="29"/>
  <c r="D166" i="29"/>
  <c r="C167" i="29"/>
  <c r="D167" i="29"/>
  <c r="C168" i="29"/>
  <c r="D168" i="29"/>
  <c r="C169" i="29"/>
  <c r="D169" i="29"/>
  <c r="C170" i="29"/>
  <c r="D170" i="29"/>
  <c r="C171" i="29"/>
  <c r="D171" i="29"/>
  <c r="C172" i="29"/>
  <c r="D172" i="29"/>
  <c r="C173" i="29"/>
  <c r="D173" i="29"/>
  <c r="C174" i="29"/>
  <c r="D174" i="29"/>
  <c r="C175" i="29"/>
  <c r="D175" i="29"/>
  <c r="C176" i="29"/>
  <c r="D176" i="29"/>
  <c r="C177" i="29"/>
  <c r="D177" i="29"/>
  <c r="C178" i="29"/>
  <c r="D178" i="29"/>
  <c r="C179" i="29"/>
  <c r="D179" i="29"/>
  <c r="C180" i="29"/>
  <c r="D180" i="29"/>
  <c r="C181" i="29"/>
  <c r="D181" i="29"/>
  <c r="C182" i="29"/>
  <c r="D182" i="29"/>
  <c r="C183" i="29"/>
  <c r="C184" i="29"/>
  <c r="D184" i="29"/>
  <c r="C185" i="29"/>
  <c r="D185" i="29"/>
  <c r="C186" i="29"/>
  <c r="D186" i="29"/>
  <c r="C187" i="29"/>
  <c r="D187" i="29"/>
  <c r="C188" i="29"/>
  <c r="D188" i="29"/>
  <c r="C189" i="29"/>
  <c r="D189" i="29"/>
  <c r="C190" i="29"/>
  <c r="D190" i="29"/>
  <c r="C191" i="29"/>
  <c r="D191" i="29"/>
  <c r="C192" i="29"/>
  <c r="D192" i="29"/>
  <c r="C193" i="29"/>
  <c r="D193" i="29"/>
  <c r="C194" i="29"/>
  <c r="C195" i="29"/>
  <c r="D195" i="29"/>
  <c r="C196" i="29"/>
  <c r="D196" i="29"/>
  <c r="C197" i="29"/>
  <c r="D197" i="29"/>
  <c r="C198" i="29"/>
  <c r="J198" i="29" s="1"/>
  <c r="D198" i="29"/>
  <c r="L198" i="29" s="1"/>
  <c r="C199" i="29"/>
  <c r="D199" i="29"/>
  <c r="C200" i="29"/>
  <c r="D200" i="29"/>
  <c r="C201" i="29"/>
  <c r="D201" i="29"/>
  <c r="C202" i="29"/>
  <c r="D202" i="29"/>
  <c r="C203" i="29"/>
  <c r="D203" i="29"/>
  <c r="C204" i="29"/>
  <c r="D204" i="29"/>
  <c r="C205" i="29"/>
  <c r="D205" i="29"/>
  <c r="C206" i="29"/>
  <c r="D206" i="29"/>
  <c r="C207" i="29"/>
  <c r="D207" i="29"/>
  <c r="C208" i="29"/>
  <c r="D208" i="29"/>
  <c r="L208" i="29" s="1"/>
  <c r="C209" i="29"/>
  <c r="D209" i="29"/>
  <c r="C210" i="29"/>
  <c r="D210" i="29"/>
  <c r="C211" i="29"/>
  <c r="D211" i="29"/>
  <c r="C212" i="29"/>
  <c r="D212" i="29"/>
  <c r="C213" i="29"/>
  <c r="J213" i="29" s="1"/>
  <c r="C214" i="29"/>
  <c r="D214" i="29"/>
  <c r="C215" i="29"/>
  <c r="D215" i="29"/>
  <c r="C216" i="29"/>
  <c r="D216" i="29"/>
  <c r="C217" i="29"/>
  <c r="D217" i="29"/>
  <c r="C218" i="29"/>
  <c r="D218" i="29"/>
  <c r="C219" i="29"/>
  <c r="D219" i="29"/>
  <c r="C220" i="29"/>
  <c r="D220" i="29"/>
  <c r="L220" i="29" s="1"/>
  <c r="C221" i="29"/>
  <c r="D221" i="29"/>
  <c r="C222" i="29"/>
  <c r="D222" i="29"/>
  <c r="C223" i="29"/>
  <c r="D223" i="29"/>
  <c r="C224" i="29"/>
  <c r="D224" i="29"/>
  <c r="C225" i="29"/>
  <c r="D225" i="29"/>
  <c r="C226" i="29"/>
  <c r="D226" i="29"/>
  <c r="C227" i="29"/>
  <c r="D227" i="29"/>
  <c r="C228" i="29"/>
  <c r="D228" i="29"/>
  <c r="C229" i="29"/>
  <c r="D229" i="29"/>
  <c r="C230" i="29"/>
  <c r="D230" i="29"/>
  <c r="C231" i="29"/>
  <c r="D231" i="29"/>
  <c r="C232" i="29"/>
  <c r="D232" i="29"/>
  <c r="C233" i="29"/>
  <c r="D233" i="29"/>
  <c r="C234" i="29"/>
  <c r="D234" i="29"/>
  <c r="C235" i="29"/>
  <c r="D235" i="29"/>
  <c r="C236" i="29"/>
  <c r="D236" i="29"/>
  <c r="C237" i="29"/>
  <c r="D237" i="29"/>
  <c r="C238" i="29"/>
  <c r="D238" i="29"/>
  <c r="C239" i="29"/>
  <c r="J239" i="29" s="1"/>
  <c r="C240" i="29"/>
  <c r="D240" i="29"/>
  <c r="C241" i="29"/>
  <c r="D241" i="29"/>
  <c r="C242" i="29"/>
  <c r="D242" i="29"/>
  <c r="C243" i="29"/>
  <c r="D243" i="29"/>
  <c r="C244" i="29"/>
  <c r="D244" i="29"/>
  <c r="C245" i="29"/>
  <c r="D245" i="29"/>
  <c r="C246" i="29"/>
  <c r="D246" i="29"/>
  <c r="C247" i="29"/>
  <c r="D247" i="29"/>
  <c r="C248" i="29"/>
  <c r="D248" i="29"/>
  <c r="C249" i="29"/>
  <c r="D249" i="29"/>
  <c r="C250" i="29"/>
  <c r="D250" i="29"/>
  <c r="C251" i="29"/>
  <c r="D251" i="29"/>
  <c r="C252" i="29"/>
  <c r="J252" i="29" s="1"/>
  <c r="D252" i="29"/>
  <c r="L252" i="29" s="1"/>
  <c r="C253" i="29"/>
  <c r="D253" i="29"/>
  <c r="C254" i="29"/>
  <c r="D254" i="29"/>
  <c r="C255" i="29"/>
  <c r="D255" i="29"/>
  <c r="C256" i="29"/>
  <c r="D256" i="29"/>
  <c r="C257" i="29"/>
  <c r="D257" i="29"/>
  <c r="C258" i="29"/>
  <c r="D258" i="29"/>
  <c r="C259" i="29"/>
  <c r="D259" i="29"/>
  <c r="C260" i="29"/>
  <c r="D260" i="29"/>
  <c r="C261" i="29"/>
  <c r="D261" i="29"/>
  <c r="C262" i="29"/>
  <c r="D262" i="29"/>
  <c r="C263" i="29"/>
  <c r="D263" i="29"/>
  <c r="C264" i="29"/>
  <c r="D264" i="29"/>
  <c r="C265" i="29"/>
  <c r="D265" i="29"/>
  <c r="C266" i="29"/>
  <c r="D266" i="29"/>
  <c r="C267" i="29"/>
  <c r="D267" i="29"/>
  <c r="C268" i="29"/>
  <c r="D268" i="29"/>
  <c r="C269" i="29"/>
  <c r="D269" i="29"/>
  <c r="C270" i="29"/>
  <c r="D270" i="29"/>
  <c r="C271" i="29"/>
  <c r="D271" i="29"/>
  <c r="C272" i="29"/>
  <c r="D272" i="29"/>
  <c r="C273" i="29"/>
  <c r="D273" i="29"/>
  <c r="C274" i="29"/>
  <c r="D274" i="29"/>
  <c r="C275" i="29"/>
  <c r="D275" i="29"/>
  <c r="C276" i="29"/>
  <c r="D276" i="29"/>
  <c r="C277" i="29"/>
  <c r="D277" i="29"/>
  <c r="C278" i="29"/>
  <c r="D278" i="29"/>
  <c r="C279" i="29"/>
  <c r="D279" i="29"/>
  <c r="C280" i="29"/>
  <c r="D280" i="29"/>
  <c r="C281" i="29"/>
  <c r="D281" i="29"/>
  <c r="C282" i="29"/>
  <c r="D282" i="29"/>
  <c r="C283" i="29"/>
  <c r="D283" i="29"/>
  <c r="C284" i="29"/>
  <c r="D284" i="29"/>
  <c r="C285" i="29"/>
  <c r="D285" i="29"/>
  <c r="C286" i="29"/>
  <c r="D286" i="29"/>
  <c r="C287" i="29"/>
  <c r="D287" i="29"/>
  <c r="C288" i="29"/>
  <c r="D288" i="29"/>
  <c r="C289" i="29"/>
  <c r="D289" i="29"/>
  <c r="C290" i="29"/>
  <c r="D290" i="29"/>
  <c r="C291" i="29"/>
  <c r="D291" i="29"/>
  <c r="C292" i="29"/>
  <c r="D292" i="29"/>
  <c r="C293" i="29"/>
  <c r="D293" i="29"/>
  <c r="C294" i="29"/>
  <c r="D294" i="29"/>
  <c r="C295" i="29"/>
  <c r="D295" i="29"/>
  <c r="C296" i="29"/>
  <c r="D296" i="29"/>
  <c r="C297" i="29"/>
  <c r="D297" i="29"/>
  <c r="C298" i="29"/>
  <c r="D298" i="29"/>
  <c r="C299" i="29"/>
  <c r="D299" i="29"/>
  <c r="C300" i="29"/>
  <c r="D300" i="29"/>
  <c r="C301" i="29"/>
  <c r="J301" i="29" s="1"/>
  <c r="D301" i="29"/>
  <c r="L301" i="29" s="1"/>
  <c r="C302" i="29"/>
  <c r="D302" i="29"/>
  <c r="C303" i="29"/>
  <c r="D303" i="29"/>
  <c r="C304" i="29"/>
  <c r="D304" i="29"/>
  <c r="C305" i="29"/>
  <c r="D305" i="29"/>
  <c r="C306" i="29"/>
  <c r="D306" i="29"/>
  <c r="C307" i="29"/>
  <c r="D307" i="29"/>
  <c r="C308" i="29"/>
  <c r="D308" i="29"/>
  <c r="C309" i="29"/>
  <c r="D309" i="29"/>
  <c r="C310" i="29"/>
  <c r="D310" i="29"/>
  <c r="C311" i="29"/>
  <c r="D311" i="29"/>
  <c r="C312" i="29"/>
  <c r="D312" i="29"/>
  <c r="C313" i="29"/>
  <c r="D313" i="29"/>
  <c r="C314" i="29"/>
  <c r="D314" i="29"/>
  <c r="C315" i="29"/>
  <c r="D315" i="29"/>
  <c r="C316" i="29"/>
  <c r="D316" i="29"/>
  <c r="C317" i="29"/>
  <c r="D317" i="29"/>
  <c r="C318" i="29"/>
  <c r="D318" i="29"/>
  <c r="C319" i="29"/>
  <c r="D319" i="29"/>
  <c r="C320" i="29"/>
  <c r="D320" i="29"/>
  <c r="C321" i="29"/>
  <c r="D321" i="29"/>
  <c r="C322" i="29"/>
  <c r="D322" i="29"/>
  <c r="C323" i="29"/>
  <c r="D323" i="29"/>
  <c r="C324" i="29"/>
  <c r="D324" i="29"/>
  <c r="C325" i="29"/>
  <c r="D325" i="29"/>
  <c r="C326" i="29"/>
  <c r="D326" i="29"/>
  <c r="C327" i="29"/>
  <c r="D327" i="29"/>
  <c r="C328" i="29"/>
  <c r="D328" i="29"/>
  <c r="C329" i="29"/>
  <c r="D329" i="29"/>
  <c r="C330" i="29"/>
  <c r="D330" i="29"/>
  <c r="C331" i="29"/>
  <c r="D331" i="29"/>
  <c r="C332" i="29"/>
  <c r="D332" i="29"/>
  <c r="C333" i="29"/>
  <c r="D333" i="29"/>
  <c r="C334" i="29"/>
  <c r="D334" i="29"/>
  <c r="C335" i="29"/>
  <c r="D335" i="29"/>
  <c r="C336" i="29"/>
  <c r="D336" i="29"/>
  <c r="C337" i="29"/>
  <c r="D337" i="29"/>
  <c r="C338" i="29"/>
  <c r="D338" i="29"/>
  <c r="C339" i="29"/>
  <c r="D339" i="29"/>
  <c r="C340" i="29"/>
  <c r="D340" i="29"/>
  <c r="C341" i="29"/>
  <c r="D341" i="29"/>
  <c r="C342" i="29"/>
  <c r="D342" i="29"/>
  <c r="C343" i="29"/>
  <c r="D343" i="29"/>
  <c r="C344" i="29"/>
  <c r="D344" i="29"/>
  <c r="C345" i="29"/>
  <c r="D345" i="29"/>
  <c r="C346" i="29"/>
  <c r="D346" i="29"/>
  <c r="C347" i="29"/>
  <c r="D347" i="29"/>
  <c r="C348" i="29"/>
  <c r="D348" i="29"/>
  <c r="C349" i="29"/>
  <c r="D349" i="29"/>
  <c r="C350" i="29"/>
  <c r="D350" i="29"/>
  <c r="C351" i="29"/>
  <c r="D351" i="29"/>
  <c r="C352" i="29"/>
  <c r="D352" i="29"/>
  <c r="C353" i="29"/>
  <c r="D353" i="29"/>
  <c r="C354" i="29"/>
  <c r="D354" i="29"/>
  <c r="C355" i="29"/>
  <c r="D355" i="29"/>
  <c r="C356" i="29"/>
  <c r="D356" i="29"/>
  <c r="C357" i="29"/>
  <c r="D357" i="29"/>
  <c r="C358" i="29"/>
  <c r="D358" i="29"/>
  <c r="C359" i="29"/>
  <c r="D359" i="29"/>
  <c r="C360" i="29"/>
  <c r="D360" i="29"/>
  <c r="C361" i="29"/>
  <c r="D361" i="29"/>
  <c r="C362" i="29"/>
  <c r="D362" i="29"/>
  <c r="C363" i="29"/>
  <c r="D363" i="29"/>
  <c r="C364" i="29"/>
  <c r="D364" i="29"/>
  <c r="C365" i="29"/>
  <c r="D365" i="29"/>
  <c r="C366" i="29"/>
  <c r="D366" i="29"/>
  <c r="C367" i="29"/>
  <c r="D367" i="29"/>
  <c r="C368" i="29"/>
  <c r="D368" i="29"/>
  <c r="C369" i="29"/>
  <c r="D369" i="29"/>
  <c r="C370" i="29"/>
  <c r="D370" i="29"/>
  <c r="C371" i="29"/>
  <c r="D371" i="29"/>
  <c r="C372" i="29"/>
  <c r="D372" i="29"/>
  <c r="C373" i="29"/>
  <c r="D373" i="29"/>
  <c r="C374" i="29"/>
  <c r="D374" i="29"/>
  <c r="C375" i="29"/>
  <c r="D375" i="29"/>
  <c r="C376" i="29"/>
  <c r="D376" i="29"/>
  <c r="C377" i="29"/>
  <c r="D377" i="29"/>
  <c r="C378" i="29"/>
  <c r="D378" i="29"/>
  <c r="C379" i="29"/>
  <c r="D379" i="29"/>
  <c r="C380" i="29"/>
  <c r="D380" i="29"/>
  <c r="C381" i="29"/>
  <c r="D381" i="29"/>
  <c r="C382" i="29"/>
  <c r="D382" i="29"/>
  <c r="C383" i="29"/>
  <c r="D383" i="29"/>
  <c r="C384" i="29"/>
  <c r="D384" i="29"/>
  <c r="C385" i="29"/>
  <c r="D385" i="29"/>
  <c r="C386" i="29"/>
  <c r="D386" i="29"/>
  <c r="C387" i="29"/>
  <c r="D387" i="29"/>
  <c r="C388" i="29"/>
  <c r="D388" i="29"/>
  <c r="C389" i="29"/>
  <c r="D389" i="29"/>
  <c r="C390" i="29"/>
  <c r="D390" i="29"/>
  <c r="C391" i="29"/>
  <c r="D391" i="29"/>
  <c r="C392" i="29"/>
  <c r="D392" i="29"/>
  <c r="C393" i="29"/>
  <c r="D393" i="29"/>
  <c r="C394" i="29"/>
  <c r="D394" i="29"/>
  <c r="C395" i="29"/>
  <c r="D395" i="29"/>
  <c r="C396" i="29"/>
  <c r="D396" i="29"/>
  <c r="C397" i="29"/>
  <c r="D397" i="29"/>
  <c r="C398" i="29"/>
  <c r="D398" i="29"/>
  <c r="C399" i="29"/>
  <c r="D399" i="29"/>
  <c r="C400" i="29"/>
  <c r="D400" i="29"/>
  <c r="C401" i="29"/>
  <c r="J401" i="29" s="1"/>
  <c r="D401" i="29"/>
  <c r="L401" i="29" s="1"/>
  <c r="C402" i="29"/>
  <c r="D402" i="29"/>
  <c r="C403" i="29"/>
  <c r="D403" i="29"/>
  <c r="C404" i="29"/>
  <c r="D404" i="29"/>
  <c r="C405" i="29"/>
  <c r="D405" i="29"/>
  <c r="C406" i="29"/>
  <c r="D406" i="29"/>
  <c r="C407" i="29"/>
  <c r="D407" i="29"/>
  <c r="C408" i="29"/>
  <c r="D408" i="29"/>
  <c r="C409" i="29"/>
  <c r="D409" i="29"/>
  <c r="C410" i="29"/>
  <c r="D410" i="29"/>
  <c r="C411" i="29"/>
  <c r="D411" i="29"/>
  <c r="C412" i="29"/>
  <c r="D412" i="29"/>
  <c r="C413" i="29"/>
  <c r="D413" i="29"/>
  <c r="C414" i="29"/>
  <c r="D414" i="29"/>
  <c r="C415" i="29"/>
  <c r="D415" i="29"/>
  <c r="C416" i="29"/>
  <c r="D416" i="29"/>
  <c r="C417" i="29"/>
  <c r="D417" i="29"/>
  <c r="C418" i="29"/>
  <c r="D418" i="29"/>
  <c r="C419" i="29"/>
  <c r="D419" i="29"/>
  <c r="C420" i="29"/>
  <c r="D420" i="29"/>
  <c r="C421" i="29"/>
  <c r="D421" i="29"/>
  <c r="C422" i="29"/>
  <c r="D422" i="29"/>
  <c r="C423" i="29"/>
  <c r="D423" i="29"/>
  <c r="C424" i="29"/>
  <c r="D424" i="29"/>
  <c r="C425" i="29"/>
  <c r="D425" i="29"/>
  <c r="C426" i="29"/>
  <c r="D426" i="29"/>
  <c r="C427" i="29"/>
  <c r="D427" i="29"/>
  <c r="C428" i="29"/>
  <c r="D428" i="29"/>
  <c r="C429" i="29"/>
  <c r="D429" i="29"/>
  <c r="C430" i="29"/>
  <c r="D430" i="29"/>
  <c r="C431" i="29"/>
  <c r="D431" i="29"/>
  <c r="C432" i="29"/>
  <c r="D432" i="29"/>
  <c r="C433" i="29"/>
  <c r="D433" i="29"/>
  <c r="C434" i="29"/>
  <c r="D434" i="29"/>
  <c r="C435" i="29"/>
  <c r="D435" i="29"/>
  <c r="C436" i="29"/>
  <c r="C437" i="29"/>
  <c r="D437" i="29"/>
  <c r="C438" i="29"/>
  <c r="D438" i="29"/>
  <c r="D12" i="29"/>
  <c r="C12" i="29"/>
  <c r="AR68" i="1"/>
  <c r="E13" i="29"/>
  <c r="E14" i="29"/>
  <c r="E15" i="29"/>
  <c r="E16" i="29"/>
  <c r="E17" i="29"/>
  <c r="E18" i="29"/>
  <c r="E19" i="29"/>
  <c r="E20" i="29"/>
  <c r="E22" i="29"/>
  <c r="E23" i="29"/>
  <c r="E24" i="29"/>
  <c r="E25" i="29"/>
  <c r="E27" i="29"/>
  <c r="E28" i="29"/>
  <c r="E29" i="29"/>
  <c r="E30" i="29"/>
  <c r="E31" i="29"/>
  <c r="E32" i="29"/>
  <c r="E33" i="29"/>
  <c r="E34" i="29"/>
  <c r="E35" i="29"/>
  <c r="E37" i="29"/>
  <c r="E38" i="29"/>
  <c r="E39" i="29"/>
  <c r="E40" i="29"/>
  <c r="E42" i="29"/>
  <c r="E43" i="29"/>
  <c r="E44" i="29"/>
  <c r="E45" i="29"/>
  <c r="E46" i="29"/>
  <c r="E47" i="29"/>
  <c r="E48" i="29"/>
  <c r="E49" i="29"/>
  <c r="E50" i="29"/>
  <c r="E51" i="29"/>
  <c r="E53" i="29"/>
  <c r="E54" i="29"/>
  <c r="E55" i="29"/>
  <c r="E56" i="29"/>
  <c r="E57" i="29"/>
  <c r="E59" i="29"/>
  <c r="E60" i="29"/>
  <c r="E61" i="29"/>
  <c r="E62" i="29"/>
  <c r="E63" i="29"/>
  <c r="E64" i="29"/>
  <c r="E65" i="29"/>
  <c r="E66" i="29"/>
  <c r="E67" i="29"/>
  <c r="E68" i="29"/>
  <c r="E69" i="29"/>
  <c r="E71" i="29"/>
  <c r="E72" i="29"/>
  <c r="E73" i="29"/>
  <c r="E75" i="29"/>
  <c r="E76" i="29"/>
  <c r="E77" i="29"/>
  <c r="E78" i="29"/>
  <c r="E79" i="29"/>
  <c r="E80" i="29"/>
  <c r="E81" i="29"/>
  <c r="E82" i="29"/>
  <c r="E83" i="29"/>
  <c r="E84" i="29"/>
  <c r="E86" i="29"/>
  <c r="E87" i="29"/>
  <c r="E88" i="29"/>
  <c r="E89" i="29"/>
  <c r="E90" i="29"/>
  <c r="E91" i="29"/>
  <c r="E92" i="29"/>
  <c r="E93" i="29"/>
  <c r="E94" i="29"/>
  <c r="E95" i="29"/>
  <c r="E96" i="29"/>
  <c r="E98" i="29"/>
  <c r="E99" i="29"/>
  <c r="E100" i="29"/>
  <c r="E101" i="29"/>
  <c r="E102" i="29"/>
  <c r="E103" i="29"/>
  <c r="E104" i="29"/>
  <c r="E105" i="29"/>
  <c r="E106" i="29"/>
  <c r="E108" i="29"/>
  <c r="E109" i="29"/>
  <c r="E110" i="29"/>
  <c r="E111" i="29"/>
  <c r="E112" i="29"/>
  <c r="E114" i="29"/>
  <c r="E115" i="29"/>
  <c r="E116" i="29"/>
  <c r="E117" i="29"/>
  <c r="E118" i="29"/>
  <c r="E119" i="29"/>
  <c r="E120" i="29"/>
  <c r="E121" i="29"/>
  <c r="E122" i="29"/>
  <c r="E123" i="29"/>
  <c r="E124" i="29"/>
  <c r="E125" i="29"/>
  <c r="E126" i="29"/>
  <c r="E127" i="29"/>
  <c r="E129" i="29"/>
  <c r="E130" i="29"/>
  <c r="E131" i="29"/>
  <c r="E132" i="29"/>
  <c r="E133" i="29"/>
  <c r="E135" i="29"/>
  <c r="E136" i="29"/>
  <c r="E137" i="29"/>
  <c r="E138" i="29"/>
  <c r="E139" i="29"/>
  <c r="E140" i="29"/>
  <c r="E141" i="29"/>
  <c r="E142" i="29"/>
  <c r="E143" i="29"/>
  <c r="E145" i="29"/>
  <c r="E146" i="29"/>
  <c r="E147" i="29"/>
  <c r="E148" i="29"/>
  <c r="E149" i="29"/>
  <c r="E151" i="29"/>
  <c r="E152" i="29"/>
  <c r="E153" i="29"/>
  <c r="E154" i="29"/>
  <c r="E156" i="29"/>
  <c r="E157" i="29"/>
  <c r="E158" i="29"/>
  <c r="E159" i="29"/>
  <c r="E161" i="29"/>
  <c r="E162" i="29"/>
  <c r="E163" i="29"/>
  <c r="E164" i="29"/>
  <c r="E166" i="29"/>
  <c r="E167" i="29"/>
  <c r="E168" i="29"/>
  <c r="E169" i="29"/>
  <c r="E170" i="29"/>
  <c r="E172" i="29"/>
  <c r="E173" i="29"/>
  <c r="E174" i="29"/>
  <c r="E175" i="29"/>
  <c r="E176" i="29"/>
  <c r="E177" i="29"/>
  <c r="E178" i="29"/>
  <c r="E179" i="29"/>
  <c r="E180" i="29"/>
  <c r="E181" i="29"/>
  <c r="E183" i="29"/>
  <c r="E184" i="29"/>
  <c r="E185" i="29"/>
  <c r="E186" i="29"/>
  <c r="E187" i="29"/>
  <c r="E188" i="29"/>
  <c r="E189" i="29"/>
  <c r="E190" i="29"/>
  <c r="E191" i="29"/>
  <c r="E192" i="29"/>
  <c r="E193" i="29"/>
  <c r="E194" i="29"/>
  <c r="E195" i="29"/>
  <c r="E197" i="29"/>
  <c r="E198" i="29"/>
  <c r="E199" i="29"/>
  <c r="E201" i="29"/>
  <c r="E202" i="29"/>
  <c r="E203" i="29"/>
  <c r="E204" i="29"/>
  <c r="E206" i="29"/>
  <c r="E208" i="29"/>
  <c r="E209" i="29"/>
  <c r="E211" i="29"/>
  <c r="E212" i="29"/>
  <c r="E213" i="29"/>
  <c r="E214" i="29"/>
  <c r="E215" i="29"/>
  <c r="E216" i="29"/>
  <c r="E217" i="29"/>
  <c r="E219" i="29"/>
  <c r="E220" i="29"/>
  <c r="E221" i="29"/>
  <c r="E223" i="29"/>
  <c r="E224" i="29"/>
  <c r="E225" i="29"/>
  <c r="E226" i="29"/>
  <c r="E227" i="29"/>
  <c r="E228" i="29"/>
  <c r="E229" i="29"/>
  <c r="E230" i="29"/>
  <c r="E231" i="29"/>
  <c r="E232" i="29"/>
  <c r="E233" i="29"/>
  <c r="E234" i="29"/>
  <c r="E235" i="29"/>
  <c r="E236" i="29"/>
  <c r="E237" i="29"/>
  <c r="E238" i="29"/>
  <c r="E239" i="29"/>
  <c r="E240" i="29"/>
  <c r="E242" i="29"/>
  <c r="E243" i="29"/>
  <c r="E244" i="29"/>
  <c r="E245" i="29"/>
  <c r="E246" i="29"/>
  <c r="E247" i="29"/>
  <c r="E248" i="29"/>
  <c r="E249" i="29"/>
  <c r="E250" i="29"/>
  <c r="E251" i="29"/>
  <c r="E252" i="29"/>
  <c r="E253" i="29"/>
  <c r="E255" i="29"/>
  <c r="E256" i="29"/>
  <c r="E257" i="29"/>
  <c r="E258" i="29"/>
  <c r="E259" i="29"/>
  <c r="E260" i="29"/>
  <c r="E261" i="29"/>
  <c r="E262" i="29"/>
  <c r="E263" i="29"/>
  <c r="E264" i="29"/>
  <c r="E265" i="29"/>
  <c r="E266" i="29"/>
  <c r="E267" i="29"/>
  <c r="E268" i="29"/>
  <c r="E269" i="29"/>
  <c r="E270" i="29"/>
  <c r="E271" i="29"/>
  <c r="E272" i="29"/>
  <c r="E273" i="29"/>
  <c r="E275" i="29"/>
  <c r="E276" i="29"/>
  <c r="E277" i="29"/>
  <c r="E278" i="29"/>
  <c r="E279" i="29"/>
  <c r="E280" i="29"/>
  <c r="E281" i="29"/>
  <c r="E282" i="29"/>
  <c r="E283" i="29"/>
  <c r="E284" i="29"/>
  <c r="E286" i="29"/>
  <c r="E287" i="29"/>
  <c r="E288" i="29"/>
  <c r="E290" i="29"/>
  <c r="E291" i="29"/>
  <c r="E292" i="29"/>
  <c r="E293" i="29"/>
  <c r="E294" i="29"/>
  <c r="E295" i="29"/>
  <c r="E296" i="29"/>
  <c r="E297" i="29"/>
  <c r="E298" i="29"/>
  <c r="E299" i="29"/>
  <c r="E300" i="29"/>
  <c r="E301" i="29"/>
  <c r="E302" i="29"/>
  <c r="E303" i="29"/>
  <c r="E304" i="29"/>
  <c r="E305" i="29"/>
  <c r="E307" i="29"/>
  <c r="E308" i="29"/>
  <c r="E309" i="29"/>
  <c r="E310" i="29"/>
  <c r="E311" i="29"/>
  <c r="E313" i="29"/>
  <c r="E314" i="29"/>
  <c r="E315" i="29"/>
  <c r="E316" i="29"/>
  <c r="E317" i="29"/>
  <c r="E318" i="29"/>
  <c r="E319" i="29"/>
  <c r="E320" i="29"/>
  <c r="E321" i="29"/>
  <c r="E322" i="29"/>
  <c r="E323" i="29"/>
  <c r="E324" i="29"/>
  <c r="E325" i="29"/>
  <c r="E326" i="29"/>
  <c r="E327" i="29"/>
  <c r="E328" i="29"/>
  <c r="E329" i="29"/>
  <c r="E330" i="29"/>
  <c r="E331" i="29"/>
  <c r="E333" i="29"/>
  <c r="E334" i="29"/>
  <c r="E335" i="29"/>
  <c r="E336" i="29"/>
  <c r="E338" i="29"/>
  <c r="E339" i="29"/>
  <c r="E340" i="29"/>
  <c r="E342" i="29"/>
  <c r="E343" i="29"/>
  <c r="E344" i="29"/>
  <c r="E345" i="29"/>
  <c r="E346" i="29"/>
  <c r="E347" i="29"/>
  <c r="E348" i="29"/>
  <c r="E349" i="29"/>
  <c r="E350" i="29"/>
  <c r="E351" i="29"/>
  <c r="E352" i="29"/>
  <c r="E353" i="29"/>
  <c r="E354" i="29"/>
  <c r="E355" i="29"/>
  <c r="E356" i="29"/>
  <c r="E357" i="29"/>
  <c r="E358" i="29"/>
  <c r="E359" i="29"/>
  <c r="E360" i="29"/>
  <c r="E361" i="29"/>
  <c r="E363" i="29"/>
  <c r="E365" i="29"/>
  <c r="E366" i="29"/>
  <c r="E367" i="29"/>
  <c r="E368" i="29"/>
  <c r="E369" i="29"/>
  <c r="E370" i="29"/>
  <c r="E371" i="29"/>
  <c r="E372" i="29"/>
  <c r="E373" i="29"/>
  <c r="E374" i="29"/>
  <c r="E376" i="29"/>
  <c r="E378" i="29"/>
  <c r="E379" i="29"/>
  <c r="E380" i="29"/>
  <c r="E382" i="29"/>
  <c r="E383" i="29"/>
  <c r="E384" i="29"/>
  <c r="E386" i="29"/>
  <c r="E387" i="29"/>
  <c r="E388" i="29"/>
  <c r="E389" i="29"/>
  <c r="E390" i="29"/>
  <c r="E391" i="29"/>
  <c r="E392" i="29"/>
  <c r="E393" i="29"/>
  <c r="E394" i="29"/>
  <c r="E396" i="29"/>
  <c r="E397" i="29"/>
  <c r="E398" i="29"/>
  <c r="E400" i="29"/>
  <c r="E401" i="29"/>
  <c r="E403" i="29"/>
  <c r="E404" i="29"/>
  <c r="E405" i="29"/>
  <c r="E406" i="29"/>
  <c r="E407" i="29"/>
  <c r="E409" i="29"/>
  <c r="E410" i="29"/>
  <c r="E412" i="29"/>
  <c r="E413" i="29"/>
  <c r="E414" i="29"/>
  <c r="E416" i="29"/>
  <c r="E417" i="29"/>
  <c r="E418" i="29"/>
  <c r="E419" i="29"/>
  <c r="E420" i="29"/>
  <c r="E421" i="29"/>
  <c r="E422" i="29"/>
  <c r="E423" i="29"/>
  <c r="E424" i="29"/>
  <c r="E425" i="29"/>
  <c r="E426" i="29"/>
  <c r="E427" i="29"/>
  <c r="E428" i="29"/>
  <c r="E429" i="29"/>
  <c r="E430" i="29"/>
  <c r="E431" i="29"/>
  <c r="E433" i="29"/>
  <c r="E435" i="29"/>
  <c r="E436" i="29"/>
  <c r="E437" i="29"/>
  <c r="E438" i="29"/>
  <c r="AR252" i="1" l="1"/>
  <c r="AR401" i="1"/>
  <c r="AR198" i="1"/>
  <c r="AR142" i="1"/>
  <c r="AZ132" i="1"/>
  <c r="AR132" i="1"/>
  <c r="AR126" i="1"/>
  <c r="AZ56" i="1"/>
  <c r="G56" i="29" s="1"/>
  <c r="J56" i="29" s="1"/>
  <c r="AR124" i="1"/>
  <c r="AZ124" i="1"/>
  <c r="E43" i="11" l="1"/>
  <c r="E62" i="11" s="1"/>
  <c r="N43" i="33" l="1"/>
  <c r="AZ436" i="33" l="1"/>
  <c r="L42" i="33"/>
  <c r="L39" i="33"/>
  <c r="L37" i="33"/>
  <c r="L38" i="33" s="1"/>
  <c r="L40" i="33" s="1"/>
  <c r="L41" i="33" s="1"/>
  <c r="L43" i="33" s="1"/>
  <c r="L36" i="33"/>
  <c r="N25" i="33"/>
  <c r="K25" i="33"/>
  <c r="L24" i="33"/>
  <c r="L22" i="33"/>
  <c r="L31" i="33"/>
  <c r="L33" i="33"/>
  <c r="AU31" i="14"/>
  <c r="AU29" i="14"/>
  <c r="AE7" i="10" l="1"/>
  <c r="BI994" i="34"/>
  <c r="BI996" i="34" s="1"/>
  <c r="CP974" i="34"/>
  <c r="CP972" i="34"/>
  <c r="CP970" i="34"/>
  <c r="CG969" i="34"/>
  <c r="CG971" i="34" s="1"/>
  <c r="CE969" i="34"/>
  <c r="CE971" i="34" s="1"/>
  <c r="CA969" i="34"/>
  <c r="CA971" i="34" s="1"/>
  <c r="BZ969" i="34"/>
  <c r="CC969" i="34" s="1"/>
  <c r="BX969" i="34"/>
  <c r="BX971" i="34" s="1"/>
  <c r="BW969" i="34"/>
  <c r="BW971" i="34" s="1"/>
  <c r="BS969" i="34"/>
  <c r="BS971" i="34" s="1"/>
  <c r="BR969" i="34"/>
  <c r="BR971" i="34" s="1"/>
  <c r="BN969" i="34"/>
  <c r="BN971" i="34" s="1"/>
  <c r="BM969" i="34"/>
  <c r="BM971" i="34" s="1"/>
  <c r="BI969" i="34"/>
  <c r="BH969" i="34"/>
  <c r="BH971" i="34" s="1"/>
  <c r="BD969" i="34"/>
  <c r="BD971" i="34" s="1"/>
  <c r="BC969" i="34"/>
  <c r="BC971" i="34" s="1"/>
  <c r="AY969" i="34"/>
  <c r="AY971" i="34" s="1"/>
  <c r="AX969" i="34"/>
  <c r="AX971" i="34" s="1"/>
  <c r="AV969" i="34"/>
  <c r="AV971" i="34" s="1"/>
  <c r="AU969" i="34"/>
  <c r="AU971" i="34" s="1"/>
  <c r="AS969" i="34"/>
  <c r="AS971" i="34" s="1"/>
  <c r="AR969" i="34"/>
  <c r="AR971" i="34" s="1"/>
  <c r="AN969" i="34"/>
  <c r="AN971" i="34" s="1"/>
  <c r="AM969" i="34"/>
  <c r="AM971" i="34" s="1"/>
  <c r="AI969" i="34"/>
  <c r="AI971" i="34" s="1"/>
  <c r="AH969" i="34"/>
  <c r="AH971" i="34" s="1"/>
  <c r="AF969" i="34"/>
  <c r="AF971" i="34" s="1"/>
  <c r="AE969" i="34"/>
  <c r="AE971" i="34" s="1"/>
  <c r="AA969" i="34"/>
  <c r="AA971" i="34" s="1"/>
  <c r="Z969" i="34"/>
  <c r="Z971" i="34" s="1"/>
  <c r="V969" i="34"/>
  <c r="V971" i="34" s="1"/>
  <c r="U969" i="34"/>
  <c r="U971" i="34" s="1"/>
  <c r="S969" i="34"/>
  <c r="S971" i="34" s="1"/>
  <c r="R969" i="34"/>
  <c r="R971" i="34" s="1"/>
  <c r="P969" i="34"/>
  <c r="P971" i="34" s="1"/>
  <c r="N969" i="34"/>
  <c r="N971" i="34" s="1"/>
  <c r="M969" i="34"/>
  <c r="M971" i="34" s="1"/>
  <c r="I969" i="34"/>
  <c r="I971" i="34" s="1"/>
  <c r="H969" i="34"/>
  <c r="H971" i="34" s="1"/>
  <c r="CP968" i="34"/>
  <c r="CP967" i="34"/>
  <c r="CP966" i="34"/>
  <c r="CP965" i="34"/>
  <c r="CB965" i="34"/>
  <c r="BO965" i="34"/>
  <c r="AZ965" i="34"/>
  <c r="AK965" i="34"/>
  <c r="AJ965" i="34"/>
  <c r="X965" i="34"/>
  <c r="W965" i="34"/>
  <c r="J965" i="34"/>
  <c r="CP964" i="34"/>
  <c r="CB964" i="34"/>
  <c r="BO964" i="34"/>
  <c r="AZ964" i="34"/>
  <c r="AK964" i="34"/>
  <c r="AJ964" i="34"/>
  <c r="X964" i="34"/>
  <c r="W964" i="34"/>
  <c r="J964" i="34"/>
  <c r="CP963" i="34"/>
  <c r="CB963" i="34"/>
  <c r="BO963" i="34"/>
  <c r="AZ963" i="34"/>
  <c r="AK963" i="34"/>
  <c r="AJ963" i="34"/>
  <c r="X963" i="34"/>
  <c r="W963" i="34"/>
  <c r="J963" i="34"/>
  <c r="CP962" i="34"/>
  <c r="CC962" i="34"/>
  <c r="CB962" i="34"/>
  <c r="BP962" i="34"/>
  <c r="BO962" i="34"/>
  <c r="BA962" i="34"/>
  <c r="AZ962" i="34"/>
  <c r="AK962" i="34"/>
  <c r="AJ962" i="34"/>
  <c r="X962" i="34"/>
  <c r="W962" i="34"/>
  <c r="J962" i="34"/>
  <c r="CP961" i="34"/>
  <c r="CP960" i="34"/>
  <c r="CP958" i="34"/>
  <c r="CG957" i="34"/>
  <c r="CG959" i="34" s="1"/>
  <c r="CE957" i="34"/>
  <c r="CE959" i="34" s="1"/>
  <c r="CA957" i="34"/>
  <c r="CA959" i="34" s="1"/>
  <c r="BZ957" i="34"/>
  <c r="BZ959" i="34" s="1"/>
  <c r="BX957" i="34"/>
  <c r="BX959" i="34" s="1"/>
  <c r="BW957" i="34"/>
  <c r="BW959" i="34" s="1"/>
  <c r="BS957" i="34"/>
  <c r="BS959" i="34" s="1"/>
  <c r="BR957" i="34"/>
  <c r="BR959" i="34" s="1"/>
  <c r="BN957" i="34"/>
  <c r="BN959" i="34" s="1"/>
  <c r="BM957" i="34"/>
  <c r="BM959" i="34" s="1"/>
  <c r="BI957" i="34"/>
  <c r="BH957" i="34"/>
  <c r="BH959" i="34" s="1"/>
  <c r="BD957" i="34"/>
  <c r="BD959" i="34" s="1"/>
  <c r="BC957" i="34"/>
  <c r="BC959" i="34" s="1"/>
  <c r="AY957" i="34"/>
  <c r="AY959" i="34" s="1"/>
  <c r="AX957" i="34"/>
  <c r="AX959" i="34" s="1"/>
  <c r="AV957" i="34"/>
  <c r="AV959" i="34" s="1"/>
  <c r="AU957" i="34"/>
  <c r="AU959" i="34" s="1"/>
  <c r="AS957" i="34"/>
  <c r="AS959" i="34" s="1"/>
  <c r="AR957" i="34"/>
  <c r="AR959" i="34" s="1"/>
  <c r="AN957" i="34"/>
  <c r="AN959" i="34" s="1"/>
  <c r="AM957" i="34"/>
  <c r="AM959" i="34" s="1"/>
  <c r="AI957" i="34"/>
  <c r="AI959" i="34" s="1"/>
  <c r="AF957" i="34"/>
  <c r="AF959" i="34" s="1"/>
  <c r="AE957" i="34"/>
  <c r="AE959" i="34" s="1"/>
  <c r="AA957" i="34"/>
  <c r="AA959" i="34" s="1"/>
  <c r="Z957" i="34"/>
  <c r="Z959" i="34" s="1"/>
  <c r="V957" i="34"/>
  <c r="V959" i="34" s="1"/>
  <c r="U957" i="34"/>
  <c r="S957" i="34"/>
  <c r="S959" i="34" s="1"/>
  <c r="P957" i="34"/>
  <c r="P959" i="34" s="1"/>
  <c r="N957" i="34"/>
  <c r="N959" i="34" s="1"/>
  <c r="M957" i="34"/>
  <c r="M959" i="34" s="1"/>
  <c r="J957" i="34"/>
  <c r="J959" i="34" s="1"/>
  <c r="I957" i="34"/>
  <c r="I959" i="34" s="1"/>
  <c r="H957" i="34"/>
  <c r="CP956" i="34"/>
  <c r="CB956" i="34"/>
  <c r="CF956" i="34" s="1"/>
  <c r="BO956" i="34"/>
  <c r="BO957" i="34" s="1"/>
  <c r="BO959" i="34" s="1"/>
  <c r="AZ956" i="34"/>
  <c r="AR956" i="34"/>
  <c r="AJ956" i="34"/>
  <c r="AK956" i="34" s="1"/>
  <c r="X956" i="34"/>
  <c r="W956" i="34"/>
  <c r="W957" i="34" s="1"/>
  <c r="W959" i="34" s="1"/>
  <c r="R956" i="34"/>
  <c r="R957" i="34" s="1"/>
  <c r="R959" i="34" s="1"/>
  <c r="K956" i="34"/>
  <c r="CP955" i="34"/>
  <c r="CP954" i="34"/>
  <c r="CL953" i="34"/>
  <c r="CP952" i="34"/>
  <c r="CE951" i="34"/>
  <c r="CE953" i="34" s="1"/>
  <c r="CA951" i="34"/>
  <c r="CA953" i="34" s="1"/>
  <c r="BZ951" i="34"/>
  <c r="BZ953" i="34" s="1"/>
  <c r="BX951" i="34"/>
  <c r="BX953" i="34" s="1"/>
  <c r="BW951" i="34"/>
  <c r="BW953" i="34" s="1"/>
  <c r="BS951" i="34"/>
  <c r="BS953" i="34" s="1"/>
  <c r="BR951" i="34"/>
  <c r="BR953" i="34" s="1"/>
  <c r="BN951" i="34"/>
  <c r="BN953" i="34" s="1"/>
  <c r="BM951" i="34"/>
  <c r="BM953" i="34" s="1"/>
  <c r="BI951" i="34"/>
  <c r="BI953" i="34" s="1"/>
  <c r="BH951" i="34"/>
  <c r="BH953" i="34" s="1"/>
  <c r="BD951" i="34"/>
  <c r="BD953" i="34" s="1"/>
  <c r="BC951" i="34"/>
  <c r="BC953" i="34" s="1"/>
  <c r="AY951" i="34"/>
  <c r="AY953" i="34" s="1"/>
  <c r="AX951" i="34"/>
  <c r="AX953" i="34" s="1"/>
  <c r="AV951" i="34"/>
  <c r="AV953" i="34" s="1"/>
  <c r="AU951" i="34"/>
  <c r="AU953" i="34" s="1"/>
  <c r="AS951" i="34"/>
  <c r="AS953" i="34" s="1"/>
  <c r="AR951" i="34"/>
  <c r="AR953" i="34" s="1"/>
  <c r="AN951" i="34"/>
  <c r="AN953" i="34" s="1"/>
  <c r="AI951" i="34"/>
  <c r="AI953" i="34" s="1"/>
  <c r="AF951" i="34"/>
  <c r="AF953" i="34" s="1"/>
  <c r="Z951" i="34"/>
  <c r="Z953" i="34" s="1"/>
  <c r="V951" i="34"/>
  <c r="V953" i="34" s="1"/>
  <c r="U951" i="34"/>
  <c r="U953" i="34" s="1"/>
  <c r="S951" i="34"/>
  <c r="S953" i="34" s="1"/>
  <c r="R951" i="34"/>
  <c r="R953" i="34" s="1"/>
  <c r="P951" i="34"/>
  <c r="P953" i="34" s="1"/>
  <c r="N951" i="34"/>
  <c r="N953" i="34" s="1"/>
  <c r="M951" i="34"/>
  <c r="M953" i="34" s="1"/>
  <c r="I951" i="34"/>
  <c r="I953" i="34" s="1"/>
  <c r="H951" i="34"/>
  <c r="H953" i="34" s="1"/>
  <c r="CP950" i="34"/>
  <c r="CB950" i="34"/>
  <c r="CF950" i="34" s="1"/>
  <c r="BO950" i="34"/>
  <c r="BP950" i="34" s="1"/>
  <c r="AZ950" i="34"/>
  <c r="BA950" i="34" s="1"/>
  <c r="AJ950" i="34"/>
  <c r="AK950" i="34" s="1"/>
  <c r="W950" i="34"/>
  <c r="X950" i="34" s="1"/>
  <c r="J950" i="34"/>
  <c r="K950" i="34" s="1"/>
  <c r="CP949" i="34"/>
  <c r="CB949" i="34"/>
  <c r="BO949" i="34"/>
  <c r="BP949" i="34" s="1"/>
  <c r="AZ949" i="34"/>
  <c r="BA949" i="34" s="1"/>
  <c r="AJ949" i="34"/>
  <c r="AK949" i="34" s="1"/>
  <c r="W949" i="34"/>
  <c r="X949" i="34" s="1"/>
  <c r="J949" i="34"/>
  <c r="K949" i="34" s="1"/>
  <c r="CP948" i="34"/>
  <c r="CP947" i="34"/>
  <c r="CP946" i="34"/>
  <c r="CG946" i="34"/>
  <c r="CB946" i="34"/>
  <c r="BO946" i="34"/>
  <c r="BP946" i="34" s="1"/>
  <c r="AZ946" i="34"/>
  <c r="BA946" i="34" s="1"/>
  <c r="AR946" i="34"/>
  <c r="AN946" i="34"/>
  <c r="AM946" i="34"/>
  <c r="AM951" i="34" s="1"/>
  <c r="AM953" i="34" s="1"/>
  <c r="AJ946" i="34"/>
  <c r="AK946" i="34" s="1"/>
  <c r="AE946" i="34"/>
  <c r="AA946" i="34"/>
  <c r="W946" i="34"/>
  <c r="X946" i="34" s="1"/>
  <c r="J946" i="34"/>
  <c r="K946" i="34" s="1"/>
  <c r="CP945" i="34"/>
  <c r="CG945" i="34"/>
  <c r="CG951" i="34" s="1"/>
  <c r="CG953" i="34" s="1"/>
  <c r="CB945" i="34"/>
  <c r="BO945" i="34"/>
  <c r="AZ945" i="34"/>
  <c r="AR945" i="34"/>
  <c r="AN945" i="34"/>
  <c r="AM945" i="34"/>
  <c r="AJ945" i="34"/>
  <c r="AK945" i="34" s="1"/>
  <c r="AE945" i="34"/>
  <c r="AE951" i="34" s="1"/>
  <c r="AE953" i="34" s="1"/>
  <c r="AA945" i="34"/>
  <c r="AA951" i="34" s="1"/>
  <c r="AA953" i="34" s="1"/>
  <c r="W945" i="34"/>
  <c r="X945" i="34" s="1"/>
  <c r="J945" i="34"/>
  <c r="CP944" i="34"/>
  <c r="CP943" i="34"/>
  <c r="CL942" i="34"/>
  <c r="CP941" i="34"/>
  <c r="CE940" i="34"/>
  <c r="CE942" i="34" s="1"/>
  <c r="CA940" i="34"/>
  <c r="CA942" i="34" s="1"/>
  <c r="BZ940" i="34"/>
  <c r="BZ942" i="34" s="1"/>
  <c r="BX940" i="34"/>
  <c r="BX942" i="34" s="1"/>
  <c r="BW940" i="34"/>
  <c r="BW942" i="34" s="1"/>
  <c r="BS940" i="34"/>
  <c r="BS942" i="34" s="1"/>
  <c r="BR940" i="34"/>
  <c r="BR942" i="34" s="1"/>
  <c r="BN940" i="34"/>
  <c r="BN942" i="34" s="1"/>
  <c r="BM940" i="34"/>
  <c r="BM942" i="34" s="1"/>
  <c r="BI940" i="34"/>
  <c r="BH940" i="34"/>
  <c r="BH942" i="34" s="1"/>
  <c r="BD940" i="34"/>
  <c r="BD942" i="34" s="1"/>
  <c r="BC940" i="34"/>
  <c r="BC942" i="34" s="1"/>
  <c r="AY940" i="34"/>
  <c r="AY942" i="34" s="1"/>
  <c r="AX940" i="34"/>
  <c r="AX942" i="34" s="1"/>
  <c r="AV940" i="34"/>
  <c r="AV942" i="34" s="1"/>
  <c r="AU940" i="34"/>
  <c r="AU942" i="34" s="1"/>
  <c r="AS940" i="34"/>
  <c r="AS942" i="34" s="1"/>
  <c r="AI940" i="34"/>
  <c r="AI942" i="34" s="1"/>
  <c r="AH940" i="34"/>
  <c r="AF940" i="34"/>
  <c r="AF942" i="34" s="1"/>
  <c r="AA940" i="34"/>
  <c r="AA942" i="34" s="1"/>
  <c r="Z940" i="34"/>
  <c r="Z942" i="34" s="1"/>
  <c r="V940" i="34"/>
  <c r="V942" i="34" s="1"/>
  <c r="S940" i="34"/>
  <c r="S942" i="34" s="1"/>
  <c r="P940" i="34"/>
  <c r="P942" i="34" s="1"/>
  <c r="N940" i="34"/>
  <c r="N942" i="34" s="1"/>
  <c r="M940" i="34"/>
  <c r="M942" i="34" s="1"/>
  <c r="I940" i="34"/>
  <c r="I942" i="34" s="1"/>
  <c r="H940" i="34"/>
  <c r="H942" i="34" s="1"/>
  <c r="CP939" i="34"/>
  <c r="CC939" i="34"/>
  <c r="CB939" i="34"/>
  <c r="CF939" i="34" s="1"/>
  <c r="BO939" i="34"/>
  <c r="BP939" i="34" s="1"/>
  <c r="AZ939" i="34"/>
  <c r="BA939" i="34" s="1"/>
  <c r="AJ939" i="34"/>
  <c r="AK939" i="34" s="1"/>
  <c r="W939" i="34"/>
  <c r="X939" i="34" s="1"/>
  <c r="J939" i="34"/>
  <c r="K939" i="34" s="1"/>
  <c r="CP938" i="34"/>
  <c r="CB938" i="34"/>
  <c r="CF938" i="34" s="1"/>
  <c r="BO938" i="34"/>
  <c r="BP938" i="34" s="1"/>
  <c r="AZ938" i="34"/>
  <c r="BA938" i="34" s="1"/>
  <c r="AJ938" i="34"/>
  <c r="AK938" i="34" s="1"/>
  <c r="W938" i="34"/>
  <c r="X938" i="34" s="1"/>
  <c r="J938" i="34"/>
  <c r="K938" i="34" s="1"/>
  <c r="CP937" i="34"/>
  <c r="CB937" i="34"/>
  <c r="CP936" i="34"/>
  <c r="CB936" i="34"/>
  <c r="CP935" i="34"/>
  <c r="CB935" i="34"/>
  <c r="CC935" i="34" s="1"/>
  <c r="BO935" i="34"/>
  <c r="BP935" i="34" s="1"/>
  <c r="AZ935" i="34"/>
  <c r="BA935" i="34" s="1"/>
  <c r="AR935" i="34"/>
  <c r="AR940" i="34" s="1"/>
  <c r="AR942" i="34" s="1"/>
  <c r="AN935" i="34"/>
  <c r="AN940" i="34" s="1"/>
  <c r="AN942" i="34" s="1"/>
  <c r="AM935" i="34"/>
  <c r="AM940" i="34" s="1"/>
  <c r="AM942" i="34" s="1"/>
  <c r="AJ935" i="34"/>
  <c r="AK935" i="34" s="1"/>
  <c r="AE935" i="34"/>
  <c r="AE940" i="34" s="1"/>
  <c r="AE942" i="34" s="1"/>
  <c r="AA935" i="34"/>
  <c r="W935" i="34"/>
  <c r="X935" i="34" s="1"/>
  <c r="J935" i="34"/>
  <c r="K935" i="34" s="1"/>
  <c r="CP934" i="34"/>
  <c r="CB934" i="34"/>
  <c r="CP933" i="34"/>
  <c r="CB933" i="34"/>
  <c r="CP932" i="34"/>
  <c r="CB932" i="34"/>
  <c r="CF932" i="34" s="1"/>
  <c r="BO932" i="34"/>
  <c r="BP932" i="34" s="1"/>
  <c r="AZ932" i="34"/>
  <c r="BA932" i="34" s="1"/>
  <c r="AJ932" i="34"/>
  <c r="AK932" i="34" s="1"/>
  <c r="W932" i="34"/>
  <c r="X932" i="34" s="1"/>
  <c r="J932" i="34"/>
  <c r="K932" i="34" s="1"/>
  <c r="CP931" i="34"/>
  <c r="CG931" i="34"/>
  <c r="CG940" i="34" s="1"/>
  <c r="CG942" i="34" s="1"/>
  <c r="CB931" i="34"/>
  <c r="CP930" i="34"/>
  <c r="CB930" i="34"/>
  <c r="CP929" i="34"/>
  <c r="CB929" i="34"/>
  <c r="BO929" i="34"/>
  <c r="BP929" i="34" s="1"/>
  <c r="AZ929" i="34"/>
  <c r="BA929" i="34" s="1"/>
  <c r="AJ929" i="34"/>
  <c r="AK929" i="34" s="1"/>
  <c r="W929" i="34"/>
  <c r="X929" i="34" s="1"/>
  <c r="U929" i="34"/>
  <c r="U940" i="34" s="1"/>
  <c r="R929" i="34"/>
  <c r="R940" i="34" s="1"/>
  <c r="R942" i="34" s="1"/>
  <c r="J929" i="34"/>
  <c r="K929" i="34" s="1"/>
  <c r="CP928" i="34"/>
  <c r="CC928" i="34"/>
  <c r="CB928" i="34"/>
  <c r="BP928" i="34"/>
  <c r="BO928" i="34"/>
  <c r="BA928" i="34"/>
  <c r="AZ928" i="34"/>
  <c r="AK928" i="34"/>
  <c r="AJ928" i="34"/>
  <c r="W928" i="34"/>
  <c r="J928" i="34"/>
  <c r="K928" i="34" s="1"/>
  <c r="CP927" i="34"/>
  <c r="CP926" i="34"/>
  <c r="BF926" i="34"/>
  <c r="AP926" i="34"/>
  <c r="CL925" i="34"/>
  <c r="CM925" i="34" s="1"/>
  <c r="CP924" i="34"/>
  <c r="CG923" i="34"/>
  <c r="CG925" i="34" s="1"/>
  <c r="CI925" i="34" s="1"/>
  <c r="CE923" i="34"/>
  <c r="BZ923" i="34"/>
  <c r="BZ925" i="34" s="1"/>
  <c r="BX923" i="34"/>
  <c r="BX925" i="34" s="1"/>
  <c r="BW923" i="34"/>
  <c r="BW925" i="34" s="1"/>
  <c r="BS923" i="34"/>
  <c r="BS925" i="34" s="1"/>
  <c r="BR923" i="34"/>
  <c r="BR925" i="34" s="1"/>
  <c r="BN923" i="34"/>
  <c r="BN925" i="34" s="1"/>
  <c r="BM923" i="34"/>
  <c r="BM925" i="34" s="1"/>
  <c r="BI923" i="34"/>
  <c r="BI925" i="34" s="1"/>
  <c r="BH923" i="34"/>
  <c r="BH925" i="34" s="1"/>
  <c r="BD923" i="34"/>
  <c r="BD925" i="34" s="1"/>
  <c r="BC923" i="34"/>
  <c r="BC925" i="34" s="1"/>
  <c r="AY923" i="34"/>
  <c r="AY925" i="34" s="1"/>
  <c r="AX923" i="34"/>
  <c r="AX925" i="34" s="1"/>
  <c r="AV923" i="34"/>
  <c r="AV925" i="34" s="1"/>
  <c r="AU923" i="34"/>
  <c r="AU925" i="34" s="1"/>
  <c r="AS923" i="34"/>
  <c r="AS925" i="34" s="1"/>
  <c r="AR923" i="34"/>
  <c r="AR925" i="34" s="1"/>
  <c r="AN923" i="34"/>
  <c r="AN925" i="34" s="1"/>
  <c r="AM923" i="34"/>
  <c r="AM925" i="34" s="1"/>
  <c r="AI923" i="34"/>
  <c r="AI925" i="34" s="1"/>
  <c r="AH923" i="34"/>
  <c r="AF923" i="34"/>
  <c r="AF925" i="34" s="1"/>
  <c r="AE923" i="34"/>
  <c r="AE925" i="34" s="1"/>
  <c r="AA923" i="34"/>
  <c r="AA925" i="34" s="1"/>
  <c r="Z923" i="34"/>
  <c r="Z925" i="34" s="1"/>
  <c r="V923" i="34"/>
  <c r="V925" i="34" s="1"/>
  <c r="U923" i="34"/>
  <c r="S923" i="34"/>
  <c r="S925" i="34" s="1"/>
  <c r="R923" i="34"/>
  <c r="R925" i="34" s="1"/>
  <c r="P923" i="34"/>
  <c r="P925" i="34" s="1"/>
  <c r="N923" i="34"/>
  <c r="N925" i="34" s="1"/>
  <c r="M923" i="34"/>
  <c r="M925" i="34" s="1"/>
  <c r="I923" i="34"/>
  <c r="I925" i="34" s="1"/>
  <c r="H923" i="34"/>
  <c r="H925" i="34" s="1"/>
  <c r="CP922" i="34"/>
  <c r="CB922" i="34"/>
  <c r="CP921" i="34"/>
  <c r="CA921" i="34"/>
  <c r="CA923" i="34" s="1"/>
  <c r="CA925" i="34" s="1"/>
  <c r="CP920" i="34"/>
  <c r="CB920" i="34"/>
  <c r="CC920" i="34" s="1"/>
  <c r="BO920" i="34"/>
  <c r="BP920" i="34" s="1"/>
  <c r="AZ920" i="34"/>
  <c r="BA920" i="34" s="1"/>
  <c r="AJ920" i="34"/>
  <c r="W920" i="34"/>
  <c r="X920" i="34" s="1"/>
  <c r="J920" i="34"/>
  <c r="CP919" i="34"/>
  <c r="CP918" i="34"/>
  <c r="AK917" i="34"/>
  <c r="G917" i="34"/>
  <c r="CP916" i="34"/>
  <c r="CG915" i="34"/>
  <c r="CG917" i="34" s="1"/>
  <c r="CE915" i="34"/>
  <c r="CE917" i="34" s="1"/>
  <c r="CA915" i="34"/>
  <c r="CA917" i="34" s="1"/>
  <c r="BZ915" i="34"/>
  <c r="BZ917" i="34" s="1"/>
  <c r="CC917" i="34" s="1"/>
  <c r="BX915" i="34"/>
  <c r="BX917" i="34" s="1"/>
  <c r="BW915" i="34"/>
  <c r="BW917" i="34" s="1"/>
  <c r="BS915" i="34"/>
  <c r="BS917" i="34" s="1"/>
  <c r="BR915" i="34"/>
  <c r="BR917" i="34" s="1"/>
  <c r="BN915" i="34"/>
  <c r="BN917" i="34" s="1"/>
  <c r="BM915" i="34"/>
  <c r="BI915" i="34"/>
  <c r="BH915" i="34"/>
  <c r="BH917" i="34" s="1"/>
  <c r="BD915" i="34"/>
  <c r="BD917" i="34" s="1"/>
  <c r="BC915" i="34"/>
  <c r="BC917" i="34" s="1"/>
  <c r="AY915" i="34"/>
  <c r="AY917" i="34" s="1"/>
  <c r="AX915" i="34"/>
  <c r="AV915" i="34"/>
  <c r="AV917" i="34" s="1"/>
  <c r="AU915" i="34"/>
  <c r="AU917" i="34" s="1"/>
  <c r="AS915" i="34"/>
  <c r="AS917" i="34" s="1"/>
  <c r="AR915" i="34"/>
  <c r="AR917" i="34" s="1"/>
  <c r="AN915" i="34"/>
  <c r="AN917" i="34" s="1"/>
  <c r="AM915" i="34"/>
  <c r="AM917" i="34" s="1"/>
  <c r="AI915" i="34"/>
  <c r="AI917" i="34" s="1"/>
  <c r="AH915" i="34"/>
  <c r="AK915" i="34" s="1"/>
  <c r="AF915" i="34"/>
  <c r="AF917" i="34" s="1"/>
  <c r="AE915" i="34"/>
  <c r="AE917" i="34" s="1"/>
  <c r="AA915" i="34"/>
  <c r="AA917" i="34" s="1"/>
  <c r="Z915" i="34"/>
  <c r="Z917" i="34" s="1"/>
  <c r="V915" i="34"/>
  <c r="V917" i="34" s="1"/>
  <c r="U915" i="34"/>
  <c r="U917" i="34" s="1"/>
  <c r="X917" i="34" s="1"/>
  <c r="S915" i="34"/>
  <c r="S917" i="34" s="1"/>
  <c r="R915" i="34"/>
  <c r="R917" i="34" s="1"/>
  <c r="P915" i="34"/>
  <c r="P917" i="34" s="1"/>
  <c r="N915" i="34"/>
  <c r="N917" i="34" s="1"/>
  <c r="M915" i="34"/>
  <c r="M917" i="34" s="1"/>
  <c r="I915" i="34"/>
  <c r="I917" i="34" s="1"/>
  <c r="H915" i="34"/>
  <c r="H917" i="34" s="1"/>
  <c r="K917" i="34" s="1"/>
  <c r="G915" i="34"/>
  <c r="CP914" i="34"/>
  <c r="CC914" i="34"/>
  <c r="CB914" i="34"/>
  <c r="CF914" i="34" s="1"/>
  <c r="BP914" i="34"/>
  <c r="BO914" i="34"/>
  <c r="BA914" i="34"/>
  <c r="AZ914" i="34"/>
  <c r="AK914" i="34"/>
  <c r="AJ914" i="34"/>
  <c r="X914" i="34"/>
  <c r="W914" i="34"/>
  <c r="K914" i="34"/>
  <c r="J914" i="34"/>
  <c r="CP913" i="34"/>
  <c r="CC913" i="34"/>
  <c r="CB913" i="34"/>
  <c r="CF913" i="34" s="1"/>
  <c r="BP913" i="34"/>
  <c r="BO913" i="34"/>
  <c r="BA913" i="34"/>
  <c r="AZ913" i="34"/>
  <c r="AK913" i="34"/>
  <c r="AJ913" i="34"/>
  <c r="X913" i="34"/>
  <c r="W913" i="34"/>
  <c r="K913" i="34"/>
  <c r="J913" i="34"/>
  <c r="CP912" i="34"/>
  <c r="CC912" i="34"/>
  <c r="CB912" i="34"/>
  <c r="CF912" i="34" s="1"/>
  <c r="BP912" i="34"/>
  <c r="BO912" i="34"/>
  <c r="BA912" i="34"/>
  <c r="AZ912" i="34"/>
  <c r="AK912" i="34"/>
  <c r="AJ912" i="34"/>
  <c r="X912" i="34"/>
  <c r="W912" i="34"/>
  <c r="K912" i="34"/>
  <c r="J912" i="34"/>
  <c r="CP911" i="34"/>
  <c r="CC911" i="34"/>
  <c r="CB911" i="34"/>
  <c r="CF911" i="34" s="1"/>
  <c r="BP911" i="34"/>
  <c r="BO911" i="34"/>
  <c r="BA911" i="34"/>
  <c r="AZ911" i="34"/>
  <c r="AK911" i="34"/>
  <c r="AJ911" i="34"/>
  <c r="X911" i="34"/>
  <c r="W911" i="34"/>
  <c r="K911" i="34"/>
  <c r="J911" i="34"/>
  <c r="CP910" i="34"/>
  <c r="CC910" i="34"/>
  <c r="CB910" i="34"/>
  <c r="CF910" i="34" s="1"/>
  <c r="BP910" i="34"/>
  <c r="BO910" i="34"/>
  <c r="BA910" i="34"/>
  <c r="AZ910" i="34"/>
  <c r="AK910" i="34"/>
  <c r="AJ910" i="34"/>
  <c r="X910" i="34"/>
  <c r="W910" i="34"/>
  <c r="K910" i="34"/>
  <c r="J910" i="34"/>
  <c r="CP909" i="34"/>
  <c r="CC909" i="34"/>
  <c r="CB909" i="34"/>
  <c r="CF909" i="34" s="1"/>
  <c r="BP909" i="34"/>
  <c r="BO909" i="34"/>
  <c r="BA909" i="34"/>
  <c r="AZ909" i="34"/>
  <c r="AK909" i="34"/>
  <c r="AJ909" i="34"/>
  <c r="X909" i="34"/>
  <c r="W909" i="34"/>
  <c r="K909" i="34"/>
  <c r="J909" i="34"/>
  <c r="CP908" i="34"/>
  <c r="CC908" i="34"/>
  <c r="CB908" i="34"/>
  <c r="CF908" i="34" s="1"/>
  <c r="BP908" i="34"/>
  <c r="BO908" i="34"/>
  <c r="BA908" i="34"/>
  <c r="AZ908" i="34"/>
  <c r="AK908" i="34"/>
  <c r="AJ908" i="34"/>
  <c r="X908" i="34"/>
  <c r="W908" i="34"/>
  <c r="K908" i="34"/>
  <c r="J908" i="34"/>
  <c r="CP907" i="34"/>
  <c r="CC907" i="34"/>
  <c r="CB907" i="34"/>
  <c r="BP907" i="34"/>
  <c r="BO907" i="34"/>
  <c r="BA907" i="34"/>
  <c r="AZ907" i="34"/>
  <c r="AK907" i="34"/>
  <c r="AJ907" i="34"/>
  <c r="X907" i="34"/>
  <c r="W907" i="34"/>
  <c r="K907" i="34"/>
  <c r="J907" i="34"/>
  <c r="CP906" i="34"/>
  <c r="CP905" i="34"/>
  <c r="CP904" i="34"/>
  <c r="CP903" i="34"/>
  <c r="CP900" i="34"/>
  <c r="CG899" i="34"/>
  <c r="CG901" i="34" s="1"/>
  <c r="CG902" i="34" s="1"/>
  <c r="CE899" i="34"/>
  <c r="CE901" i="34" s="1"/>
  <c r="CE902" i="34" s="1"/>
  <c r="CA899" i="34"/>
  <c r="CA901" i="34" s="1"/>
  <c r="CA902" i="34" s="1"/>
  <c r="BZ899" i="34"/>
  <c r="BZ901" i="34" s="1"/>
  <c r="BX899" i="34"/>
  <c r="BX901" i="34" s="1"/>
  <c r="BX902" i="34" s="1"/>
  <c r="BW899" i="34"/>
  <c r="BW901" i="34" s="1"/>
  <c r="BW902" i="34" s="1"/>
  <c r="BS899" i="34"/>
  <c r="BS901" i="34" s="1"/>
  <c r="BS902" i="34" s="1"/>
  <c r="BR899" i="34"/>
  <c r="BR901" i="34" s="1"/>
  <c r="BR902" i="34" s="1"/>
  <c r="BN899" i="34"/>
  <c r="BN901" i="34" s="1"/>
  <c r="BN902" i="34" s="1"/>
  <c r="BM899" i="34"/>
  <c r="BM901" i="34" s="1"/>
  <c r="BM902" i="34" s="1"/>
  <c r="BI899" i="34"/>
  <c r="BH899" i="34"/>
  <c r="BH901" i="34" s="1"/>
  <c r="BH902" i="34" s="1"/>
  <c r="BD899" i="34"/>
  <c r="BD901" i="34" s="1"/>
  <c r="BD902" i="34" s="1"/>
  <c r="BC899" i="34"/>
  <c r="BC901" i="34" s="1"/>
  <c r="BC902" i="34" s="1"/>
  <c r="AY899" i="34"/>
  <c r="AY901" i="34" s="1"/>
  <c r="AY902" i="34" s="1"/>
  <c r="AX899" i="34"/>
  <c r="AX901" i="34" s="1"/>
  <c r="AX902" i="34" s="1"/>
  <c r="AV899" i="34"/>
  <c r="AV901" i="34" s="1"/>
  <c r="AV902" i="34" s="1"/>
  <c r="AU899" i="34"/>
  <c r="AU901" i="34" s="1"/>
  <c r="AU902" i="34" s="1"/>
  <c r="AS899" i="34"/>
  <c r="AS901" i="34" s="1"/>
  <c r="AR899" i="34"/>
  <c r="AR901" i="34" s="1"/>
  <c r="AR902" i="34" s="1"/>
  <c r="AN899" i="34"/>
  <c r="AN901" i="34" s="1"/>
  <c r="AN902" i="34" s="1"/>
  <c r="AM899" i="34"/>
  <c r="AM901" i="34" s="1"/>
  <c r="AM902" i="34" s="1"/>
  <c r="AI899" i="34"/>
  <c r="AI901" i="34" s="1"/>
  <c r="AI902" i="34" s="1"/>
  <c r="AH899" i="34"/>
  <c r="AH901" i="34" s="1"/>
  <c r="AF899" i="34"/>
  <c r="AF901" i="34" s="1"/>
  <c r="AE899" i="34"/>
  <c r="AE901" i="34" s="1"/>
  <c r="AE902" i="34" s="1"/>
  <c r="AA899" i="34"/>
  <c r="AA901" i="34" s="1"/>
  <c r="AA902" i="34" s="1"/>
  <c r="Z899" i="34"/>
  <c r="Z901" i="34" s="1"/>
  <c r="Z902" i="34" s="1"/>
  <c r="V899" i="34"/>
  <c r="V901" i="34" s="1"/>
  <c r="V902" i="34" s="1"/>
  <c r="U899" i="34"/>
  <c r="U901" i="34" s="1"/>
  <c r="U902" i="34" s="1"/>
  <c r="S899" i="34"/>
  <c r="S901" i="34" s="1"/>
  <c r="S902" i="34" s="1"/>
  <c r="P899" i="34"/>
  <c r="P901" i="34" s="1"/>
  <c r="P902" i="34" s="1"/>
  <c r="N899" i="34"/>
  <c r="N901" i="34" s="1"/>
  <c r="N902" i="34" s="1"/>
  <c r="I899" i="34"/>
  <c r="I901" i="34" s="1"/>
  <c r="I902" i="34" s="1"/>
  <c r="H899" i="34"/>
  <c r="H901" i="34" s="1"/>
  <c r="H902" i="34" s="1"/>
  <c r="CP898" i="34"/>
  <c r="CP897" i="34"/>
  <c r="CB897" i="34"/>
  <c r="CF897" i="34" s="1"/>
  <c r="BO897" i="34"/>
  <c r="AZ897" i="34"/>
  <c r="AJ897" i="34"/>
  <c r="W897" i="34"/>
  <c r="CP896" i="34"/>
  <c r="CC896" i="34"/>
  <c r="CB896" i="34"/>
  <c r="CF896" i="34" s="1"/>
  <c r="BP896" i="34"/>
  <c r="BO896" i="34"/>
  <c r="BA896" i="34"/>
  <c r="AZ896" i="34"/>
  <c r="AK896" i="34"/>
  <c r="AJ896" i="34"/>
  <c r="W896" i="34"/>
  <c r="X896" i="34" s="1"/>
  <c r="K896" i="34"/>
  <c r="J896" i="34"/>
  <c r="CP895" i="34"/>
  <c r="CB895" i="34"/>
  <c r="CF895" i="34" s="1"/>
  <c r="BO895" i="34"/>
  <c r="AZ895" i="34"/>
  <c r="AJ895" i="34"/>
  <c r="W895" i="34"/>
  <c r="J895" i="34"/>
  <c r="CP894" i="34"/>
  <c r="CC894" i="34"/>
  <c r="CB894" i="34"/>
  <c r="CF894" i="34" s="1"/>
  <c r="BP894" i="34"/>
  <c r="BO894" i="34"/>
  <c r="BA894" i="34"/>
  <c r="AZ894" i="34"/>
  <c r="AK894" i="34"/>
  <c r="AJ894" i="34"/>
  <c r="X894" i="34"/>
  <c r="W894" i="34"/>
  <c r="J894" i="34"/>
  <c r="K894" i="34" s="1"/>
  <c r="CP893" i="34"/>
  <c r="CP892" i="34"/>
  <c r="CC892" i="34"/>
  <c r="CB892" i="34"/>
  <c r="CF892" i="34" s="1"/>
  <c r="BP892" i="34"/>
  <c r="BO892" i="34"/>
  <c r="AZ892" i="34"/>
  <c r="BA892" i="34" s="1"/>
  <c r="AJ892" i="34"/>
  <c r="AK892" i="34" s="1"/>
  <c r="W892" i="34"/>
  <c r="U892" i="34"/>
  <c r="R892" i="34"/>
  <c r="R899" i="34" s="1"/>
  <c r="R901" i="34" s="1"/>
  <c r="R902" i="34" s="1"/>
  <c r="N892" i="34"/>
  <c r="M892" i="34"/>
  <c r="M899" i="34" s="1"/>
  <c r="M901" i="34" s="1"/>
  <c r="M902" i="34" s="1"/>
  <c r="J892" i="34"/>
  <c r="K892" i="34" s="1"/>
  <c r="CP891" i="34"/>
  <c r="CP890" i="34"/>
  <c r="CB890" i="34"/>
  <c r="CF890" i="34" s="1"/>
  <c r="CP889" i="34"/>
  <c r="CB889" i="34"/>
  <c r="CF889" i="34" s="1"/>
  <c r="CP888" i="34"/>
  <c r="CB888" i="34"/>
  <c r="CF888" i="34" s="1"/>
  <c r="BO888" i="34"/>
  <c r="BP888" i="34" s="1"/>
  <c r="AZ888" i="34"/>
  <c r="BA888" i="34" s="1"/>
  <c r="AK888" i="34"/>
  <c r="AJ888" i="34"/>
  <c r="CP887" i="34"/>
  <c r="CB887" i="34"/>
  <c r="CF887" i="34" s="1"/>
  <c r="CP886" i="34"/>
  <c r="CB886" i="34"/>
  <c r="CF886" i="34" s="1"/>
  <c r="CP885" i="34"/>
  <c r="CB885" i="34"/>
  <c r="CF885" i="34" s="1"/>
  <c r="BO885" i="34"/>
  <c r="BP885" i="34" s="1"/>
  <c r="AZ885" i="34"/>
  <c r="BA885" i="34" s="1"/>
  <c r="AK885" i="34"/>
  <c r="AJ885" i="34"/>
  <c r="CP884" i="34"/>
  <c r="CB884" i="34"/>
  <c r="CF884" i="34" s="1"/>
  <c r="CP883" i="34"/>
  <c r="CB883" i="34"/>
  <c r="CF883" i="34" s="1"/>
  <c r="CP882" i="34"/>
  <c r="CB882" i="34"/>
  <c r="BO882" i="34"/>
  <c r="BP882" i="34" s="1"/>
  <c r="AZ882" i="34"/>
  <c r="BA882" i="34" s="1"/>
  <c r="AJ882" i="34"/>
  <c r="AK882" i="34" s="1"/>
  <c r="X882" i="34"/>
  <c r="W882" i="34"/>
  <c r="K882" i="34"/>
  <c r="J882" i="34"/>
  <c r="CP881" i="34"/>
  <c r="CC881" i="34"/>
  <c r="CB881" i="34"/>
  <c r="CF881" i="34" s="1"/>
  <c r="BO881" i="34"/>
  <c r="BP881" i="34" s="1"/>
  <c r="AZ881" i="34"/>
  <c r="BA881" i="34" s="1"/>
  <c r="AJ881" i="34"/>
  <c r="AK881" i="34" s="1"/>
  <c r="W881" i="34"/>
  <c r="X881" i="34" s="1"/>
  <c r="J881" i="34"/>
  <c r="K881" i="34" s="1"/>
  <c r="CP880" i="34"/>
  <c r="CC880" i="34"/>
  <c r="CB880" i="34"/>
  <c r="CF880" i="34" s="1"/>
  <c r="BP880" i="34"/>
  <c r="BO880" i="34"/>
  <c r="AZ880" i="34"/>
  <c r="BA880" i="34" s="1"/>
  <c r="AJ880" i="34"/>
  <c r="AK880" i="34" s="1"/>
  <c r="W880" i="34"/>
  <c r="X880" i="34" s="1"/>
  <c r="J880" i="34"/>
  <c r="K880" i="34" s="1"/>
  <c r="CP879" i="34"/>
  <c r="CP878" i="34"/>
  <c r="CB878" i="34"/>
  <c r="CF878" i="34" s="1"/>
  <c r="CP877" i="34"/>
  <c r="CB877" i="34"/>
  <c r="CF877" i="34" s="1"/>
  <c r="CP876" i="34"/>
  <c r="CB876" i="34"/>
  <c r="CC876" i="34" s="1"/>
  <c r="BO876" i="34"/>
  <c r="BP876" i="34" s="1"/>
  <c r="AZ876" i="34"/>
  <c r="BA876" i="34" s="1"/>
  <c r="CP875" i="34"/>
  <c r="CB875" i="34"/>
  <c r="CF875" i="34" s="1"/>
  <c r="CP874" i="34"/>
  <c r="CB874" i="34"/>
  <c r="CF874" i="34" s="1"/>
  <c r="CP873" i="34"/>
  <c r="CB873" i="34"/>
  <c r="BO873" i="34"/>
  <c r="BP873" i="34" s="1"/>
  <c r="AZ873" i="34"/>
  <c r="BA873" i="34" s="1"/>
  <c r="AK873" i="34"/>
  <c r="AJ873" i="34"/>
  <c r="CP872" i="34"/>
  <c r="CB872" i="34"/>
  <c r="CF872" i="34" s="1"/>
  <c r="CP871" i="34"/>
  <c r="CB871" i="34"/>
  <c r="CF871" i="34" s="1"/>
  <c r="CP870" i="34"/>
  <c r="CB870" i="34"/>
  <c r="BO870" i="34"/>
  <c r="BP870" i="34" s="1"/>
  <c r="AZ870" i="34"/>
  <c r="BA870" i="34" s="1"/>
  <c r="AJ870" i="34"/>
  <c r="AK870" i="34" s="1"/>
  <c r="W870" i="34"/>
  <c r="CP869" i="34"/>
  <c r="CC869" i="34"/>
  <c r="CB869" i="34"/>
  <c r="CF869" i="34" s="1"/>
  <c r="BO869" i="34"/>
  <c r="BP869" i="34" s="1"/>
  <c r="AZ869" i="34"/>
  <c r="BA869" i="34" s="1"/>
  <c r="AJ869" i="34"/>
  <c r="AK869" i="34" s="1"/>
  <c r="W869" i="34"/>
  <c r="X869" i="34" s="1"/>
  <c r="J869" i="34"/>
  <c r="K869" i="34" s="1"/>
  <c r="CP868" i="34"/>
  <c r="CC868" i="34"/>
  <c r="CB868" i="34"/>
  <c r="CF868" i="34" s="1"/>
  <c r="BP868" i="34"/>
  <c r="BO868" i="34"/>
  <c r="AZ868" i="34"/>
  <c r="BA868" i="34" s="1"/>
  <c r="AJ868" i="34"/>
  <c r="AK868" i="34" s="1"/>
  <c r="W868" i="34"/>
  <c r="X868" i="34" s="1"/>
  <c r="J868" i="34"/>
  <c r="K868" i="34" s="1"/>
  <c r="CP867" i="34"/>
  <c r="CB867" i="34"/>
  <c r="CF867" i="34" s="1"/>
  <c r="BO867" i="34"/>
  <c r="BP867" i="34" s="1"/>
  <c r="AZ867" i="34"/>
  <c r="AJ867" i="34"/>
  <c r="W867" i="34"/>
  <c r="X867" i="34" s="1"/>
  <c r="J867" i="34"/>
  <c r="CP866" i="34"/>
  <c r="CP865" i="34"/>
  <c r="CP864" i="34"/>
  <c r="CP863" i="34"/>
  <c r="AK861" i="34"/>
  <c r="CP860" i="34"/>
  <c r="CG859" i="34"/>
  <c r="CG861" i="34" s="1"/>
  <c r="CA859" i="34"/>
  <c r="CA861" i="34" s="1"/>
  <c r="BZ859" i="34"/>
  <c r="BZ861" i="34" s="1"/>
  <c r="CC861" i="34" s="1"/>
  <c r="BX859" i="34"/>
  <c r="BX861" i="34" s="1"/>
  <c r="BW859" i="34"/>
  <c r="BW861" i="34" s="1"/>
  <c r="BS859" i="34"/>
  <c r="BS861" i="34" s="1"/>
  <c r="BR859" i="34"/>
  <c r="BR861" i="34" s="1"/>
  <c r="BN859" i="34"/>
  <c r="BN861" i="34" s="1"/>
  <c r="BM859" i="34"/>
  <c r="BI859" i="34"/>
  <c r="BH859" i="34"/>
  <c r="BH861" i="34" s="1"/>
  <c r="BD859" i="34"/>
  <c r="BD861" i="34" s="1"/>
  <c r="BC859" i="34"/>
  <c r="BC861" i="34" s="1"/>
  <c r="AY859" i="34"/>
  <c r="AY861" i="34" s="1"/>
  <c r="AX859" i="34"/>
  <c r="AV859" i="34"/>
  <c r="AV861" i="34" s="1"/>
  <c r="AU859" i="34"/>
  <c r="AU861" i="34" s="1"/>
  <c r="AS859" i="34"/>
  <c r="AS861" i="34" s="1"/>
  <c r="AR859" i="34"/>
  <c r="AR861" i="34" s="1"/>
  <c r="AN859" i="34"/>
  <c r="AN861" i="34" s="1"/>
  <c r="AM859" i="34"/>
  <c r="AM861" i="34" s="1"/>
  <c r="AK859" i="34"/>
  <c r="AI859" i="34"/>
  <c r="AI861" i="34" s="1"/>
  <c r="AF859" i="34"/>
  <c r="AF861" i="34" s="1"/>
  <c r="AE859" i="34"/>
  <c r="AE861" i="34" s="1"/>
  <c r="AA859" i="34"/>
  <c r="AA861" i="34" s="1"/>
  <c r="Z859" i="34"/>
  <c r="Z861" i="34" s="1"/>
  <c r="V859" i="34"/>
  <c r="V861" i="34" s="1"/>
  <c r="U859" i="34"/>
  <c r="S859" i="34"/>
  <c r="S861" i="34" s="1"/>
  <c r="R859" i="34"/>
  <c r="R861" i="34" s="1"/>
  <c r="P859" i="34"/>
  <c r="P861" i="34" s="1"/>
  <c r="N859" i="34"/>
  <c r="N861" i="34" s="1"/>
  <c r="M859" i="34"/>
  <c r="M861" i="34" s="1"/>
  <c r="I859" i="34"/>
  <c r="I861" i="34" s="1"/>
  <c r="H859" i="34"/>
  <c r="H861" i="34" s="1"/>
  <c r="K861" i="34" s="1"/>
  <c r="CP858" i="34"/>
  <c r="CC858" i="34"/>
  <c r="CB858" i="34"/>
  <c r="CF858" i="34" s="1"/>
  <c r="BP858" i="34"/>
  <c r="BO858" i="34"/>
  <c r="BA858" i="34"/>
  <c r="AZ858" i="34"/>
  <c r="AK858" i="34"/>
  <c r="AJ858" i="34"/>
  <c r="X858" i="34"/>
  <c r="W858" i="34"/>
  <c r="K858" i="34"/>
  <c r="J858" i="34"/>
  <c r="CP857" i="34"/>
  <c r="CC857" i="34"/>
  <c r="CB857" i="34"/>
  <c r="CF857" i="34" s="1"/>
  <c r="BP857" i="34"/>
  <c r="BO857" i="34"/>
  <c r="BA857" i="34"/>
  <c r="AZ857" i="34"/>
  <c r="AK857" i="34"/>
  <c r="AJ857" i="34"/>
  <c r="X857" i="34"/>
  <c r="W857" i="34"/>
  <c r="K857" i="34"/>
  <c r="J857" i="34"/>
  <c r="CP856" i="34"/>
  <c r="CC856" i="34"/>
  <c r="CB856" i="34"/>
  <c r="BP856" i="34"/>
  <c r="BO856" i="34"/>
  <c r="BA856" i="34"/>
  <c r="AZ856" i="34"/>
  <c r="AK856" i="34"/>
  <c r="AJ856" i="34"/>
  <c r="X856" i="34"/>
  <c r="W856" i="34"/>
  <c r="K856" i="34"/>
  <c r="J856" i="34"/>
  <c r="CP855" i="34"/>
  <c r="CP854" i="34"/>
  <c r="CL853" i="34"/>
  <c r="CP852" i="34"/>
  <c r="CG851" i="34"/>
  <c r="CE851" i="34"/>
  <c r="CA851" i="34"/>
  <c r="BZ851" i="34"/>
  <c r="BX851" i="34"/>
  <c r="BW851" i="34"/>
  <c r="BS851" i="34"/>
  <c r="BR851" i="34"/>
  <c r="BN851" i="34"/>
  <c r="BM851" i="34"/>
  <c r="BI851" i="34"/>
  <c r="BH851" i="34"/>
  <c r="BD851" i="34"/>
  <c r="BC851" i="34"/>
  <c r="AY851" i="34"/>
  <c r="AX851" i="34"/>
  <c r="AV851" i="34"/>
  <c r="AU851" i="34"/>
  <c r="AS851" i="34"/>
  <c r="AR851" i="34"/>
  <c r="AN851" i="34"/>
  <c r="AM851" i="34"/>
  <c r="AI851" i="34"/>
  <c r="AF851" i="34"/>
  <c r="AE851" i="34"/>
  <c r="AA851" i="34"/>
  <c r="Z851" i="34"/>
  <c r="V851" i="34"/>
  <c r="U851" i="34"/>
  <c r="S851" i="34"/>
  <c r="R851" i="34"/>
  <c r="P851" i="34"/>
  <c r="N851" i="34"/>
  <c r="M851" i="34"/>
  <c r="I851" i="34"/>
  <c r="H851" i="34"/>
  <c r="CP850" i="34"/>
  <c r="CB850" i="34"/>
  <c r="CC850" i="34" s="1"/>
  <c r="BO850" i="34"/>
  <c r="BP850" i="34" s="1"/>
  <c r="AZ850" i="34"/>
  <c r="BA850" i="34" s="1"/>
  <c r="AJ850" i="34"/>
  <c r="AK850" i="34" s="1"/>
  <c r="W850" i="34"/>
  <c r="X850" i="34" s="1"/>
  <c r="J850" i="34"/>
  <c r="K850" i="34" s="1"/>
  <c r="CP849" i="34"/>
  <c r="CB849" i="34"/>
  <c r="CF849" i="34" s="1"/>
  <c r="BO849" i="34"/>
  <c r="BP849" i="34" s="1"/>
  <c r="AZ849" i="34"/>
  <c r="BA849" i="34" s="1"/>
  <c r="AJ849" i="34"/>
  <c r="AK849" i="34" s="1"/>
  <c r="W849" i="34"/>
  <c r="X849" i="34" s="1"/>
  <c r="J849" i="34"/>
  <c r="K849" i="34" s="1"/>
  <c r="CP848" i="34"/>
  <c r="CB848" i="34"/>
  <c r="CC848" i="34" s="1"/>
  <c r="BO848" i="34"/>
  <c r="BP848" i="34" s="1"/>
  <c r="AZ848" i="34"/>
  <c r="BA848" i="34" s="1"/>
  <c r="AJ848" i="34"/>
  <c r="AK848" i="34" s="1"/>
  <c r="W848" i="34"/>
  <c r="X848" i="34" s="1"/>
  <c r="J848" i="34"/>
  <c r="K848" i="34" s="1"/>
  <c r="CP847" i="34"/>
  <c r="CB847" i="34"/>
  <c r="CF847" i="34" s="1"/>
  <c r="BO847" i="34"/>
  <c r="BP847" i="34" s="1"/>
  <c r="AZ847" i="34"/>
  <c r="BA847" i="34" s="1"/>
  <c r="AJ847" i="34"/>
  <c r="AK847" i="34" s="1"/>
  <c r="W847" i="34"/>
  <c r="X847" i="34" s="1"/>
  <c r="J847" i="34"/>
  <c r="K847" i="34" s="1"/>
  <c r="CP846" i="34"/>
  <c r="CB846" i="34"/>
  <c r="CF846" i="34" s="1"/>
  <c r="BO846" i="34"/>
  <c r="BP846" i="34" s="1"/>
  <c r="AZ846" i="34"/>
  <c r="BA846" i="34" s="1"/>
  <c r="AJ846" i="34"/>
  <c r="AK846" i="34" s="1"/>
  <c r="W846" i="34"/>
  <c r="X846" i="34" s="1"/>
  <c r="J846" i="34"/>
  <c r="K846" i="34" s="1"/>
  <c r="CP845" i="34"/>
  <c r="CB845" i="34"/>
  <c r="BO845" i="34"/>
  <c r="BP845" i="34" s="1"/>
  <c r="AZ845" i="34"/>
  <c r="BA845" i="34" s="1"/>
  <c r="AJ845" i="34"/>
  <c r="W845" i="34"/>
  <c r="J845" i="34"/>
  <c r="CP844" i="34"/>
  <c r="CG843" i="34"/>
  <c r="CE843" i="34"/>
  <c r="CA843" i="34"/>
  <c r="BZ843" i="34"/>
  <c r="BX843" i="34"/>
  <c r="BW843" i="34"/>
  <c r="BS843" i="34"/>
  <c r="BR843" i="34"/>
  <c r="BN843" i="34"/>
  <c r="BM843" i="34"/>
  <c r="BI843" i="34"/>
  <c r="BH843" i="34"/>
  <c r="BD843" i="34"/>
  <c r="BC843" i="34"/>
  <c r="AY843" i="34"/>
  <c r="AX843" i="34"/>
  <c r="AV843" i="34"/>
  <c r="AU843" i="34"/>
  <c r="AS843" i="34"/>
  <c r="AR843" i="34"/>
  <c r="AN843" i="34"/>
  <c r="AM843" i="34"/>
  <c r="AI843" i="34"/>
  <c r="AF843" i="34"/>
  <c r="AE843" i="34"/>
  <c r="AA843" i="34"/>
  <c r="Z843" i="34"/>
  <c r="V843" i="34"/>
  <c r="U843" i="34"/>
  <c r="S843" i="34"/>
  <c r="R843" i="34"/>
  <c r="P843" i="34"/>
  <c r="N843" i="34"/>
  <c r="M843" i="34"/>
  <c r="I843" i="34"/>
  <c r="H843" i="34"/>
  <c r="CP842" i="34"/>
  <c r="CB842" i="34"/>
  <c r="CC842" i="34" s="1"/>
  <c r="BO842" i="34"/>
  <c r="BP842" i="34" s="1"/>
  <c r="AZ842" i="34"/>
  <c r="AJ842" i="34"/>
  <c r="AK842" i="34" s="1"/>
  <c r="W842" i="34"/>
  <c r="J842" i="34"/>
  <c r="K842" i="34" s="1"/>
  <c r="CP841" i="34"/>
  <c r="CP840" i="34"/>
  <c r="CL839" i="34"/>
  <c r="CM839" i="34" s="1"/>
  <c r="CP838" i="34"/>
  <c r="CG837" i="34"/>
  <c r="CG839" i="34" s="1"/>
  <c r="CE837" i="34"/>
  <c r="CE839" i="34" s="1"/>
  <c r="CA837" i="34"/>
  <c r="CA839" i="34" s="1"/>
  <c r="BZ837" i="34"/>
  <c r="BZ839" i="34" s="1"/>
  <c r="BX837" i="34"/>
  <c r="BX839" i="34" s="1"/>
  <c r="BW837" i="34"/>
  <c r="BW839" i="34" s="1"/>
  <c r="BS837" i="34"/>
  <c r="BS839" i="34" s="1"/>
  <c r="BR837" i="34"/>
  <c r="BR839" i="34" s="1"/>
  <c r="BN837" i="34"/>
  <c r="BN839" i="34" s="1"/>
  <c r="BM837" i="34"/>
  <c r="BM839" i="34" s="1"/>
  <c r="BI837" i="34"/>
  <c r="BH837" i="34"/>
  <c r="BH839" i="34" s="1"/>
  <c r="BD837" i="34"/>
  <c r="BD839" i="34" s="1"/>
  <c r="BC837" i="34"/>
  <c r="BC839" i="34" s="1"/>
  <c r="AY837" i="34"/>
  <c r="AY839" i="34" s="1"/>
  <c r="AX837" i="34"/>
  <c r="AX839" i="34" s="1"/>
  <c r="AV837" i="34"/>
  <c r="AV839" i="34" s="1"/>
  <c r="AU837" i="34"/>
  <c r="AU839" i="34" s="1"/>
  <c r="AS837" i="34"/>
  <c r="AS839" i="34" s="1"/>
  <c r="AR837" i="34"/>
  <c r="AR839" i="34" s="1"/>
  <c r="AN837" i="34"/>
  <c r="AN839" i="34" s="1"/>
  <c r="AM837" i="34"/>
  <c r="AM839" i="34" s="1"/>
  <c r="AI837" i="34"/>
  <c r="AI839" i="34" s="1"/>
  <c r="AF837" i="34"/>
  <c r="AF839" i="34" s="1"/>
  <c r="AE837" i="34"/>
  <c r="AE839" i="34" s="1"/>
  <c r="AA837" i="34"/>
  <c r="AA839" i="34" s="1"/>
  <c r="Z837" i="34"/>
  <c r="Z839" i="34" s="1"/>
  <c r="V837" i="34"/>
  <c r="V839" i="34" s="1"/>
  <c r="U837" i="34"/>
  <c r="S837" i="34"/>
  <c r="S839" i="34" s="1"/>
  <c r="R837" i="34"/>
  <c r="R839" i="34" s="1"/>
  <c r="P837" i="34"/>
  <c r="P839" i="34" s="1"/>
  <c r="N837" i="34"/>
  <c r="N839" i="34" s="1"/>
  <c r="M837" i="34"/>
  <c r="M839" i="34" s="1"/>
  <c r="I837" i="34"/>
  <c r="I839" i="34" s="1"/>
  <c r="H837" i="34"/>
  <c r="H839" i="34" s="1"/>
  <c r="CP836" i="34"/>
  <c r="CB836" i="34"/>
  <c r="CF836" i="34" s="1"/>
  <c r="BO836" i="34"/>
  <c r="BP836" i="34" s="1"/>
  <c r="AZ836" i="34"/>
  <c r="BA836" i="34" s="1"/>
  <c r="AJ836" i="34"/>
  <c r="AK836" i="34" s="1"/>
  <c r="W836" i="34"/>
  <c r="X836" i="34" s="1"/>
  <c r="J836" i="34"/>
  <c r="K836" i="34" s="1"/>
  <c r="CP835" i="34"/>
  <c r="CC835" i="34"/>
  <c r="CB835" i="34"/>
  <c r="CF835" i="34" s="1"/>
  <c r="BP835" i="34"/>
  <c r="BO835" i="34"/>
  <c r="BA835" i="34"/>
  <c r="AZ835" i="34"/>
  <c r="AJ835" i="34"/>
  <c r="W835" i="34"/>
  <c r="X835" i="34" s="1"/>
  <c r="J835" i="34"/>
  <c r="CP834" i="34"/>
  <c r="CP833" i="34"/>
  <c r="CL832" i="34"/>
  <c r="CP831" i="34"/>
  <c r="CG830" i="34"/>
  <c r="CE830" i="34"/>
  <c r="CA830" i="34"/>
  <c r="BZ830" i="34"/>
  <c r="BX830" i="34"/>
  <c r="BW830" i="34"/>
  <c r="BS830" i="34"/>
  <c r="BR830" i="34"/>
  <c r="BN830" i="34"/>
  <c r="BM830" i="34"/>
  <c r="BI830" i="34"/>
  <c r="BH830" i="34"/>
  <c r="BD830" i="34"/>
  <c r="BC830" i="34"/>
  <c r="AY830" i="34"/>
  <c r="AX830" i="34"/>
  <c r="BA830" i="34" s="1"/>
  <c r="AV830" i="34"/>
  <c r="AU830" i="34"/>
  <c r="AS830" i="34"/>
  <c r="AR830" i="34"/>
  <c r="AN830" i="34"/>
  <c r="AM830" i="34"/>
  <c r="AI830" i="34"/>
  <c r="AH830" i="34"/>
  <c r="AK830" i="34" s="1"/>
  <c r="AF830" i="34"/>
  <c r="AE830" i="34"/>
  <c r="AA830" i="34"/>
  <c r="Z830" i="34"/>
  <c r="V830" i="34"/>
  <c r="U830" i="34"/>
  <c r="S830" i="34"/>
  <c r="R830" i="34"/>
  <c r="N830" i="34"/>
  <c r="M830" i="34"/>
  <c r="I830" i="34"/>
  <c r="H830" i="34"/>
  <c r="K830" i="34" s="1"/>
  <c r="CP829" i="34"/>
  <c r="CK829" i="34"/>
  <c r="CB829" i="34"/>
  <c r="CF829" i="34" s="1"/>
  <c r="BO829" i="34"/>
  <c r="BP829" i="34" s="1"/>
  <c r="BA829" i="34"/>
  <c r="AZ829" i="34"/>
  <c r="AK829" i="34"/>
  <c r="AJ829" i="34"/>
  <c r="X829" i="34"/>
  <c r="W829" i="34"/>
  <c r="K829" i="34"/>
  <c r="J829" i="34"/>
  <c r="CP828" i="34"/>
  <c r="CK828" i="34"/>
  <c r="CB828" i="34"/>
  <c r="CF828" i="34" s="1"/>
  <c r="BO828" i="34"/>
  <c r="BP828" i="34" s="1"/>
  <c r="BA828" i="34"/>
  <c r="AZ828" i="34"/>
  <c r="AK828" i="34"/>
  <c r="AJ828" i="34"/>
  <c r="X828" i="34"/>
  <c r="W828" i="34"/>
  <c r="K828" i="34"/>
  <c r="J828" i="34"/>
  <c r="CP827" i="34"/>
  <c r="CK827" i="34"/>
  <c r="CB827" i="34"/>
  <c r="CF827" i="34" s="1"/>
  <c r="BO827" i="34"/>
  <c r="BP827" i="34" s="1"/>
  <c r="BA827" i="34"/>
  <c r="AZ827" i="34"/>
  <c r="AK827" i="34"/>
  <c r="AJ827" i="34"/>
  <c r="X827" i="34"/>
  <c r="W827" i="34"/>
  <c r="K827" i="34"/>
  <c r="J827" i="34"/>
  <c r="CP826" i="34"/>
  <c r="CK826" i="34"/>
  <c r="CB826" i="34"/>
  <c r="BO826" i="34"/>
  <c r="BP826" i="34" s="1"/>
  <c r="BA826" i="34"/>
  <c r="AZ826" i="34"/>
  <c r="AK826" i="34"/>
  <c r="AJ826" i="34"/>
  <c r="X826" i="34"/>
  <c r="W826" i="34"/>
  <c r="K826" i="34"/>
  <c r="J826" i="34"/>
  <c r="CP825" i="34"/>
  <c r="CK825" i="34"/>
  <c r="CB825" i="34"/>
  <c r="CF825" i="34" s="1"/>
  <c r="BO825" i="34"/>
  <c r="BP825" i="34" s="1"/>
  <c r="BA825" i="34"/>
  <c r="AZ825" i="34"/>
  <c r="AK825" i="34"/>
  <c r="AJ825" i="34"/>
  <c r="X825" i="34"/>
  <c r="W825" i="34"/>
  <c r="K825" i="34"/>
  <c r="J825" i="34"/>
  <c r="CP824" i="34"/>
  <c r="CG823" i="34"/>
  <c r="CE823" i="34"/>
  <c r="CA823" i="34"/>
  <c r="BZ823" i="34"/>
  <c r="BX823" i="34"/>
  <c r="BW823" i="34"/>
  <c r="BS823" i="34"/>
  <c r="BR823" i="34"/>
  <c r="BN823" i="34"/>
  <c r="BM823" i="34"/>
  <c r="BI823" i="34"/>
  <c r="BH823" i="34"/>
  <c r="BD823" i="34"/>
  <c r="BC823" i="34"/>
  <c r="AY823" i="34"/>
  <c r="AX823" i="34"/>
  <c r="BA823" i="34" s="1"/>
  <c r="AV823" i="34"/>
  <c r="AU823" i="34"/>
  <c r="AS823" i="34"/>
  <c r="AR823" i="34"/>
  <c r="AN823" i="34"/>
  <c r="AM823" i="34"/>
  <c r="AI823" i="34"/>
  <c r="AF823" i="34"/>
  <c r="AE823" i="34"/>
  <c r="AA823" i="34"/>
  <c r="Z823" i="34"/>
  <c r="V823" i="34"/>
  <c r="U823" i="34"/>
  <c r="X823" i="34" s="1"/>
  <c r="S823" i="34"/>
  <c r="R823" i="34"/>
  <c r="P823" i="34"/>
  <c r="P832" i="34" s="1"/>
  <c r="N823" i="34"/>
  <c r="M823" i="34"/>
  <c r="I823" i="34"/>
  <c r="H823" i="34"/>
  <c r="CP822" i="34"/>
  <c r="CK822" i="34"/>
  <c r="CG822" i="34"/>
  <c r="CB822" i="34"/>
  <c r="CB823" i="34" s="1"/>
  <c r="BO822" i="34"/>
  <c r="BA822" i="34"/>
  <c r="AZ822" i="34"/>
  <c r="AZ823" i="34" s="1"/>
  <c r="AK822" i="34"/>
  <c r="AJ822" i="34"/>
  <c r="AJ823" i="34" s="1"/>
  <c r="X822" i="34"/>
  <c r="W822" i="34"/>
  <c r="W823" i="34" s="1"/>
  <c r="K822" i="34"/>
  <c r="J822" i="34"/>
  <c r="J823" i="34" s="1"/>
  <c r="CP821" i="34"/>
  <c r="CP820" i="34"/>
  <c r="CL819" i="34"/>
  <c r="CP818" i="34"/>
  <c r="CG817" i="34"/>
  <c r="CE817" i="34"/>
  <c r="CA817" i="34"/>
  <c r="BX817" i="34"/>
  <c r="BS817" i="34"/>
  <c r="BR817" i="34"/>
  <c r="BN817" i="34"/>
  <c r="BI817" i="34"/>
  <c r="BC817" i="34"/>
  <c r="AY817" i="34"/>
  <c r="AV817" i="34"/>
  <c r="AS817" i="34"/>
  <c r="AI817" i="34"/>
  <c r="AH817" i="34"/>
  <c r="AF817" i="34"/>
  <c r="Z817" i="34"/>
  <c r="V817" i="34"/>
  <c r="U817" i="34"/>
  <c r="S817" i="34"/>
  <c r="R817" i="34"/>
  <c r="P817" i="34"/>
  <c r="N817" i="34"/>
  <c r="M817" i="34"/>
  <c r="I817" i="34"/>
  <c r="H817" i="34"/>
  <c r="CP816" i="34"/>
  <c r="CB816" i="34"/>
  <c r="CC816" i="34" s="1"/>
  <c r="BO816" i="34"/>
  <c r="BP816" i="34" s="1"/>
  <c r="AZ816" i="34"/>
  <c r="BA816" i="34" s="1"/>
  <c r="AJ816" i="34"/>
  <c r="AK816" i="34" s="1"/>
  <c r="W816" i="34"/>
  <c r="X816" i="34" s="1"/>
  <c r="J816" i="34"/>
  <c r="K816" i="34" s="1"/>
  <c r="CP815" i="34"/>
  <c r="CB815" i="34"/>
  <c r="CF815" i="34" s="1"/>
  <c r="BO815" i="34"/>
  <c r="BP815" i="34" s="1"/>
  <c r="AZ815" i="34"/>
  <c r="BA815" i="34" s="1"/>
  <c r="AJ815" i="34"/>
  <c r="AK815" i="34" s="1"/>
  <c r="W815" i="34"/>
  <c r="X815" i="34" s="1"/>
  <c r="J815" i="34"/>
  <c r="K815" i="34" s="1"/>
  <c r="CP814" i="34"/>
  <c r="CB814" i="34"/>
  <c r="BO814" i="34"/>
  <c r="BP814" i="34" s="1"/>
  <c r="AZ814" i="34"/>
  <c r="BA814" i="34" s="1"/>
  <c r="AJ814" i="34"/>
  <c r="AK814" i="34" s="1"/>
  <c r="W814" i="34"/>
  <c r="X814" i="34" s="1"/>
  <c r="J814" i="34"/>
  <c r="K814" i="34" s="1"/>
  <c r="CP813" i="34"/>
  <c r="CB813" i="34"/>
  <c r="CF813" i="34" s="1"/>
  <c r="BO813" i="34"/>
  <c r="BP813" i="34" s="1"/>
  <c r="AZ813" i="34"/>
  <c r="BA813" i="34" s="1"/>
  <c r="AJ813" i="34"/>
  <c r="AK813" i="34" s="1"/>
  <c r="W813" i="34"/>
  <c r="X813" i="34" s="1"/>
  <c r="J813" i="34"/>
  <c r="K813" i="34" s="1"/>
  <c r="CP812" i="34"/>
  <c r="CB812" i="34"/>
  <c r="CC812" i="34" s="1"/>
  <c r="BO812" i="34"/>
  <c r="BP812" i="34" s="1"/>
  <c r="AZ812" i="34"/>
  <c r="BA812" i="34" s="1"/>
  <c r="AJ812" i="34"/>
  <c r="AK812" i="34" s="1"/>
  <c r="W812" i="34"/>
  <c r="X812" i="34" s="1"/>
  <c r="J812" i="34"/>
  <c r="K812" i="34" s="1"/>
  <c r="CP811" i="34"/>
  <c r="CB811" i="34"/>
  <c r="CF811" i="34" s="1"/>
  <c r="BO811" i="34"/>
  <c r="BP811" i="34" s="1"/>
  <c r="AZ811" i="34"/>
  <c r="BA811" i="34" s="1"/>
  <c r="AJ811" i="34"/>
  <c r="AK811" i="34" s="1"/>
  <c r="W811" i="34"/>
  <c r="X811" i="34" s="1"/>
  <c r="J811" i="34"/>
  <c r="K811" i="34" s="1"/>
  <c r="CP810" i="34"/>
  <c r="CB810" i="34"/>
  <c r="CF810" i="34" s="1"/>
  <c r="BO810" i="34"/>
  <c r="BP810" i="34" s="1"/>
  <c r="AZ810" i="34"/>
  <c r="BA810" i="34" s="1"/>
  <c r="AJ810" i="34"/>
  <c r="AK810" i="34" s="1"/>
  <c r="W810" i="34"/>
  <c r="X810" i="34" s="1"/>
  <c r="J810" i="34"/>
  <c r="K810" i="34" s="1"/>
  <c r="CP809" i="34"/>
  <c r="CB809" i="34"/>
  <c r="BO809" i="34"/>
  <c r="BP809" i="34" s="1"/>
  <c r="AZ809" i="34"/>
  <c r="BA809" i="34" s="1"/>
  <c r="AJ809" i="34"/>
  <c r="AK809" i="34" s="1"/>
  <c r="W809" i="34"/>
  <c r="X809" i="34" s="1"/>
  <c r="J809" i="34"/>
  <c r="K809" i="34" s="1"/>
  <c r="BZ808" i="34"/>
  <c r="CB808" i="34" s="1"/>
  <c r="BW808" i="34"/>
  <c r="BM808" i="34"/>
  <c r="BO808" i="34" s="1"/>
  <c r="BP808" i="34" s="1"/>
  <c r="BH808" i="34"/>
  <c r="CP808" i="34" s="1"/>
  <c r="BD808" i="34"/>
  <c r="AZ808" i="34"/>
  <c r="BA808" i="34" s="1"/>
  <c r="AJ808" i="34"/>
  <c r="AK808" i="34" s="1"/>
  <c r="AE808" i="34"/>
  <c r="AA808" i="34"/>
  <c r="W808" i="34"/>
  <c r="X808" i="34" s="1"/>
  <c r="J808" i="34"/>
  <c r="K808" i="34" s="1"/>
  <c r="CP807" i="34"/>
  <c r="CB807" i="34"/>
  <c r="CC807" i="34" s="1"/>
  <c r="BO807" i="34"/>
  <c r="BP807" i="34" s="1"/>
  <c r="AZ807" i="34"/>
  <c r="BA807" i="34" s="1"/>
  <c r="AJ807" i="34"/>
  <c r="AK807" i="34" s="1"/>
  <c r="W807" i="34"/>
  <c r="X807" i="34" s="1"/>
  <c r="J807" i="34"/>
  <c r="K807" i="34" s="1"/>
  <c r="CP806" i="34"/>
  <c r="CB806" i="34"/>
  <c r="CF806" i="34" s="1"/>
  <c r="BO806" i="34"/>
  <c r="BP806" i="34" s="1"/>
  <c r="AZ806" i="34"/>
  <c r="BA806" i="34" s="1"/>
  <c r="AJ806" i="34"/>
  <c r="AK806" i="34" s="1"/>
  <c r="W806" i="34"/>
  <c r="X806" i="34" s="1"/>
  <c r="J806" i="34"/>
  <c r="K806" i="34" s="1"/>
  <c r="CP805" i="34"/>
  <c r="CB805" i="34"/>
  <c r="CC805" i="34" s="1"/>
  <c r="BO805" i="34"/>
  <c r="BP805" i="34" s="1"/>
  <c r="AZ805" i="34"/>
  <c r="BA805" i="34" s="1"/>
  <c r="AJ805" i="34"/>
  <c r="AK805" i="34" s="1"/>
  <c r="W805" i="34"/>
  <c r="X805" i="34" s="1"/>
  <c r="J805" i="34"/>
  <c r="K805" i="34" s="1"/>
  <c r="CP804" i="34"/>
  <c r="CB804" i="34"/>
  <c r="CF804" i="34" s="1"/>
  <c r="BO804" i="34"/>
  <c r="BP804" i="34" s="1"/>
  <c r="AZ804" i="34"/>
  <c r="BA804" i="34" s="1"/>
  <c r="AJ804" i="34"/>
  <c r="AK804" i="34" s="1"/>
  <c r="AE804" i="34"/>
  <c r="AA804" i="34"/>
  <c r="W804" i="34"/>
  <c r="X804" i="34" s="1"/>
  <c r="J804" i="34"/>
  <c r="K804" i="34" s="1"/>
  <c r="CB803" i="34"/>
  <c r="CF803" i="34" s="1"/>
  <c r="BZ803" i="34"/>
  <c r="BW803" i="34"/>
  <c r="BO803" i="34"/>
  <c r="BP803" i="34" s="1"/>
  <c r="BM803" i="34"/>
  <c r="BH803" i="34"/>
  <c r="CP803" i="34" s="1"/>
  <c r="BD803" i="34"/>
  <c r="AZ803" i="34"/>
  <c r="AX803" i="34"/>
  <c r="AU803" i="34"/>
  <c r="CP802" i="34"/>
  <c r="CB802" i="34"/>
  <c r="CF802" i="34" s="1"/>
  <c r="BZ802" i="34"/>
  <c r="BW802" i="34"/>
  <c r="BW817" i="34" s="1"/>
  <c r="BO802" i="34"/>
  <c r="BP802" i="34" s="1"/>
  <c r="AZ802" i="34"/>
  <c r="BA802" i="34" s="1"/>
  <c r="AX802" i="34"/>
  <c r="AU802" i="34"/>
  <c r="AR802" i="34"/>
  <c r="AR817" i="34" s="1"/>
  <c r="AN802" i="34"/>
  <c r="AM802" i="34"/>
  <c r="AJ802" i="34"/>
  <c r="AK802" i="34" s="1"/>
  <c r="AE802" i="34"/>
  <c r="AE817" i="34" s="1"/>
  <c r="AA802" i="34"/>
  <c r="W802" i="34"/>
  <c r="X802" i="34" s="1"/>
  <c r="J802" i="34"/>
  <c r="K802" i="34" s="1"/>
  <c r="CP801" i="34"/>
  <c r="CB801" i="34"/>
  <c r="CC801" i="34" s="1"/>
  <c r="BO801" i="34"/>
  <c r="BP801" i="34" s="1"/>
  <c r="AX801" i="34"/>
  <c r="AZ801" i="34" s="1"/>
  <c r="BA801" i="34" s="1"/>
  <c r="AU801" i="34"/>
  <c r="AJ801" i="34"/>
  <c r="AK801" i="34" s="1"/>
  <c r="W801" i="34"/>
  <c r="X801" i="34" s="1"/>
  <c r="J801" i="34"/>
  <c r="K801" i="34" s="1"/>
  <c r="CP800" i="34"/>
  <c r="CB800" i="34"/>
  <c r="BM800" i="34"/>
  <c r="BH800" i="34"/>
  <c r="BD800" i="34"/>
  <c r="AZ800" i="34"/>
  <c r="BA800" i="34" s="1"/>
  <c r="AR800" i="34"/>
  <c r="AN800" i="34"/>
  <c r="AM800" i="34"/>
  <c r="AM817" i="34" s="1"/>
  <c r="AJ800" i="34"/>
  <c r="AK800" i="34" s="1"/>
  <c r="AE800" i="34"/>
  <c r="AA800" i="34"/>
  <c r="AA817" i="34" s="1"/>
  <c r="W800" i="34"/>
  <c r="X800" i="34" s="1"/>
  <c r="J800" i="34"/>
  <c r="K800" i="34" s="1"/>
  <c r="CP799" i="34"/>
  <c r="CB799" i="34"/>
  <c r="BM799" i="34"/>
  <c r="BH799" i="34"/>
  <c r="BD799" i="34"/>
  <c r="AX799" i="34"/>
  <c r="AU799" i="34"/>
  <c r="AJ799" i="34"/>
  <c r="AK799" i="34" s="1"/>
  <c r="W799" i="34"/>
  <c r="X799" i="34" s="1"/>
  <c r="J799" i="34"/>
  <c r="K799" i="34" s="1"/>
  <c r="CP798" i="34"/>
  <c r="CB798" i="34"/>
  <c r="CC798" i="34" s="1"/>
  <c r="BO798" i="34"/>
  <c r="BP798" i="34" s="1"/>
  <c r="AZ798" i="34"/>
  <c r="BA798" i="34" s="1"/>
  <c r="AJ798" i="34"/>
  <c r="AK798" i="34" s="1"/>
  <c r="W798" i="34"/>
  <c r="X798" i="34" s="1"/>
  <c r="J798" i="34"/>
  <c r="K798" i="34" s="1"/>
  <c r="CP797" i="34"/>
  <c r="CB797" i="34"/>
  <c r="BO797" i="34"/>
  <c r="AZ797" i="34"/>
  <c r="BA797" i="34" s="1"/>
  <c r="AJ797" i="34"/>
  <c r="AK797" i="34" s="1"/>
  <c r="W797" i="34"/>
  <c r="X797" i="34" s="1"/>
  <c r="J797" i="34"/>
  <c r="CP796" i="34"/>
  <c r="CW795" i="34"/>
  <c r="CP794" i="34"/>
  <c r="CG793" i="34"/>
  <c r="CE793" i="34"/>
  <c r="CA793" i="34"/>
  <c r="BZ793" i="34"/>
  <c r="BX793" i="34"/>
  <c r="BW793" i="34"/>
  <c r="BS793" i="34"/>
  <c r="BR793" i="34"/>
  <c r="BN793" i="34"/>
  <c r="BM793" i="34"/>
  <c r="BI793" i="34"/>
  <c r="BH793" i="34"/>
  <c r="BD793" i="34"/>
  <c r="BC793" i="34"/>
  <c r="AY793" i="34"/>
  <c r="AX793" i="34"/>
  <c r="AV793" i="34"/>
  <c r="AU793" i="34"/>
  <c r="AS793" i="34"/>
  <c r="AR793" i="34"/>
  <c r="AN793" i="34"/>
  <c r="AM793" i="34"/>
  <c r="AI793" i="34"/>
  <c r="AF793" i="34"/>
  <c r="AE793" i="34"/>
  <c r="AA793" i="34"/>
  <c r="V793" i="34"/>
  <c r="U793" i="34"/>
  <c r="S793" i="34"/>
  <c r="R793" i="34"/>
  <c r="P793" i="34"/>
  <c r="N793" i="34"/>
  <c r="M793" i="34"/>
  <c r="I793" i="34"/>
  <c r="H793" i="34"/>
  <c r="CP792" i="34"/>
  <c r="CK792" i="34"/>
  <c r="CB792" i="34"/>
  <c r="CC792" i="34" s="1"/>
  <c r="BO792" i="34"/>
  <c r="BP792" i="34" s="1"/>
  <c r="AZ792" i="34"/>
  <c r="BA792" i="34" s="1"/>
  <c r="AJ792" i="34"/>
  <c r="AK792" i="34" s="1"/>
  <c r="W792" i="34"/>
  <c r="J792" i="34"/>
  <c r="K792" i="34" s="1"/>
  <c r="CP791" i="34"/>
  <c r="CB791" i="34"/>
  <c r="BO791" i="34"/>
  <c r="BP791" i="34" s="1"/>
  <c r="AZ791" i="34"/>
  <c r="BA791" i="34" s="1"/>
  <c r="AJ791" i="34"/>
  <c r="W791" i="34"/>
  <c r="Z791" i="34" s="1"/>
  <c r="J791" i="34"/>
  <c r="K791" i="34" s="1"/>
  <c r="CP790" i="34"/>
  <c r="CB790" i="34"/>
  <c r="CF790" i="34" s="1"/>
  <c r="BO790" i="34"/>
  <c r="BP790" i="34" s="1"/>
  <c r="AZ790" i="34"/>
  <c r="BA790" i="34" s="1"/>
  <c r="AJ790" i="34"/>
  <c r="AK790" i="34" s="1"/>
  <c r="W790" i="34"/>
  <c r="X790" i="34" s="1"/>
  <c r="J790" i="34"/>
  <c r="CP789" i="34"/>
  <c r="CG788" i="34"/>
  <c r="CE788" i="34"/>
  <c r="CA788" i="34"/>
  <c r="BZ788" i="34"/>
  <c r="BX788" i="34"/>
  <c r="BW788" i="34"/>
  <c r="BS788" i="34"/>
  <c r="BR788" i="34"/>
  <c r="BM788" i="34"/>
  <c r="BI788" i="34"/>
  <c r="BH788" i="34"/>
  <c r="BD788" i="34"/>
  <c r="BC788" i="34"/>
  <c r="AY788" i="34"/>
  <c r="AX788" i="34"/>
  <c r="AV788" i="34"/>
  <c r="AU788" i="34"/>
  <c r="AS788" i="34"/>
  <c r="AR788" i="34"/>
  <c r="AN788" i="34"/>
  <c r="AM788" i="34"/>
  <c r="AI788" i="34"/>
  <c r="AF788" i="34"/>
  <c r="AE788" i="34"/>
  <c r="AA788" i="34"/>
  <c r="V788" i="34"/>
  <c r="U788" i="34"/>
  <c r="S788" i="34"/>
  <c r="R788" i="34"/>
  <c r="P788" i="34"/>
  <c r="N788" i="34"/>
  <c r="M788" i="34"/>
  <c r="I788" i="34"/>
  <c r="H788" i="34"/>
  <c r="CP787" i="34"/>
  <c r="CK787" i="34"/>
  <c r="CC787" i="34"/>
  <c r="CB787" i="34"/>
  <c r="CF787" i="34" s="1"/>
  <c r="BO787" i="34"/>
  <c r="BP787" i="34" s="1"/>
  <c r="AZ787" i="34"/>
  <c r="BA787" i="34" s="1"/>
  <c r="AJ787" i="34"/>
  <c r="AK787" i="34" s="1"/>
  <c r="W787" i="34"/>
  <c r="Z787" i="34" s="1"/>
  <c r="J787" i="34"/>
  <c r="K787" i="34" s="1"/>
  <c r="CP786" i="34"/>
  <c r="CB786" i="34"/>
  <c r="CF786" i="34" s="1"/>
  <c r="BO786" i="34"/>
  <c r="BP786" i="34" s="1"/>
  <c r="AZ786" i="34"/>
  <c r="AJ786" i="34"/>
  <c r="AK786" i="34" s="1"/>
  <c r="W786" i="34"/>
  <c r="J786" i="34"/>
  <c r="K786" i="34" s="1"/>
  <c r="CP785" i="34"/>
  <c r="CB785" i="34"/>
  <c r="BO785" i="34"/>
  <c r="BP785" i="34" s="1"/>
  <c r="AZ785" i="34"/>
  <c r="BA785" i="34" s="1"/>
  <c r="AJ785" i="34"/>
  <c r="AK785" i="34" s="1"/>
  <c r="W785" i="34"/>
  <c r="J785" i="34"/>
  <c r="K785" i="34" s="1"/>
  <c r="CP784" i="34"/>
  <c r="CB784" i="34"/>
  <c r="CC784" i="34" s="1"/>
  <c r="BO784" i="34"/>
  <c r="BP784" i="34" s="1"/>
  <c r="AZ784" i="34"/>
  <c r="BA784" i="34" s="1"/>
  <c r="AJ784" i="34"/>
  <c r="AK784" i="34" s="1"/>
  <c r="W784" i="34"/>
  <c r="J784" i="34"/>
  <c r="K784" i="34" s="1"/>
  <c r="CP783" i="34"/>
  <c r="CB783" i="34"/>
  <c r="BO783" i="34"/>
  <c r="BN783" i="34"/>
  <c r="BN788" i="34" s="1"/>
  <c r="AZ783" i="34"/>
  <c r="BA783" i="34" s="1"/>
  <c r="AJ783" i="34"/>
  <c r="W783" i="34"/>
  <c r="J783" i="34"/>
  <c r="K783" i="34" s="1"/>
  <c r="CP782" i="34"/>
  <c r="CP781" i="34"/>
  <c r="CP780" i="34"/>
  <c r="CP779" i="34"/>
  <c r="AH778" i="34"/>
  <c r="CP777" i="34"/>
  <c r="CL776" i="34"/>
  <c r="CM776" i="34" s="1"/>
  <c r="CP775" i="34"/>
  <c r="CG774" i="34"/>
  <c r="CG776" i="34" s="1"/>
  <c r="CE774" i="34"/>
  <c r="CE776" i="34" s="1"/>
  <c r="CA774" i="34"/>
  <c r="CA776" i="34" s="1"/>
  <c r="BZ774" i="34"/>
  <c r="BZ776" i="34" s="1"/>
  <c r="BX774" i="34"/>
  <c r="BX776" i="34" s="1"/>
  <c r="BW774" i="34"/>
  <c r="BW776" i="34" s="1"/>
  <c r="BS774" i="34"/>
  <c r="BS776" i="34" s="1"/>
  <c r="BR774" i="34"/>
  <c r="BR776" i="34" s="1"/>
  <c r="BN774" i="34"/>
  <c r="BN776" i="34" s="1"/>
  <c r="BM774" i="34"/>
  <c r="BM776" i="34" s="1"/>
  <c r="BI774" i="34"/>
  <c r="BI776" i="34" s="1"/>
  <c r="BH774" i="34"/>
  <c r="BH776" i="34" s="1"/>
  <c r="BD774" i="34"/>
  <c r="BD776" i="34" s="1"/>
  <c r="BC774" i="34"/>
  <c r="BC776" i="34" s="1"/>
  <c r="AY774" i="34"/>
  <c r="AY776" i="34" s="1"/>
  <c r="AX774" i="34"/>
  <c r="AX776" i="34" s="1"/>
  <c r="AV774" i="34"/>
  <c r="AV776" i="34" s="1"/>
  <c r="AU774" i="34"/>
  <c r="AU776" i="34" s="1"/>
  <c r="AS774" i="34"/>
  <c r="AS776" i="34" s="1"/>
  <c r="AR774" i="34"/>
  <c r="AR776" i="34" s="1"/>
  <c r="AN774" i="34"/>
  <c r="AN776" i="34" s="1"/>
  <c r="AM774" i="34"/>
  <c r="AM776" i="34" s="1"/>
  <c r="AI774" i="34"/>
  <c r="AI776" i="34" s="1"/>
  <c r="AF774" i="34"/>
  <c r="AF776" i="34" s="1"/>
  <c r="AE774" i="34"/>
  <c r="AE776" i="34" s="1"/>
  <c r="AA774" i="34"/>
  <c r="AA776" i="34" s="1"/>
  <c r="V774" i="34"/>
  <c r="V776" i="34" s="1"/>
  <c r="U774" i="34"/>
  <c r="S774" i="34"/>
  <c r="S776" i="34" s="1"/>
  <c r="R774" i="34"/>
  <c r="R776" i="34" s="1"/>
  <c r="P774" i="34"/>
  <c r="P776" i="34" s="1"/>
  <c r="N774" i="34"/>
  <c r="N776" i="34" s="1"/>
  <c r="M774" i="34"/>
  <c r="M776" i="34" s="1"/>
  <c r="I774" i="34"/>
  <c r="I776" i="34" s="1"/>
  <c r="H774" i="34"/>
  <c r="H776" i="34" s="1"/>
  <c r="CP773" i="34"/>
  <c r="CB773" i="34"/>
  <c r="CC773" i="34" s="1"/>
  <c r="BO773" i="34"/>
  <c r="AZ773" i="34"/>
  <c r="BA773" i="34" s="1"/>
  <c r="AJ773" i="34"/>
  <c r="W773" i="34"/>
  <c r="W774" i="34" s="1"/>
  <c r="W776" i="34" s="1"/>
  <c r="J773" i="34"/>
  <c r="J774" i="34" s="1"/>
  <c r="CP772" i="34"/>
  <c r="CP771" i="34"/>
  <c r="CL770" i="34"/>
  <c r="CP769" i="34"/>
  <c r="CG768" i="34"/>
  <c r="CG770" i="34" s="1"/>
  <c r="CE768" i="34"/>
  <c r="CE770" i="34" s="1"/>
  <c r="CA768" i="34"/>
  <c r="CA770" i="34" s="1"/>
  <c r="BZ768" i="34"/>
  <c r="BZ770" i="34" s="1"/>
  <c r="BX768" i="34"/>
  <c r="BX770" i="34" s="1"/>
  <c r="BW768" i="34"/>
  <c r="BW770" i="34" s="1"/>
  <c r="BS768" i="34"/>
  <c r="BS770" i="34" s="1"/>
  <c r="BR768" i="34"/>
  <c r="BR770" i="34" s="1"/>
  <c r="BN768" i="34"/>
  <c r="BN770" i="34" s="1"/>
  <c r="BM768" i="34"/>
  <c r="BM770" i="34" s="1"/>
  <c r="BI768" i="34"/>
  <c r="BI770" i="34" s="1"/>
  <c r="BH768" i="34"/>
  <c r="BH770" i="34" s="1"/>
  <c r="BD768" i="34"/>
  <c r="BD770" i="34" s="1"/>
  <c r="BC768" i="34"/>
  <c r="BC770" i="34" s="1"/>
  <c r="AY768" i="34"/>
  <c r="AY770" i="34" s="1"/>
  <c r="AX768" i="34"/>
  <c r="AX770" i="34" s="1"/>
  <c r="AV768" i="34"/>
  <c r="AV770" i="34" s="1"/>
  <c r="AU768" i="34"/>
  <c r="AU770" i="34" s="1"/>
  <c r="AS768" i="34"/>
  <c r="AS770" i="34" s="1"/>
  <c r="AR768" i="34"/>
  <c r="AR770" i="34" s="1"/>
  <c r="AN768" i="34"/>
  <c r="AN770" i="34" s="1"/>
  <c r="AM768" i="34"/>
  <c r="AM770" i="34" s="1"/>
  <c r="AI768" i="34"/>
  <c r="AI770" i="34" s="1"/>
  <c r="AH768" i="34"/>
  <c r="AF768" i="34"/>
  <c r="AF770" i="34" s="1"/>
  <c r="AE768" i="34"/>
  <c r="AE770" i="34" s="1"/>
  <c r="AA768" i="34"/>
  <c r="AA770" i="34" s="1"/>
  <c r="V768" i="34"/>
  <c r="V770" i="34" s="1"/>
  <c r="U768" i="34"/>
  <c r="U770" i="34" s="1"/>
  <c r="S768" i="34"/>
  <c r="S770" i="34" s="1"/>
  <c r="R768" i="34"/>
  <c r="R770" i="34" s="1"/>
  <c r="P768" i="34"/>
  <c r="P770" i="34" s="1"/>
  <c r="N768" i="34"/>
  <c r="N770" i="34" s="1"/>
  <c r="M768" i="34"/>
  <c r="M770" i="34" s="1"/>
  <c r="I768" i="34"/>
  <c r="I770" i="34" s="1"/>
  <c r="H768" i="34"/>
  <c r="H770" i="34" s="1"/>
  <c r="CP767" i="34"/>
  <c r="CB767" i="34"/>
  <c r="BO767" i="34"/>
  <c r="BP767" i="34" s="1"/>
  <c r="AZ767" i="34"/>
  <c r="BA767" i="34" s="1"/>
  <c r="AJ767" i="34"/>
  <c r="AK767" i="34" s="1"/>
  <c r="W767" i="34"/>
  <c r="X767" i="34" s="1"/>
  <c r="J767" i="34"/>
  <c r="K767" i="34" s="1"/>
  <c r="CP766" i="34"/>
  <c r="CB766" i="34"/>
  <c r="CF766" i="34" s="1"/>
  <c r="BO766" i="34"/>
  <c r="BP766" i="34" s="1"/>
  <c r="AZ766" i="34"/>
  <c r="BA766" i="34" s="1"/>
  <c r="AJ766" i="34"/>
  <c r="AK766" i="34" s="1"/>
  <c r="W766" i="34"/>
  <c r="J766" i="34"/>
  <c r="K766" i="34" s="1"/>
  <c r="CP765" i="34"/>
  <c r="CB765" i="34"/>
  <c r="CC765" i="34" s="1"/>
  <c r="BO765" i="34"/>
  <c r="BP765" i="34" s="1"/>
  <c r="AZ765" i="34"/>
  <c r="BA765" i="34" s="1"/>
  <c r="AJ765" i="34"/>
  <c r="AK765" i="34" s="1"/>
  <c r="W765" i="34"/>
  <c r="Z765" i="34" s="1"/>
  <c r="J765" i="34"/>
  <c r="K765" i="34" s="1"/>
  <c r="CP764" i="34"/>
  <c r="CB764" i="34"/>
  <c r="BO764" i="34"/>
  <c r="CP763" i="34"/>
  <c r="CB763" i="34"/>
  <c r="BO763" i="34"/>
  <c r="BP763" i="34" s="1"/>
  <c r="AZ763" i="34"/>
  <c r="BA763" i="34" s="1"/>
  <c r="AJ763" i="34"/>
  <c r="AK763" i="34" s="1"/>
  <c r="W763" i="34"/>
  <c r="J763" i="34"/>
  <c r="K763" i="34" s="1"/>
  <c r="CP762" i="34"/>
  <c r="CB762" i="34"/>
  <c r="CF762" i="34" s="1"/>
  <c r="BO762" i="34"/>
  <c r="BP762" i="34" s="1"/>
  <c r="AZ762" i="34"/>
  <c r="BA762" i="34" s="1"/>
  <c r="AJ762" i="34"/>
  <c r="AK762" i="34" s="1"/>
  <c r="W762" i="34"/>
  <c r="J762" i="34"/>
  <c r="K762" i="34" s="1"/>
  <c r="CP761" i="34"/>
  <c r="CB761" i="34"/>
  <c r="CC761" i="34" s="1"/>
  <c r="BO761" i="34"/>
  <c r="AZ761" i="34"/>
  <c r="AJ761" i="34"/>
  <c r="W761" i="34"/>
  <c r="Z761" i="34" s="1"/>
  <c r="J761" i="34"/>
  <c r="K761" i="34" s="1"/>
  <c r="CP760" i="34"/>
  <c r="CP759" i="34"/>
  <c r="CL758" i="34"/>
  <c r="CP757" i="34"/>
  <c r="CG756" i="34"/>
  <c r="CE756" i="34"/>
  <c r="CA756" i="34"/>
  <c r="BZ756" i="34"/>
  <c r="BX756" i="34"/>
  <c r="BW756" i="34"/>
  <c r="BS756" i="34"/>
  <c r="BR756" i="34"/>
  <c r="BN756" i="34"/>
  <c r="BM756" i="34"/>
  <c r="BI756" i="34"/>
  <c r="BH756" i="34"/>
  <c r="BD756" i="34"/>
  <c r="BC756" i="34"/>
  <c r="AY756" i="34"/>
  <c r="AV756" i="34"/>
  <c r="AS756" i="34"/>
  <c r="AR756" i="34"/>
  <c r="AN756" i="34"/>
  <c r="AM756" i="34"/>
  <c r="AI756" i="34"/>
  <c r="AH756" i="34"/>
  <c r="AF756" i="34"/>
  <c r="AA756" i="34"/>
  <c r="Z756" i="34"/>
  <c r="V756" i="34"/>
  <c r="U756" i="34"/>
  <c r="S756" i="34"/>
  <c r="R756" i="34"/>
  <c r="P756" i="34"/>
  <c r="N756" i="34"/>
  <c r="M756" i="34"/>
  <c r="I756" i="34"/>
  <c r="H756" i="34"/>
  <c r="CP755" i="34"/>
  <c r="CB755" i="34"/>
  <c r="CF755" i="34" s="1"/>
  <c r="BO755" i="34"/>
  <c r="BP755" i="34" s="1"/>
  <c r="AZ755" i="34"/>
  <c r="BA755" i="34" s="1"/>
  <c r="AJ755" i="34"/>
  <c r="AK755" i="34" s="1"/>
  <c r="W755" i="34"/>
  <c r="X755" i="34" s="1"/>
  <c r="K755" i="34"/>
  <c r="J755" i="34"/>
  <c r="CP754" i="34"/>
  <c r="CB754" i="34"/>
  <c r="BO754" i="34"/>
  <c r="BP754" i="34" s="1"/>
  <c r="AX754" i="34"/>
  <c r="AU754" i="34"/>
  <c r="AU756" i="34" s="1"/>
  <c r="AJ754" i="34"/>
  <c r="AK754" i="34" s="1"/>
  <c r="W754" i="34"/>
  <c r="X754" i="34" s="1"/>
  <c r="J754" i="34"/>
  <c r="K754" i="34" s="1"/>
  <c r="CP753" i="34"/>
  <c r="CB753" i="34"/>
  <c r="BP753" i="34"/>
  <c r="BO753" i="34"/>
  <c r="BA753" i="34"/>
  <c r="AZ753" i="34"/>
  <c r="AK753" i="34"/>
  <c r="AJ753" i="34"/>
  <c r="W753" i="34"/>
  <c r="X753" i="34" s="1"/>
  <c r="J753" i="34"/>
  <c r="K753" i="34" s="1"/>
  <c r="CP752" i="34"/>
  <c r="CB752" i="34"/>
  <c r="BO752" i="34"/>
  <c r="BP752" i="34" s="1"/>
  <c r="AZ752" i="34"/>
  <c r="BA752" i="34" s="1"/>
  <c r="AJ752" i="34"/>
  <c r="AK752" i="34" s="1"/>
  <c r="W752" i="34"/>
  <c r="X752" i="34" s="1"/>
  <c r="J752" i="34"/>
  <c r="K752" i="34" s="1"/>
  <c r="CP751" i="34"/>
  <c r="CB751" i="34"/>
  <c r="CF751" i="34" s="1"/>
  <c r="BO751" i="34"/>
  <c r="BP751" i="34" s="1"/>
  <c r="AZ751" i="34"/>
  <c r="BA751" i="34" s="1"/>
  <c r="AJ751" i="34"/>
  <c r="AK751" i="34" s="1"/>
  <c r="W751" i="34"/>
  <c r="X751" i="34" s="1"/>
  <c r="J751" i="34"/>
  <c r="K751" i="34" s="1"/>
  <c r="CP750" i="34"/>
  <c r="CC750" i="34"/>
  <c r="CB750" i="34"/>
  <c r="CF750" i="34" s="1"/>
  <c r="BP750" i="34"/>
  <c r="BO750" i="34"/>
  <c r="BA750" i="34"/>
  <c r="AZ750" i="34"/>
  <c r="CW749" i="34"/>
  <c r="CP749" i="34"/>
  <c r="CB749" i="34"/>
  <c r="CC749" i="34" s="1"/>
  <c r="BO749" i="34"/>
  <c r="BP749" i="34" s="1"/>
  <c r="AZ749" i="34"/>
  <c r="BA749" i="34" s="1"/>
  <c r="AJ749" i="34"/>
  <c r="AK749" i="34" s="1"/>
  <c r="AE749" i="34"/>
  <c r="AE756" i="34" s="1"/>
  <c r="AA749" i="34"/>
  <c r="X749" i="34"/>
  <c r="W749" i="34"/>
  <c r="K749" i="34"/>
  <c r="J749" i="34"/>
  <c r="CP748" i="34"/>
  <c r="CB748" i="34"/>
  <c r="CF748" i="34" s="1"/>
  <c r="BO748" i="34"/>
  <c r="AZ748" i="34"/>
  <c r="BA748" i="34" s="1"/>
  <c r="AK748" i="34"/>
  <c r="AJ748" i="34"/>
  <c r="CP747" i="34"/>
  <c r="CB747" i="34"/>
  <c r="BO747" i="34"/>
  <c r="BP747" i="34" s="1"/>
  <c r="AZ747" i="34"/>
  <c r="BA747" i="34" s="1"/>
  <c r="AK747" i="34"/>
  <c r="AJ747" i="34"/>
  <c r="CP746" i="34"/>
  <c r="CP744" i="34"/>
  <c r="CG743" i="34"/>
  <c r="CE743" i="34"/>
  <c r="CA743" i="34"/>
  <c r="BZ743" i="34"/>
  <c r="BX743" i="34"/>
  <c r="BW743" i="34"/>
  <c r="BS743" i="34"/>
  <c r="BR743" i="34"/>
  <c r="BN743" i="34"/>
  <c r="BM743" i="34"/>
  <c r="BI743" i="34"/>
  <c r="BH743" i="34"/>
  <c r="BD743" i="34"/>
  <c r="BC743" i="34"/>
  <c r="AY743" i="34"/>
  <c r="AX743" i="34"/>
  <c r="AV743" i="34"/>
  <c r="AU743" i="34"/>
  <c r="AS743" i="34"/>
  <c r="AI743" i="34"/>
  <c r="AH743" i="34"/>
  <c r="AF743" i="34"/>
  <c r="AE743" i="34"/>
  <c r="AA743" i="34"/>
  <c r="Z743" i="34"/>
  <c r="V743" i="34"/>
  <c r="S743" i="34"/>
  <c r="P743" i="34"/>
  <c r="M743" i="34"/>
  <c r="I743" i="34"/>
  <c r="H743" i="34"/>
  <c r="CP742" i="34"/>
  <c r="CK742" i="34"/>
  <c r="CB742" i="34"/>
  <c r="CF742" i="34" s="1"/>
  <c r="BN742" i="34"/>
  <c r="BO742" i="34" s="1"/>
  <c r="BP742" i="34" s="1"/>
  <c r="AZ742" i="34"/>
  <c r="BA742" i="34" s="1"/>
  <c r="AJ742" i="34"/>
  <c r="AK742" i="34" s="1"/>
  <c r="W742" i="34"/>
  <c r="X742" i="34" s="1"/>
  <c r="K742" i="34"/>
  <c r="J742" i="34"/>
  <c r="CP741" i="34"/>
  <c r="CB741" i="34"/>
  <c r="BO741" i="34"/>
  <c r="BP741" i="34" s="1"/>
  <c r="AZ741" i="34"/>
  <c r="BA741" i="34" s="1"/>
  <c r="AR741" i="34"/>
  <c r="AR743" i="34" s="1"/>
  <c r="AN741" i="34"/>
  <c r="AN743" i="34" s="1"/>
  <c r="AM741" i="34"/>
  <c r="AM743" i="34" s="1"/>
  <c r="AJ741" i="34"/>
  <c r="AK741" i="34" s="1"/>
  <c r="W741" i="34"/>
  <c r="X741" i="34" s="1"/>
  <c r="J741" i="34"/>
  <c r="K741" i="34" s="1"/>
  <c r="CP740" i="34"/>
  <c r="CB740" i="34"/>
  <c r="CF740" i="34" s="1"/>
  <c r="BO740" i="34"/>
  <c r="BP740" i="34" s="1"/>
  <c r="AZ740" i="34"/>
  <c r="AJ740" i="34"/>
  <c r="U740" i="34"/>
  <c r="R740" i="34"/>
  <c r="R743" i="34" s="1"/>
  <c r="N740" i="34"/>
  <c r="N743" i="34" s="1"/>
  <c r="J740" i="34"/>
  <c r="K740" i="34" s="1"/>
  <c r="CP739" i="34"/>
  <c r="AC739" i="34"/>
  <c r="CG738" i="34"/>
  <c r="CE738" i="34"/>
  <c r="CA738" i="34"/>
  <c r="BZ738" i="34"/>
  <c r="BX738" i="34"/>
  <c r="BW738" i="34"/>
  <c r="BS738" i="34"/>
  <c r="BR738" i="34"/>
  <c r="BN738" i="34"/>
  <c r="BM738" i="34"/>
  <c r="BI738" i="34"/>
  <c r="BH738" i="34"/>
  <c r="BD738" i="34"/>
  <c r="BC738" i="34"/>
  <c r="AY738" i="34"/>
  <c r="AX738" i="34"/>
  <c r="AV738" i="34"/>
  <c r="AU738" i="34"/>
  <c r="AS738" i="34"/>
  <c r="AR738" i="34"/>
  <c r="AN738" i="34"/>
  <c r="AM738" i="34"/>
  <c r="AI738" i="34"/>
  <c r="AI745" i="34" s="1"/>
  <c r="AF738" i="34"/>
  <c r="AE738" i="34"/>
  <c r="AA738" i="34"/>
  <c r="Z738" i="34"/>
  <c r="V738" i="34"/>
  <c r="S738" i="34"/>
  <c r="P738" i="34"/>
  <c r="M738" i="34"/>
  <c r="I738" i="34"/>
  <c r="H738" i="34"/>
  <c r="CP737" i="34"/>
  <c r="CB737" i="34"/>
  <c r="CB738" i="34" s="1"/>
  <c r="BO737" i="34"/>
  <c r="AZ737" i="34"/>
  <c r="AJ737" i="34"/>
  <c r="U737" i="34"/>
  <c r="R737" i="34"/>
  <c r="R738" i="34" s="1"/>
  <c r="N737" i="34"/>
  <c r="N738" i="34" s="1"/>
  <c r="J737" i="34"/>
  <c r="K737" i="34" s="1"/>
  <c r="CP736" i="34"/>
  <c r="CP735" i="34"/>
  <c r="CL734" i="34"/>
  <c r="CP733" i="34"/>
  <c r="CG732" i="34"/>
  <c r="CE732" i="34"/>
  <c r="CA732" i="34"/>
  <c r="BZ732" i="34"/>
  <c r="BX732" i="34"/>
  <c r="BW732" i="34"/>
  <c r="BS732" i="34"/>
  <c r="BR732" i="34"/>
  <c r="BN732" i="34"/>
  <c r="BI732" i="34"/>
  <c r="BD732" i="34"/>
  <c r="BC732" i="34"/>
  <c r="AY732" i="34"/>
  <c r="AX732" i="34"/>
  <c r="AV732" i="34"/>
  <c r="AS732" i="34"/>
  <c r="AR732" i="34"/>
  <c r="AN732" i="34"/>
  <c r="AM732" i="34"/>
  <c r="AI732" i="34"/>
  <c r="AH732" i="34"/>
  <c r="AF732" i="34"/>
  <c r="AE732" i="34"/>
  <c r="AA732" i="34"/>
  <c r="Z732" i="34"/>
  <c r="V732" i="34"/>
  <c r="U732" i="34"/>
  <c r="S732" i="34"/>
  <c r="R732" i="34"/>
  <c r="P732" i="34"/>
  <c r="N732" i="34"/>
  <c r="M732" i="34"/>
  <c r="I732" i="34"/>
  <c r="H732" i="34"/>
  <c r="CP731" i="34"/>
  <c r="CB731" i="34"/>
  <c r="CC731" i="34" s="1"/>
  <c r="BO731" i="34"/>
  <c r="BP731" i="34" s="1"/>
  <c r="AZ731" i="34"/>
  <c r="BA731" i="34" s="1"/>
  <c r="AJ731" i="34"/>
  <c r="AK731" i="34" s="1"/>
  <c r="W731" i="34"/>
  <c r="X731" i="34" s="1"/>
  <c r="J731" i="34"/>
  <c r="K731" i="34" s="1"/>
  <c r="CP730" i="34"/>
  <c r="CB730" i="34"/>
  <c r="CC730" i="34" s="1"/>
  <c r="BO730" i="34"/>
  <c r="BP730" i="34" s="1"/>
  <c r="AZ730" i="34"/>
  <c r="BA730" i="34" s="1"/>
  <c r="AJ730" i="34"/>
  <c r="AK730" i="34" s="1"/>
  <c r="W730" i="34"/>
  <c r="X730" i="34" s="1"/>
  <c r="J730" i="34"/>
  <c r="K730" i="34" s="1"/>
  <c r="CP729" i="34"/>
  <c r="CB729" i="34"/>
  <c r="BO729" i="34"/>
  <c r="BP729" i="34" s="1"/>
  <c r="AZ729" i="34"/>
  <c r="BA729" i="34" s="1"/>
  <c r="AJ729" i="34"/>
  <c r="AK729" i="34" s="1"/>
  <c r="W729" i="34"/>
  <c r="X729" i="34" s="1"/>
  <c r="J729" i="34"/>
  <c r="K729" i="34" s="1"/>
  <c r="CP728" i="34"/>
  <c r="CB728" i="34"/>
  <c r="CF728" i="34" s="1"/>
  <c r="BO728" i="34"/>
  <c r="BP728" i="34" s="1"/>
  <c r="AZ728" i="34"/>
  <c r="BA728" i="34" s="1"/>
  <c r="AJ728" i="34"/>
  <c r="AK728" i="34" s="1"/>
  <c r="W728" i="34"/>
  <c r="X728" i="34" s="1"/>
  <c r="J728" i="34"/>
  <c r="K728" i="34" s="1"/>
  <c r="CP727" i="34"/>
  <c r="CB727" i="34"/>
  <c r="CC727" i="34" s="1"/>
  <c r="BO727" i="34"/>
  <c r="BP727" i="34" s="1"/>
  <c r="AZ727" i="34"/>
  <c r="BA727" i="34" s="1"/>
  <c r="AJ727" i="34"/>
  <c r="AK727" i="34" s="1"/>
  <c r="W727" i="34"/>
  <c r="X727" i="34" s="1"/>
  <c r="J727" i="34"/>
  <c r="K727" i="34" s="1"/>
  <c r="CP726" i="34"/>
  <c r="CB726" i="34"/>
  <c r="CC726" i="34" s="1"/>
  <c r="BO726" i="34"/>
  <c r="BP726" i="34" s="1"/>
  <c r="AZ726" i="34"/>
  <c r="BA726" i="34" s="1"/>
  <c r="AJ726" i="34"/>
  <c r="AK726" i="34" s="1"/>
  <c r="W726" i="34"/>
  <c r="X726" i="34" s="1"/>
  <c r="J726" i="34"/>
  <c r="K726" i="34" s="1"/>
  <c r="CP725" i="34"/>
  <c r="CB725" i="34"/>
  <c r="BO725" i="34"/>
  <c r="BP725" i="34" s="1"/>
  <c r="AZ725" i="34"/>
  <c r="BA725" i="34" s="1"/>
  <c r="AJ725" i="34"/>
  <c r="AK725" i="34" s="1"/>
  <c r="W725" i="34"/>
  <c r="X725" i="34" s="1"/>
  <c r="J725" i="34"/>
  <c r="K725" i="34" s="1"/>
  <c r="CP724" i="34"/>
  <c r="CB724" i="34"/>
  <c r="CF724" i="34" s="1"/>
  <c r="BO724" i="34"/>
  <c r="BP724" i="34" s="1"/>
  <c r="AZ724" i="34"/>
  <c r="BA724" i="34" s="1"/>
  <c r="AJ724" i="34"/>
  <c r="AK724" i="34" s="1"/>
  <c r="W724" i="34"/>
  <c r="X724" i="34" s="1"/>
  <c r="J724" i="34"/>
  <c r="K724" i="34" s="1"/>
  <c r="CP723" i="34"/>
  <c r="CB723" i="34"/>
  <c r="CF723" i="34" s="1"/>
  <c r="BO723" i="34"/>
  <c r="BP723" i="34" s="1"/>
  <c r="AZ723" i="34"/>
  <c r="BA723" i="34" s="1"/>
  <c r="AJ723" i="34"/>
  <c r="AK723" i="34" s="1"/>
  <c r="W723" i="34"/>
  <c r="X723" i="34" s="1"/>
  <c r="J723" i="34"/>
  <c r="K723" i="34" s="1"/>
  <c r="CB722" i="34"/>
  <c r="CC722" i="34" s="1"/>
  <c r="BM722" i="34"/>
  <c r="BH722" i="34"/>
  <c r="CP722" i="34" s="1"/>
  <c r="BD722" i="34"/>
  <c r="AZ722" i="34"/>
  <c r="BA722" i="34" s="1"/>
  <c r="CP721" i="34"/>
  <c r="CB721" i="34"/>
  <c r="CF721" i="34" s="1"/>
  <c r="BO721" i="34"/>
  <c r="BP721" i="34" s="1"/>
  <c r="AZ721" i="34"/>
  <c r="BA721" i="34" s="1"/>
  <c r="AJ721" i="34"/>
  <c r="AK721" i="34" s="1"/>
  <c r="W721" i="34"/>
  <c r="X721" i="34" s="1"/>
  <c r="J721" i="34"/>
  <c r="K721" i="34" s="1"/>
  <c r="CP720" i="34"/>
  <c r="CB720" i="34"/>
  <c r="CF720" i="34" s="1"/>
  <c r="BO720" i="34"/>
  <c r="BP720" i="34" s="1"/>
  <c r="BA720" i="34"/>
  <c r="AZ720" i="34"/>
  <c r="CP719" i="34"/>
  <c r="CB719" i="34"/>
  <c r="CC719" i="34" s="1"/>
  <c r="BM719" i="34"/>
  <c r="BH719" i="34"/>
  <c r="BH732" i="34" s="1"/>
  <c r="BD719" i="34"/>
  <c r="AZ719" i="34"/>
  <c r="BA719" i="34" s="1"/>
  <c r="AX719" i="34"/>
  <c r="AU719" i="34"/>
  <c r="AU732" i="34" s="1"/>
  <c r="AJ719" i="34"/>
  <c r="W719" i="34"/>
  <c r="J719" i="34"/>
  <c r="K719" i="34" s="1"/>
  <c r="CP718" i="34"/>
  <c r="CP716" i="34"/>
  <c r="CG715" i="34"/>
  <c r="CE715" i="34"/>
  <c r="CA715" i="34"/>
  <c r="BZ715" i="34"/>
  <c r="BX715" i="34"/>
  <c r="BW715" i="34"/>
  <c r="BS715" i="34"/>
  <c r="BR715" i="34"/>
  <c r="BN715" i="34"/>
  <c r="BM715" i="34"/>
  <c r="BI715" i="34"/>
  <c r="BH715" i="34"/>
  <c r="BD715" i="34"/>
  <c r="BC715" i="34"/>
  <c r="AY715" i="34"/>
  <c r="AX715" i="34"/>
  <c r="AV715" i="34"/>
  <c r="AU715" i="34"/>
  <c r="AS715" i="34"/>
  <c r="AR715" i="34"/>
  <c r="AN715" i="34"/>
  <c r="AM715" i="34"/>
  <c r="AI715" i="34"/>
  <c r="AF715" i="34"/>
  <c r="AE715" i="34"/>
  <c r="AA715" i="34"/>
  <c r="Z715" i="34"/>
  <c r="V715" i="34"/>
  <c r="U715" i="34"/>
  <c r="S715" i="34"/>
  <c r="R715" i="34"/>
  <c r="P715" i="34"/>
  <c r="N715" i="34"/>
  <c r="M715" i="34"/>
  <c r="I715" i="34"/>
  <c r="H715" i="34"/>
  <c r="CP714" i="34"/>
  <c r="CK714" i="34"/>
  <c r="CP713" i="34"/>
  <c r="CB713" i="34"/>
  <c r="CF713" i="34" s="1"/>
  <c r="BO713" i="34"/>
  <c r="BP713" i="34" s="1"/>
  <c r="BA713" i="34"/>
  <c r="AZ713" i="34"/>
  <c r="AK713" i="34"/>
  <c r="AJ713" i="34"/>
  <c r="W713" i="34"/>
  <c r="X713" i="34" s="1"/>
  <c r="J713" i="34"/>
  <c r="K713" i="34" s="1"/>
  <c r="CP712" i="34"/>
  <c r="CC712" i="34"/>
  <c r="CB712" i="34"/>
  <c r="CF712" i="34" s="1"/>
  <c r="BP712" i="34"/>
  <c r="BO712" i="34"/>
  <c r="BA712" i="34"/>
  <c r="AZ712" i="34"/>
  <c r="AK712" i="34"/>
  <c r="AJ712" i="34"/>
  <c r="X712" i="34"/>
  <c r="W712" i="34"/>
  <c r="J712" i="34"/>
  <c r="K712" i="34" s="1"/>
  <c r="CB711" i="34"/>
  <c r="CC711" i="34" s="1"/>
  <c r="BM711" i="34"/>
  <c r="BH711" i="34"/>
  <c r="CP711" i="34" s="1"/>
  <c r="BD711" i="34"/>
  <c r="AZ711" i="34"/>
  <c r="BA711" i="34" s="1"/>
  <c r="AJ711" i="34"/>
  <c r="AK711" i="34" s="1"/>
  <c r="W711" i="34"/>
  <c r="X711" i="34" s="1"/>
  <c r="J711" i="34"/>
  <c r="K711" i="34" s="1"/>
  <c r="CP710" i="34"/>
  <c r="CG709" i="34"/>
  <c r="CE709" i="34"/>
  <c r="CA709" i="34"/>
  <c r="BZ709" i="34"/>
  <c r="BX709" i="34"/>
  <c r="BW709" i="34"/>
  <c r="BS709" i="34"/>
  <c r="BR709" i="34"/>
  <c r="BN709" i="34"/>
  <c r="BM709" i="34"/>
  <c r="BI709" i="34"/>
  <c r="BH709" i="34"/>
  <c r="BD709" i="34"/>
  <c r="BC709" i="34"/>
  <c r="AY709" i="34"/>
  <c r="AX709" i="34"/>
  <c r="AV709" i="34"/>
  <c r="AU709" i="34"/>
  <c r="AS709" i="34"/>
  <c r="AR709" i="34"/>
  <c r="AN709" i="34"/>
  <c r="AM709" i="34"/>
  <c r="AI709" i="34"/>
  <c r="AF709" i="34"/>
  <c r="AE709" i="34"/>
  <c r="AA709" i="34"/>
  <c r="Z709" i="34"/>
  <c r="V709" i="34"/>
  <c r="U709" i="34"/>
  <c r="S709" i="34"/>
  <c r="R709" i="34"/>
  <c r="P709" i="34"/>
  <c r="N709" i="34"/>
  <c r="M709" i="34"/>
  <c r="I709" i="34"/>
  <c r="H709" i="34"/>
  <c r="CP708" i="34"/>
  <c r="CK708" i="34"/>
  <c r="CC708" i="34"/>
  <c r="CB708" i="34"/>
  <c r="BP708" i="34"/>
  <c r="BO708" i="34"/>
  <c r="BA708" i="34"/>
  <c r="AZ708" i="34"/>
  <c r="AJ708" i="34"/>
  <c r="AK708" i="34" s="1"/>
  <c r="W708" i="34"/>
  <c r="X708" i="34" s="1"/>
  <c r="K708" i="34"/>
  <c r="J708" i="34"/>
  <c r="CP707" i="34"/>
  <c r="CB707" i="34"/>
  <c r="CF707" i="34" s="1"/>
  <c r="BO707" i="34"/>
  <c r="AZ707" i="34"/>
  <c r="AJ707" i="34"/>
  <c r="W707" i="34"/>
  <c r="X707" i="34" s="1"/>
  <c r="J707" i="34"/>
  <c r="K707" i="34" s="1"/>
  <c r="CP706" i="34"/>
  <c r="CP705" i="34"/>
  <c r="CP704" i="34"/>
  <c r="CP702" i="34"/>
  <c r="CL701" i="34"/>
  <c r="CM701" i="34" s="1"/>
  <c r="CP700" i="34"/>
  <c r="CG699" i="34"/>
  <c r="CG701" i="34" s="1"/>
  <c r="CE699" i="34"/>
  <c r="CE701" i="34" s="1"/>
  <c r="CA699" i="34"/>
  <c r="CA701" i="34" s="1"/>
  <c r="BZ699" i="34"/>
  <c r="BZ701" i="34" s="1"/>
  <c r="BX699" i="34"/>
  <c r="BX701" i="34" s="1"/>
  <c r="BW699" i="34"/>
  <c r="BW701" i="34" s="1"/>
  <c r="BS699" i="34"/>
  <c r="BS701" i="34" s="1"/>
  <c r="BR699" i="34"/>
  <c r="BR701" i="34" s="1"/>
  <c r="BN699" i="34"/>
  <c r="BN701" i="34" s="1"/>
  <c r="BM699" i="34"/>
  <c r="BM701" i="34" s="1"/>
  <c r="BI699" i="34"/>
  <c r="BH699" i="34"/>
  <c r="BH701" i="34" s="1"/>
  <c r="BD699" i="34"/>
  <c r="BD701" i="34" s="1"/>
  <c r="BC699" i="34"/>
  <c r="BC701" i="34" s="1"/>
  <c r="AY699" i="34"/>
  <c r="AY701" i="34" s="1"/>
  <c r="AV699" i="34"/>
  <c r="AV701" i="34" s="1"/>
  <c r="AU699" i="34"/>
  <c r="AU701" i="34" s="1"/>
  <c r="AS699" i="34"/>
  <c r="AS701" i="34" s="1"/>
  <c r="AR699" i="34"/>
  <c r="AR701" i="34" s="1"/>
  <c r="AN699" i="34"/>
  <c r="AN701" i="34" s="1"/>
  <c r="AM699" i="34"/>
  <c r="AM701" i="34" s="1"/>
  <c r="AI699" i="34"/>
  <c r="AI701" i="34" s="1"/>
  <c r="AF699" i="34"/>
  <c r="AF701" i="34" s="1"/>
  <c r="AE699" i="34"/>
  <c r="AE701" i="34" s="1"/>
  <c r="AA699" i="34"/>
  <c r="AA701" i="34" s="1"/>
  <c r="Z699" i="34"/>
  <c r="Z701" i="34" s="1"/>
  <c r="V699" i="34"/>
  <c r="V701" i="34" s="1"/>
  <c r="U699" i="34"/>
  <c r="S699" i="34"/>
  <c r="S701" i="34" s="1"/>
  <c r="R699" i="34"/>
  <c r="R701" i="34" s="1"/>
  <c r="P699" i="34"/>
  <c r="P701" i="34" s="1"/>
  <c r="N699" i="34"/>
  <c r="N701" i="34" s="1"/>
  <c r="M699" i="34"/>
  <c r="M701" i="34" s="1"/>
  <c r="I699" i="34"/>
  <c r="I701" i="34" s="1"/>
  <c r="H699" i="34"/>
  <c r="H701" i="34" s="1"/>
  <c r="K701" i="34" s="1"/>
  <c r="CP698" i="34"/>
  <c r="CB698" i="34"/>
  <c r="CF698" i="34" s="1"/>
  <c r="BO698" i="34"/>
  <c r="BP698" i="34" s="1"/>
  <c r="AZ698" i="34"/>
  <c r="CP697" i="34"/>
  <c r="CC697" i="34"/>
  <c r="CB697" i="34"/>
  <c r="CF697" i="34" s="1"/>
  <c r="BP697" i="34"/>
  <c r="BO697" i="34"/>
  <c r="AZ697" i="34"/>
  <c r="CP696" i="34"/>
  <c r="CC696" i="34"/>
  <c r="CB696" i="34"/>
  <c r="CF696" i="34" s="1"/>
  <c r="BP696" i="34"/>
  <c r="BO696" i="34"/>
  <c r="CP695" i="34"/>
  <c r="CB695" i="34"/>
  <c r="CC695" i="34" s="1"/>
  <c r="BO695" i="34"/>
  <c r="BP695" i="34" s="1"/>
  <c r="AX695" i="34"/>
  <c r="AU695" i="34"/>
  <c r="AJ695" i="34"/>
  <c r="AJ699" i="34" s="1"/>
  <c r="X695" i="34"/>
  <c r="W695" i="34"/>
  <c r="W699" i="34" s="1"/>
  <c r="W701" i="34" s="1"/>
  <c r="K695" i="34"/>
  <c r="J695" i="34"/>
  <c r="J699" i="34" s="1"/>
  <c r="J701" i="34" s="1"/>
  <c r="CP694" i="34"/>
  <c r="CP693" i="34"/>
  <c r="CL692" i="34"/>
  <c r="CP691" i="34"/>
  <c r="CE690" i="34"/>
  <c r="CA690" i="34"/>
  <c r="BZ690" i="34"/>
  <c r="BX690" i="34"/>
  <c r="BW690" i="34"/>
  <c r="BS690" i="34"/>
  <c r="BR690" i="34"/>
  <c r="BN690" i="34"/>
  <c r="BI690" i="34"/>
  <c r="BC690" i="34"/>
  <c r="AY690" i="34"/>
  <c r="AX690" i="34"/>
  <c r="AV690" i="34"/>
  <c r="AU690" i="34"/>
  <c r="AS690" i="34"/>
  <c r="AR690" i="34"/>
  <c r="AN690" i="34"/>
  <c r="AM690" i="34"/>
  <c r="AI690" i="34"/>
  <c r="AH690" i="34"/>
  <c r="AF690" i="34"/>
  <c r="AE690" i="34"/>
  <c r="AA690" i="34"/>
  <c r="Z690" i="34"/>
  <c r="V690" i="34"/>
  <c r="U690" i="34"/>
  <c r="S690" i="34"/>
  <c r="R690" i="34"/>
  <c r="P690" i="34"/>
  <c r="N690" i="34"/>
  <c r="M690" i="34"/>
  <c r="I690" i="34"/>
  <c r="H690" i="34"/>
  <c r="CP689" i="34"/>
  <c r="CC689" i="34"/>
  <c r="CB689" i="34"/>
  <c r="CF689" i="34" s="1"/>
  <c r="BP689" i="34"/>
  <c r="BO689" i="34"/>
  <c r="AZ689" i="34"/>
  <c r="BA689" i="34" s="1"/>
  <c r="AJ689" i="34"/>
  <c r="AK689" i="34" s="1"/>
  <c r="W689" i="34"/>
  <c r="X689" i="34" s="1"/>
  <c r="J689" i="34"/>
  <c r="K689" i="34" s="1"/>
  <c r="CP688" i="34"/>
  <c r="CB688" i="34"/>
  <c r="BO688" i="34"/>
  <c r="BP688" i="34" s="1"/>
  <c r="AZ688" i="34"/>
  <c r="BA688" i="34" s="1"/>
  <c r="AJ688" i="34"/>
  <c r="AK688" i="34" s="1"/>
  <c r="W688" i="34"/>
  <c r="X688" i="34" s="1"/>
  <c r="J688" i="34"/>
  <c r="K688" i="34" s="1"/>
  <c r="CP687" i="34"/>
  <c r="CB687" i="34"/>
  <c r="CC687" i="34" s="1"/>
  <c r="BO687" i="34"/>
  <c r="BP687" i="34" s="1"/>
  <c r="AZ687" i="34"/>
  <c r="BA687" i="34" s="1"/>
  <c r="CP686" i="34"/>
  <c r="CB686" i="34"/>
  <c r="CC686" i="34" s="1"/>
  <c r="BO686" i="34"/>
  <c r="BP686" i="34" s="1"/>
  <c r="AZ686" i="34"/>
  <c r="BA686" i="34" s="1"/>
  <c r="AJ686" i="34"/>
  <c r="AK686" i="34" s="1"/>
  <c r="W686" i="34"/>
  <c r="X686" i="34" s="1"/>
  <c r="J686" i="34"/>
  <c r="K686" i="34" s="1"/>
  <c r="CP685" i="34"/>
  <c r="CB685" i="34"/>
  <c r="CC685" i="34" s="1"/>
  <c r="BO685" i="34"/>
  <c r="BP685" i="34" s="1"/>
  <c r="AZ685" i="34"/>
  <c r="BA685" i="34" s="1"/>
  <c r="AJ685" i="34"/>
  <c r="AK685" i="34" s="1"/>
  <c r="W685" i="34"/>
  <c r="X685" i="34" s="1"/>
  <c r="J685" i="34"/>
  <c r="K685" i="34" s="1"/>
  <c r="CP684" i="34"/>
  <c r="CC684" i="34"/>
  <c r="CB684" i="34"/>
  <c r="CF684" i="34" s="1"/>
  <c r="BP684" i="34"/>
  <c r="BO684" i="34"/>
  <c r="AZ684" i="34"/>
  <c r="BA684" i="34" s="1"/>
  <c r="AJ684" i="34"/>
  <c r="AK684" i="34" s="1"/>
  <c r="W684" i="34"/>
  <c r="X684" i="34" s="1"/>
  <c r="J684" i="34"/>
  <c r="K684" i="34" s="1"/>
  <c r="CP683" i="34"/>
  <c r="CC683" i="34"/>
  <c r="CB683" i="34"/>
  <c r="CF683" i="34" s="1"/>
  <c r="BO683" i="34"/>
  <c r="BP683" i="34" s="1"/>
  <c r="AZ683" i="34"/>
  <c r="BA683" i="34" s="1"/>
  <c r="AJ683" i="34"/>
  <c r="AK683" i="34" s="1"/>
  <c r="W683" i="34"/>
  <c r="X683" i="34" s="1"/>
  <c r="J683" i="34"/>
  <c r="K683" i="34" s="1"/>
  <c r="CP682" i="34"/>
  <c r="CB682" i="34"/>
  <c r="BO682" i="34"/>
  <c r="BP682" i="34" s="1"/>
  <c r="AZ682" i="34"/>
  <c r="BA682" i="34" s="1"/>
  <c r="AJ682" i="34"/>
  <c r="AK682" i="34" s="1"/>
  <c r="W682" i="34"/>
  <c r="X682" i="34" s="1"/>
  <c r="J682" i="34"/>
  <c r="K682" i="34" s="1"/>
  <c r="CP681" i="34"/>
  <c r="CB681" i="34"/>
  <c r="CC681" i="34" s="1"/>
  <c r="BO681" i="34"/>
  <c r="BP681" i="34" s="1"/>
  <c r="AZ681" i="34"/>
  <c r="BA681" i="34" s="1"/>
  <c r="AJ681" i="34"/>
  <c r="AK681" i="34" s="1"/>
  <c r="W681" i="34"/>
  <c r="X681" i="34" s="1"/>
  <c r="J681" i="34"/>
  <c r="K681" i="34" s="1"/>
  <c r="CP680" i="34"/>
  <c r="CB680" i="34"/>
  <c r="CC680" i="34" s="1"/>
  <c r="BO680" i="34"/>
  <c r="BP680" i="34" s="1"/>
  <c r="AZ680" i="34"/>
  <c r="BA680" i="34" s="1"/>
  <c r="AJ680" i="34"/>
  <c r="AK680" i="34" s="1"/>
  <c r="AE680" i="34"/>
  <c r="AA680" i="34"/>
  <c r="W680" i="34"/>
  <c r="X680" i="34" s="1"/>
  <c r="J680" i="34"/>
  <c r="K680" i="34" s="1"/>
  <c r="CP679" i="34"/>
  <c r="CB679" i="34"/>
  <c r="CC679" i="34" s="1"/>
  <c r="BO679" i="34"/>
  <c r="BP679" i="34" s="1"/>
  <c r="AZ679" i="34"/>
  <c r="BA679" i="34" s="1"/>
  <c r="AJ679" i="34"/>
  <c r="AK679" i="34" s="1"/>
  <c r="W679" i="34"/>
  <c r="X679" i="34" s="1"/>
  <c r="J679" i="34"/>
  <c r="K679" i="34" s="1"/>
  <c r="CP678" i="34"/>
  <c r="CB678" i="34"/>
  <c r="CF678" i="34" s="1"/>
  <c r="BO678" i="34"/>
  <c r="BP678" i="34" s="1"/>
  <c r="AZ678" i="34"/>
  <c r="BA678" i="34" s="1"/>
  <c r="AJ678" i="34"/>
  <c r="AK678" i="34" s="1"/>
  <c r="W678" i="34"/>
  <c r="X678" i="34" s="1"/>
  <c r="J678" i="34"/>
  <c r="K678" i="34" s="1"/>
  <c r="CP677" i="34"/>
  <c r="CB677" i="34"/>
  <c r="CF677" i="34" s="1"/>
  <c r="BO677" i="34"/>
  <c r="BP677" i="34" s="1"/>
  <c r="AZ677" i="34"/>
  <c r="BA677" i="34" s="1"/>
  <c r="AJ677" i="34"/>
  <c r="AK677" i="34" s="1"/>
  <c r="W677" i="34"/>
  <c r="X677" i="34" s="1"/>
  <c r="J677" i="34"/>
  <c r="K677" i="34" s="1"/>
  <c r="CP676" i="34"/>
  <c r="CB676" i="34"/>
  <c r="CF676" i="34" s="1"/>
  <c r="BO676" i="34"/>
  <c r="BP676" i="34" s="1"/>
  <c r="AZ676" i="34"/>
  <c r="BA676" i="34" s="1"/>
  <c r="AJ676" i="34"/>
  <c r="AK676" i="34" s="1"/>
  <c r="W676" i="34"/>
  <c r="X676" i="34" s="1"/>
  <c r="J676" i="34"/>
  <c r="K676" i="34" s="1"/>
  <c r="CP675" i="34"/>
  <c r="CB675" i="34"/>
  <c r="CP674" i="34"/>
  <c r="CB674" i="34"/>
  <c r="CC674" i="34" s="1"/>
  <c r="BO674" i="34"/>
  <c r="BP674" i="34" s="1"/>
  <c r="AZ674" i="34"/>
  <c r="BA674" i="34" s="1"/>
  <c r="AJ674" i="34"/>
  <c r="AK674" i="34" s="1"/>
  <c r="W674" i="34"/>
  <c r="X674" i="34" s="1"/>
  <c r="J674" i="34"/>
  <c r="K674" i="34" s="1"/>
  <c r="CP673" i="34"/>
  <c r="CB673" i="34"/>
  <c r="BO673" i="34"/>
  <c r="BP673" i="34" s="1"/>
  <c r="AZ673" i="34"/>
  <c r="BA673" i="34" s="1"/>
  <c r="AJ673" i="34"/>
  <c r="AK673" i="34" s="1"/>
  <c r="W673" i="34"/>
  <c r="X673" i="34" s="1"/>
  <c r="J673" i="34"/>
  <c r="K673" i="34" s="1"/>
  <c r="CP672" i="34"/>
  <c r="CB672" i="34"/>
  <c r="CF672" i="34" s="1"/>
  <c r="BO672" i="34"/>
  <c r="BP672" i="34" s="1"/>
  <c r="AZ672" i="34"/>
  <c r="BA672" i="34" s="1"/>
  <c r="AJ672" i="34"/>
  <c r="AK672" i="34" s="1"/>
  <c r="W672" i="34"/>
  <c r="X672" i="34" s="1"/>
  <c r="J672" i="34"/>
  <c r="K672" i="34" s="1"/>
  <c r="CP671" i="34"/>
  <c r="CB671" i="34"/>
  <c r="CC671" i="34" s="1"/>
  <c r="BP671" i="34"/>
  <c r="BO671" i="34"/>
  <c r="BA671" i="34"/>
  <c r="AZ671" i="34"/>
  <c r="AK671" i="34"/>
  <c r="AJ671" i="34"/>
  <c r="X671" i="34"/>
  <c r="W671" i="34"/>
  <c r="K671" i="34"/>
  <c r="J671" i="34"/>
  <c r="CP670" i="34"/>
  <c r="CB670" i="34"/>
  <c r="CF670" i="34" s="1"/>
  <c r="BO670" i="34"/>
  <c r="BP670" i="34" s="1"/>
  <c r="AZ670" i="34"/>
  <c r="BA670" i="34" s="1"/>
  <c r="AJ670" i="34"/>
  <c r="AK670" i="34" s="1"/>
  <c r="W670" i="34"/>
  <c r="X670" i="34" s="1"/>
  <c r="J670" i="34"/>
  <c r="K670" i="34" s="1"/>
  <c r="CP669" i="34"/>
  <c r="CC669" i="34"/>
  <c r="CB669" i="34"/>
  <c r="CF669" i="34" s="1"/>
  <c r="BO669" i="34"/>
  <c r="BP669" i="34" s="1"/>
  <c r="AZ669" i="34"/>
  <c r="BA669" i="34" s="1"/>
  <c r="AJ669" i="34"/>
  <c r="AK669" i="34" s="1"/>
  <c r="W669" i="34"/>
  <c r="X669" i="34" s="1"/>
  <c r="J669" i="34"/>
  <c r="K669" i="34" s="1"/>
  <c r="CP668" i="34"/>
  <c r="CB668" i="34"/>
  <c r="BO668" i="34"/>
  <c r="AZ668" i="34"/>
  <c r="AJ668" i="34"/>
  <c r="CP667" i="34"/>
  <c r="CB667" i="34"/>
  <c r="CC667" i="34" s="1"/>
  <c r="BO667" i="34"/>
  <c r="BP667" i="34" s="1"/>
  <c r="AZ667" i="34"/>
  <c r="BA667" i="34" s="1"/>
  <c r="AJ667" i="34"/>
  <c r="AK667" i="34" s="1"/>
  <c r="W667" i="34"/>
  <c r="X667" i="34" s="1"/>
  <c r="J667" i="34"/>
  <c r="K667" i="34" s="1"/>
  <c r="CP666" i="34"/>
  <c r="CB666" i="34"/>
  <c r="BO666" i="34"/>
  <c r="BP666" i="34" s="1"/>
  <c r="BM666" i="34"/>
  <c r="BM690" i="34" s="1"/>
  <c r="BH666" i="34"/>
  <c r="BH690" i="34" s="1"/>
  <c r="BD666" i="34"/>
  <c r="BD690" i="34" s="1"/>
  <c r="AZ666" i="34"/>
  <c r="BA666" i="34" s="1"/>
  <c r="AJ666" i="34"/>
  <c r="AK666" i="34" s="1"/>
  <c r="W666" i="34"/>
  <c r="X666" i="34" s="1"/>
  <c r="J666" i="34"/>
  <c r="K666" i="34" s="1"/>
  <c r="CP665" i="34"/>
  <c r="CB665" i="34"/>
  <c r="BO665" i="34"/>
  <c r="BP665" i="34" s="1"/>
  <c r="AZ665" i="34"/>
  <c r="BA665" i="34" s="1"/>
  <c r="AJ665" i="34"/>
  <c r="AK665" i="34" s="1"/>
  <c r="W665" i="34"/>
  <c r="X665" i="34" s="1"/>
  <c r="J665" i="34"/>
  <c r="K665" i="34" s="1"/>
  <c r="CP664" i="34"/>
  <c r="CB664" i="34"/>
  <c r="CC664" i="34" s="1"/>
  <c r="BO664" i="34"/>
  <c r="BP664" i="34" s="1"/>
  <c r="AZ664" i="34"/>
  <c r="BA664" i="34" s="1"/>
  <c r="AJ664" i="34"/>
  <c r="AK664" i="34" s="1"/>
  <c r="W664" i="34"/>
  <c r="X664" i="34" s="1"/>
  <c r="J664" i="34"/>
  <c r="K664" i="34" s="1"/>
  <c r="CP663" i="34"/>
  <c r="CB663" i="34"/>
  <c r="BO663" i="34"/>
  <c r="BP663" i="34" s="1"/>
  <c r="AZ663" i="34"/>
  <c r="BA663" i="34" s="1"/>
  <c r="AJ663" i="34"/>
  <c r="AK663" i="34" s="1"/>
  <c r="W663" i="34"/>
  <c r="X663" i="34" s="1"/>
  <c r="J663" i="34"/>
  <c r="CP662" i="34"/>
  <c r="CG662" i="34"/>
  <c r="CG690" i="34" s="1"/>
  <c r="CB662" i="34"/>
  <c r="BO662" i="34"/>
  <c r="BP662" i="34" s="1"/>
  <c r="AZ662" i="34"/>
  <c r="BA662" i="34" s="1"/>
  <c r="AJ662" i="34"/>
  <c r="AK662" i="34" s="1"/>
  <c r="W662" i="34"/>
  <c r="J662" i="34"/>
  <c r="K662" i="34" s="1"/>
  <c r="CP661" i="34"/>
  <c r="CP659" i="34"/>
  <c r="CG658" i="34"/>
  <c r="CE658" i="34"/>
  <c r="CA658" i="34"/>
  <c r="BZ658" i="34"/>
  <c r="BX658" i="34"/>
  <c r="BW658" i="34"/>
  <c r="BS658" i="34"/>
  <c r="BR658" i="34"/>
  <c r="BM658" i="34"/>
  <c r="BI658" i="34"/>
  <c r="BH658" i="34"/>
  <c r="BD658" i="34"/>
  <c r="BC658" i="34"/>
  <c r="AY658" i="34"/>
  <c r="AX658" i="34"/>
  <c r="AV658" i="34"/>
  <c r="AU658" i="34"/>
  <c r="AS658" i="34"/>
  <c r="AR658" i="34"/>
  <c r="AI658" i="34"/>
  <c r="AH658" i="34"/>
  <c r="AF658" i="34"/>
  <c r="AE658" i="34"/>
  <c r="AA658" i="34"/>
  <c r="Z658" i="34"/>
  <c r="V658" i="34"/>
  <c r="U658" i="34"/>
  <c r="S658" i="34"/>
  <c r="R658" i="34"/>
  <c r="P658" i="34"/>
  <c r="N658" i="34"/>
  <c r="M658" i="34"/>
  <c r="I658" i="34"/>
  <c r="H658" i="34"/>
  <c r="CP657" i="34"/>
  <c r="CC657" i="34"/>
  <c r="CB657" i="34"/>
  <c r="CF657" i="34" s="1"/>
  <c r="BO657" i="34"/>
  <c r="BP657" i="34" s="1"/>
  <c r="AZ657" i="34"/>
  <c r="BA657" i="34" s="1"/>
  <c r="AJ657" i="34"/>
  <c r="AK657" i="34" s="1"/>
  <c r="W657" i="34"/>
  <c r="X657" i="34" s="1"/>
  <c r="J657" i="34"/>
  <c r="K657" i="34" s="1"/>
  <c r="CP656" i="34"/>
  <c r="CB656" i="34"/>
  <c r="CF656" i="34" s="1"/>
  <c r="BO656" i="34"/>
  <c r="BP656" i="34" s="1"/>
  <c r="AZ656" i="34"/>
  <c r="BA656" i="34" s="1"/>
  <c r="AJ656" i="34"/>
  <c r="AK656" i="34" s="1"/>
  <c r="W656" i="34"/>
  <c r="X656" i="34" s="1"/>
  <c r="J656" i="34"/>
  <c r="K656" i="34" s="1"/>
  <c r="CP655" i="34"/>
  <c r="CB655" i="34"/>
  <c r="BO655" i="34"/>
  <c r="BP655" i="34" s="1"/>
  <c r="AZ655" i="34"/>
  <c r="BA655" i="34" s="1"/>
  <c r="AJ655" i="34"/>
  <c r="AK655" i="34" s="1"/>
  <c r="W655" i="34"/>
  <c r="X655" i="34" s="1"/>
  <c r="J655" i="34"/>
  <c r="K655" i="34" s="1"/>
  <c r="CP654" i="34"/>
  <c r="CB654" i="34"/>
  <c r="CF654" i="34" s="1"/>
  <c r="BO654" i="34"/>
  <c r="BP654" i="34" s="1"/>
  <c r="AZ654" i="34"/>
  <c r="BA654" i="34" s="1"/>
  <c r="AJ654" i="34"/>
  <c r="AK654" i="34" s="1"/>
  <c r="W654" i="34"/>
  <c r="X654" i="34" s="1"/>
  <c r="J654" i="34"/>
  <c r="K654" i="34" s="1"/>
  <c r="CP653" i="34"/>
  <c r="CB653" i="34"/>
  <c r="CF653" i="34" s="1"/>
  <c r="BO653" i="34"/>
  <c r="BP653" i="34" s="1"/>
  <c r="AZ653" i="34"/>
  <c r="BA653" i="34" s="1"/>
  <c r="AJ653" i="34"/>
  <c r="AK653" i="34" s="1"/>
  <c r="W653" i="34"/>
  <c r="X653" i="34" s="1"/>
  <c r="J653" i="34"/>
  <c r="K653" i="34" s="1"/>
  <c r="CP652" i="34"/>
  <c r="CC652" i="34"/>
  <c r="CB652" i="34"/>
  <c r="CF652" i="34" s="1"/>
  <c r="BP652" i="34"/>
  <c r="BO652" i="34"/>
  <c r="BA652" i="34"/>
  <c r="AZ652" i="34"/>
  <c r="AJ652" i="34"/>
  <c r="AK652" i="34" s="1"/>
  <c r="W652" i="34"/>
  <c r="X652" i="34" s="1"/>
  <c r="J652" i="34"/>
  <c r="K652" i="34" s="1"/>
  <c r="CP651" i="34"/>
  <c r="CB651" i="34"/>
  <c r="BN651" i="34"/>
  <c r="BO651" i="34" s="1"/>
  <c r="BP651" i="34" s="1"/>
  <c r="AZ651" i="34"/>
  <c r="BA651" i="34" s="1"/>
  <c r="AR651" i="34"/>
  <c r="AN651" i="34"/>
  <c r="AN658" i="34" s="1"/>
  <c r="AM651" i="34"/>
  <c r="AM658" i="34" s="1"/>
  <c r="AJ651" i="34"/>
  <c r="AK651" i="34" s="1"/>
  <c r="W651" i="34"/>
  <c r="X651" i="34" s="1"/>
  <c r="J651" i="34"/>
  <c r="K651" i="34" s="1"/>
  <c r="CP650" i="34"/>
  <c r="CB650" i="34"/>
  <c r="BO650" i="34"/>
  <c r="AZ650" i="34"/>
  <c r="BA650" i="34" s="1"/>
  <c r="AJ650" i="34"/>
  <c r="W650" i="34"/>
  <c r="X650" i="34" s="1"/>
  <c r="J650" i="34"/>
  <c r="K650" i="34" s="1"/>
  <c r="CP649" i="34"/>
  <c r="CG648" i="34"/>
  <c r="CE648" i="34"/>
  <c r="CA648" i="34"/>
  <c r="BZ648" i="34"/>
  <c r="BX648" i="34"/>
  <c r="BW648" i="34"/>
  <c r="BS648" i="34"/>
  <c r="BS660" i="34" s="1"/>
  <c r="BR648" i="34"/>
  <c r="BR660" i="34" s="1"/>
  <c r="BR692" i="34" s="1"/>
  <c r="BN648" i="34"/>
  <c r="BM648" i="34"/>
  <c r="BI648" i="34"/>
  <c r="BH648" i="34"/>
  <c r="BD648" i="34"/>
  <c r="BC648" i="34"/>
  <c r="AY648" i="34"/>
  <c r="AX648" i="34"/>
  <c r="AV648" i="34"/>
  <c r="AU648" i="34"/>
  <c r="AS648" i="34"/>
  <c r="AR648" i="34"/>
  <c r="AN648" i="34"/>
  <c r="AM648" i="34"/>
  <c r="AI648" i="34"/>
  <c r="AF648" i="34"/>
  <c r="AE648" i="34"/>
  <c r="AE660" i="34" s="1"/>
  <c r="AA648" i="34"/>
  <c r="Z648" i="34"/>
  <c r="V648" i="34"/>
  <c r="U648" i="34"/>
  <c r="S648" i="34"/>
  <c r="R648" i="34"/>
  <c r="P648" i="34"/>
  <c r="N648" i="34"/>
  <c r="N660" i="34" s="1"/>
  <c r="M648" i="34"/>
  <c r="I648" i="34"/>
  <c r="H648" i="34"/>
  <c r="CP647" i="34"/>
  <c r="CK647" i="34"/>
  <c r="CB647" i="34"/>
  <c r="CF647" i="34" s="1"/>
  <c r="BP647" i="34"/>
  <c r="BO647" i="34"/>
  <c r="AZ647" i="34"/>
  <c r="BA647" i="34" s="1"/>
  <c r="AJ647" i="34"/>
  <c r="AK647" i="34" s="1"/>
  <c r="W647" i="34"/>
  <c r="X647" i="34" s="1"/>
  <c r="J647" i="34"/>
  <c r="K647" i="34" s="1"/>
  <c r="CP646" i="34"/>
  <c r="CB646" i="34"/>
  <c r="CF646" i="34" s="1"/>
  <c r="BO646" i="34"/>
  <c r="AZ646" i="34"/>
  <c r="BA646" i="34" s="1"/>
  <c r="AJ646" i="34"/>
  <c r="AK646" i="34" s="1"/>
  <c r="W646" i="34"/>
  <c r="X646" i="34" s="1"/>
  <c r="J646" i="34"/>
  <c r="K646" i="34" s="1"/>
  <c r="CP645" i="34"/>
  <c r="CP644" i="34"/>
  <c r="CL643" i="34"/>
  <c r="CM643" i="34" s="1"/>
  <c r="CP642" i="34"/>
  <c r="CG641" i="34"/>
  <c r="CG643" i="34" s="1"/>
  <c r="CE641" i="34"/>
  <c r="CE643" i="34" s="1"/>
  <c r="BZ641" i="34"/>
  <c r="BX641" i="34"/>
  <c r="BX643" i="34" s="1"/>
  <c r="BW641" i="34"/>
  <c r="BW643" i="34" s="1"/>
  <c r="BS641" i="34"/>
  <c r="BS643" i="34" s="1"/>
  <c r="BR641" i="34"/>
  <c r="BR643" i="34" s="1"/>
  <c r="BO641" i="34"/>
  <c r="BO643" i="34" s="1"/>
  <c r="BN641" i="34"/>
  <c r="BN643" i="34" s="1"/>
  <c r="BM641" i="34"/>
  <c r="BI641" i="34"/>
  <c r="BH641" i="34"/>
  <c r="BH643" i="34" s="1"/>
  <c r="BD641" i="34"/>
  <c r="BD643" i="34" s="1"/>
  <c r="BC641" i="34"/>
  <c r="BC643" i="34" s="1"/>
  <c r="AZ641" i="34"/>
  <c r="AZ643" i="34" s="1"/>
  <c r="AY641" i="34"/>
  <c r="AY643" i="34" s="1"/>
  <c r="AX641" i="34"/>
  <c r="AV641" i="34"/>
  <c r="AV643" i="34" s="1"/>
  <c r="AU641" i="34"/>
  <c r="AU643" i="34" s="1"/>
  <c r="AS641" i="34"/>
  <c r="AS643" i="34" s="1"/>
  <c r="AR641" i="34"/>
  <c r="AR643" i="34" s="1"/>
  <c r="AN641" i="34"/>
  <c r="AN643" i="34" s="1"/>
  <c r="AM641" i="34"/>
  <c r="AM643" i="34" s="1"/>
  <c r="AJ641" i="34"/>
  <c r="AI641" i="34"/>
  <c r="AI643" i="34" s="1"/>
  <c r="AF641" i="34"/>
  <c r="AF643" i="34" s="1"/>
  <c r="AE641" i="34"/>
  <c r="AE643" i="34" s="1"/>
  <c r="AA641" i="34"/>
  <c r="AA643" i="34" s="1"/>
  <c r="Z641" i="34"/>
  <c r="Z643" i="34" s="1"/>
  <c r="W641" i="34"/>
  <c r="W643" i="34" s="1"/>
  <c r="V641" i="34"/>
  <c r="V643" i="34" s="1"/>
  <c r="U641" i="34"/>
  <c r="U643" i="34" s="1"/>
  <c r="X643" i="34" s="1"/>
  <c r="S641" i="34"/>
  <c r="S643" i="34" s="1"/>
  <c r="R641" i="34"/>
  <c r="R643" i="34" s="1"/>
  <c r="P641" i="34"/>
  <c r="P643" i="34" s="1"/>
  <c r="N641" i="34"/>
  <c r="N643" i="34" s="1"/>
  <c r="M641" i="34"/>
  <c r="M643" i="34" s="1"/>
  <c r="J641" i="34"/>
  <c r="J643" i="34" s="1"/>
  <c r="I641" i="34"/>
  <c r="I643" i="34" s="1"/>
  <c r="H641" i="34"/>
  <c r="H643" i="34" s="1"/>
  <c r="K643" i="34" s="1"/>
  <c r="G641" i="34"/>
  <c r="CP640" i="34"/>
  <c r="CC640" i="34"/>
  <c r="CA640" i="34"/>
  <c r="CP639" i="34"/>
  <c r="CP638" i="34"/>
  <c r="CP637" i="34"/>
  <c r="CL636" i="34"/>
  <c r="CM636" i="34" s="1"/>
  <c r="CP635" i="34"/>
  <c r="CG634" i="34"/>
  <c r="CG636" i="34" s="1"/>
  <c r="CE634" i="34"/>
  <c r="CE636" i="34" s="1"/>
  <c r="CA634" i="34"/>
  <c r="CA636" i="34" s="1"/>
  <c r="BZ634" i="34"/>
  <c r="BZ636" i="34" s="1"/>
  <c r="BX634" i="34"/>
  <c r="BX636" i="34" s="1"/>
  <c r="BW634" i="34"/>
  <c r="BW636" i="34" s="1"/>
  <c r="BS634" i="34"/>
  <c r="BS636" i="34" s="1"/>
  <c r="BR634" i="34"/>
  <c r="BR636" i="34" s="1"/>
  <c r="BN634" i="34"/>
  <c r="BN636" i="34" s="1"/>
  <c r="BM634" i="34"/>
  <c r="BM636" i="34" s="1"/>
  <c r="BI634" i="34"/>
  <c r="BI636" i="34" s="1"/>
  <c r="BH634" i="34"/>
  <c r="BH636" i="34" s="1"/>
  <c r="BD634" i="34"/>
  <c r="BD636" i="34" s="1"/>
  <c r="BC634" i="34"/>
  <c r="BC636" i="34" s="1"/>
  <c r="AY634" i="34"/>
  <c r="AY636" i="34" s="1"/>
  <c r="AX634" i="34"/>
  <c r="AX636" i="34" s="1"/>
  <c r="AV634" i="34"/>
  <c r="AV636" i="34" s="1"/>
  <c r="AU634" i="34"/>
  <c r="AU636" i="34" s="1"/>
  <c r="AS634" i="34"/>
  <c r="AS636" i="34" s="1"/>
  <c r="AR634" i="34"/>
  <c r="AR636" i="34" s="1"/>
  <c r="AN634" i="34"/>
  <c r="AN636" i="34" s="1"/>
  <c r="AM634" i="34"/>
  <c r="AM636" i="34" s="1"/>
  <c r="AI634" i="34"/>
  <c r="AI636" i="34" s="1"/>
  <c r="AF634" i="34"/>
  <c r="AF636" i="34" s="1"/>
  <c r="AE634" i="34"/>
  <c r="AE636" i="34" s="1"/>
  <c r="AA634" i="34"/>
  <c r="AA636" i="34" s="1"/>
  <c r="Z634" i="34"/>
  <c r="Z636" i="34" s="1"/>
  <c r="V634" i="34"/>
  <c r="V636" i="34" s="1"/>
  <c r="U634" i="34"/>
  <c r="U636" i="34" s="1"/>
  <c r="S634" i="34"/>
  <c r="S636" i="34" s="1"/>
  <c r="R634" i="34"/>
  <c r="R636" i="34" s="1"/>
  <c r="P634" i="34"/>
  <c r="P636" i="34" s="1"/>
  <c r="N634" i="34"/>
  <c r="N636" i="34" s="1"/>
  <c r="M634" i="34"/>
  <c r="M636" i="34" s="1"/>
  <c r="I634" i="34"/>
  <c r="I636" i="34" s="1"/>
  <c r="H634" i="34"/>
  <c r="H636" i="34" s="1"/>
  <c r="G634" i="34"/>
  <c r="CP633" i="34"/>
  <c r="CB633" i="34"/>
  <c r="CF633" i="34" s="1"/>
  <c r="BO633" i="34"/>
  <c r="BP633" i="34" s="1"/>
  <c r="AZ633" i="34"/>
  <c r="BA633" i="34" s="1"/>
  <c r="AJ633" i="34"/>
  <c r="W633" i="34"/>
  <c r="X633" i="34" s="1"/>
  <c r="J633" i="34"/>
  <c r="CP632" i="34"/>
  <c r="CB632" i="34"/>
  <c r="CF632" i="34" s="1"/>
  <c r="BO632" i="34"/>
  <c r="BP632" i="34" s="1"/>
  <c r="AZ632" i="34"/>
  <c r="BA632" i="34" s="1"/>
  <c r="AJ632" i="34"/>
  <c r="AK632" i="34" s="1"/>
  <c r="W632" i="34"/>
  <c r="J632" i="34"/>
  <c r="K632" i="34" s="1"/>
  <c r="CP631" i="34"/>
  <c r="CP630" i="34"/>
  <c r="CL629" i="34"/>
  <c r="CM629" i="34" s="1"/>
  <c r="CP628" i="34"/>
  <c r="CG627" i="34"/>
  <c r="CG629" i="34" s="1"/>
  <c r="CE627" i="34"/>
  <c r="CE629" i="34" s="1"/>
  <c r="CA627" i="34"/>
  <c r="CA629" i="34" s="1"/>
  <c r="BZ627" i="34"/>
  <c r="BZ629" i="34" s="1"/>
  <c r="BX627" i="34"/>
  <c r="BX629" i="34" s="1"/>
  <c r="BW627" i="34"/>
  <c r="BW629" i="34" s="1"/>
  <c r="BS627" i="34"/>
  <c r="BS629" i="34" s="1"/>
  <c r="BR627" i="34"/>
  <c r="BR629" i="34" s="1"/>
  <c r="BN627" i="34"/>
  <c r="BN629" i="34" s="1"/>
  <c r="BM627" i="34"/>
  <c r="BM629" i="34" s="1"/>
  <c r="BI627" i="34"/>
  <c r="BI629" i="34" s="1"/>
  <c r="BH627" i="34"/>
  <c r="BH629" i="34" s="1"/>
  <c r="BD627" i="34"/>
  <c r="BD629" i="34" s="1"/>
  <c r="BC627" i="34"/>
  <c r="BC629" i="34" s="1"/>
  <c r="AY627" i="34"/>
  <c r="AY629" i="34" s="1"/>
  <c r="AX627" i="34"/>
  <c r="AX629" i="34" s="1"/>
  <c r="AV627" i="34"/>
  <c r="AV629" i="34" s="1"/>
  <c r="AU627" i="34"/>
  <c r="AU629" i="34" s="1"/>
  <c r="AS627" i="34"/>
  <c r="AS629" i="34" s="1"/>
  <c r="AR627" i="34"/>
  <c r="AR629" i="34" s="1"/>
  <c r="AN627" i="34"/>
  <c r="AN629" i="34" s="1"/>
  <c r="AM627" i="34"/>
  <c r="AM629" i="34" s="1"/>
  <c r="AI627" i="34"/>
  <c r="AI629" i="34" s="1"/>
  <c r="AF627" i="34"/>
  <c r="AF629" i="34" s="1"/>
  <c r="AA627" i="34"/>
  <c r="AA629" i="34" s="1"/>
  <c r="Z627" i="34"/>
  <c r="Z629" i="34" s="1"/>
  <c r="V627" i="34"/>
  <c r="V629" i="34" s="1"/>
  <c r="U627" i="34"/>
  <c r="U629" i="34" s="1"/>
  <c r="S627" i="34"/>
  <c r="S629" i="34" s="1"/>
  <c r="R627" i="34"/>
  <c r="R629" i="34" s="1"/>
  <c r="P627" i="34"/>
  <c r="P629" i="34" s="1"/>
  <c r="N627" i="34"/>
  <c r="N629" i="34" s="1"/>
  <c r="M627" i="34"/>
  <c r="M629" i="34" s="1"/>
  <c r="I627" i="34"/>
  <c r="I629" i="34" s="1"/>
  <c r="H627" i="34"/>
  <c r="G627" i="34"/>
  <c r="CP626" i="34"/>
  <c r="CB626" i="34"/>
  <c r="CF626" i="34" s="1"/>
  <c r="BO626" i="34"/>
  <c r="BP626" i="34" s="1"/>
  <c r="AZ626" i="34"/>
  <c r="AJ626" i="34"/>
  <c r="AK626" i="34" s="1"/>
  <c r="W626" i="34"/>
  <c r="X626" i="34" s="1"/>
  <c r="J626" i="34"/>
  <c r="K626" i="34" s="1"/>
  <c r="CP625" i="34"/>
  <c r="CB625" i="34"/>
  <c r="CF625" i="34" s="1"/>
  <c r="BO625" i="34"/>
  <c r="AZ625" i="34"/>
  <c r="BA625" i="34" s="1"/>
  <c r="AJ625" i="34"/>
  <c r="AK625" i="34" s="1"/>
  <c r="AE625" i="34"/>
  <c r="AE627" i="34" s="1"/>
  <c r="AE629" i="34" s="1"/>
  <c r="AA625" i="34"/>
  <c r="W625" i="34"/>
  <c r="X625" i="34" s="1"/>
  <c r="J625" i="34"/>
  <c r="CP624" i="34"/>
  <c r="CP623" i="34"/>
  <c r="CL622" i="34"/>
  <c r="CM622" i="34" s="1"/>
  <c r="CP621" i="34"/>
  <c r="CG620" i="34"/>
  <c r="CG622" i="34" s="1"/>
  <c r="CE620" i="34"/>
  <c r="CE622" i="34" s="1"/>
  <c r="CA620" i="34"/>
  <c r="CA622" i="34" s="1"/>
  <c r="BZ620" i="34"/>
  <c r="BX620" i="34"/>
  <c r="BX622" i="34" s="1"/>
  <c r="BW620" i="34"/>
  <c r="BW622" i="34" s="1"/>
  <c r="BS620" i="34"/>
  <c r="BS622" i="34" s="1"/>
  <c r="BR620" i="34"/>
  <c r="BR622" i="34" s="1"/>
  <c r="BN620" i="34"/>
  <c r="BN622" i="34" s="1"/>
  <c r="BM620" i="34"/>
  <c r="BI620" i="34"/>
  <c r="BI622" i="34" s="1"/>
  <c r="BC620" i="34"/>
  <c r="BC622" i="34" s="1"/>
  <c r="AY620" i="34"/>
  <c r="AY622" i="34" s="1"/>
  <c r="AX620" i="34"/>
  <c r="AV620" i="34"/>
  <c r="AV622" i="34" s="1"/>
  <c r="AU620" i="34"/>
  <c r="AU622" i="34" s="1"/>
  <c r="AS620" i="34"/>
  <c r="AS622" i="34" s="1"/>
  <c r="AM620" i="34"/>
  <c r="AM622" i="34" s="1"/>
  <c r="AI620" i="34"/>
  <c r="AI622" i="34" s="1"/>
  <c r="AF620" i="34"/>
  <c r="AF622" i="34" s="1"/>
  <c r="Z620" i="34"/>
  <c r="Z622" i="34" s="1"/>
  <c r="V620" i="34"/>
  <c r="V622" i="34" s="1"/>
  <c r="U620" i="34"/>
  <c r="U622" i="34" s="1"/>
  <c r="S620" i="34"/>
  <c r="S622" i="34" s="1"/>
  <c r="R620" i="34"/>
  <c r="R622" i="34" s="1"/>
  <c r="P620" i="34"/>
  <c r="P622" i="34" s="1"/>
  <c r="N620" i="34"/>
  <c r="N622" i="34" s="1"/>
  <c r="M620" i="34"/>
  <c r="M622" i="34" s="1"/>
  <c r="I620" i="34"/>
  <c r="I622" i="34" s="1"/>
  <c r="H620" i="34"/>
  <c r="H622" i="34" s="1"/>
  <c r="CP619" i="34"/>
  <c r="CB619" i="34"/>
  <c r="CB620" i="34" s="1"/>
  <c r="BO619" i="34"/>
  <c r="BP619" i="34" s="1"/>
  <c r="BM619" i="34"/>
  <c r="BH619" i="34"/>
  <c r="BH620" i="34" s="1"/>
  <c r="BH622" i="34" s="1"/>
  <c r="BD619" i="34"/>
  <c r="BD620" i="34" s="1"/>
  <c r="BD622" i="34" s="1"/>
  <c r="AZ619" i="34"/>
  <c r="AZ620" i="34" s="1"/>
  <c r="AZ622" i="34" s="1"/>
  <c r="AR619" i="34"/>
  <c r="AR620" i="34" s="1"/>
  <c r="AR622" i="34" s="1"/>
  <c r="AN619" i="34"/>
  <c r="AN620" i="34" s="1"/>
  <c r="AN622" i="34" s="1"/>
  <c r="AM619" i="34"/>
  <c r="AJ619" i="34"/>
  <c r="AK619" i="34" s="1"/>
  <c r="AE619" i="34"/>
  <c r="AE620" i="34" s="1"/>
  <c r="AE622" i="34" s="1"/>
  <c r="AA619" i="34"/>
  <c r="AA620" i="34" s="1"/>
  <c r="AA622" i="34" s="1"/>
  <c r="W619" i="34"/>
  <c r="J619" i="34"/>
  <c r="CP618" i="34"/>
  <c r="CP617" i="34"/>
  <c r="CL616" i="34"/>
  <c r="CM616" i="34" s="1"/>
  <c r="CP615" i="34"/>
  <c r="CG614" i="34"/>
  <c r="CE614" i="34"/>
  <c r="CA614" i="34"/>
  <c r="BZ614" i="34"/>
  <c r="BX614" i="34"/>
  <c r="BW614" i="34"/>
  <c r="BS614" i="34"/>
  <c r="BR614" i="34"/>
  <c r="BN614" i="34"/>
  <c r="BM614" i="34"/>
  <c r="BI614" i="34"/>
  <c r="BH614" i="34"/>
  <c r="BD614" i="34"/>
  <c r="BC614" i="34"/>
  <c r="AY614" i="34"/>
  <c r="AX614" i="34"/>
  <c r="AV614" i="34"/>
  <c r="AU614" i="34"/>
  <c r="AS614" i="34"/>
  <c r="AR614" i="34"/>
  <c r="AN614" i="34"/>
  <c r="AM614" i="34"/>
  <c r="AI614" i="34"/>
  <c r="AH614" i="34"/>
  <c r="AF614" i="34"/>
  <c r="AE614" i="34"/>
  <c r="AA614" i="34"/>
  <c r="Z614" i="34"/>
  <c r="V614" i="34"/>
  <c r="U614" i="34"/>
  <c r="S614" i="34"/>
  <c r="R614" i="34"/>
  <c r="N614" i="34"/>
  <c r="M614" i="34"/>
  <c r="I614" i="34"/>
  <c r="H614" i="34"/>
  <c r="CP613" i="34"/>
  <c r="CB613" i="34"/>
  <c r="BO613" i="34"/>
  <c r="BP613" i="34" s="1"/>
  <c r="AZ613" i="34"/>
  <c r="BA613" i="34" s="1"/>
  <c r="AJ613" i="34"/>
  <c r="AK613" i="34" s="1"/>
  <c r="W613" i="34"/>
  <c r="X613" i="34" s="1"/>
  <c r="J613" i="34"/>
  <c r="K613" i="34" s="1"/>
  <c r="CP612" i="34"/>
  <c r="CB612" i="34"/>
  <c r="BO612" i="34"/>
  <c r="BP612" i="34" s="1"/>
  <c r="AZ612" i="34"/>
  <c r="BA612" i="34" s="1"/>
  <c r="AJ612" i="34"/>
  <c r="AK612" i="34" s="1"/>
  <c r="W612" i="34"/>
  <c r="X612" i="34" s="1"/>
  <c r="J612" i="34"/>
  <c r="K612" i="34" s="1"/>
  <c r="CP611" i="34"/>
  <c r="CB611" i="34"/>
  <c r="BO611" i="34"/>
  <c r="BP611" i="34" s="1"/>
  <c r="AZ611" i="34"/>
  <c r="BA611" i="34" s="1"/>
  <c r="AJ611" i="34"/>
  <c r="AK611" i="34" s="1"/>
  <c r="W611" i="34"/>
  <c r="X611" i="34" s="1"/>
  <c r="J611" i="34"/>
  <c r="K611" i="34" s="1"/>
  <c r="CP610" i="34"/>
  <c r="CB610" i="34"/>
  <c r="CF610" i="34" s="1"/>
  <c r="BO610" i="34"/>
  <c r="BP610" i="34" s="1"/>
  <c r="AZ610" i="34"/>
  <c r="BA610" i="34" s="1"/>
  <c r="AJ610" i="34"/>
  <c r="AK610" i="34" s="1"/>
  <c r="W610" i="34"/>
  <c r="X610" i="34" s="1"/>
  <c r="J610" i="34"/>
  <c r="K610" i="34" s="1"/>
  <c r="CP609" i="34"/>
  <c r="CB609" i="34"/>
  <c r="BO609" i="34"/>
  <c r="BP609" i="34" s="1"/>
  <c r="AZ609" i="34"/>
  <c r="BA609" i="34" s="1"/>
  <c r="AJ609" i="34"/>
  <c r="AK609" i="34" s="1"/>
  <c r="W609" i="34"/>
  <c r="X609" i="34" s="1"/>
  <c r="J609" i="34"/>
  <c r="K609" i="34" s="1"/>
  <c r="CP608" i="34"/>
  <c r="CB608" i="34"/>
  <c r="CC608" i="34" s="1"/>
  <c r="BO608" i="34"/>
  <c r="BP608" i="34" s="1"/>
  <c r="AZ608" i="34"/>
  <c r="BA608" i="34" s="1"/>
  <c r="AJ608" i="34"/>
  <c r="W608" i="34"/>
  <c r="X608" i="34" s="1"/>
  <c r="J608" i="34"/>
  <c r="K608" i="34" s="1"/>
  <c r="CP607" i="34"/>
  <c r="CC607" i="34"/>
  <c r="CB607" i="34"/>
  <c r="BP607" i="34"/>
  <c r="BO607" i="34"/>
  <c r="BA607" i="34"/>
  <c r="AZ607" i="34"/>
  <c r="AK607" i="34"/>
  <c r="AJ607" i="34"/>
  <c r="X607" i="34"/>
  <c r="W607" i="34"/>
  <c r="K607" i="34"/>
  <c r="J607" i="34"/>
  <c r="CP606" i="34"/>
  <c r="CG605" i="34"/>
  <c r="CE605" i="34"/>
  <c r="CA605" i="34"/>
  <c r="BZ605" i="34"/>
  <c r="BX605" i="34"/>
  <c r="BW605" i="34"/>
  <c r="BS605" i="34"/>
  <c r="BR605" i="34"/>
  <c r="BN605" i="34"/>
  <c r="BM605" i="34"/>
  <c r="BI605" i="34"/>
  <c r="BH605" i="34"/>
  <c r="BD605" i="34"/>
  <c r="BC605" i="34"/>
  <c r="AY605" i="34"/>
  <c r="AX605" i="34"/>
  <c r="AV605" i="34"/>
  <c r="AU605" i="34"/>
  <c r="AS605" i="34"/>
  <c r="AR605" i="34"/>
  <c r="AN605" i="34"/>
  <c r="AM605" i="34"/>
  <c r="AI605" i="34"/>
  <c r="AH605" i="34"/>
  <c r="AF605" i="34"/>
  <c r="AE605" i="34"/>
  <c r="AA605" i="34"/>
  <c r="Z605" i="34"/>
  <c r="V605" i="34"/>
  <c r="U605" i="34"/>
  <c r="S605" i="34"/>
  <c r="R605" i="34"/>
  <c r="P605" i="34"/>
  <c r="P614" i="34" s="1"/>
  <c r="N605" i="34"/>
  <c r="M605" i="34"/>
  <c r="I605" i="34"/>
  <c r="H605" i="34"/>
  <c r="CP604" i="34"/>
  <c r="CC604" i="34"/>
  <c r="CB604" i="34"/>
  <c r="CF604" i="34" s="1"/>
  <c r="BO604" i="34"/>
  <c r="BP604" i="34" s="1"/>
  <c r="AZ604" i="34"/>
  <c r="BA604" i="34" s="1"/>
  <c r="AJ604" i="34"/>
  <c r="AK604" i="34" s="1"/>
  <c r="W604" i="34"/>
  <c r="X604" i="34" s="1"/>
  <c r="J604" i="34"/>
  <c r="K604" i="34" s="1"/>
  <c r="CP603" i="34"/>
  <c r="CB603" i="34"/>
  <c r="BO603" i="34"/>
  <c r="BP603" i="34" s="1"/>
  <c r="AZ603" i="34"/>
  <c r="BA603" i="34" s="1"/>
  <c r="AJ603" i="34"/>
  <c r="AK603" i="34" s="1"/>
  <c r="W603" i="34"/>
  <c r="X603" i="34" s="1"/>
  <c r="J603" i="34"/>
  <c r="K603" i="34" s="1"/>
  <c r="CP602" i="34"/>
  <c r="CB602" i="34"/>
  <c r="CF602" i="34" s="1"/>
  <c r="BO602" i="34"/>
  <c r="AZ602" i="34"/>
  <c r="AJ602" i="34"/>
  <c r="W602" i="34"/>
  <c r="X602" i="34" s="1"/>
  <c r="J602" i="34"/>
  <c r="CP601" i="34"/>
  <c r="CP600" i="34"/>
  <c r="CL599" i="34"/>
  <c r="CM599" i="34" s="1"/>
  <c r="CP598" i="34"/>
  <c r="CG597" i="34"/>
  <c r="CE597" i="34"/>
  <c r="CA597" i="34"/>
  <c r="BZ597" i="34"/>
  <c r="CC597" i="34" s="1"/>
  <c r="BX597" i="34"/>
  <c r="BW597" i="34"/>
  <c r="BS597" i="34"/>
  <c r="BR597" i="34"/>
  <c r="BN597" i="34"/>
  <c r="BM597" i="34"/>
  <c r="BP597" i="34" s="1"/>
  <c r="BI597" i="34"/>
  <c r="BH597" i="34"/>
  <c r="BD597" i="34"/>
  <c r="BC597" i="34"/>
  <c r="AY597" i="34"/>
  <c r="AX597" i="34"/>
  <c r="BA597" i="34" s="1"/>
  <c r="AV597" i="34"/>
  <c r="AU597" i="34"/>
  <c r="AS597" i="34"/>
  <c r="AR597" i="34"/>
  <c r="AN597" i="34"/>
  <c r="AM597" i="34"/>
  <c r="AI597" i="34"/>
  <c r="AH597" i="34"/>
  <c r="AK597" i="34" s="1"/>
  <c r="AF597" i="34"/>
  <c r="AE597" i="34"/>
  <c r="AA597" i="34"/>
  <c r="Z597" i="34"/>
  <c r="V597" i="34"/>
  <c r="U597" i="34"/>
  <c r="S597" i="34"/>
  <c r="R597" i="34"/>
  <c r="P597" i="34"/>
  <c r="N597" i="34"/>
  <c r="M597" i="34"/>
  <c r="I597" i="34"/>
  <c r="H597" i="34"/>
  <c r="CP596" i="34"/>
  <c r="CC596" i="34"/>
  <c r="CB596" i="34"/>
  <c r="CF596" i="34" s="1"/>
  <c r="BP596" i="34"/>
  <c r="BO596" i="34"/>
  <c r="BA596" i="34"/>
  <c r="AZ596" i="34"/>
  <c r="AK596" i="34"/>
  <c r="AJ596" i="34"/>
  <c r="X596" i="34"/>
  <c r="W596" i="34"/>
  <c r="K596" i="34"/>
  <c r="J596" i="34"/>
  <c r="CP595" i="34"/>
  <c r="CC595" i="34"/>
  <c r="CB595" i="34"/>
  <c r="BP595" i="34"/>
  <c r="BO595" i="34"/>
  <c r="BA595" i="34"/>
  <c r="AZ595" i="34"/>
  <c r="AK595" i="34"/>
  <c r="AJ595" i="34"/>
  <c r="W595" i="34"/>
  <c r="J595" i="34"/>
  <c r="CP594" i="34"/>
  <c r="CG593" i="34"/>
  <c r="CE593" i="34"/>
  <c r="CA593" i="34"/>
  <c r="BZ593" i="34"/>
  <c r="BX593" i="34"/>
  <c r="BW593" i="34"/>
  <c r="BS593" i="34"/>
  <c r="BR593" i="34"/>
  <c r="BN593" i="34"/>
  <c r="BM593" i="34"/>
  <c r="BI593" i="34"/>
  <c r="BH593" i="34"/>
  <c r="BD593" i="34"/>
  <c r="BC593" i="34"/>
  <c r="AY593" i="34"/>
  <c r="AX593" i="34"/>
  <c r="AV593" i="34"/>
  <c r="AU593" i="34"/>
  <c r="AS593" i="34"/>
  <c r="AR593" i="34"/>
  <c r="AN593" i="34"/>
  <c r="AM593" i="34"/>
  <c r="AI593" i="34"/>
  <c r="AH593" i="34"/>
  <c r="AF593" i="34"/>
  <c r="AE593" i="34"/>
  <c r="AA593" i="34"/>
  <c r="Z593" i="34"/>
  <c r="V593" i="34"/>
  <c r="U593" i="34"/>
  <c r="S593" i="34"/>
  <c r="R593" i="34"/>
  <c r="P593" i="34"/>
  <c r="N593" i="34"/>
  <c r="M593" i="34"/>
  <c r="I593" i="34"/>
  <c r="H593" i="34"/>
  <c r="CP592" i="34"/>
  <c r="CB592" i="34"/>
  <c r="BO592" i="34"/>
  <c r="BP592" i="34" s="1"/>
  <c r="AZ592" i="34"/>
  <c r="BA592" i="34" s="1"/>
  <c r="AJ592" i="34"/>
  <c r="AK592" i="34" s="1"/>
  <c r="W592" i="34"/>
  <c r="X592" i="34" s="1"/>
  <c r="J592" i="34"/>
  <c r="K592" i="34" s="1"/>
  <c r="CP591" i="34"/>
  <c r="CB591" i="34"/>
  <c r="BO591" i="34"/>
  <c r="CP590" i="34"/>
  <c r="CB590" i="34"/>
  <c r="CF590" i="34" s="1"/>
  <c r="BO590" i="34"/>
  <c r="BP590" i="34" s="1"/>
  <c r="AZ590" i="34"/>
  <c r="BA590" i="34" s="1"/>
  <c r="AJ590" i="34"/>
  <c r="AK590" i="34" s="1"/>
  <c r="W590" i="34"/>
  <c r="X590" i="34" s="1"/>
  <c r="J590" i="34"/>
  <c r="K590" i="34" s="1"/>
  <c r="CP589" i="34"/>
  <c r="CB589" i="34"/>
  <c r="CF589" i="34" s="1"/>
  <c r="BO589" i="34"/>
  <c r="BP589" i="34" s="1"/>
  <c r="AZ589" i="34"/>
  <c r="BA589" i="34" s="1"/>
  <c r="AJ589" i="34"/>
  <c r="AK589" i="34" s="1"/>
  <c r="W589" i="34"/>
  <c r="X589" i="34" s="1"/>
  <c r="J589" i="34"/>
  <c r="K589" i="34" s="1"/>
  <c r="CP588" i="34"/>
  <c r="CB588" i="34"/>
  <c r="CF588" i="34" s="1"/>
  <c r="BO588" i="34"/>
  <c r="BP588" i="34" s="1"/>
  <c r="AZ588" i="34"/>
  <c r="BA588" i="34" s="1"/>
  <c r="AJ588" i="34"/>
  <c r="AK588" i="34" s="1"/>
  <c r="W588" i="34"/>
  <c r="X588" i="34" s="1"/>
  <c r="J588" i="34"/>
  <c r="K588" i="34" s="1"/>
  <c r="CP587" i="34"/>
  <c r="CB587" i="34"/>
  <c r="CF587" i="34" s="1"/>
  <c r="BO587" i="34"/>
  <c r="BP587" i="34" s="1"/>
  <c r="AZ587" i="34"/>
  <c r="BA587" i="34" s="1"/>
  <c r="AJ587" i="34"/>
  <c r="AK587" i="34" s="1"/>
  <c r="W587" i="34"/>
  <c r="X587" i="34" s="1"/>
  <c r="J587" i="34"/>
  <c r="K587" i="34" s="1"/>
  <c r="CP586" i="34"/>
  <c r="CB586" i="34"/>
  <c r="CF586" i="34" s="1"/>
  <c r="BO586" i="34"/>
  <c r="BP586" i="34" s="1"/>
  <c r="AZ586" i="34"/>
  <c r="BA586" i="34" s="1"/>
  <c r="AJ586" i="34"/>
  <c r="AK586" i="34" s="1"/>
  <c r="W586" i="34"/>
  <c r="X586" i="34" s="1"/>
  <c r="J586" i="34"/>
  <c r="K586" i="34" s="1"/>
  <c r="CP585" i="34"/>
  <c r="CB585" i="34"/>
  <c r="CF585" i="34" s="1"/>
  <c r="BO585" i="34"/>
  <c r="BP585" i="34" s="1"/>
  <c r="AZ585" i="34"/>
  <c r="BA585" i="34" s="1"/>
  <c r="AJ585" i="34"/>
  <c r="AK585" i="34" s="1"/>
  <c r="W585" i="34"/>
  <c r="X585" i="34" s="1"/>
  <c r="J585" i="34"/>
  <c r="K585" i="34" s="1"/>
  <c r="CP584" i="34"/>
  <c r="CB584" i="34"/>
  <c r="BO584" i="34"/>
  <c r="BP584" i="34" s="1"/>
  <c r="AZ584" i="34"/>
  <c r="BA584" i="34" s="1"/>
  <c r="AJ584" i="34"/>
  <c r="AK584" i="34" s="1"/>
  <c r="W584" i="34"/>
  <c r="X584" i="34" s="1"/>
  <c r="J584" i="34"/>
  <c r="K584" i="34" s="1"/>
  <c r="CP583" i="34"/>
  <c r="CB583" i="34"/>
  <c r="CF583" i="34" s="1"/>
  <c r="BO583" i="34"/>
  <c r="BP583" i="34" s="1"/>
  <c r="AZ583" i="34"/>
  <c r="BA583" i="34" s="1"/>
  <c r="AJ583" i="34"/>
  <c r="AK583" i="34" s="1"/>
  <c r="W583" i="34"/>
  <c r="X583" i="34" s="1"/>
  <c r="J583" i="34"/>
  <c r="K583" i="34" s="1"/>
  <c r="CP582" i="34"/>
  <c r="CB582" i="34"/>
  <c r="CF582" i="34" s="1"/>
  <c r="BO582" i="34"/>
  <c r="BP582" i="34" s="1"/>
  <c r="AZ582" i="34"/>
  <c r="BA582" i="34" s="1"/>
  <c r="AJ582" i="34"/>
  <c r="AK582" i="34" s="1"/>
  <c r="W582" i="34"/>
  <c r="X582" i="34" s="1"/>
  <c r="J582" i="34"/>
  <c r="K582" i="34" s="1"/>
  <c r="CP581" i="34"/>
  <c r="CB581" i="34"/>
  <c r="CF581" i="34" s="1"/>
  <c r="BO581" i="34"/>
  <c r="BP581" i="34" s="1"/>
  <c r="AZ581" i="34"/>
  <c r="BA581" i="34" s="1"/>
  <c r="AJ581" i="34"/>
  <c r="AK581" i="34" s="1"/>
  <c r="W581" i="34"/>
  <c r="X581" i="34" s="1"/>
  <c r="J581" i="34"/>
  <c r="K581" i="34" s="1"/>
  <c r="CP580" i="34"/>
  <c r="CB580" i="34"/>
  <c r="CF580" i="34" s="1"/>
  <c r="BO580" i="34"/>
  <c r="BP580" i="34" s="1"/>
  <c r="AZ580" i="34"/>
  <c r="BA580" i="34" s="1"/>
  <c r="AJ580" i="34"/>
  <c r="AK580" i="34" s="1"/>
  <c r="W580" i="34"/>
  <c r="X580" i="34" s="1"/>
  <c r="J580" i="34"/>
  <c r="K580" i="34" s="1"/>
  <c r="CP579" i="34"/>
  <c r="CB579" i="34"/>
  <c r="CF579" i="34" s="1"/>
  <c r="BO579" i="34"/>
  <c r="BP579" i="34" s="1"/>
  <c r="AZ579" i="34"/>
  <c r="BA579" i="34" s="1"/>
  <c r="AJ579" i="34"/>
  <c r="AK579" i="34" s="1"/>
  <c r="W579" i="34"/>
  <c r="X579" i="34" s="1"/>
  <c r="J579" i="34"/>
  <c r="K579" i="34" s="1"/>
  <c r="CP578" i="34"/>
  <c r="CC578" i="34"/>
  <c r="CB578" i="34"/>
  <c r="CF578" i="34" s="1"/>
  <c r="BP578" i="34"/>
  <c r="BO578" i="34"/>
  <c r="AZ578" i="34"/>
  <c r="BA578" i="34" s="1"/>
  <c r="AJ578" i="34"/>
  <c r="AK578" i="34" s="1"/>
  <c r="W578" i="34"/>
  <c r="X578" i="34" s="1"/>
  <c r="J578" i="34"/>
  <c r="K578" i="34" s="1"/>
  <c r="CP577" i="34"/>
  <c r="CC577" i="34"/>
  <c r="CB577" i="34"/>
  <c r="CF577" i="34" s="1"/>
  <c r="BP577" i="34"/>
  <c r="BO577" i="34"/>
  <c r="AZ577" i="34"/>
  <c r="BA577" i="34" s="1"/>
  <c r="AJ577" i="34"/>
  <c r="AK577" i="34" s="1"/>
  <c r="W577" i="34"/>
  <c r="X577" i="34" s="1"/>
  <c r="J577" i="34"/>
  <c r="K577" i="34" s="1"/>
  <c r="CP576" i="34"/>
  <c r="CB576" i="34"/>
  <c r="CF576" i="34" s="1"/>
  <c r="BP576" i="34"/>
  <c r="BO576" i="34"/>
  <c r="CP575" i="34"/>
  <c r="CB575" i="34"/>
  <c r="BO575" i="34"/>
  <c r="BP575" i="34" s="1"/>
  <c r="AZ575" i="34"/>
  <c r="BA575" i="34" s="1"/>
  <c r="AJ575" i="34"/>
  <c r="AK575" i="34" s="1"/>
  <c r="W575" i="34"/>
  <c r="X575" i="34" s="1"/>
  <c r="J575" i="34"/>
  <c r="K575" i="34" s="1"/>
  <c r="CP574" i="34"/>
  <c r="CB574" i="34"/>
  <c r="CF574" i="34" s="1"/>
  <c r="BO574" i="34"/>
  <c r="BP574" i="34" s="1"/>
  <c r="AZ574" i="34"/>
  <c r="BA574" i="34" s="1"/>
  <c r="AJ574" i="34"/>
  <c r="AK574" i="34" s="1"/>
  <c r="W574" i="34"/>
  <c r="X574" i="34" s="1"/>
  <c r="J574" i="34"/>
  <c r="K574" i="34" s="1"/>
  <c r="CP573" i="34"/>
  <c r="CB573" i="34"/>
  <c r="CF573" i="34" s="1"/>
  <c r="BO573" i="34"/>
  <c r="BP573" i="34" s="1"/>
  <c r="AZ573" i="34"/>
  <c r="BA573" i="34" s="1"/>
  <c r="AJ573" i="34"/>
  <c r="AK573" i="34" s="1"/>
  <c r="W573" i="34"/>
  <c r="X573" i="34" s="1"/>
  <c r="J573" i="34"/>
  <c r="K573" i="34" s="1"/>
  <c r="CP572" i="34"/>
  <c r="CB572" i="34"/>
  <c r="BO572" i="34"/>
  <c r="BP572" i="34" s="1"/>
  <c r="AZ572" i="34"/>
  <c r="BA572" i="34" s="1"/>
  <c r="AJ572" i="34"/>
  <c r="AK572" i="34" s="1"/>
  <c r="W572" i="34"/>
  <c r="X572" i="34" s="1"/>
  <c r="J572" i="34"/>
  <c r="K572" i="34" s="1"/>
  <c r="CP571" i="34"/>
  <c r="CB571" i="34"/>
  <c r="BO571" i="34"/>
  <c r="BP571" i="34" s="1"/>
  <c r="AZ571" i="34"/>
  <c r="BA571" i="34" s="1"/>
  <c r="AJ571" i="34"/>
  <c r="AK571" i="34" s="1"/>
  <c r="W571" i="34"/>
  <c r="X571" i="34" s="1"/>
  <c r="J571" i="34"/>
  <c r="K571" i="34" s="1"/>
  <c r="CP570" i="34"/>
  <c r="CB570" i="34"/>
  <c r="CF570" i="34" s="1"/>
  <c r="BO570" i="34"/>
  <c r="BP570" i="34" s="1"/>
  <c r="AZ570" i="34"/>
  <c r="BA570" i="34" s="1"/>
  <c r="AJ570" i="34"/>
  <c r="AK570" i="34" s="1"/>
  <c r="W570" i="34"/>
  <c r="X570" i="34" s="1"/>
  <c r="J570" i="34"/>
  <c r="K570" i="34" s="1"/>
  <c r="CP569" i="34"/>
  <c r="CB569" i="34"/>
  <c r="BO569" i="34"/>
  <c r="BP569" i="34" s="1"/>
  <c r="AZ569" i="34"/>
  <c r="BA569" i="34" s="1"/>
  <c r="AJ569" i="34"/>
  <c r="AK569" i="34" s="1"/>
  <c r="W569" i="34"/>
  <c r="X569" i="34" s="1"/>
  <c r="J569" i="34"/>
  <c r="K569" i="34" s="1"/>
  <c r="CP568" i="34"/>
  <c r="CB568" i="34"/>
  <c r="CF568" i="34" s="1"/>
  <c r="BO568" i="34"/>
  <c r="BP568" i="34" s="1"/>
  <c r="AZ568" i="34"/>
  <c r="BA568" i="34" s="1"/>
  <c r="AJ568" i="34"/>
  <c r="AK568" i="34" s="1"/>
  <c r="W568" i="34"/>
  <c r="X568" i="34" s="1"/>
  <c r="J568" i="34"/>
  <c r="K568" i="34" s="1"/>
  <c r="CP567" i="34"/>
  <c r="CB567" i="34"/>
  <c r="BO567" i="34"/>
  <c r="BP567" i="34" s="1"/>
  <c r="AZ567" i="34"/>
  <c r="BA567" i="34" s="1"/>
  <c r="AJ567" i="34"/>
  <c r="AK567" i="34" s="1"/>
  <c r="W567" i="34"/>
  <c r="X567" i="34" s="1"/>
  <c r="J567" i="34"/>
  <c r="K567" i="34" s="1"/>
  <c r="CP566" i="34"/>
  <c r="CB566" i="34"/>
  <c r="BO566" i="34"/>
  <c r="BA566" i="34"/>
  <c r="AZ566" i="34"/>
  <c r="CP565" i="34"/>
  <c r="CB565" i="34"/>
  <c r="BO565" i="34"/>
  <c r="BP565" i="34" s="1"/>
  <c r="AZ565" i="34"/>
  <c r="BA565" i="34" s="1"/>
  <c r="AJ565" i="34"/>
  <c r="AK565" i="34" s="1"/>
  <c r="W565" i="34"/>
  <c r="X565" i="34" s="1"/>
  <c r="J565" i="34"/>
  <c r="K565" i="34" s="1"/>
  <c r="CP564" i="34"/>
  <c r="CB564" i="34"/>
  <c r="BO564" i="34"/>
  <c r="BP564" i="34" s="1"/>
  <c r="AZ564" i="34"/>
  <c r="BA564" i="34" s="1"/>
  <c r="AJ564" i="34"/>
  <c r="AK564" i="34" s="1"/>
  <c r="W564" i="34"/>
  <c r="X564" i="34" s="1"/>
  <c r="J564" i="34"/>
  <c r="K564" i="34" s="1"/>
  <c r="CP563" i="34"/>
  <c r="CB563" i="34"/>
  <c r="BP563" i="34"/>
  <c r="BO563" i="34"/>
  <c r="CP562" i="34"/>
  <c r="CC562" i="34"/>
  <c r="CB562" i="34"/>
  <c r="CF562" i="34" s="1"/>
  <c r="BP562" i="34"/>
  <c r="BO562" i="34"/>
  <c r="BA562" i="34"/>
  <c r="AZ562" i="34"/>
  <c r="AK562" i="34"/>
  <c r="AJ562" i="34"/>
  <c r="X562" i="34"/>
  <c r="W562" i="34"/>
  <c r="K562" i="34"/>
  <c r="J562" i="34"/>
  <c r="CP561" i="34"/>
  <c r="CB561" i="34"/>
  <c r="BO561" i="34"/>
  <c r="BP561" i="34" s="1"/>
  <c r="AZ561" i="34"/>
  <c r="BA561" i="34" s="1"/>
  <c r="AJ561" i="34"/>
  <c r="AK561" i="34" s="1"/>
  <c r="W561" i="34"/>
  <c r="X561" i="34" s="1"/>
  <c r="J561" i="34"/>
  <c r="K561" i="34" s="1"/>
  <c r="CP560" i="34"/>
  <c r="CB560" i="34"/>
  <c r="BO560" i="34"/>
  <c r="BP560" i="34" s="1"/>
  <c r="AZ560" i="34"/>
  <c r="BA560" i="34" s="1"/>
  <c r="AJ560" i="34"/>
  <c r="AK560" i="34" s="1"/>
  <c r="W560" i="34"/>
  <c r="X560" i="34" s="1"/>
  <c r="J560" i="34"/>
  <c r="K560" i="34" s="1"/>
  <c r="CP559" i="34"/>
  <c r="CB559" i="34"/>
  <c r="BO559" i="34"/>
  <c r="BP559" i="34" s="1"/>
  <c r="AZ559" i="34"/>
  <c r="BA559" i="34" s="1"/>
  <c r="AJ559" i="34"/>
  <c r="AK559" i="34" s="1"/>
  <c r="W559" i="34"/>
  <c r="X559" i="34" s="1"/>
  <c r="J559" i="34"/>
  <c r="K559" i="34" s="1"/>
  <c r="CP558" i="34"/>
  <c r="CB558" i="34"/>
  <c r="CC558" i="34" s="1"/>
  <c r="BO558" i="34"/>
  <c r="BP558" i="34" s="1"/>
  <c r="AZ558" i="34"/>
  <c r="BA558" i="34" s="1"/>
  <c r="AJ558" i="34"/>
  <c r="AK558" i="34" s="1"/>
  <c r="W558" i="34"/>
  <c r="X558" i="34" s="1"/>
  <c r="J558" i="34"/>
  <c r="K558" i="34" s="1"/>
  <c r="CP557" i="34"/>
  <c r="CB557" i="34"/>
  <c r="BO557" i="34"/>
  <c r="BP557" i="34" s="1"/>
  <c r="AZ557" i="34"/>
  <c r="BA557" i="34" s="1"/>
  <c r="AJ557" i="34"/>
  <c r="AK557" i="34" s="1"/>
  <c r="W557" i="34"/>
  <c r="X557" i="34" s="1"/>
  <c r="J557" i="34"/>
  <c r="K557" i="34" s="1"/>
  <c r="CP556" i="34"/>
  <c r="CB556" i="34"/>
  <c r="CF556" i="34" s="1"/>
  <c r="BO556" i="34"/>
  <c r="BP556" i="34" s="1"/>
  <c r="AZ556" i="34"/>
  <c r="BA556" i="34" s="1"/>
  <c r="AJ556" i="34"/>
  <c r="AK556" i="34" s="1"/>
  <c r="W556" i="34"/>
  <c r="X556" i="34" s="1"/>
  <c r="J556" i="34"/>
  <c r="K556" i="34" s="1"/>
  <c r="CP555" i="34"/>
  <c r="CB555" i="34"/>
  <c r="CF555" i="34" s="1"/>
  <c r="BO555" i="34"/>
  <c r="BP555" i="34" s="1"/>
  <c r="AZ555" i="34"/>
  <c r="AJ555" i="34"/>
  <c r="W555" i="34"/>
  <c r="J555" i="34"/>
  <c r="K555" i="34" s="1"/>
  <c r="CP554" i="34"/>
  <c r="CP552" i="34"/>
  <c r="CG551" i="34"/>
  <c r="CE551" i="34"/>
  <c r="CA551" i="34"/>
  <c r="BZ551" i="34"/>
  <c r="BX551" i="34"/>
  <c r="BW551" i="34"/>
  <c r="BS551" i="34"/>
  <c r="BR551" i="34"/>
  <c r="BN551" i="34"/>
  <c r="BM551" i="34"/>
  <c r="BI551" i="34"/>
  <c r="BH551" i="34"/>
  <c r="BD551" i="34"/>
  <c r="BC551" i="34"/>
  <c r="AY551" i="34"/>
  <c r="AX551" i="34"/>
  <c r="AV551" i="34"/>
  <c r="AU551" i="34"/>
  <c r="AS551" i="34"/>
  <c r="AR551" i="34"/>
  <c r="AN551" i="34"/>
  <c r="AM551" i="34"/>
  <c r="AI551" i="34"/>
  <c r="AH551" i="34"/>
  <c r="AF551" i="34"/>
  <c r="AE551" i="34"/>
  <c r="AA551" i="34"/>
  <c r="Z551" i="34"/>
  <c r="V551" i="34"/>
  <c r="U551" i="34"/>
  <c r="S551" i="34"/>
  <c r="R551" i="34"/>
  <c r="P551" i="34"/>
  <c r="N551" i="34"/>
  <c r="M551" i="34"/>
  <c r="I551" i="34"/>
  <c r="H551" i="34"/>
  <c r="CP550" i="34"/>
  <c r="CC550" i="34"/>
  <c r="CB550" i="34"/>
  <c r="CF550" i="34" s="1"/>
  <c r="BO550" i="34"/>
  <c r="BP550" i="34" s="1"/>
  <c r="AZ550" i="34"/>
  <c r="BA550" i="34" s="1"/>
  <c r="AJ550" i="34"/>
  <c r="AK550" i="34" s="1"/>
  <c r="W550" i="34"/>
  <c r="X550" i="34" s="1"/>
  <c r="J550" i="34"/>
  <c r="K550" i="34" s="1"/>
  <c r="CP549" i="34"/>
  <c r="CB549" i="34"/>
  <c r="BO549" i="34"/>
  <c r="BP549" i="34" s="1"/>
  <c r="AZ549" i="34"/>
  <c r="BA549" i="34" s="1"/>
  <c r="AJ549" i="34"/>
  <c r="AK549" i="34" s="1"/>
  <c r="W549" i="34"/>
  <c r="X549" i="34" s="1"/>
  <c r="J549" i="34"/>
  <c r="K549" i="34" s="1"/>
  <c r="CP548" i="34"/>
  <c r="CB548" i="34"/>
  <c r="BO548" i="34"/>
  <c r="BP548" i="34" s="1"/>
  <c r="AZ548" i="34"/>
  <c r="BA548" i="34" s="1"/>
  <c r="AJ548" i="34"/>
  <c r="AK548" i="34" s="1"/>
  <c r="W548" i="34"/>
  <c r="X548" i="34" s="1"/>
  <c r="J548" i="34"/>
  <c r="K548" i="34" s="1"/>
  <c r="CP547" i="34"/>
  <c r="CC547" i="34"/>
  <c r="CB547" i="34"/>
  <c r="CF547" i="34" s="1"/>
  <c r="BP547" i="34"/>
  <c r="BO547" i="34"/>
  <c r="BA547" i="34"/>
  <c r="AZ547" i="34"/>
  <c r="AK547" i="34"/>
  <c r="AJ547" i="34"/>
  <c r="X547" i="34"/>
  <c r="W547" i="34"/>
  <c r="K547" i="34"/>
  <c r="J547" i="34"/>
  <c r="CP546" i="34"/>
  <c r="CB546" i="34"/>
  <c r="BO546" i="34"/>
  <c r="BP546" i="34" s="1"/>
  <c r="AZ546" i="34"/>
  <c r="BA546" i="34" s="1"/>
  <c r="AJ546" i="34"/>
  <c r="AK546" i="34" s="1"/>
  <c r="W546" i="34"/>
  <c r="X546" i="34" s="1"/>
  <c r="J546" i="34"/>
  <c r="K546" i="34" s="1"/>
  <c r="CP545" i="34"/>
  <c r="CB545" i="34"/>
  <c r="CF545" i="34" s="1"/>
  <c r="BO545" i="34"/>
  <c r="BP545" i="34" s="1"/>
  <c r="AZ545" i="34"/>
  <c r="BA545" i="34" s="1"/>
  <c r="AJ545" i="34"/>
  <c r="AK545" i="34" s="1"/>
  <c r="W545" i="34"/>
  <c r="X545" i="34" s="1"/>
  <c r="J545" i="34"/>
  <c r="K545" i="34" s="1"/>
  <c r="CP544" i="34"/>
  <c r="CB544" i="34"/>
  <c r="CF544" i="34" s="1"/>
  <c r="BO544" i="34"/>
  <c r="BP544" i="34" s="1"/>
  <c r="AZ544" i="34"/>
  <c r="BA544" i="34" s="1"/>
  <c r="AJ544" i="34"/>
  <c r="AK544" i="34" s="1"/>
  <c r="W544" i="34"/>
  <c r="X544" i="34" s="1"/>
  <c r="J544" i="34"/>
  <c r="K544" i="34" s="1"/>
  <c r="CP543" i="34"/>
  <c r="CB543" i="34"/>
  <c r="BO543" i="34"/>
  <c r="BP543" i="34" s="1"/>
  <c r="AZ543" i="34"/>
  <c r="AJ543" i="34"/>
  <c r="AK543" i="34" s="1"/>
  <c r="W543" i="34"/>
  <c r="J543" i="34"/>
  <c r="K543" i="34" s="1"/>
  <c r="CP542" i="34"/>
  <c r="CG541" i="34"/>
  <c r="CE541" i="34"/>
  <c r="CA541" i="34"/>
  <c r="BZ541" i="34"/>
  <c r="BX541" i="34"/>
  <c r="BW541" i="34"/>
  <c r="BS541" i="34"/>
  <c r="BR541" i="34"/>
  <c r="BN541" i="34"/>
  <c r="BM541" i="34"/>
  <c r="BI541" i="34"/>
  <c r="BH541" i="34"/>
  <c r="BD541" i="34"/>
  <c r="BC541" i="34"/>
  <c r="AY541" i="34"/>
  <c r="AX541" i="34"/>
  <c r="AV541" i="34"/>
  <c r="AU541" i="34"/>
  <c r="AS541" i="34"/>
  <c r="AR541" i="34"/>
  <c r="AN541" i="34"/>
  <c r="AM541" i="34"/>
  <c r="AI541" i="34"/>
  <c r="AF541" i="34"/>
  <c r="AE541" i="34"/>
  <c r="AA541" i="34"/>
  <c r="V541" i="34"/>
  <c r="U541" i="34"/>
  <c r="S541" i="34"/>
  <c r="R541" i="34"/>
  <c r="P541" i="34"/>
  <c r="N541" i="34"/>
  <c r="M541" i="34"/>
  <c r="I541" i="34"/>
  <c r="H541" i="34"/>
  <c r="CP540" i="34"/>
  <c r="CK540" i="34"/>
  <c r="CB540" i="34"/>
  <c r="CF540" i="34" s="1"/>
  <c r="BO540" i="34"/>
  <c r="AZ540" i="34"/>
  <c r="BA540" i="34" s="1"/>
  <c r="AJ540" i="34"/>
  <c r="AK540" i="34" s="1"/>
  <c r="W540" i="34"/>
  <c r="Z540" i="34" s="1"/>
  <c r="J540" i="34"/>
  <c r="K540" i="34" s="1"/>
  <c r="CP539" i="34"/>
  <c r="CB539" i="34"/>
  <c r="BO539" i="34"/>
  <c r="BP539" i="34" s="1"/>
  <c r="AZ539" i="34"/>
  <c r="AJ539" i="34"/>
  <c r="W539" i="34"/>
  <c r="J539" i="34"/>
  <c r="CP538" i="34"/>
  <c r="CP537" i="34"/>
  <c r="CL536" i="34"/>
  <c r="CP535" i="34"/>
  <c r="CG534" i="34"/>
  <c r="CE534" i="34"/>
  <c r="CA534" i="34"/>
  <c r="BZ534" i="34"/>
  <c r="BX534" i="34"/>
  <c r="BW534" i="34"/>
  <c r="BS534" i="34"/>
  <c r="BR534" i="34"/>
  <c r="BN534" i="34"/>
  <c r="BM534" i="34"/>
  <c r="BI534" i="34"/>
  <c r="BH534" i="34"/>
  <c r="BD534" i="34"/>
  <c r="BC534" i="34"/>
  <c r="AY534" i="34"/>
  <c r="AX534" i="34"/>
  <c r="AV534" i="34"/>
  <c r="AU534" i="34"/>
  <c r="AS534" i="34"/>
  <c r="AR534" i="34"/>
  <c r="AN534" i="34"/>
  <c r="AM534" i="34"/>
  <c r="AI534" i="34"/>
  <c r="AF534" i="34"/>
  <c r="AE534" i="34"/>
  <c r="AA534" i="34"/>
  <c r="V534" i="34"/>
  <c r="U534" i="34"/>
  <c r="S534" i="34"/>
  <c r="R534" i="34"/>
  <c r="P534" i="34"/>
  <c r="N534" i="34"/>
  <c r="M534" i="34"/>
  <c r="I534" i="34"/>
  <c r="H534" i="34"/>
  <c r="K534" i="34" s="1"/>
  <c r="CP533" i="34"/>
  <c r="CB533" i="34"/>
  <c r="CB534" i="34" s="1"/>
  <c r="BO533" i="34"/>
  <c r="BO534" i="34" s="1"/>
  <c r="AZ533" i="34"/>
  <c r="AZ534" i="34" s="1"/>
  <c r="AJ533" i="34"/>
  <c r="AK533" i="34" s="1"/>
  <c r="W533" i="34"/>
  <c r="K533" i="34"/>
  <c r="J533" i="34"/>
  <c r="J534" i="34" s="1"/>
  <c r="CP532" i="34"/>
  <c r="CG531" i="34"/>
  <c r="CE531" i="34"/>
  <c r="CA531" i="34"/>
  <c r="BZ531" i="34"/>
  <c r="BX531" i="34"/>
  <c r="BW531" i="34"/>
  <c r="BS531" i="34"/>
  <c r="BR531" i="34"/>
  <c r="BN531" i="34"/>
  <c r="BM531" i="34"/>
  <c r="BI531" i="34"/>
  <c r="BH531" i="34"/>
  <c r="BD531" i="34"/>
  <c r="BC531" i="34"/>
  <c r="AY531" i="34"/>
  <c r="AX531" i="34"/>
  <c r="AV531" i="34"/>
  <c r="AU531" i="34"/>
  <c r="AS531" i="34"/>
  <c r="AR531" i="34"/>
  <c r="AN531" i="34"/>
  <c r="AM531" i="34"/>
  <c r="AI531" i="34"/>
  <c r="AF531" i="34"/>
  <c r="AE531" i="34"/>
  <c r="AA531" i="34"/>
  <c r="V531" i="34"/>
  <c r="U531" i="34"/>
  <c r="S531" i="34"/>
  <c r="R531" i="34"/>
  <c r="P531" i="34"/>
  <c r="N531" i="34"/>
  <c r="M531" i="34"/>
  <c r="I531" i="34"/>
  <c r="H531" i="34"/>
  <c r="K531" i="34" s="1"/>
  <c r="CP530" i="34"/>
  <c r="CB530" i="34"/>
  <c r="CF530" i="34" s="1"/>
  <c r="BO530" i="34"/>
  <c r="AZ530" i="34"/>
  <c r="BA530" i="34" s="1"/>
  <c r="AJ530" i="34"/>
  <c r="AK530" i="34" s="1"/>
  <c r="W530" i="34"/>
  <c r="W531" i="34" s="1"/>
  <c r="K530" i="34"/>
  <c r="J530" i="34"/>
  <c r="J531" i="34" s="1"/>
  <c r="CP529" i="34"/>
  <c r="CP528" i="34"/>
  <c r="CP527" i="34"/>
  <c r="CP525" i="34"/>
  <c r="CP523" i="34"/>
  <c r="CG522" i="34"/>
  <c r="CG986" i="34" s="1"/>
  <c r="CE522" i="34"/>
  <c r="CA522" i="34"/>
  <c r="BZ522" i="34"/>
  <c r="BX522" i="34"/>
  <c r="BW522" i="34"/>
  <c r="BW986" i="34" s="1"/>
  <c r="BS522" i="34"/>
  <c r="BS986" i="34" s="1"/>
  <c r="BR522" i="34"/>
  <c r="BM522" i="34"/>
  <c r="BI522" i="34"/>
  <c r="BH522" i="34"/>
  <c r="BH986" i="34" s="1"/>
  <c r="BD522" i="34"/>
  <c r="BD986" i="34" s="1"/>
  <c r="BC522" i="34"/>
  <c r="AY522" i="34"/>
  <c r="AX522" i="34"/>
  <c r="AV522" i="34"/>
  <c r="AU522" i="34"/>
  <c r="AU986" i="34" s="1"/>
  <c r="AS522" i="34"/>
  <c r="AR522" i="34"/>
  <c r="AR986" i="34" s="1"/>
  <c r="AN522" i="34"/>
  <c r="AM522" i="34"/>
  <c r="AI522" i="34"/>
  <c r="AF522" i="34"/>
  <c r="AE522" i="34"/>
  <c r="AE986" i="34" s="1"/>
  <c r="AA522" i="34"/>
  <c r="Z522" i="34"/>
  <c r="V522" i="34"/>
  <c r="U522" i="34"/>
  <c r="S522" i="34"/>
  <c r="R522" i="34"/>
  <c r="R986" i="34" s="1"/>
  <c r="P522" i="34"/>
  <c r="N522" i="34"/>
  <c r="M522" i="34"/>
  <c r="I522" i="34"/>
  <c r="H522" i="34"/>
  <c r="CP521" i="34"/>
  <c r="CB521" i="34"/>
  <c r="BN521" i="34"/>
  <c r="BN522" i="34" s="1"/>
  <c r="AZ521" i="34"/>
  <c r="AJ521" i="34"/>
  <c r="AJ522" i="34" s="1"/>
  <c r="AK522" i="34" s="1"/>
  <c r="AI521" i="34"/>
  <c r="W521" i="34"/>
  <c r="W522" i="34" s="1"/>
  <c r="J521" i="34"/>
  <c r="CP520" i="34"/>
  <c r="CG519" i="34"/>
  <c r="CG985" i="34" s="1"/>
  <c r="CE519" i="34"/>
  <c r="CA519" i="34"/>
  <c r="BZ519" i="34"/>
  <c r="BX519" i="34"/>
  <c r="BW519" i="34"/>
  <c r="BW985" i="34" s="1"/>
  <c r="BS519" i="34"/>
  <c r="BS985" i="34" s="1"/>
  <c r="BR519" i="34"/>
  <c r="BM519" i="34"/>
  <c r="BI519" i="34"/>
  <c r="BH519" i="34"/>
  <c r="BD519" i="34"/>
  <c r="BD985" i="34" s="1"/>
  <c r="AY519" i="34"/>
  <c r="AX519" i="34"/>
  <c r="AV519" i="34"/>
  <c r="AU519" i="34"/>
  <c r="AU985" i="34" s="1"/>
  <c r="AS519" i="34"/>
  <c r="AR519" i="34"/>
  <c r="AR985" i="34" s="1"/>
  <c r="AN519" i="34"/>
  <c r="AM519" i="34"/>
  <c r="AF519" i="34"/>
  <c r="AE519" i="34"/>
  <c r="AE985" i="34" s="1"/>
  <c r="AA519" i="34"/>
  <c r="Z519" i="34"/>
  <c r="V519" i="34"/>
  <c r="U519" i="34"/>
  <c r="S519" i="34"/>
  <c r="R519" i="34"/>
  <c r="R985" i="34" s="1"/>
  <c r="P519" i="34"/>
  <c r="N519" i="34"/>
  <c r="M519" i="34"/>
  <c r="I519" i="34"/>
  <c r="H519" i="34"/>
  <c r="CP518" i="34"/>
  <c r="CC518" i="34"/>
  <c r="CB518" i="34"/>
  <c r="CF518" i="34" s="1"/>
  <c r="BO518" i="34"/>
  <c r="BP518" i="34" s="1"/>
  <c r="AZ518" i="34"/>
  <c r="BA518" i="34" s="1"/>
  <c r="AI518" i="34"/>
  <c r="AJ518" i="34" s="1"/>
  <c r="AK518" i="34" s="1"/>
  <c r="W518" i="34"/>
  <c r="X518" i="34" s="1"/>
  <c r="J518" i="34"/>
  <c r="K518" i="34" s="1"/>
  <c r="CP517" i="34"/>
  <c r="CB517" i="34"/>
  <c r="CF517" i="34" s="1"/>
  <c r="BN517" i="34"/>
  <c r="BC517" i="34"/>
  <c r="BC519" i="34" s="1"/>
  <c r="AZ517" i="34"/>
  <c r="BA517" i="34" s="1"/>
  <c r="AI517" i="34"/>
  <c r="W517" i="34"/>
  <c r="J517" i="34"/>
  <c r="K517" i="34" s="1"/>
  <c r="CP516" i="34"/>
  <c r="CG515" i="34"/>
  <c r="CG981" i="34" s="1"/>
  <c r="CE515" i="34"/>
  <c r="CA515" i="34"/>
  <c r="BZ515" i="34"/>
  <c r="BX515" i="34"/>
  <c r="BW515" i="34"/>
  <c r="BW981" i="34" s="1"/>
  <c r="BS515" i="34"/>
  <c r="BS981" i="34" s="1"/>
  <c r="BR515" i="34"/>
  <c r="BM515" i="34"/>
  <c r="BI515" i="34"/>
  <c r="BH515" i="34"/>
  <c r="BH981" i="34" s="1"/>
  <c r="BD515" i="34"/>
  <c r="BD981" i="34" s="1"/>
  <c r="BC515" i="34"/>
  <c r="AY515" i="34"/>
  <c r="AX515" i="34"/>
  <c r="AV515" i="34"/>
  <c r="AU515" i="34"/>
  <c r="AU981" i="34" s="1"/>
  <c r="AS515" i="34"/>
  <c r="AN515" i="34"/>
  <c r="AM515" i="34"/>
  <c r="AI515" i="34"/>
  <c r="AF515" i="34"/>
  <c r="AE515" i="34"/>
  <c r="AE981" i="34" s="1"/>
  <c r="AA515" i="34"/>
  <c r="Z515" i="34"/>
  <c r="V515" i="34"/>
  <c r="U515" i="34"/>
  <c r="S515" i="34"/>
  <c r="R515" i="34"/>
  <c r="R981" i="34" s="1"/>
  <c r="P515" i="34"/>
  <c r="N515" i="34"/>
  <c r="M515" i="34"/>
  <c r="I515" i="34"/>
  <c r="H515" i="34"/>
  <c r="CP514" i="34"/>
  <c r="CB514" i="34"/>
  <c r="CF514" i="34" s="1"/>
  <c r="BN514" i="34"/>
  <c r="AZ514" i="34"/>
  <c r="AR514" i="34"/>
  <c r="AR515" i="34" s="1"/>
  <c r="AJ514" i="34"/>
  <c r="AJ515" i="34" s="1"/>
  <c r="W514" i="34"/>
  <c r="W515" i="34" s="1"/>
  <c r="J514" i="34"/>
  <c r="J515" i="34" s="1"/>
  <c r="CP513" i="34"/>
  <c r="CP512" i="34"/>
  <c r="CP511" i="34"/>
  <c r="CP510" i="34"/>
  <c r="CP508" i="34"/>
  <c r="CL507" i="34"/>
  <c r="CP506" i="34"/>
  <c r="CG505" i="34"/>
  <c r="CE505" i="34"/>
  <c r="CE507" i="34" s="1"/>
  <c r="CA505" i="34"/>
  <c r="BZ505" i="34"/>
  <c r="BX505" i="34"/>
  <c r="BW505" i="34"/>
  <c r="BS505" i="34"/>
  <c r="BR505" i="34"/>
  <c r="BN505" i="34"/>
  <c r="BI505" i="34"/>
  <c r="BH505" i="34"/>
  <c r="BD505" i="34"/>
  <c r="BC505" i="34"/>
  <c r="AY505" i="34"/>
  <c r="AV505" i="34"/>
  <c r="AU505" i="34"/>
  <c r="AS505" i="34"/>
  <c r="AR505" i="34"/>
  <c r="AN505" i="34"/>
  <c r="AM505" i="34"/>
  <c r="AI505" i="34"/>
  <c r="AH505" i="34"/>
  <c r="AF505" i="34"/>
  <c r="AE505" i="34"/>
  <c r="AA505" i="34"/>
  <c r="Z505" i="34"/>
  <c r="V505" i="34"/>
  <c r="U505" i="34"/>
  <c r="S505" i="34"/>
  <c r="R505" i="34"/>
  <c r="P505" i="34"/>
  <c r="N505" i="34"/>
  <c r="M505" i="34"/>
  <c r="I505" i="34"/>
  <c r="H505" i="34"/>
  <c r="CP504" i="34"/>
  <c r="CB504" i="34"/>
  <c r="CF504" i="34" s="1"/>
  <c r="BO504" i="34"/>
  <c r="BM504" i="34"/>
  <c r="AZ504" i="34"/>
  <c r="BA504" i="34" s="1"/>
  <c r="AX504" i="34"/>
  <c r="AX505" i="34" s="1"/>
  <c r="AU504" i="34"/>
  <c r="AJ504" i="34"/>
  <c r="AK504" i="34" s="1"/>
  <c r="W504" i="34"/>
  <c r="X504" i="34" s="1"/>
  <c r="J504" i="34"/>
  <c r="K504" i="34" s="1"/>
  <c r="CP503" i="34"/>
  <c r="CB503" i="34"/>
  <c r="CF503" i="34" s="1"/>
  <c r="BO503" i="34"/>
  <c r="BP503" i="34" s="1"/>
  <c r="AZ503" i="34"/>
  <c r="BA503" i="34" s="1"/>
  <c r="AJ503" i="34"/>
  <c r="AK503" i="34" s="1"/>
  <c r="W503" i="34"/>
  <c r="X503" i="34" s="1"/>
  <c r="J503" i="34"/>
  <c r="CP502" i="34"/>
  <c r="CB502" i="34"/>
  <c r="CF502" i="34" s="1"/>
  <c r="BO502" i="34"/>
  <c r="BP502" i="34" s="1"/>
  <c r="AZ502" i="34"/>
  <c r="BA502" i="34" s="1"/>
  <c r="AJ502" i="34"/>
  <c r="AK502" i="34" s="1"/>
  <c r="W502" i="34"/>
  <c r="X502" i="34" s="1"/>
  <c r="J502" i="34"/>
  <c r="K502" i="34" s="1"/>
  <c r="CP501" i="34"/>
  <c r="CB501" i="34"/>
  <c r="CC501" i="34" s="1"/>
  <c r="BO501" i="34"/>
  <c r="BP501" i="34" s="1"/>
  <c r="AZ501" i="34"/>
  <c r="BA501" i="34" s="1"/>
  <c r="AJ501" i="34"/>
  <c r="W501" i="34"/>
  <c r="X501" i="34" s="1"/>
  <c r="J501" i="34"/>
  <c r="K501" i="34" s="1"/>
  <c r="CP500" i="34"/>
  <c r="CP498" i="34"/>
  <c r="CG497" i="34"/>
  <c r="CE497" i="34"/>
  <c r="CA497" i="34"/>
  <c r="BZ497" i="34"/>
  <c r="BX497" i="34"/>
  <c r="BW497" i="34"/>
  <c r="BS497" i="34"/>
  <c r="BR497" i="34"/>
  <c r="BN497" i="34"/>
  <c r="BM497" i="34"/>
  <c r="BI497" i="34"/>
  <c r="BH497" i="34"/>
  <c r="BD497" i="34"/>
  <c r="BC497" i="34"/>
  <c r="AY497" i="34"/>
  <c r="AX497" i="34"/>
  <c r="AV497" i="34"/>
  <c r="AU497" i="34"/>
  <c r="AS497" i="34"/>
  <c r="AR497" i="34"/>
  <c r="AN497" i="34"/>
  <c r="AM497" i="34"/>
  <c r="AI497" i="34"/>
  <c r="AH497" i="34"/>
  <c r="AF497" i="34"/>
  <c r="AE497" i="34"/>
  <c r="AA497" i="34"/>
  <c r="Z497" i="34"/>
  <c r="V497" i="34"/>
  <c r="U497" i="34"/>
  <c r="S497" i="34"/>
  <c r="R497" i="34"/>
  <c r="P497" i="34"/>
  <c r="N497" i="34"/>
  <c r="M497" i="34"/>
  <c r="I497" i="34"/>
  <c r="H497" i="34"/>
  <c r="CP496" i="34"/>
  <c r="CC496" i="34"/>
  <c r="CB496" i="34"/>
  <c r="CF496" i="34" s="1"/>
  <c r="BP496" i="34"/>
  <c r="BO496" i="34"/>
  <c r="BA496" i="34"/>
  <c r="AZ496" i="34"/>
  <c r="AK496" i="34"/>
  <c r="AJ496" i="34"/>
  <c r="X496" i="34"/>
  <c r="W496" i="34"/>
  <c r="K496" i="34"/>
  <c r="J496" i="34"/>
  <c r="CP495" i="34"/>
  <c r="CB495" i="34"/>
  <c r="CF495" i="34" s="1"/>
  <c r="BO495" i="34"/>
  <c r="BP495" i="34" s="1"/>
  <c r="AZ495" i="34"/>
  <c r="AJ495" i="34"/>
  <c r="AK495" i="34" s="1"/>
  <c r="W495" i="34"/>
  <c r="X495" i="34" s="1"/>
  <c r="J495" i="34"/>
  <c r="K495" i="34" s="1"/>
  <c r="CP494" i="34"/>
  <c r="CG493" i="34"/>
  <c r="CE493" i="34"/>
  <c r="CA493" i="34"/>
  <c r="BZ493" i="34"/>
  <c r="BX493" i="34"/>
  <c r="BW493" i="34"/>
  <c r="BS493" i="34"/>
  <c r="BR493" i="34"/>
  <c r="BN493" i="34"/>
  <c r="BM493" i="34"/>
  <c r="BI493" i="34"/>
  <c r="BH493" i="34"/>
  <c r="BD493" i="34"/>
  <c r="BC493" i="34"/>
  <c r="AY493" i="34"/>
  <c r="AX493" i="34"/>
  <c r="AV493" i="34"/>
  <c r="AU493" i="34"/>
  <c r="AS493" i="34"/>
  <c r="AR493" i="34"/>
  <c r="AN493" i="34"/>
  <c r="AM493" i="34"/>
  <c r="AI493" i="34"/>
  <c r="AF493" i="34"/>
  <c r="AE493" i="34"/>
  <c r="AA493" i="34"/>
  <c r="Z493" i="34"/>
  <c r="V493" i="34"/>
  <c r="U493" i="34"/>
  <c r="S493" i="34"/>
  <c r="R493" i="34"/>
  <c r="P493" i="34"/>
  <c r="N493" i="34"/>
  <c r="M493" i="34"/>
  <c r="I493" i="34"/>
  <c r="H493" i="34"/>
  <c r="CP492" i="34"/>
  <c r="CB492" i="34"/>
  <c r="CF492" i="34" s="1"/>
  <c r="BO492" i="34"/>
  <c r="AZ492" i="34"/>
  <c r="AZ493" i="34" s="1"/>
  <c r="AJ492" i="34"/>
  <c r="AJ493" i="34" s="1"/>
  <c r="W492" i="34"/>
  <c r="W493" i="34" s="1"/>
  <c r="J492" i="34"/>
  <c r="K492" i="34" s="1"/>
  <c r="CP491" i="34"/>
  <c r="CP490" i="34"/>
  <c r="CL489" i="34"/>
  <c r="CP488" i="34"/>
  <c r="CG487" i="34"/>
  <c r="CE487" i="34"/>
  <c r="CA487" i="34"/>
  <c r="BZ487" i="34"/>
  <c r="BX487" i="34"/>
  <c r="BW487" i="34"/>
  <c r="BS487" i="34"/>
  <c r="BR487" i="34"/>
  <c r="BN487" i="34"/>
  <c r="BM487" i="34"/>
  <c r="BI487" i="34"/>
  <c r="BH487" i="34"/>
  <c r="BD487" i="34"/>
  <c r="BC487" i="34"/>
  <c r="AY487" i="34"/>
  <c r="AX487" i="34"/>
  <c r="AV487" i="34"/>
  <c r="AU487" i="34"/>
  <c r="AS487" i="34"/>
  <c r="AR487" i="34"/>
  <c r="AN487" i="34"/>
  <c r="AM487" i="34"/>
  <c r="AI487" i="34"/>
  <c r="AF487" i="34"/>
  <c r="AE487" i="34"/>
  <c r="AA487" i="34"/>
  <c r="Z487" i="34"/>
  <c r="V487" i="34"/>
  <c r="U487" i="34"/>
  <c r="S487" i="34"/>
  <c r="R487" i="34"/>
  <c r="P487" i="34"/>
  <c r="N487" i="34"/>
  <c r="M487" i="34"/>
  <c r="I487" i="34"/>
  <c r="H487" i="34"/>
  <c r="CP486" i="34"/>
  <c r="CB486" i="34"/>
  <c r="CF486" i="34" s="1"/>
  <c r="BO486" i="34"/>
  <c r="BP486" i="34" s="1"/>
  <c r="AZ486" i="34"/>
  <c r="BA486" i="34" s="1"/>
  <c r="AJ486" i="34"/>
  <c r="AK486" i="34" s="1"/>
  <c r="W486" i="34"/>
  <c r="X486" i="34" s="1"/>
  <c r="J486" i="34"/>
  <c r="K486" i="34" s="1"/>
  <c r="CP485" i="34"/>
  <c r="CB485" i="34"/>
  <c r="CC485" i="34" s="1"/>
  <c r="BO485" i="34"/>
  <c r="BP485" i="34" s="1"/>
  <c r="AZ485" i="34"/>
  <c r="BA485" i="34" s="1"/>
  <c r="AJ485" i="34"/>
  <c r="AK485" i="34" s="1"/>
  <c r="W485" i="34"/>
  <c r="X485" i="34" s="1"/>
  <c r="J485" i="34"/>
  <c r="K485" i="34" s="1"/>
  <c r="CP484" i="34"/>
  <c r="CC484" i="34"/>
  <c r="CB484" i="34"/>
  <c r="BP484" i="34"/>
  <c r="BO484" i="34"/>
  <c r="BA484" i="34"/>
  <c r="AZ484" i="34"/>
  <c r="AK484" i="34"/>
  <c r="AJ484" i="34"/>
  <c r="X484" i="34"/>
  <c r="W484" i="34"/>
  <c r="K484" i="34"/>
  <c r="J484" i="34"/>
  <c r="CP483" i="34"/>
  <c r="CG482" i="34"/>
  <c r="CE482" i="34"/>
  <c r="CA482" i="34"/>
  <c r="BZ482" i="34"/>
  <c r="BX482" i="34"/>
  <c r="BW482" i="34"/>
  <c r="BS482" i="34"/>
  <c r="BR482" i="34"/>
  <c r="BN482" i="34"/>
  <c r="BM482" i="34"/>
  <c r="BI482" i="34"/>
  <c r="BH482" i="34"/>
  <c r="BD482" i="34"/>
  <c r="BC482" i="34"/>
  <c r="AY482" i="34"/>
  <c r="AX482" i="34"/>
  <c r="AV482" i="34"/>
  <c r="AU482" i="34"/>
  <c r="AS482" i="34"/>
  <c r="AR482" i="34"/>
  <c r="AN482" i="34"/>
  <c r="AM482" i="34"/>
  <c r="AI482" i="34"/>
  <c r="AH482" i="34"/>
  <c r="AF482" i="34"/>
  <c r="AE482" i="34"/>
  <c r="AA482" i="34"/>
  <c r="Z482" i="34"/>
  <c r="V482" i="34"/>
  <c r="U482" i="34"/>
  <c r="S482" i="34"/>
  <c r="R482" i="34"/>
  <c r="P482" i="34"/>
  <c r="N482" i="34"/>
  <c r="M482" i="34"/>
  <c r="I482" i="34"/>
  <c r="H482" i="34"/>
  <c r="CP481" i="34"/>
  <c r="CB481" i="34"/>
  <c r="BO481" i="34"/>
  <c r="BO482" i="34" s="1"/>
  <c r="AZ481" i="34"/>
  <c r="BA481" i="34" s="1"/>
  <c r="AJ481" i="34"/>
  <c r="AJ482" i="34" s="1"/>
  <c r="W481" i="34"/>
  <c r="W482" i="34" s="1"/>
  <c r="J481" i="34"/>
  <c r="J482" i="34" s="1"/>
  <c r="CP480" i="34"/>
  <c r="CP479" i="34"/>
  <c r="CL478" i="34"/>
  <c r="CP477" i="34"/>
  <c r="CG476" i="34"/>
  <c r="CE476" i="34"/>
  <c r="CA476" i="34"/>
  <c r="BZ476" i="34"/>
  <c r="BX476" i="34"/>
  <c r="BW476" i="34"/>
  <c r="BS476" i="34"/>
  <c r="BR476" i="34"/>
  <c r="BN476" i="34"/>
  <c r="BM476" i="34"/>
  <c r="BI476" i="34"/>
  <c r="BH476" i="34"/>
  <c r="BD476" i="34"/>
  <c r="BC476" i="34"/>
  <c r="AY476" i="34"/>
  <c r="AX476" i="34"/>
  <c r="AV476" i="34"/>
  <c r="AU476" i="34"/>
  <c r="AS476" i="34"/>
  <c r="AR476" i="34"/>
  <c r="AN476" i="34"/>
  <c r="AM476" i="34"/>
  <c r="AI476" i="34"/>
  <c r="AF476" i="34"/>
  <c r="AE476" i="34"/>
  <c r="AA476" i="34"/>
  <c r="Z476" i="34"/>
  <c r="V476" i="34"/>
  <c r="U476" i="34"/>
  <c r="S476" i="34"/>
  <c r="R476" i="34"/>
  <c r="P476" i="34"/>
  <c r="N476" i="34"/>
  <c r="M476" i="34"/>
  <c r="I476" i="34"/>
  <c r="H476" i="34"/>
  <c r="CP475" i="34"/>
  <c r="CB475" i="34"/>
  <c r="CF475" i="34" s="1"/>
  <c r="BO475" i="34"/>
  <c r="BO476" i="34" s="1"/>
  <c r="AZ475" i="34"/>
  <c r="BA475" i="34" s="1"/>
  <c r="AJ475" i="34"/>
  <c r="AK475" i="34" s="1"/>
  <c r="W475" i="34"/>
  <c r="X475" i="34" s="1"/>
  <c r="J475" i="34"/>
  <c r="J476" i="34" s="1"/>
  <c r="CP474" i="34"/>
  <c r="CG473" i="34"/>
  <c r="CE473" i="34"/>
  <c r="CA473" i="34"/>
  <c r="BZ473" i="34"/>
  <c r="BX473" i="34"/>
  <c r="BW473" i="34"/>
  <c r="BS473" i="34"/>
  <c r="BR473" i="34"/>
  <c r="BN473" i="34"/>
  <c r="BM473" i="34"/>
  <c r="BI473" i="34"/>
  <c r="BH473" i="34"/>
  <c r="BD473" i="34"/>
  <c r="BC473" i="34"/>
  <c r="AY473" i="34"/>
  <c r="AX473" i="34"/>
  <c r="AV473" i="34"/>
  <c r="AU473" i="34"/>
  <c r="AS473" i="34"/>
  <c r="AR473" i="34"/>
  <c r="AN473" i="34"/>
  <c r="AM473" i="34"/>
  <c r="AI473" i="34"/>
  <c r="AF473" i="34"/>
  <c r="AE473" i="34"/>
  <c r="AA473" i="34"/>
  <c r="Z473" i="34"/>
  <c r="V473" i="34"/>
  <c r="U473" i="34"/>
  <c r="S473" i="34"/>
  <c r="R473" i="34"/>
  <c r="P473" i="34"/>
  <c r="N473" i="34"/>
  <c r="M473" i="34"/>
  <c r="I473" i="34"/>
  <c r="H473" i="34"/>
  <c r="CP472" i="34"/>
  <c r="CB472" i="34"/>
  <c r="CB473" i="34" s="1"/>
  <c r="BO472" i="34"/>
  <c r="BO473" i="34" s="1"/>
  <c r="AZ472" i="34"/>
  <c r="AJ472" i="34"/>
  <c r="AK472" i="34" s="1"/>
  <c r="W472" i="34"/>
  <c r="X472" i="34" s="1"/>
  <c r="J472" i="34"/>
  <c r="J473" i="34" s="1"/>
  <c r="CP471" i="34"/>
  <c r="CP470" i="34"/>
  <c r="CL469" i="34"/>
  <c r="CM469" i="34" s="1"/>
  <c r="CP468" i="34"/>
  <c r="CG467" i="34"/>
  <c r="CG469" i="34" s="1"/>
  <c r="CE467" i="34"/>
  <c r="CE469" i="34" s="1"/>
  <c r="CA467" i="34"/>
  <c r="CA469" i="34" s="1"/>
  <c r="BZ467" i="34"/>
  <c r="BZ469" i="34" s="1"/>
  <c r="BX467" i="34"/>
  <c r="BX469" i="34" s="1"/>
  <c r="BW467" i="34"/>
  <c r="BW469" i="34" s="1"/>
  <c r="BS467" i="34"/>
  <c r="BS469" i="34" s="1"/>
  <c r="BR467" i="34"/>
  <c r="BR469" i="34" s="1"/>
  <c r="BN467" i="34"/>
  <c r="BN469" i="34" s="1"/>
  <c r="BM467" i="34"/>
  <c r="BM469" i="34" s="1"/>
  <c r="BI467" i="34"/>
  <c r="BI469" i="34" s="1"/>
  <c r="BH467" i="34"/>
  <c r="BH469" i="34" s="1"/>
  <c r="BD467" i="34"/>
  <c r="BD469" i="34" s="1"/>
  <c r="BC467" i="34"/>
  <c r="BC469" i="34" s="1"/>
  <c r="AY467" i="34"/>
  <c r="AY469" i="34" s="1"/>
  <c r="AX467" i="34"/>
  <c r="AX469" i="34" s="1"/>
  <c r="AV467" i="34"/>
  <c r="AV469" i="34" s="1"/>
  <c r="AU467" i="34"/>
  <c r="AU469" i="34" s="1"/>
  <c r="AS467" i="34"/>
  <c r="AS469" i="34" s="1"/>
  <c r="AR467" i="34"/>
  <c r="AR469" i="34" s="1"/>
  <c r="AN467" i="34"/>
  <c r="AN469" i="34" s="1"/>
  <c r="AM467" i="34"/>
  <c r="AM469" i="34" s="1"/>
  <c r="AI467" i="34"/>
  <c r="AI469" i="34" s="1"/>
  <c r="AF467" i="34"/>
  <c r="AF469" i="34" s="1"/>
  <c r="AE467" i="34"/>
  <c r="AE469" i="34" s="1"/>
  <c r="AA467" i="34"/>
  <c r="AA469" i="34" s="1"/>
  <c r="Z467" i="34"/>
  <c r="Z469" i="34" s="1"/>
  <c r="V467" i="34"/>
  <c r="V469" i="34" s="1"/>
  <c r="U467" i="34"/>
  <c r="U469" i="34" s="1"/>
  <c r="S467" i="34"/>
  <c r="S469" i="34" s="1"/>
  <c r="R467" i="34"/>
  <c r="R469" i="34" s="1"/>
  <c r="P467" i="34"/>
  <c r="P469" i="34" s="1"/>
  <c r="N467" i="34"/>
  <c r="N469" i="34" s="1"/>
  <c r="M467" i="34"/>
  <c r="M469" i="34" s="1"/>
  <c r="I467" i="34"/>
  <c r="I469" i="34" s="1"/>
  <c r="H467" i="34"/>
  <c r="H469" i="34" s="1"/>
  <c r="CP466" i="34"/>
  <c r="CB466" i="34"/>
  <c r="CB467" i="34" s="1"/>
  <c r="BO466" i="34"/>
  <c r="BO467" i="34" s="1"/>
  <c r="AZ466" i="34"/>
  <c r="AZ467" i="34" s="1"/>
  <c r="AJ466" i="34"/>
  <c r="W466" i="34"/>
  <c r="W467" i="34" s="1"/>
  <c r="W469" i="34" s="1"/>
  <c r="J466" i="34"/>
  <c r="J467" i="34" s="1"/>
  <c r="J469" i="34" s="1"/>
  <c r="CP465" i="34"/>
  <c r="CP464" i="34"/>
  <c r="CL463" i="34"/>
  <c r="CM463" i="34" s="1"/>
  <c r="CP462" i="34"/>
  <c r="CG461" i="34"/>
  <c r="CE461" i="34"/>
  <c r="CA461" i="34"/>
  <c r="BZ461" i="34"/>
  <c r="BX461" i="34"/>
  <c r="BW461" i="34"/>
  <c r="BS461" i="34"/>
  <c r="BR461" i="34"/>
  <c r="BN461" i="34"/>
  <c r="BM461" i="34"/>
  <c r="BI461" i="34"/>
  <c r="BH461" i="34"/>
  <c r="BD461" i="34"/>
  <c r="BC461" i="34"/>
  <c r="AY461" i="34"/>
  <c r="AV461" i="34"/>
  <c r="AS461" i="34"/>
  <c r="AR461" i="34"/>
  <c r="AN461" i="34"/>
  <c r="AM461" i="34"/>
  <c r="AI461" i="34"/>
  <c r="AH461" i="34"/>
  <c r="AF461" i="34"/>
  <c r="AE461" i="34"/>
  <c r="AA461" i="34"/>
  <c r="Z461" i="34"/>
  <c r="V461" i="34"/>
  <c r="U461" i="34"/>
  <c r="S461" i="34"/>
  <c r="R461" i="34"/>
  <c r="P461" i="34"/>
  <c r="N461" i="34"/>
  <c r="M461" i="34"/>
  <c r="I461" i="34"/>
  <c r="H461" i="34"/>
  <c r="CP460" i="34"/>
  <c r="CB460" i="34"/>
  <c r="CF460" i="34" s="1"/>
  <c r="BO460" i="34"/>
  <c r="BP460" i="34" s="1"/>
  <c r="AZ460" i="34"/>
  <c r="BA460" i="34" s="1"/>
  <c r="AJ460" i="34"/>
  <c r="AK460" i="34" s="1"/>
  <c r="W460" i="34"/>
  <c r="X460" i="34" s="1"/>
  <c r="J460" i="34"/>
  <c r="CP459" i="34"/>
  <c r="CB459" i="34"/>
  <c r="BO459" i="34"/>
  <c r="BP459" i="34" s="1"/>
  <c r="AZ459" i="34"/>
  <c r="BA459" i="34" s="1"/>
  <c r="AJ459" i="34"/>
  <c r="AK459" i="34" s="1"/>
  <c r="W459" i="34"/>
  <c r="X459" i="34" s="1"/>
  <c r="J459" i="34"/>
  <c r="K459" i="34" s="1"/>
  <c r="CP458" i="34"/>
  <c r="CB458" i="34"/>
  <c r="CF458" i="34" s="1"/>
  <c r="BO458" i="34"/>
  <c r="BP458" i="34" s="1"/>
  <c r="AX458" i="34"/>
  <c r="AU458" i="34"/>
  <c r="AU461" i="34" s="1"/>
  <c r="AJ458" i="34"/>
  <c r="AK458" i="34" s="1"/>
  <c r="W458" i="34"/>
  <c r="X458" i="34" s="1"/>
  <c r="J458" i="34"/>
  <c r="K458" i="34" s="1"/>
  <c r="CP457" i="34"/>
  <c r="CC457" i="34"/>
  <c r="CB457" i="34"/>
  <c r="CF457" i="34" s="1"/>
  <c r="BP457" i="34"/>
  <c r="BO457" i="34"/>
  <c r="BA457" i="34"/>
  <c r="AZ457" i="34"/>
  <c r="AJ457" i="34"/>
  <c r="AK457" i="34" s="1"/>
  <c r="W457" i="34"/>
  <c r="X457" i="34" s="1"/>
  <c r="J457" i="34"/>
  <c r="K457" i="34" s="1"/>
  <c r="CP456" i="34"/>
  <c r="CB456" i="34"/>
  <c r="CF456" i="34" s="1"/>
  <c r="BO456" i="34"/>
  <c r="BP456" i="34" s="1"/>
  <c r="AZ456" i="34"/>
  <c r="BA456" i="34" s="1"/>
  <c r="AJ456" i="34"/>
  <c r="AK456" i="34" s="1"/>
  <c r="W456" i="34"/>
  <c r="X456" i="34" s="1"/>
  <c r="J456" i="34"/>
  <c r="K456" i="34" s="1"/>
  <c r="CP455" i="34"/>
  <c r="CB455" i="34"/>
  <c r="CF455" i="34" s="1"/>
  <c r="BO455" i="34"/>
  <c r="BP455" i="34" s="1"/>
  <c r="AZ455" i="34"/>
  <c r="BA455" i="34" s="1"/>
  <c r="AJ455" i="34"/>
  <c r="AK455" i="34" s="1"/>
  <c r="W455" i="34"/>
  <c r="X455" i="34" s="1"/>
  <c r="J455" i="34"/>
  <c r="K455" i="34" s="1"/>
  <c r="CP454" i="34"/>
  <c r="CB454" i="34"/>
  <c r="BO454" i="34"/>
  <c r="BP454" i="34" s="1"/>
  <c r="AZ454" i="34"/>
  <c r="BA454" i="34" s="1"/>
  <c r="AX454" i="34"/>
  <c r="AU454" i="34"/>
  <c r="AJ454" i="34"/>
  <c r="AK454" i="34" s="1"/>
  <c r="W454" i="34"/>
  <c r="J454" i="34"/>
  <c r="K454" i="34" s="1"/>
  <c r="CP453" i="34"/>
  <c r="CP452" i="34"/>
  <c r="CB452" i="34"/>
  <c r="CF452" i="34" s="1"/>
  <c r="BO452" i="34"/>
  <c r="AZ452" i="34"/>
  <c r="BA452" i="34" s="1"/>
  <c r="AK452" i="34"/>
  <c r="AJ452" i="34"/>
  <c r="CP451" i="34"/>
  <c r="CP449" i="34"/>
  <c r="CG448" i="34"/>
  <c r="CE448" i="34"/>
  <c r="CA448" i="34"/>
  <c r="BZ448" i="34"/>
  <c r="BX448" i="34"/>
  <c r="BR448" i="34"/>
  <c r="BN448" i="34"/>
  <c r="BM448" i="34"/>
  <c r="BI448" i="34"/>
  <c r="BH448" i="34"/>
  <c r="BD448" i="34"/>
  <c r="BC448" i="34"/>
  <c r="AY448" i="34"/>
  <c r="AX448" i="34"/>
  <c r="AV448" i="34"/>
  <c r="AU448" i="34"/>
  <c r="AS448" i="34"/>
  <c r="AR448" i="34"/>
  <c r="AN448" i="34"/>
  <c r="AM448" i="34"/>
  <c r="AI448" i="34"/>
  <c r="AH448" i="34"/>
  <c r="AF448" i="34"/>
  <c r="AE448" i="34"/>
  <c r="AA448" i="34"/>
  <c r="Z448" i="34"/>
  <c r="V448" i="34"/>
  <c r="U448" i="34"/>
  <c r="S448" i="34"/>
  <c r="R448" i="34"/>
  <c r="P448" i="34"/>
  <c r="N448" i="34"/>
  <c r="M448" i="34"/>
  <c r="I448" i="34"/>
  <c r="H448" i="34"/>
  <c r="CP447" i="34"/>
  <c r="CK447" i="34"/>
  <c r="CC447" i="34"/>
  <c r="CB447" i="34"/>
  <c r="CF447" i="34" s="1"/>
  <c r="BP447" i="34"/>
  <c r="BO447" i="34"/>
  <c r="BA447" i="34"/>
  <c r="AZ447" i="34"/>
  <c r="AJ447" i="34"/>
  <c r="AK447" i="34" s="1"/>
  <c r="W447" i="34"/>
  <c r="X447" i="34" s="1"/>
  <c r="J447" i="34"/>
  <c r="K447" i="34" s="1"/>
  <c r="CP446" i="34"/>
  <c r="CB446" i="34"/>
  <c r="CF446" i="34" s="1"/>
  <c r="BO446" i="34"/>
  <c r="BP446" i="34" s="1"/>
  <c r="AZ446" i="34"/>
  <c r="AJ446" i="34"/>
  <c r="AK446" i="34" s="1"/>
  <c r="W446" i="34"/>
  <c r="X446" i="34" s="1"/>
  <c r="J446" i="34"/>
  <c r="K446" i="34" s="1"/>
  <c r="CP445" i="34"/>
  <c r="CB445" i="34"/>
  <c r="CF445" i="34" s="1"/>
  <c r="BZ445" i="34"/>
  <c r="BW445" i="34"/>
  <c r="BW448" i="34" s="1"/>
  <c r="BS445" i="34"/>
  <c r="BS448" i="34" s="1"/>
  <c r="BO445" i="34"/>
  <c r="AZ445" i="34"/>
  <c r="BA445" i="34" s="1"/>
  <c r="AJ445" i="34"/>
  <c r="AK445" i="34" s="1"/>
  <c r="W445" i="34"/>
  <c r="X445" i="34" s="1"/>
  <c r="J445" i="34"/>
  <c r="K445" i="34" s="1"/>
  <c r="CP444" i="34"/>
  <c r="CG443" i="34"/>
  <c r="CE443" i="34"/>
  <c r="CA443" i="34"/>
  <c r="BX443" i="34"/>
  <c r="BR443" i="34"/>
  <c r="BN443" i="34"/>
  <c r="BM443" i="34"/>
  <c r="BI443" i="34"/>
  <c r="BH443" i="34"/>
  <c r="BD443" i="34"/>
  <c r="BC443" i="34"/>
  <c r="AY443" i="34"/>
  <c r="AX443" i="34"/>
  <c r="AV443" i="34"/>
  <c r="AU443" i="34"/>
  <c r="AS443" i="34"/>
  <c r="AR443" i="34"/>
  <c r="AN443" i="34"/>
  <c r="AM443" i="34"/>
  <c r="AI443" i="34"/>
  <c r="AH443" i="34"/>
  <c r="AF443" i="34"/>
  <c r="AE443" i="34"/>
  <c r="AA443" i="34"/>
  <c r="Z443" i="34"/>
  <c r="V443" i="34"/>
  <c r="U443" i="34"/>
  <c r="S443" i="34"/>
  <c r="R443" i="34"/>
  <c r="P443" i="34"/>
  <c r="N443" i="34"/>
  <c r="M443" i="34"/>
  <c r="I443" i="34"/>
  <c r="H443" i="34"/>
  <c r="CP442" i="34"/>
  <c r="CB442" i="34"/>
  <c r="BO442" i="34"/>
  <c r="BP442" i="34" s="1"/>
  <c r="AZ442" i="34"/>
  <c r="BA442" i="34" s="1"/>
  <c r="AJ442" i="34"/>
  <c r="AK442" i="34" s="1"/>
  <c r="W442" i="34"/>
  <c r="X442" i="34" s="1"/>
  <c r="J442" i="34"/>
  <c r="K442" i="34" s="1"/>
  <c r="CP441" i="34"/>
  <c r="CB441" i="34"/>
  <c r="CF441" i="34" s="1"/>
  <c r="BO441" i="34"/>
  <c r="BP441" i="34" s="1"/>
  <c r="AZ441" i="34"/>
  <c r="BA441" i="34" s="1"/>
  <c r="AJ441" i="34"/>
  <c r="AK441" i="34" s="1"/>
  <c r="W441" i="34"/>
  <c r="X441" i="34" s="1"/>
  <c r="J441" i="34"/>
  <c r="K441" i="34" s="1"/>
  <c r="CP440" i="34"/>
  <c r="CK440" i="34"/>
  <c r="CC440" i="34"/>
  <c r="CB440" i="34"/>
  <c r="CF440" i="34" s="1"/>
  <c r="BP440" i="34"/>
  <c r="BO440" i="34"/>
  <c r="AZ440" i="34"/>
  <c r="BA440" i="34" s="1"/>
  <c r="AJ440" i="34"/>
  <c r="AK440" i="34" s="1"/>
  <c r="W440" i="34"/>
  <c r="X440" i="34" s="1"/>
  <c r="J440" i="34"/>
  <c r="K440" i="34" s="1"/>
  <c r="CP439" i="34"/>
  <c r="CB439" i="34"/>
  <c r="CC439" i="34" s="1"/>
  <c r="BO439" i="34"/>
  <c r="BP439" i="34" s="1"/>
  <c r="AZ439" i="34"/>
  <c r="BA439" i="34" s="1"/>
  <c r="AJ439" i="34"/>
  <c r="AK439" i="34" s="1"/>
  <c r="W439" i="34"/>
  <c r="X439" i="34" s="1"/>
  <c r="J439" i="34"/>
  <c r="K439" i="34" s="1"/>
  <c r="CP438" i="34"/>
  <c r="CB438" i="34"/>
  <c r="CF438" i="34" s="1"/>
  <c r="BO438" i="34"/>
  <c r="BP438" i="34" s="1"/>
  <c r="AZ438" i="34"/>
  <c r="BA438" i="34" s="1"/>
  <c r="AJ438" i="34"/>
  <c r="AK438" i="34" s="1"/>
  <c r="W438" i="34"/>
  <c r="X438" i="34" s="1"/>
  <c r="J438" i="34"/>
  <c r="K438" i="34" s="1"/>
  <c r="CP437" i="34"/>
  <c r="BZ437" i="34"/>
  <c r="BW437" i="34"/>
  <c r="BW443" i="34" s="1"/>
  <c r="BS437" i="34"/>
  <c r="BS443" i="34" s="1"/>
  <c r="BO437" i="34"/>
  <c r="BP437" i="34" s="1"/>
  <c r="AZ437" i="34"/>
  <c r="BA437" i="34" s="1"/>
  <c r="AJ437" i="34"/>
  <c r="W437" i="34"/>
  <c r="X437" i="34" s="1"/>
  <c r="J437" i="34"/>
  <c r="K437" i="34" s="1"/>
  <c r="CP436" i="34"/>
  <c r="CP435" i="34"/>
  <c r="CL434" i="34"/>
  <c r="CM434" i="34" s="1"/>
  <c r="CP433" i="34"/>
  <c r="CG432" i="34"/>
  <c r="CE432" i="34"/>
  <c r="CA432" i="34"/>
  <c r="BX432" i="34"/>
  <c r="BR432" i="34"/>
  <c r="BN432" i="34"/>
  <c r="BM432" i="34"/>
  <c r="BI432" i="34"/>
  <c r="BH432" i="34"/>
  <c r="BD432" i="34"/>
  <c r="BC432" i="34"/>
  <c r="AY432" i="34"/>
  <c r="AX432" i="34"/>
  <c r="AV432" i="34"/>
  <c r="AS432" i="34"/>
  <c r="AI432" i="34"/>
  <c r="AH432" i="34"/>
  <c r="AF432" i="34"/>
  <c r="Z432" i="34"/>
  <c r="V432" i="34"/>
  <c r="U432" i="34"/>
  <c r="S432" i="34"/>
  <c r="R432" i="34"/>
  <c r="P432" i="34"/>
  <c r="N432" i="34"/>
  <c r="M432" i="34"/>
  <c r="I432" i="34"/>
  <c r="H432" i="34"/>
  <c r="CP431" i="34"/>
  <c r="CB431" i="34"/>
  <c r="BO431" i="34"/>
  <c r="AZ431" i="34"/>
  <c r="AK431" i="34"/>
  <c r="AJ431" i="34"/>
  <c r="CP430" i="34"/>
  <c r="CB430" i="34"/>
  <c r="BO430" i="34"/>
  <c r="AZ430" i="34"/>
  <c r="CP429" i="34"/>
  <c r="CB429" i="34"/>
  <c r="BO429" i="34"/>
  <c r="BP429" i="34" s="1"/>
  <c r="AZ429" i="34"/>
  <c r="BA429" i="34" s="1"/>
  <c r="AJ429" i="34"/>
  <c r="AK429" i="34" s="1"/>
  <c r="W429" i="34"/>
  <c r="X429" i="34" s="1"/>
  <c r="J429" i="34"/>
  <c r="K429" i="34" s="1"/>
  <c r="CP428" i="34"/>
  <c r="CB428" i="34"/>
  <c r="BO428" i="34"/>
  <c r="BP428" i="34" s="1"/>
  <c r="AZ428" i="34"/>
  <c r="BA428" i="34" s="1"/>
  <c r="AJ428" i="34"/>
  <c r="AK428" i="34" s="1"/>
  <c r="W428" i="34"/>
  <c r="X428" i="34" s="1"/>
  <c r="J428" i="34"/>
  <c r="K428" i="34" s="1"/>
  <c r="CP427" i="34"/>
  <c r="CB427" i="34"/>
  <c r="BO427" i="34"/>
  <c r="AZ427" i="34"/>
  <c r="CP426" i="34"/>
  <c r="CB426" i="34"/>
  <c r="CF426" i="34" s="1"/>
  <c r="BO426" i="34"/>
  <c r="BP426" i="34" s="1"/>
  <c r="AZ426" i="34"/>
  <c r="BA426" i="34" s="1"/>
  <c r="AJ426" i="34"/>
  <c r="AK426" i="34" s="1"/>
  <c r="AE426" i="34"/>
  <c r="AA426" i="34"/>
  <c r="W426" i="34"/>
  <c r="X426" i="34" s="1"/>
  <c r="J426" i="34"/>
  <c r="K426" i="34" s="1"/>
  <c r="CP425" i="34"/>
  <c r="CB425" i="34"/>
  <c r="CF425" i="34" s="1"/>
  <c r="BO425" i="34"/>
  <c r="BP425" i="34" s="1"/>
  <c r="AZ425" i="34"/>
  <c r="BA425" i="34" s="1"/>
  <c r="AJ425" i="34"/>
  <c r="AK425" i="34" s="1"/>
  <c r="W425" i="34"/>
  <c r="X425" i="34" s="1"/>
  <c r="J425" i="34"/>
  <c r="K425" i="34" s="1"/>
  <c r="CP424" i="34"/>
  <c r="CC424" i="34"/>
  <c r="CB424" i="34"/>
  <c r="CF424" i="34" s="1"/>
  <c r="BP424" i="34"/>
  <c r="BO424" i="34"/>
  <c r="BA424" i="34"/>
  <c r="AZ424" i="34"/>
  <c r="AK424" i="34"/>
  <c r="AJ424" i="34"/>
  <c r="W424" i="34"/>
  <c r="X424" i="34" s="1"/>
  <c r="J424" i="34"/>
  <c r="K424" i="34" s="1"/>
  <c r="CP423" i="34"/>
  <c r="CC423" i="34"/>
  <c r="CB423" i="34"/>
  <c r="CF423" i="34" s="1"/>
  <c r="BP423" i="34"/>
  <c r="BO423" i="34"/>
  <c r="BA423" i="34"/>
  <c r="AZ423" i="34"/>
  <c r="AJ423" i="34"/>
  <c r="AK423" i="34" s="1"/>
  <c r="W423" i="34"/>
  <c r="X423" i="34" s="1"/>
  <c r="J423" i="34"/>
  <c r="K423" i="34" s="1"/>
  <c r="CP422" i="34"/>
  <c r="CB422" i="34"/>
  <c r="BO422" i="34"/>
  <c r="BP422" i="34" s="1"/>
  <c r="AZ422" i="34"/>
  <c r="BA422" i="34" s="1"/>
  <c r="AK422" i="34"/>
  <c r="AJ422" i="34"/>
  <c r="X422" i="34"/>
  <c r="W422" i="34"/>
  <c r="K422" i="34"/>
  <c r="J422" i="34"/>
  <c r="CP421" i="34"/>
  <c r="CC421" i="34"/>
  <c r="CB421" i="34"/>
  <c r="CF421" i="34" s="1"/>
  <c r="BP421" i="34"/>
  <c r="BO421" i="34"/>
  <c r="BA421" i="34"/>
  <c r="AZ421" i="34"/>
  <c r="AJ421" i="34"/>
  <c r="AK421" i="34" s="1"/>
  <c r="W421" i="34"/>
  <c r="X421" i="34" s="1"/>
  <c r="J421" i="34"/>
  <c r="K421" i="34" s="1"/>
  <c r="CP420" i="34"/>
  <c r="BZ420" i="34"/>
  <c r="BW420" i="34"/>
  <c r="BS420" i="34"/>
  <c r="BO420" i="34"/>
  <c r="BP420" i="34" s="1"/>
  <c r="AZ420" i="34"/>
  <c r="AX420" i="34"/>
  <c r="AU420" i="34"/>
  <c r="AJ420" i="34"/>
  <c r="AK420" i="34" s="1"/>
  <c r="AE420" i="34"/>
  <c r="AA420" i="34"/>
  <c r="W420" i="34"/>
  <c r="X420" i="34" s="1"/>
  <c r="J420" i="34"/>
  <c r="K420" i="34" s="1"/>
  <c r="CP419" i="34"/>
  <c r="CC419" i="34"/>
  <c r="CB419" i="34"/>
  <c r="CF419" i="34" s="1"/>
  <c r="BP419" i="34"/>
  <c r="BO419" i="34"/>
  <c r="BA419" i="34"/>
  <c r="AZ419" i="34"/>
  <c r="AJ419" i="34"/>
  <c r="AK419" i="34" s="1"/>
  <c r="W419" i="34"/>
  <c r="X419" i="34" s="1"/>
  <c r="J419" i="34"/>
  <c r="K419" i="34" s="1"/>
  <c r="CP418" i="34"/>
  <c r="CB418" i="34"/>
  <c r="CF418" i="34" s="1"/>
  <c r="BO418" i="34"/>
  <c r="BP418" i="34" s="1"/>
  <c r="AZ418" i="34"/>
  <c r="BA418" i="34" s="1"/>
  <c r="AJ418" i="34"/>
  <c r="AK418" i="34" s="1"/>
  <c r="W418" i="34"/>
  <c r="X418" i="34" s="1"/>
  <c r="J418" i="34"/>
  <c r="K418" i="34" s="1"/>
  <c r="CP417" i="34"/>
  <c r="CB417" i="34"/>
  <c r="BO417" i="34"/>
  <c r="BP417" i="34" s="1"/>
  <c r="AZ417" i="34"/>
  <c r="BA417" i="34" s="1"/>
  <c r="AJ417" i="34"/>
  <c r="AK417" i="34" s="1"/>
  <c r="W417" i="34"/>
  <c r="X417" i="34" s="1"/>
  <c r="J417" i="34"/>
  <c r="K417" i="34" s="1"/>
  <c r="CP416" i="34"/>
  <c r="CB416" i="34"/>
  <c r="CF416" i="34" s="1"/>
  <c r="BO416" i="34"/>
  <c r="BP416" i="34" s="1"/>
  <c r="AZ416" i="34"/>
  <c r="BA416" i="34" s="1"/>
  <c r="AJ416" i="34"/>
  <c r="AK416" i="34" s="1"/>
  <c r="W416" i="34"/>
  <c r="X416" i="34" s="1"/>
  <c r="J416" i="34"/>
  <c r="K416" i="34" s="1"/>
  <c r="CP415" i="34"/>
  <c r="CB415" i="34"/>
  <c r="CC415" i="34" s="1"/>
  <c r="BO415" i="34"/>
  <c r="BP415" i="34" s="1"/>
  <c r="AZ415" i="34"/>
  <c r="BA415" i="34" s="1"/>
  <c r="AJ415" i="34"/>
  <c r="AK415" i="34" s="1"/>
  <c r="W415" i="34"/>
  <c r="X415" i="34" s="1"/>
  <c r="J415" i="34"/>
  <c r="K415" i="34" s="1"/>
  <c r="CP414" i="34"/>
  <c r="CC414" i="34"/>
  <c r="CB414" i="34"/>
  <c r="CF414" i="34" s="1"/>
  <c r="BP414" i="34"/>
  <c r="BO414" i="34"/>
  <c r="BA414" i="34"/>
  <c r="AZ414" i="34"/>
  <c r="AJ414" i="34"/>
  <c r="AK414" i="34" s="1"/>
  <c r="W414" i="34"/>
  <c r="X414" i="34" s="1"/>
  <c r="J414" i="34"/>
  <c r="K414" i="34" s="1"/>
  <c r="CP413" i="34"/>
  <c r="CB413" i="34"/>
  <c r="BO413" i="34"/>
  <c r="BP413" i="34" s="1"/>
  <c r="AZ413" i="34"/>
  <c r="BA413" i="34" s="1"/>
  <c r="AJ413" i="34"/>
  <c r="AK413" i="34" s="1"/>
  <c r="W413" i="34"/>
  <c r="X413" i="34" s="1"/>
  <c r="J413" i="34"/>
  <c r="K413" i="34" s="1"/>
  <c r="CP412" i="34"/>
  <c r="CB412" i="34"/>
  <c r="CF412" i="34" s="1"/>
  <c r="BO412" i="34"/>
  <c r="BP412" i="34" s="1"/>
  <c r="AZ412" i="34"/>
  <c r="BA412" i="34" s="1"/>
  <c r="AJ412" i="34"/>
  <c r="AK412" i="34" s="1"/>
  <c r="W412" i="34"/>
  <c r="X412" i="34" s="1"/>
  <c r="J412" i="34"/>
  <c r="K412" i="34" s="1"/>
  <c r="CP411" i="34"/>
  <c r="CB411" i="34"/>
  <c r="CC411" i="34" s="1"/>
  <c r="BO411" i="34"/>
  <c r="BP411" i="34" s="1"/>
  <c r="CP410" i="34"/>
  <c r="CB410" i="34"/>
  <c r="CC410" i="34" s="1"/>
  <c r="BZ410" i="34"/>
  <c r="BW410" i="34"/>
  <c r="BW432" i="34" s="1"/>
  <c r="BS410" i="34"/>
  <c r="BS432" i="34" s="1"/>
  <c r="BO410" i="34"/>
  <c r="BP410" i="34" s="1"/>
  <c r="AZ410" i="34"/>
  <c r="BA410" i="34" s="1"/>
  <c r="AX410" i="34"/>
  <c r="AU410" i="34"/>
  <c r="AJ410" i="34"/>
  <c r="AK410" i="34" s="1"/>
  <c r="AE410" i="34"/>
  <c r="AA410" i="34"/>
  <c r="AA432" i="34" s="1"/>
  <c r="W410" i="34"/>
  <c r="X410" i="34" s="1"/>
  <c r="J410" i="34"/>
  <c r="K410" i="34" s="1"/>
  <c r="CP409" i="34"/>
  <c r="CB409" i="34"/>
  <c r="CF409" i="34" s="1"/>
  <c r="BO409" i="34"/>
  <c r="BP409" i="34" s="1"/>
  <c r="AZ409" i="34"/>
  <c r="BA409" i="34" s="1"/>
  <c r="AJ409" i="34"/>
  <c r="AK409" i="34" s="1"/>
  <c r="W409" i="34"/>
  <c r="X409" i="34" s="1"/>
  <c r="J409" i="34"/>
  <c r="K409" i="34" s="1"/>
  <c r="CP408" i="34"/>
  <c r="CB408" i="34"/>
  <c r="BO408" i="34"/>
  <c r="AZ408" i="34"/>
  <c r="CP407" i="34"/>
  <c r="CB407" i="34"/>
  <c r="BO407" i="34"/>
  <c r="BP407" i="34" s="1"/>
  <c r="AZ407" i="34"/>
  <c r="BA407" i="34" s="1"/>
  <c r="AJ407" i="34"/>
  <c r="AK407" i="34" s="1"/>
  <c r="W407" i="34"/>
  <c r="X407" i="34" s="1"/>
  <c r="J407" i="34"/>
  <c r="K407" i="34" s="1"/>
  <c r="CP406" i="34"/>
  <c r="CB406" i="34"/>
  <c r="BO406" i="34"/>
  <c r="BP406" i="34" s="1"/>
  <c r="AZ406" i="34"/>
  <c r="BA406" i="34" s="1"/>
  <c r="AJ406" i="34"/>
  <c r="AK406" i="34" s="1"/>
  <c r="W406" i="34"/>
  <c r="X406" i="34" s="1"/>
  <c r="J406" i="34"/>
  <c r="K406" i="34" s="1"/>
  <c r="CP405" i="34"/>
  <c r="CB405" i="34"/>
  <c r="BO405" i="34"/>
  <c r="BP405" i="34" s="1"/>
  <c r="AZ405" i="34"/>
  <c r="BA405" i="34" s="1"/>
  <c r="AJ405" i="34"/>
  <c r="AK405" i="34" s="1"/>
  <c r="W405" i="34"/>
  <c r="X405" i="34" s="1"/>
  <c r="J405" i="34"/>
  <c r="K405" i="34" s="1"/>
  <c r="CP404" i="34"/>
  <c r="CB404" i="34"/>
  <c r="CC404" i="34" s="1"/>
  <c r="BO404" i="34"/>
  <c r="BP404" i="34" s="1"/>
  <c r="AZ404" i="34"/>
  <c r="BA404" i="34" s="1"/>
  <c r="AJ404" i="34"/>
  <c r="AK404" i="34" s="1"/>
  <c r="W404" i="34"/>
  <c r="X404" i="34" s="1"/>
  <c r="J404" i="34"/>
  <c r="K404" i="34" s="1"/>
  <c r="CP403" i="34"/>
  <c r="CC403" i="34"/>
  <c r="CB403" i="34"/>
  <c r="CF403" i="34" s="1"/>
  <c r="BP403" i="34"/>
  <c r="BO403" i="34"/>
  <c r="CP402" i="34"/>
  <c r="CB402" i="34"/>
  <c r="BO402" i="34"/>
  <c r="BP402" i="34" s="1"/>
  <c r="AZ402" i="34"/>
  <c r="BA402" i="34" s="1"/>
  <c r="AR402" i="34"/>
  <c r="AN402" i="34"/>
  <c r="AM402" i="34"/>
  <c r="AJ402" i="34"/>
  <c r="W402" i="34"/>
  <c r="X402" i="34" s="1"/>
  <c r="J402" i="34"/>
  <c r="K402" i="34" s="1"/>
  <c r="CP401" i="34"/>
  <c r="CB401" i="34"/>
  <c r="BO401" i="34"/>
  <c r="BP401" i="34" s="1"/>
  <c r="AZ401" i="34"/>
  <c r="BA401" i="34" s="1"/>
  <c r="AJ401" i="34"/>
  <c r="AK401" i="34" s="1"/>
  <c r="W401" i="34"/>
  <c r="X401" i="34" s="1"/>
  <c r="J401" i="34"/>
  <c r="K401" i="34" s="1"/>
  <c r="CP400" i="34"/>
  <c r="CB400" i="34"/>
  <c r="CF400" i="34" s="1"/>
  <c r="BO400" i="34"/>
  <c r="BP400" i="34" s="1"/>
  <c r="AZ400" i="34"/>
  <c r="BA400" i="34" s="1"/>
  <c r="AJ400" i="34"/>
  <c r="AK400" i="34" s="1"/>
  <c r="W400" i="34"/>
  <c r="X400" i="34" s="1"/>
  <c r="J400" i="34"/>
  <c r="K400" i="34" s="1"/>
  <c r="CP399" i="34"/>
  <c r="CB399" i="34"/>
  <c r="CC399" i="34" s="1"/>
  <c r="BO399" i="34"/>
  <c r="BP399" i="34" s="1"/>
  <c r="AZ399" i="34"/>
  <c r="BA399" i="34" s="1"/>
  <c r="AJ399" i="34"/>
  <c r="AK399" i="34" s="1"/>
  <c r="W399" i="34"/>
  <c r="X399" i="34" s="1"/>
  <c r="J399" i="34"/>
  <c r="K399" i="34" s="1"/>
  <c r="CP398" i="34"/>
  <c r="CB398" i="34"/>
  <c r="CC398" i="34" s="1"/>
  <c r="BO398" i="34"/>
  <c r="BP398" i="34" s="1"/>
  <c r="AZ398" i="34"/>
  <c r="BA398" i="34" s="1"/>
  <c r="AJ398" i="34"/>
  <c r="AK398" i="34" s="1"/>
  <c r="W398" i="34"/>
  <c r="X398" i="34" s="1"/>
  <c r="J398" i="34"/>
  <c r="K398" i="34" s="1"/>
  <c r="CP397" i="34"/>
  <c r="CB397" i="34"/>
  <c r="BO397" i="34"/>
  <c r="BP397" i="34" s="1"/>
  <c r="AZ397" i="34"/>
  <c r="BA397" i="34" s="1"/>
  <c r="AR397" i="34"/>
  <c r="AR432" i="34" s="1"/>
  <c r="AN397" i="34"/>
  <c r="AN432" i="34" s="1"/>
  <c r="AM397" i="34"/>
  <c r="AM432" i="34" s="1"/>
  <c r="AJ397" i="34"/>
  <c r="AK397" i="34" s="1"/>
  <c r="W397" i="34"/>
  <c r="X397" i="34" s="1"/>
  <c r="J397" i="34"/>
  <c r="K397" i="34" s="1"/>
  <c r="CP396" i="34"/>
  <c r="CB396" i="34"/>
  <c r="BO396" i="34"/>
  <c r="BP396" i="34" s="1"/>
  <c r="AX396" i="34"/>
  <c r="AU396" i="34"/>
  <c r="AJ396" i="34"/>
  <c r="AK396" i="34" s="1"/>
  <c r="W396" i="34"/>
  <c r="X396" i="34" s="1"/>
  <c r="J396" i="34"/>
  <c r="K396" i="34" s="1"/>
  <c r="CP395" i="34"/>
  <c r="CB395" i="34"/>
  <c r="CF395" i="34" s="1"/>
  <c r="BO395" i="34"/>
  <c r="BP395" i="34" s="1"/>
  <c r="AZ395" i="34"/>
  <c r="BA395" i="34" s="1"/>
  <c r="AJ395" i="34"/>
  <c r="AK395" i="34" s="1"/>
  <c r="W395" i="34"/>
  <c r="X395" i="34" s="1"/>
  <c r="J395" i="34"/>
  <c r="K395" i="34" s="1"/>
  <c r="CP394" i="34"/>
  <c r="CB394" i="34"/>
  <c r="BO394" i="34"/>
  <c r="AZ394" i="34"/>
  <c r="BA394" i="34" s="1"/>
  <c r="AJ394" i="34"/>
  <c r="AK394" i="34" s="1"/>
  <c r="W394" i="34"/>
  <c r="X394" i="34" s="1"/>
  <c r="J394" i="34"/>
  <c r="CP393" i="34"/>
  <c r="CP391" i="34"/>
  <c r="CG390" i="34"/>
  <c r="CE390" i="34"/>
  <c r="BX390" i="34"/>
  <c r="BR390" i="34"/>
  <c r="BN390" i="34"/>
  <c r="BI390" i="34"/>
  <c r="BC390" i="34"/>
  <c r="AY390" i="34"/>
  <c r="AV390" i="34"/>
  <c r="AS390" i="34"/>
  <c r="AR390" i="34"/>
  <c r="AI390" i="34"/>
  <c r="AF390" i="34"/>
  <c r="AE390" i="34"/>
  <c r="AA390" i="34"/>
  <c r="Z390" i="34"/>
  <c r="V390" i="34"/>
  <c r="S390" i="34"/>
  <c r="P390" i="34"/>
  <c r="N390" i="34"/>
  <c r="M390" i="34"/>
  <c r="I390" i="34"/>
  <c r="H390" i="34"/>
  <c r="CP389" i="34"/>
  <c r="CB389" i="34"/>
  <c r="BS389" i="34"/>
  <c r="BO389" i="34"/>
  <c r="BP389" i="34" s="1"/>
  <c r="AZ389" i="34"/>
  <c r="AJ389" i="34"/>
  <c r="W389" i="34"/>
  <c r="J389" i="34"/>
  <c r="CP388" i="34"/>
  <c r="CB388" i="34"/>
  <c r="CC388" i="34" s="1"/>
  <c r="BO388" i="34"/>
  <c r="BP388" i="34" s="1"/>
  <c r="AZ388" i="34"/>
  <c r="AJ388" i="34"/>
  <c r="CP387" i="34"/>
  <c r="CB387" i="34"/>
  <c r="BO387" i="34"/>
  <c r="BP387" i="34" s="1"/>
  <c r="AZ387" i="34"/>
  <c r="AJ387" i="34"/>
  <c r="CP386" i="34"/>
  <c r="CB386" i="34"/>
  <c r="BM386" i="34"/>
  <c r="BO386" i="34" s="1"/>
  <c r="BP386" i="34" s="1"/>
  <c r="BH386" i="34"/>
  <c r="BD386" i="34"/>
  <c r="AZ386" i="34"/>
  <c r="AJ386" i="34"/>
  <c r="W386" i="34"/>
  <c r="J386" i="34"/>
  <c r="CP385" i="34"/>
  <c r="CK385" i="34"/>
  <c r="CB385" i="34"/>
  <c r="CF385" i="34" s="1"/>
  <c r="BO385" i="34"/>
  <c r="BP385" i="34" s="1"/>
  <c r="AZ385" i="34"/>
  <c r="BA385" i="34" s="1"/>
  <c r="AJ385" i="34"/>
  <c r="AK385" i="34" s="1"/>
  <c r="W385" i="34"/>
  <c r="X385" i="34" s="1"/>
  <c r="J385" i="34"/>
  <c r="K385" i="34" s="1"/>
  <c r="CP384" i="34"/>
  <c r="CB384" i="34"/>
  <c r="BO384" i="34"/>
  <c r="BP384" i="34" s="1"/>
  <c r="BM384" i="34"/>
  <c r="BH384" i="34"/>
  <c r="BD384" i="34"/>
  <c r="AZ384" i="34"/>
  <c r="BA384" i="34" s="1"/>
  <c r="AJ384" i="34"/>
  <c r="AK384" i="34" s="1"/>
  <c r="W384" i="34"/>
  <c r="X384" i="34" s="1"/>
  <c r="J384" i="34"/>
  <c r="K384" i="34" s="1"/>
  <c r="CP383" i="34"/>
  <c r="CB383" i="34"/>
  <c r="BO383" i="34"/>
  <c r="BP383" i="34" s="1"/>
  <c r="AZ383" i="34"/>
  <c r="BA383" i="34" s="1"/>
  <c r="AR383" i="34"/>
  <c r="AN383" i="34"/>
  <c r="AM383" i="34"/>
  <c r="AJ383" i="34"/>
  <c r="AK383" i="34" s="1"/>
  <c r="W383" i="34"/>
  <c r="X383" i="34" s="1"/>
  <c r="J383" i="34"/>
  <c r="K383" i="34" s="1"/>
  <c r="CP382" i="34"/>
  <c r="CC382" i="34"/>
  <c r="CB382" i="34"/>
  <c r="CF382" i="34" s="1"/>
  <c r="BP382" i="34"/>
  <c r="BO382" i="34"/>
  <c r="BA382" i="34"/>
  <c r="AZ382" i="34"/>
  <c r="AJ382" i="34"/>
  <c r="AK382" i="34" s="1"/>
  <c r="CP381" i="34"/>
  <c r="CC381" i="34"/>
  <c r="CB381" i="34"/>
  <c r="CF381" i="34" s="1"/>
  <c r="BP381" i="34"/>
  <c r="BO381" i="34"/>
  <c r="AZ381" i="34"/>
  <c r="BA381" i="34" s="1"/>
  <c r="AR381" i="34"/>
  <c r="AN381" i="34"/>
  <c r="AM381" i="34"/>
  <c r="AJ381" i="34"/>
  <c r="AK381" i="34" s="1"/>
  <c r="W381" i="34"/>
  <c r="X381" i="34" s="1"/>
  <c r="J381" i="34"/>
  <c r="K381" i="34" s="1"/>
  <c r="CB380" i="34"/>
  <c r="CF380" i="34" s="1"/>
  <c r="CA380" i="34"/>
  <c r="CA390" i="34" s="1"/>
  <c r="BZ380" i="34"/>
  <c r="BW380" i="34"/>
  <c r="BS380" i="34"/>
  <c r="BO380" i="34"/>
  <c r="BP380" i="34" s="1"/>
  <c r="BM380" i="34"/>
  <c r="BH380" i="34"/>
  <c r="BD380" i="34"/>
  <c r="AX380" i="34"/>
  <c r="AU380" i="34"/>
  <c r="AJ380" i="34"/>
  <c r="AK380" i="34" s="1"/>
  <c r="W380" i="34"/>
  <c r="X380" i="34" s="1"/>
  <c r="J380" i="34"/>
  <c r="K380" i="34" s="1"/>
  <c r="CP379" i="34"/>
  <c r="CB379" i="34"/>
  <c r="CF379" i="34" s="1"/>
  <c r="BO379" i="34"/>
  <c r="BP379" i="34" s="1"/>
  <c r="AX379" i="34"/>
  <c r="AU379" i="34"/>
  <c r="AU390" i="34" s="1"/>
  <c r="AJ379" i="34"/>
  <c r="AK379" i="34" s="1"/>
  <c r="W379" i="34"/>
  <c r="X379" i="34" s="1"/>
  <c r="J379" i="34"/>
  <c r="K379" i="34" s="1"/>
  <c r="CP378" i="34"/>
  <c r="BZ378" i="34"/>
  <c r="BW378" i="34"/>
  <c r="BS378" i="34"/>
  <c r="BS390" i="34" s="1"/>
  <c r="BO378" i="34"/>
  <c r="AZ378" i="34"/>
  <c r="BA378" i="34" s="1"/>
  <c r="AJ378" i="34"/>
  <c r="U378" i="34"/>
  <c r="U390" i="34" s="1"/>
  <c r="R378" i="34"/>
  <c r="N378" i="34"/>
  <c r="J378" i="34"/>
  <c r="K378" i="34" s="1"/>
  <c r="CP377" i="34"/>
  <c r="CG376" i="34"/>
  <c r="CE376" i="34"/>
  <c r="CA376" i="34"/>
  <c r="BZ376" i="34"/>
  <c r="BX376" i="34"/>
  <c r="BW376" i="34"/>
  <c r="BS376" i="34"/>
  <c r="BR376" i="34"/>
  <c r="BN376" i="34"/>
  <c r="BM376" i="34"/>
  <c r="BI376" i="34"/>
  <c r="BH376" i="34"/>
  <c r="BD376" i="34"/>
  <c r="BC376" i="34"/>
  <c r="AY376" i="34"/>
  <c r="AX376" i="34"/>
  <c r="AV376" i="34"/>
  <c r="AU376" i="34"/>
  <c r="AS376" i="34"/>
  <c r="AR376" i="34"/>
  <c r="AN376" i="34"/>
  <c r="AM376" i="34"/>
  <c r="AI376" i="34"/>
  <c r="AF376" i="34"/>
  <c r="AE376" i="34"/>
  <c r="AA376" i="34"/>
  <c r="Z376" i="34"/>
  <c r="V376" i="34"/>
  <c r="U376" i="34"/>
  <c r="S376" i="34"/>
  <c r="R376" i="34"/>
  <c r="P376" i="34"/>
  <c r="N376" i="34"/>
  <c r="M376" i="34"/>
  <c r="I376" i="34"/>
  <c r="H376" i="34"/>
  <c r="CP375" i="34"/>
  <c r="CC375" i="34"/>
  <c r="CB375" i="34"/>
  <c r="CF375" i="34" s="1"/>
  <c r="BP375" i="34"/>
  <c r="BO375" i="34"/>
  <c r="BA375" i="34"/>
  <c r="AZ375" i="34"/>
  <c r="AJ375" i="34"/>
  <c r="CP374" i="34"/>
  <c r="CB374" i="34"/>
  <c r="CF374" i="34" s="1"/>
  <c r="BO374" i="34"/>
  <c r="AZ374" i="34"/>
  <c r="AJ374" i="34"/>
  <c r="AK374" i="34" s="1"/>
  <c r="W374" i="34"/>
  <c r="J374" i="34"/>
  <c r="J376" i="34" s="1"/>
  <c r="CP373" i="34"/>
  <c r="CP372" i="34"/>
  <c r="CL371" i="34"/>
  <c r="CP370" i="34"/>
  <c r="CG369" i="34"/>
  <c r="CE369" i="34"/>
  <c r="CA369" i="34"/>
  <c r="BZ369" i="34"/>
  <c r="BX369" i="34"/>
  <c r="BW369" i="34"/>
  <c r="BR369" i="34"/>
  <c r="BN369" i="34"/>
  <c r="BI369" i="34"/>
  <c r="BH369" i="34"/>
  <c r="BC369" i="34"/>
  <c r="AY369" i="34"/>
  <c r="AV369" i="34"/>
  <c r="AU369" i="34"/>
  <c r="AS369" i="34"/>
  <c r="AN369" i="34"/>
  <c r="AM369" i="34"/>
  <c r="AI369" i="34"/>
  <c r="AH369" i="34"/>
  <c r="AF369" i="34"/>
  <c r="AE369" i="34"/>
  <c r="AA369" i="34"/>
  <c r="Z369" i="34"/>
  <c r="V369" i="34"/>
  <c r="U369" i="34"/>
  <c r="S369" i="34"/>
  <c r="R369" i="34"/>
  <c r="P369" i="34"/>
  <c r="N369" i="34"/>
  <c r="M369" i="34"/>
  <c r="I369" i="34"/>
  <c r="H369" i="34"/>
  <c r="CP368" i="34"/>
  <c r="CB368" i="34"/>
  <c r="BO368" i="34"/>
  <c r="CP367" i="34"/>
  <c r="CB367" i="34"/>
  <c r="BO367" i="34"/>
  <c r="CP366" i="34"/>
  <c r="CB366" i="34"/>
  <c r="BO366" i="34"/>
  <c r="BP366" i="34" s="1"/>
  <c r="BM366" i="34"/>
  <c r="BH366" i="34"/>
  <c r="BD366" i="34"/>
  <c r="AZ366" i="34"/>
  <c r="BA366" i="34" s="1"/>
  <c r="AJ366" i="34"/>
  <c r="AK366" i="34" s="1"/>
  <c r="W366" i="34"/>
  <c r="X366" i="34" s="1"/>
  <c r="J366" i="34"/>
  <c r="K366" i="34" s="1"/>
  <c r="CP365" i="34"/>
  <c r="CB365" i="34"/>
  <c r="CF365" i="34" s="1"/>
  <c r="BO365" i="34"/>
  <c r="BP365" i="34" s="1"/>
  <c r="AZ365" i="34"/>
  <c r="BA365" i="34" s="1"/>
  <c r="AJ365" i="34"/>
  <c r="AK365" i="34" s="1"/>
  <c r="W365" i="34"/>
  <c r="X365" i="34" s="1"/>
  <c r="J365" i="34"/>
  <c r="K365" i="34" s="1"/>
  <c r="CP364" i="34"/>
  <c r="CB364" i="34"/>
  <c r="CC364" i="34" s="1"/>
  <c r="BO364" i="34"/>
  <c r="BP364" i="34" s="1"/>
  <c r="AZ364" i="34"/>
  <c r="BA364" i="34" s="1"/>
  <c r="AJ364" i="34"/>
  <c r="AK364" i="34" s="1"/>
  <c r="W364" i="34"/>
  <c r="X364" i="34" s="1"/>
  <c r="J364" i="34"/>
  <c r="K364" i="34" s="1"/>
  <c r="CP363" i="34"/>
  <c r="CB363" i="34"/>
  <c r="BO363" i="34"/>
  <c r="BP363" i="34" s="1"/>
  <c r="AZ363" i="34"/>
  <c r="BA363" i="34" s="1"/>
  <c r="AJ363" i="34"/>
  <c r="AK363" i="34" s="1"/>
  <c r="W363" i="34"/>
  <c r="X363" i="34" s="1"/>
  <c r="J363" i="34"/>
  <c r="K363" i="34" s="1"/>
  <c r="CP362" i="34"/>
  <c r="CB362" i="34"/>
  <c r="CF362" i="34" s="1"/>
  <c r="BO362" i="34"/>
  <c r="BP362" i="34" s="1"/>
  <c r="AZ362" i="34"/>
  <c r="BA362" i="34" s="1"/>
  <c r="AJ362" i="34"/>
  <c r="AK362" i="34" s="1"/>
  <c r="W362" i="34"/>
  <c r="X362" i="34" s="1"/>
  <c r="J362" i="34"/>
  <c r="K362" i="34" s="1"/>
  <c r="CP361" i="34"/>
  <c r="CB361" i="34"/>
  <c r="CF361" i="34" s="1"/>
  <c r="BO361" i="34"/>
  <c r="BP361" i="34" s="1"/>
  <c r="AZ361" i="34"/>
  <c r="BA361" i="34" s="1"/>
  <c r="AJ361" i="34"/>
  <c r="AK361" i="34" s="1"/>
  <c r="W361" i="34"/>
  <c r="X361" i="34" s="1"/>
  <c r="J361" i="34"/>
  <c r="K361" i="34" s="1"/>
  <c r="CP360" i="34"/>
  <c r="CB360" i="34"/>
  <c r="BO360" i="34"/>
  <c r="BP360" i="34" s="1"/>
  <c r="AZ360" i="34"/>
  <c r="BA360" i="34" s="1"/>
  <c r="AJ360" i="34"/>
  <c r="AK360" i="34" s="1"/>
  <c r="W360" i="34"/>
  <c r="X360" i="34" s="1"/>
  <c r="J360" i="34"/>
  <c r="K360" i="34" s="1"/>
  <c r="CB359" i="34"/>
  <c r="BM359" i="34"/>
  <c r="BH359" i="34"/>
  <c r="CP359" i="34" s="1"/>
  <c r="BD359" i="34"/>
  <c r="AZ359" i="34"/>
  <c r="BA359" i="34" s="1"/>
  <c r="AK359" i="34"/>
  <c r="AJ359" i="34"/>
  <c r="X359" i="34"/>
  <c r="W359" i="34"/>
  <c r="K359" i="34"/>
  <c r="J359" i="34"/>
  <c r="CP358" i="34"/>
  <c r="CC358" i="34"/>
  <c r="CB358" i="34"/>
  <c r="CF358" i="34" s="1"/>
  <c r="BP358" i="34"/>
  <c r="BO358" i="34"/>
  <c r="AZ358" i="34"/>
  <c r="BA358" i="34" s="1"/>
  <c r="AJ358" i="34"/>
  <c r="AK358" i="34" s="1"/>
  <c r="W358" i="34"/>
  <c r="X358" i="34" s="1"/>
  <c r="J358" i="34"/>
  <c r="K358" i="34" s="1"/>
  <c r="CP357" i="34"/>
  <c r="CB357" i="34"/>
  <c r="CC357" i="34" s="1"/>
  <c r="BO357" i="34"/>
  <c r="BP357" i="34" s="1"/>
  <c r="AZ357" i="34"/>
  <c r="BA357" i="34" s="1"/>
  <c r="AJ357" i="34"/>
  <c r="AK357" i="34" s="1"/>
  <c r="W357" i="34"/>
  <c r="X357" i="34" s="1"/>
  <c r="J357" i="34"/>
  <c r="K357" i="34" s="1"/>
  <c r="CP356" i="34"/>
  <c r="CC356" i="34"/>
  <c r="CB356" i="34"/>
  <c r="CF356" i="34" s="1"/>
  <c r="BP356" i="34"/>
  <c r="BO356" i="34"/>
  <c r="AZ356" i="34"/>
  <c r="BA356" i="34" s="1"/>
  <c r="AJ356" i="34"/>
  <c r="AK356" i="34" s="1"/>
  <c r="W356" i="34"/>
  <c r="X356" i="34" s="1"/>
  <c r="J356" i="34"/>
  <c r="K356" i="34" s="1"/>
  <c r="CP355" i="34"/>
  <c r="CB355" i="34"/>
  <c r="BO355" i="34"/>
  <c r="BP355" i="34" s="1"/>
  <c r="AZ355" i="34"/>
  <c r="BA355" i="34" s="1"/>
  <c r="AJ355" i="34"/>
  <c r="AK355" i="34" s="1"/>
  <c r="W355" i="34"/>
  <c r="X355" i="34" s="1"/>
  <c r="J355" i="34"/>
  <c r="K355" i="34" s="1"/>
  <c r="CP354" i="34"/>
  <c r="CB354" i="34"/>
  <c r="CF354" i="34" s="1"/>
  <c r="BO354" i="34"/>
  <c r="BP354" i="34" s="1"/>
  <c r="AZ354" i="34"/>
  <c r="BA354" i="34" s="1"/>
  <c r="AJ354" i="34"/>
  <c r="AK354" i="34" s="1"/>
  <c r="W354" i="34"/>
  <c r="X354" i="34" s="1"/>
  <c r="J354" i="34"/>
  <c r="K354" i="34" s="1"/>
  <c r="CP353" i="34"/>
  <c r="CC353" i="34"/>
  <c r="CB353" i="34"/>
  <c r="CF353" i="34" s="1"/>
  <c r="BP353" i="34"/>
  <c r="BO353" i="34"/>
  <c r="AZ353" i="34"/>
  <c r="BA353" i="34" s="1"/>
  <c r="AJ353" i="34"/>
  <c r="AK353" i="34" s="1"/>
  <c r="W353" i="34"/>
  <c r="X353" i="34" s="1"/>
  <c r="J353" i="34"/>
  <c r="K353" i="34" s="1"/>
  <c r="CP352" i="34"/>
  <c r="CB352" i="34"/>
  <c r="CF352" i="34" s="1"/>
  <c r="BO352" i="34"/>
  <c r="BP352" i="34" s="1"/>
  <c r="AZ352" i="34"/>
  <c r="BA352" i="34" s="1"/>
  <c r="AJ352" i="34"/>
  <c r="AK352" i="34" s="1"/>
  <c r="W352" i="34"/>
  <c r="X352" i="34" s="1"/>
  <c r="J352" i="34"/>
  <c r="K352" i="34" s="1"/>
  <c r="CP351" i="34"/>
  <c r="CC351" i="34"/>
  <c r="CB351" i="34"/>
  <c r="CF351" i="34" s="1"/>
  <c r="BP351" i="34"/>
  <c r="BO351" i="34"/>
  <c r="AZ351" i="34"/>
  <c r="BA351" i="34" s="1"/>
  <c r="AJ351" i="34"/>
  <c r="AK351" i="34" s="1"/>
  <c r="W351" i="34"/>
  <c r="X351" i="34" s="1"/>
  <c r="J351" i="34"/>
  <c r="K351" i="34" s="1"/>
  <c r="CP350" i="34"/>
  <c r="CB350" i="34"/>
  <c r="CF350" i="34" s="1"/>
  <c r="BP350" i="34"/>
  <c r="BO350" i="34"/>
  <c r="BA350" i="34"/>
  <c r="AZ350" i="34"/>
  <c r="AK350" i="34"/>
  <c r="AJ350" i="34"/>
  <c r="X350" i="34"/>
  <c r="W350" i="34"/>
  <c r="K350" i="34"/>
  <c r="J350" i="34"/>
  <c r="CP349" i="34"/>
  <c r="CB349" i="34"/>
  <c r="CC349" i="34" s="1"/>
  <c r="BO349" i="34"/>
  <c r="BP349" i="34" s="1"/>
  <c r="AZ349" i="34"/>
  <c r="BA349" i="34" s="1"/>
  <c r="AJ349" i="34"/>
  <c r="AK349" i="34" s="1"/>
  <c r="W349" i="34"/>
  <c r="X349" i="34" s="1"/>
  <c r="J349" i="34"/>
  <c r="K349" i="34" s="1"/>
  <c r="CP348" i="34"/>
  <c r="CC348" i="34"/>
  <c r="CB348" i="34"/>
  <c r="CF348" i="34" s="1"/>
  <c r="BO348" i="34"/>
  <c r="BP348" i="34" s="1"/>
  <c r="BA348" i="34"/>
  <c r="AZ348" i="34"/>
  <c r="AK348" i="34"/>
  <c r="AJ348" i="34"/>
  <c r="X348" i="34"/>
  <c r="W348" i="34"/>
  <c r="K348" i="34"/>
  <c r="J348" i="34"/>
  <c r="CP347" i="34"/>
  <c r="CB347" i="34"/>
  <c r="BO347" i="34"/>
  <c r="BP347" i="34" s="1"/>
  <c r="AZ347" i="34"/>
  <c r="BA347" i="34" s="1"/>
  <c r="AJ347" i="34"/>
  <c r="AK347" i="34" s="1"/>
  <c r="W347" i="34"/>
  <c r="X347" i="34" s="1"/>
  <c r="J347" i="34"/>
  <c r="K347" i="34" s="1"/>
  <c r="CP346" i="34"/>
  <c r="CB346" i="34"/>
  <c r="BO346" i="34"/>
  <c r="BP346" i="34" s="1"/>
  <c r="AZ346" i="34"/>
  <c r="BA346" i="34" s="1"/>
  <c r="AJ346" i="34"/>
  <c r="AK346" i="34" s="1"/>
  <c r="W346" i="34"/>
  <c r="X346" i="34" s="1"/>
  <c r="J346" i="34"/>
  <c r="K346" i="34" s="1"/>
  <c r="CP345" i="34"/>
  <c r="CB345" i="34"/>
  <c r="CC345" i="34" s="1"/>
  <c r="BO345" i="34"/>
  <c r="BP345" i="34" s="1"/>
  <c r="AZ345" i="34"/>
  <c r="BA345" i="34" s="1"/>
  <c r="AR345" i="34"/>
  <c r="AR369" i="34" s="1"/>
  <c r="AN345" i="34"/>
  <c r="AM345" i="34"/>
  <c r="AJ345" i="34"/>
  <c r="AK345" i="34" s="1"/>
  <c r="W345" i="34"/>
  <c r="X345" i="34" s="1"/>
  <c r="J345" i="34"/>
  <c r="K345" i="34" s="1"/>
  <c r="CP344" i="34"/>
  <c r="CC344" i="34"/>
  <c r="CB344" i="34"/>
  <c r="CF344" i="34" s="1"/>
  <c r="BS344" i="34"/>
  <c r="BO344" i="34"/>
  <c r="BP344" i="34" s="1"/>
  <c r="AZ344" i="34"/>
  <c r="BA344" i="34" s="1"/>
  <c r="AJ344" i="34"/>
  <c r="AK344" i="34" s="1"/>
  <c r="W344" i="34"/>
  <c r="X344" i="34" s="1"/>
  <c r="J344" i="34"/>
  <c r="K344" i="34" s="1"/>
  <c r="CP343" i="34"/>
  <c r="CB343" i="34"/>
  <c r="CC343" i="34" s="1"/>
  <c r="BO343" i="34"/>
  <c r="BP343" i="34" s="1"/>
  <c r="AZ343" i="34"/>
  <c r="BA343" i="34" s="1"/>
  <c r="AJ343" i="34"/>
  <c r="AK343" i="34" s="1"/>
  <c r="W343" i="34"/>
  <c r="X343" i="34" s="1"/>
  <c r="J343" i="34"/>
  <c r="K343" i="34" s="1"/>
  <c r="CP342" i="34"/>
  <c r="CC342" i="34"/>
  <c r="CB342" i="34"/>
  <c r="CF342" i="34" s="1"/>
  <c r="BP342" i="34"/>
  <c r="BO342" i="34"/>
  <c r="CP341" i="34"/>
  <c r="CB341" i="34"/>
  <c r="BS341" i="34"/>
  <c r="BS369" i="34" s="1"/>
  <c r="BO341" i="34"/>
  <c r="BP341" i="34" s="1"/>
  <c r="BA341" i="34"/>
  <c r="AZ341" i="34"/>
  <c r="AK341" i="34"/>
  <c r="AJ341" i="34"/>
  <c r="W341" i="34"/>
  <c r="X341" i="34" s="1"/>
  <c r="J341" i="34"/>
  <c r="K341" i="34" s="1"/>
  <c r="CP340" i="34"/>
  <c r="CC340" i="34"/>
  <c r="CB340" i="34"/>
  <c r="CF340" i="34" s="1"/>
  <c r="BP340" i="34"/>
  <c r="BO340" i="34"/>
  <c r="AZ340" i="34"/>
  <c r="BA340" i="34" s="1"/>
  <c r="AJ340" i="34"/>
  <c r="AK340" i="34" s="1"/>
  <c r="W340" i="34"/>
  <c r="X340" i="34" s="1"/>
  <c r="J340" i="34"/>
  <c r="K340" i="34" s="1"/>
  <c r="CP339" i="34"/>
  <c r="CC339" i="34"/>
  <c r="CB339" i="34"/>
  <c r="CF339" i="34" s="1"/>
  <c r="BP339" i="34"/>
  <c r="BO339" i="34"/>
  <c r="AZ339" i="34"/>
  <c r="BA339" i="34" s="1"/>
  <c r="AJ339" i="34"/>
  <c r="AK339" i="34" s="1"/>
  <c r="W339" i="34"/>
  <c r="X339" i="34" s="1"/>
  <c r="J339" i="34"/>
  <c r="K339" i="34" s="1"/>
  <c r="CP338" i="34"/>
  <c r="CC338" i="34"/>
  <c r="CB338" i="34"/>
  <c r="CF338" i="34" s="1"/>
  <c r="BP338" i="34"/>
  <c r="BO338" i="34"/>
  <c r="AZ338" i="34"/>
  <c r="BA338" i="34" s="1"/>
  <c r="AJ338" i="34"/>
  <c r="AK338" i="34" s="1"/>
  <c r="W338" i="34"/>
  <c r="X338" i="34" s="1"/>
  <c r="J338" i="34"/>
  <c r="K338" i="34" s="1"/>
  <c r="CP337" i="34"/>
  <c r="CB337" i="34"/>
  <c r="CF337" i="34" s="1"/>
  <c r="BO337" i="34"/>
  <c r="BP337" i="34" s="1"/>
  <c r="AZ337" i="34"/>
  <c r="BA337" i="34" s="1"/>
  <c r="AJ337" i="34"/>
  <c r="AK337" i="34" s="1"/>
  <c r="W337" i="34"/>
  <c r="X337" i="34" s="1"/>
  <c r="J337" i="34"/>
  <c r="K337" i="34" s="1"/>
  <c r="CP336" i="34"/>
  <c r="CC336" i="34"/>
  <c r="CB336" i="34"/>
  <c r="CF336" i="34" s="1"/>
  <c r="BP336" i="34"/>
  <c r="BO336" i="34"/>
  <c r="AZ336" i="34"/>
  <c r="BA336" i="34" s="1"/>
  <c r="AJ336" i="34"/>
  <c r="AK336" i="34" s="1"/>
  <c r="W336" i="34"/>
  <c r="X336" i="34" s="1"/>
  <c r="J336" i="34"/>
  <c r="K336" i="34" s="1"/>
  <c r="CP335" i="34"/>
  <c r="CB335" i="34"/>
  <c r="BO335" i="34"/>
  <c r="BP335" i="34" s="1"/>
  <c r="AZ335" i="34"/>
  <c r="BA335" i="34" s="1"/>
  <c r="AX335" i="34"/>
  <c r="AX369" i="34" s="1"/>
  <c r="AU335" i="34"/>
  <c r="AJ335" i="34"/>
  <c r="AK335" i="34" s="1"/>
  <c r="W335" i="34"/>
  <c r="X335" i="34" s="1"/>
  <c r="J335" i="34"/>
  <c r="K335" i="34" s="1"/>
  <c r="CP334" i="34"/>
  <c r="CB334" i="34"/>
  <c r="BO334" i="34"/>
  <c r="BP334" i="34" s="1"/>
  <c r="AZ334" i="34"/>
  <c r="BA334" i="34" s="1"/>
  <c r="AJ334" i="34"/>
  <c r="AK334" i="34" s="1"/>
  <c r="W334" i="34"/>
  <c r="X334" i="34" s="1"/>
  <c r="J334" i="34"/>
  <c r="K334" i="34" s="1"/>
  <c r="CP333" i="34"/>
  <c r="CB333" i="34"/>
  <c r="BO333" i="34"/>
  <c r="BP333" i="34" s="1"/>
  <c r="AZ333" i="34"/>
  <c r="BA333" i="34" s="1"/>
  <c r="AJ333" i="34"/>
  <c r="AK333" i="34" s="1"/>
  <c r="W333" i="34"/>
  <c r="X333" i="34" s="1"/>
  <c r="J333" i="34"/>
  <c r="K333" i="34" s="1"/>
  <c r="CP332" i="34"/>
  <c r="CB332" i="34"/>
  <c r="CF332" i="34" s="1"/>
  <c r="BO332" i="34"/>
  <c r="BP332" i="34" s="1"/>
  <c r="AZ332" i="34"/>
  <c r="AJ332" i="34"/>
  <c r="W332" i="34"/>
  <c r="X332" i="34" s="1"/>
  <c r="J332" i="34"/>
  <c r="K332" i="34" s="1"/>
  <c r="CP331" i="34"/>
  <c r="CP329" i="34"/>
  <c r="CE328" i="34"/>
  <c r="CA328" i="34"/>
  <c r="BZ328" i="34"/>
  <c r="BX328" i="34"/>
  <c r="BR328" i="34"/>
  <c r="BM328" i="34"/>
  <c r="BI328" i="34"/>
  <c r="BH328" i="34"/>
  <c r="BC328" i="34"/>
  <c r="AY328" i="34"/>
  <c r="AX328" i="34"/>
  <c r="AV328" i="34"/>
  <c r="AS328" i="34"/>
  <c r="AN328" i="34"/>
  <c r="AI328" i="34"/>
  <c r="AH328" i="34"/>
  <c r="AF328" i="34"/>
  <c r="AE328" i="34"/>
  <c r="AA328" i="34"/>
  <c r="Z328" i="34"/>
  <c r="V328" i="34"/>
  <c r="S328" i="34"/>
  <c r="P328" i="34"/>
  <c r="M328" i="34"/>
  <c r="I328" i="34"/>
  <c r="H328" i="34"/>
  <c r="CP327" i="34"/>
  <c r="CC327" i="34"/>
  <c r="CB327" i="34"/>
  <c r="CF327" i="34" s="1"/>
  <c r="BP327" i="34"/>
  <c r="BO327" i="34"/>
  <c r="BA327" i="34"/>
  <c r="AZ327" i="34"/>
  <c r="AK327" i="34"/>
  <c r="AJ327" i="34"/>
  <c r="CP326" i="34"/>
  <c r="CB326" i="34"/>
  <c r="BO326" i="34"/>
  <c r="BP326" i="34" s="1"/>
  <c r="AZ326" i="34"/>
  <c r="BA326" i="34" s="1"/>
  <c r="AJ326" i="34"/>
  <c r="AK326" i="34" s="1"/>
  <c r="CP325" i="34"/>
  <c r="CC325" i="34"/>
  <c r="CB325" i="34"/>
  <c r="CF325" i="34" s="1"/>
  <c r="BO325" i="34"/>
  <c r="BP325" i="34" s="1"/>
  <c r="AZ325" i="34"/>
  <c r="BA325" i="34" s="1"/>
  <c r="AK325" i="34"/>
  <c r="AJ325" i="34"/>
  <c r="CP324" i="34"/>
  <c r="CB324" i="34"/>
  <c r="BO324" i="34"/>
  <c r="BP324" i="34" s="1"/>
  <c r="AZ324" i="34"/>
  <c r="BA324" i="34" s="1"/>
  <c r="AX324" i="34"/>
  <c r="AU324" i="34"/>
  <c r="AJ324" i="34"/>
  <c r="AK324" i="34" s="1"/>
  <c r="W324" i="34"/>
  <c r="X324" i="34" s="1"/>
  <c r="J324" i="34"/>
  <c r="K324" i="34" s="1"/>
  <c r="CP323" i="34"/>
  <c r="CK323" i="34"/>
  <c r="BZ323" i="34"/>
  <c r="CB323" i="34" s="1"/>
  <c r="CF323" i="34" s="1"/>
  <c r="BW323" i="34"/>
  <c r="BS323" i="34"/>
  <c r="BO323" i="34"/>
  <c r="BP323" i="34" s="1"/>
  <c r="AZ323" i="34"/>
  <c r="AX323" i="34"/>
  <c r="AU323" i="34"/>
  <c r="AR323" i="34"/>
  <c r="AN323" i="34"/>
  <c r="AM323" i="34"/>
  <c r="AJ323" i="34"/>
  <c r="AK323" i="34" s="1"/>
  <c r="V323" i="34"/>
  <c r="W323" i="34" s="1"/>
  <c r="X323" i="34" s="1"/>
  <c r="J323" i="34"/>
  <c r="K323" i="34" s="1"/>
  <c r="CP322" i="34"/>
  <c r="CK322" i="34"/>
  <c r="BZ322" i="34"/>
  <c r="CB322" i="34" s="1"/>
  <c r="CF322" i="34" s="1"/>
  <c r="BW322" i="34"/>
  <c r="BW328" i="34" s="1"/>
  <c r="BS322" i="34"/>
  <c r="BO322" i="34"/>
  <c r="BP322" i="34" s="1"/>
  <c r="AZ322" i="34"/>
  <c r="AX322" i="34"/>
  <c r="AU322" i="34"/>
  <c r="AJ322" i="34"/>
  <c r="AK322" i="34" s="1"/>
  <c r="W322" i="34"/>
  <c r="X322" i="34" s="1"/>
  <c r="J322" i="34"/>
  <c r="K322" i="34" s="1"/>
  <c r="CP321" i="34"/>
  <c r="CG321" i="34"/>
  <c r="CB321" i="34"/>
  <c r="BN321" i="34"/>
  <c r="AZ321" i="34"/>
  <c r="AX321" i="34"/>
  <c r="AU321" i="34"/>
  <c r="AJ321" i="34"/>
  <c r="AK321" i="34" s="1"/>
  <c r="W321" i="34"/>
  <c r="X321" i="34" s="1"/>
  <c r="J321" i="34"/>
  <c r="K321" i="34" s="1"/>
  <c r="CP320" i="34"/>
  <c r="CC320" i="34"/>
  <c r="CB320" i="34"/>
  <c r="CF320" i="34" s="1"/>
  <c r="BP320" i="34"/>
  <c r="BO320" i="34"/>
  <c r="BA320" i="34"/>
  <c r="AZ320" i="34"/>
  <c r="AK320" i="34"/>
  <c r="AJ320" i="34"/>
  <c r="W320" i="34"/>
  <c r="X320" i="34" s="1"/>
  <c r="J320" i="34"/>
  <c r="K320" i="34" s="1"/>
  <c r="CP319" i="34"/>
  <c r="CC319" i="34"/>
  <c r="CB319" i="34"/>
  <c r="CF319" i="34" s="1"/>
  <c r="BN319" i="34"/>
  <c r="BO319" i="34" s="1"/>
  <c r="BP319" i="34" s="1"/>
  <c r="AZ319" i="34"/>
  <c r="BA319" i="34" s="1"/>
  <c r="AJ319" i="34"/>
  <c r="AK319" i="34" s="1"/>
  <c r="W319" i="34"/>
  <c r="X319" i="34" s="1"/>
  <c r="J319" i="34"/>
  <c r="K319" i="34" s="1"/>
  <c r="CP318" i="34"/>
  <c r="CB318" i="34"/>
  <c r="CF318" i="34" s="1"/>
  <c r="BO318" i="34"/>
  <c r="BP318" i="34" s="1"/>
  <c r="BN318" i="34"/>
  <c r="AZ318" i="34"/>
  <c r="AX318" i="34"/>
  <c r="AU318" i="34"/>
  <c r="AJ318" i="34"/>
  <c r="AK318" i="34" s="1"/>
  <c r="W318" i="34"/>
  <c r="X318" i="34" s="1"/>
  <c r="J318" i="34"/>
  <c r="K318" i="34" s="1"/>
  <c r="CP317" i="34"/>
  <c r="CC317" i="34"/>
  <c r="CB317" i="34"/>
  <c r="CF317" i="34" s="1"/>
  <c r="BP317" i="34"/>
  <c r="BO317" i="34"/>
  <c r="BA317" i="34"/>
  <c r="AZ317" i="34"/>
  <c r="AK317" i="34"/>
  <c r="AJ317" i="34"/>
  <c r="W317" i="34"/>
  <c r="X317" i="34" s="1"/>
  <c r="J317" i="34"/>
  <c r="K317" i="34" s="1"/>
  <c r="CP316" i="34"/>
  <c r="CP315" i="34"/>
  <c r="CC315" i="34"/>
  <c r="CB315" i="34"/>
  <c r="CF315" i="34" s="1"/>
  <c r="BP315" i="34"/>
  <c r="BO315" i="34"/>
  <c r="BA315" i="34"/>
  <c r="AZ315" i="34"/>
  <c r="AK315" i="34"/>
  <c r="AJ315" i="34"/>
  <c r="W315" i="34"/>
  <c r="X315" i="34" s="1"/>
  <c r="J315" i="34"/>
  <c r="K315" i="34" s="1"/>
  <c r="CP314" i="34"/>
  <c r="CG314" i="34"/>
  <c r="CB314" i="34"/>
  <c r="CC314" i="34" s="1"/>
  <c r="BO314" i="34"/>
  <c r="BP314" i="34" s="1"/>
  <c r="AZ314" i="34"/>
  <c r="BA314" i="34" s="1"/>
  <c r="AR314" i="34"/>
  <c r="AN314" i="34"/>
  <c r="AM314" i="34"/>
  <c r="AJ314" i="34"/>
  <c r="AK314" i="34" s="1"/>
  <c r="W314" i="34"/>
  <c r="X314" i="34" s="1"/>
  <c r="J314" i="34"/>
  <c r="K314" i="34" s="1"/>
  <c r="CP313" i="34"/>
  <c r="CB313" i="34"/>
  <c r="CF313" i="34" s="1"/>
  <c r="BO313" i="34"/>
  <c r="BP313" i="34" s="1"/>
  <c r="BM313" i="34"/>
  <c r="BH313" i="34"/>
  <c r="BD313" i="34"/>
  <c r="AZ313" i="34"/>
  <c r="BA313" i="34" s="1"/>
  <c r="AJ313" i="34"/>
  <c r="AK313" i="34" s="1"/>
  <c r="W313" i="34"/>
  <c r="X313" i="34" s="1"/>
  <c r="J313" i="34"/>
  <c r="K313" i="34" s="1"/>
  <c r="CP312" i="34"/>
  <c r="CC312" i="34"/>
  <c r="CB312" i="34"/>
  <c r="CF312" i="34" s="1"/>
  <c r="BP312" i="34"/>
  <c r="BO312" i="34"/>
  <c r="BA312" i="34"/>
  <c r="AZ312" i="34"/>
  <c r="AK312" i="34"/>
  <c r="AJ312" i="34"/>
  <c r="X312" i="34"/>
  <c r="W312" i="34"/>
  <c r="K312" i="34"/>
  <c r="J312" i="34"/>
  <c r="CP311" i="34"/>
  <c r="CB311" i="34"/>
  <c r="CC311" i="34" s="1"/>
  <c r="BO311" i="34"/>
  <c r="BP311" i="34" s="1"/>
  <c r="AZ311" i="34"/>
  <c r="BA311" i="34" s="1"/>
  <c r="AJ311" i="34"/>
  <c r="AK311" i="34" s="1"/>
  <c r="W311" i="34"/>
  <c r="X311" i="34" s="1"/>
  <c r="J311" i="34"/>
  <c r="K311" i="34" s="1"/>
  <c r="CP310" i="34"/>
  <c r="CC310" i="34"/>
  <c r="CB310" i="34"/>
  <c r="CF310" i="34" s="1"/>
  <c r="BP310" i="34"/>
  <c r="BO310" i="34"/>
  <c r="AZ310" i="34"/>
  <c r="BA310" i="34" s="1"/>
  <c r="AJ310" i="34"/>
  <c r="AK310" i="34" s="1"/>
  <c r="W310" i="34"/>
  <c r="U310" i="34"/>
  <c r="U328" i="34" s="1"/>
  <c r="R310" i="34"/>
  <c r="N310" i="34"/>
  <c r="J310" i="34"/>
  <c r="K310" i="34" s="1"/>
  <c r="I310" i="34"/>
  <c r="CP309" i="34"/>
  <c r="CB309" i="34"/>
  <c r="CC309" i="34" s="1"/>
  <c r="BO309" i="34"/>
  <c r="BP309" i="34" s="1"/>
  <c r="BM309" i="34"/>
  <c r="BH309" i="34"/>
  <c r="BD309" i="34"/>
  <c r="BD328" i="34" s="1"/>
  <c r="AZ309" i="34"/>
  <c r="BA309" i="34" s="1"/>
  <c r="AJ309" i="34"/>
  <c r="W309" i="34"/>
  <c r="X309" i="34" s="1"/>
  <c r="J309" i="34"/>
  <c r="K309" i="34" s="1"/>
  <c r="CP308" i="34"/>
  <c r="CB308" i="34"/>
  <c r="BO308" i="34"/>
  <c r="BP308" i="34" s="1"/>
  <c r="AZ308" i="34"/>
  <c r="BA308" i="34" s="1"/>
  <c r="AR308" i="34"/>
  <c r="AR328" i="34" s="1"/>
  <c r="AN308" i="34"/>
  <c r="AM308" i="34"/>
  <c r="AM328" i="34" s="1"/>
  <c r="AK308" i="34"/>
  <c r="W308" i="34"/>
  <c r="X308" i="34" s="1"/>
  <c r="U308" i="34"/>
  <c r="R308" i="34"/>
  <c r="N308" i="34"/>
  <c r="N328" i="34" s="1"/>
  <c r="J308" i="34"/>
  <c r="K308" i="34" s="1"/>
  <c r="CP307" i="34"/>
  <c r="CF307" i="34"/>
  <c r="CC307" i="34"/>
  <c r="BP307" i="34"/>
  <c r="BA307" i="34"/>
  <c r="AK307" i="34"/>
  <c r="CP306" i="34"/>
  <c r="CG305" i="34"/>
  <c r="CE305" i="34"/>
  <c r="CA305" i="34"/>
  <c r="BZ305" i="34"/>
  <c r="BX305" i="34"/>
  <c r="BW305" i="34"/>
  <c r="BS305" i="34"/>
  <c r="BR305" i="34"/>
  <c r="BN305" i="34"/>
  <c r="BM305" i="34"/>
  <c r="BI305" i="34"/>
  <c r="BH305" i="34"/>
  <c r="BD305" i="34"/>
  <c r="BC305" i="34"/>
  <c r="AY305" i="34"/>
  <c r="AX305" i="34"/>
  <c r="AV305" i="34"/>
  <c r="AU305" i="34"/>
  <c r="AS305" i="34"/>
  <c r="AR305" i="34"/>
  <c r="AN305" i="34"/>
  <c r="AM305" i="34"/>
  <c r="AI305" i="34"/>
  <c r="AH305" i="34"/>
  <c r="AF305" i="34"/>
  <c r="AE305" i="34"/>
  <c r="AA305" i="34"/>
  <c r="Z305" i="34"/>
  <c r="V305" i="34"/>
  <c r="U305" i="34"/>
  <c r="U330" i="34" s="1"/>
  <c r="S305" i="34"/>
  <c r="R305" i="34"/>
  <c r="P305" i="34"/>
  <c r="N305" i="34"/>
  <c r="M305" i="34"/>
  <c r="I305" i="34"/>
  <c r="H305" i="34"/>
  <c r="CP304" i="34"/>
  <c r="CK304" i="34"/>
  <c r="CC304" i="34"/>
  <c r="CB304" i="34"/>
  <c r="CF304" i="34" s="1"/>
  <c r="BO304" i="34"/>
  <c r="BP304" i="34" s="1"/>
  <c r="AZ304" i="34"/>
  <c r="BA304" i="34" s="1"/>
  <c r="AJ304" i="34"/>
  <c r="AK304" i="34" s="1"/>
  <c r="W304" i="34"/>
  <c r="X304" i="34" s="1"/>
  <c r="K304" i="34"/>
  <c r="J304" i="34"/>
  <c r="CP303" i="34"/>
  <c r="CK303" i="34"/>
  <c r="CB303" i="34"/>
  <c r="BO303" i="34"/>
  <c r="BP303" i="34" s="1"/>
  <c r="AZ303" i="34"/>
  <c r="BA303" i="34" s="1"/>
  <c r="CP302" i="34"/>
  <c r="CC302" i="34"/>
  <c r="CB302" i="34"/>
  <c r="CF302" i="34" s="1"/>
  <c r="BP302" i="34"/>
  <c r="BO302" i="34"/>
  <c r="BA302" i="34"/>
  <c r="AZ302" i="34"/>
  <c r="AK302" i="34"/>
  <c r="AJ302" i="34"/>
  <c r="X302" i="34"/>
  <c r="W302" i="34"/>
  <c r="K302" i="34"/>
  <c r="J302" i="34"/>
  <c r="CP301" i="34"/>
  <c r="CB301" i="34"/>
  <c r="CF301" i="34" s="1"/>
  <c r="BO301" i="34"/>
  <c r="AZ301" i="34"/>
  <c r="AJ301" i="34"/>
  <c r="W301" i="34"/>
  <c r="X301" i="34" s="1"/>
  <c r="J301" i="34"/>
  <c r="K301" i="34" s="1"/>
  <c r="CP300" i="34"/>
  <c r="CP299" i="34"/>
  <c r="CP298" i="34"/>
  <c r="CP296" i="34"/>
  <c r="CL295" i="34"/>
  <c r="CM295" i="34" s="1"/>
  <c r="CP294" i="34"/>
  <c r="CG293" i="34"/>
  <c r="CE293" i="34"/>
  <c r="CA293" i="34"/>
  <c r="BZ293" i="34"/>
  <c r="BX293" i="34"/>
  <c r="BX295" i="34" s="1"/>
  <c r="BW293" i="34"/>
  <c r="BW295" i="34" s="1"/>
  <c r="BS293" i="34"/>
  <c r="BS295" i="34" s="1"/>
  <c r="BR293" i="34"/>
  <c r="BR295" i="34" s="1"/>
  <c r="BN293" i="34"/>
  <c r="BN295" i="34" s="1"/>
  <c r="BM293" i="34"/>
  <c r="BM295" i="34" s="1"/>
  <c r="BI293" i="34"/>
  <c r="BI295" i="34" s="1"/>
  <c r="BH293" i="34"/>
  <c r="BH295" i="34" s="1"/>
  <c r="BD293" i="34"/>
  <c r="BD295" i="34" s="1"/>
  <c r="BC293" i="34"/>
  <c r="BC295" i="34" s="1"/>
  <c r="AY293" i="34"/>
  <c r="AY295" i="34" s="1"/>
  <c r="AX293" i="34"/>
  <c r="AX295" i="34" s="1"/>
  <c r="AV293" i="34"/>
  <c r="AV295" i="34" s="1"/>
  <c r="AU293" i="34"/>
  <c r="AU295" i="34" s="1"/>
  <c r="AS293" i="34"/>
  <c r="AS295" i="34" s="1"/>
  <c r="AR293" i="34"/>
  <c r="AR295" i="34" s="1"/>
  <c r="AN293" i="34"/>
  <c r="AN295" i="34" s="1"/>
  <c r="AM293" i="34"/>
  <c r="AM295" i="34" s="1"/>
  <c r="AI293" i="34"/>
  <c r="AI295" i="34" s="1"/>
  <c r="AF293" i="34"/>
  <c r="AF295" i="34" s="1"/>
  <c r="AE293" i="34"/>
  <c r="AE295" i="34" s="1"/>
  <c r="AA293" i="34"/>
  <c r="AA295" i="34" s="1"/>
  <c r="Z293" i="34"/>
  <c r="Z295" i="34" s="1"/>
  <c r="V293" i="34"/>
  <c r="V295" i="34" s="1"/>
  <c r="U293" i="34"/>
  <c r="S293" i="34"/>
  <c r="S295" i="34" s="1"/>
  <c r="R293" i="34"/>
  <c r="R295" i="34" s="1"/>
  <c r="P293" i="34"/>
  <c r="P295" i="34" s="1"/>
  <c r="N293" i="34"/>
  <c r="N295" i="34" s="1"/>
  <c r="M293" i="34"/>
  <c r="M295" i="34" s="1"/>
  <c r="I293" i="34"/>
  <c r="I295" i="34" s="1"/>
  <c r="H293" i="34"/>
  <c r="H295" i="34" s="1"/>
  <c r="CP292" i="34"/>
  <c r="CC292" i="34"/>
  <c r="CB292" i="34"/>
  <c r="CF292" i="34" s="1"/>
  <c r="BP292" i="34"/>
  <c r="BO292" i="34"/>
  <c r="AZ292" i="34"/>
  <c r="BA292" i="34" s="1"/>
  <c r="AJ292" i="34"/>
  <c r="AK292" i="34" s="1"/>
  <c r="W292" i="34"/>
  <c r="X292" i="34" s="1"/>
  <c r="J292" i="34"/>
  <c r="K292" i="34" s="1"/>
  <c r="CP291" i="34"/>
  <c r="CB291" i="34"/>
  <c r="BO291" i="34"/>
  <c r="CP290" i="34"/>
  <c r="CC290" i="34"/>
  <c r="CB290" i="34"/>
  <c r="CF290" i="34" s="1"/>
  <c r="BO290" i="34"/>
  <c r="BP290" i="34" s="1"/>
  <c r="AZ290" i="34"/>
  <c r="BA290" i="34" s="1"/>
  <c r="AJ290" i="34"/>
  <c r="AK290" i="34" s="1"/>
  <c r="W290" i="34"/>
  <c r="X290" i="34" s="1"/>
  <c r="J290" i="34"/>
  <c r="K290" i="34" s="1"/>
  <c r="CP289" i="34"/>
  <c r="CB289" i="34"/>
  <c r="CF289" i="34" s="1"/>
  <c r="BO289" i="34"/>
  <c r="BP289" i="34" s="1"/>
  <c r="AZ289" i="34"/>
  <c r="AJ289" i="34"/>
  <c r="AK289" i="34" s="1"/>
  <c r="W289" i="34"/>
  <c r="X289" i="34" s="1"/>
  <c r="J289" i="34"/>
  <c r="K289" i="34" s="1"/>
  <c r="CP288" i="34"/>
  <c r="CB288" i="34"/>
  <c r="BO288" i="34"/>
  <c r="AZ288" i="34"/>
  <c r="BA288" i="34" s="1"/>
  <c r="AJ288" i="34"/>
  <c r="W288" i="34"/>
  <c r="J288" i="34"/>
  <c r="CP287" i="34"/>
  <c r="CP285" i="34"/>
  <c r="CP284" i="34"/>
  <c r="CG284" i="34"/>
  <c r="CG286" i="34" s="1"/>
  <c r="CE284" i="34"/>
  <c r="CE286" i="34" s="1"/>
  <c r="CB284" i="34"/>
  <c r="CB286" i="34" s="1"/>
  <c r="CF286" i="34" s="1"/>
  <c r="CA284" i="34"/>
  <c r="CA286" i="34" s="1"/>
  <c r="BZ284" i="34"/>
  <c r="BZ286" i="34" s="1"/>
  <c r="CP283" i="34"/>
  <c r="CP282" i="34"/>
  <c r="CP281" i="34"/>
  <c r="CP280" i="34"/>
  <c r="CL279" i="34"/>
  <c r="CP278" i="34"/>
  <c r="CG277" i="34"/>
  <c r="CE277" i="34"/>
  <c r="CA277" i="34"/>
  <c r="BZ277" i="34"/>
  <c r="BX277" i="34"/>
  <c r="BW277" i="34"/>
  <c r="BS277" i="34"/>
  <c r="BR277" i="34"/>
  <c r="BM277" i="34"/>
  <c r="BI277" i="34"/>
  <c r="BH277" i="34"/>
  <c r="BD277" i="34"/>
  <c r="BC277" i="34"/>
  <c r="AY277" i="34"/>
  <c r="AX277" i="34"/>
  <c r="AV277" i="34"/>
  <c r="AU277" i="34"/>
  <c r="AS277" i="34"/>
  <c r="AR277" i="34"/>
  <c r="AN277" i="34"/>
  <c r="AM277" i="34"/>
  <c r="AI277" i="34"/>
  <c r="AH277" i="34"/>
  <c r="AF277" i="34"/>
  <c r="AE277" i="34"/>
  <c r="AA277" i="34"/>
  <c r="Z277" i="34"/>
  <c r="V277" i="34"/>
  <c r="U277" i="34"/>
  <c r="S277" i="34"/>
  <c r="R277" i="34"/>
  <c r="P277" i="34"/>
  <c r="N277" i="34"/>
  <c r="M277" i="34"/>
  <c r="I277" i="34"/>
  <c r="H277" i="34"/>
  <c r="CP276" i="34"/>
  <c r="CC276" i="34"/>
  <c r="CB276" i="34"/>
  <c r="CF276" i="34" s="1"/>
  <c r="BP276" i="34"/>
  <c r="BO276" i="34"/>
  <c r="AZ276" i="34"/>
  <c r="BA276" i="34" s="1"/>
  <c r="AJ276" i="34"/>
  <c r="AK276" i="34" s="1"/>
  <c r="W276" i="34"/>
  <c r="X276" i="34" s="1"/>
  <c r="J276" i="34"/>
  <c r="K276" i="34" s="1"/>
  <c r="CP275" i="34"/>
  <c r="CC275" i="34"/>
  <c r="CB275" i="34"/>
  <c r="CF275" i="34" s="1"/>
  <c r="BP275" i="34"/>
  <c r="BO275" i="34"/>
  <c r="AZ275" i="34"/>
  <c r="BA275" i="34" s="1"/>
  <c r="AJ275" i="34"/>
  <c r="AK275" i="34" s="1"/>
  <c r="W275" i="34"/>
  <c r="X275" i="34" s="1"/>
  <c r="J275" i="34"/>
  <c r="K275" i="34" s="1"/>
  <c r="CP274" i="34"/>
  <c r="CB274" i="34"/>
  <c r="BO274" i="34"/>
  <c r="CP273" i="34"/>
  <c r="CC273" i="34"/>
  <c r="CB273" i="34"/>
  <c r="CF273" i="34" s="1"/>
  <c r="BO273" i="34"/>
  <c r="BP273" i="34" s="1"/>
  <c r="AZ273" i="34"/>
  <c r="BA273" i="34" s="1"/>
  <c r="AJ273" i="34"/>
  <c r="AK273" i="34" s="1"/>
  <c r="W273" i="34"/>
  <c r="J273" i="34"/>
  <c r="K273" i="34" s="1"/>
  <c r="CP272" i="34"/>
  <c r="CB272" i="34"/>
  <c r="BN272" i="34"/>
  <c r="BN277" i="34" s="1"/>
  <c r="AZ272" i="34"/>
  <c r="BA272" i="34" s="1"/>
  <c r="AJ272" i="34"/>
  <c r="AK272" i="34" s="1"/>
  <c r="W272" i="34"/>
  <c r="X272" i="34" s="1"/>
  <c r="J272" i="34"/>
  <c r="K272" i="34" s="1"/>
  <c r="CP271" i="34"/>
  <c r="CB271" i="34"/>
  <c r="CC271" i="34" s="1"/>
  <c r="BO271" i="34"/>
  <c r="BP271" i="34" s="1"/>
  <c r="AZ271" i="34"/>
  <c r="AJ271" i="34"/>
  <c r="AK271" i="34" s="1"/>
  <c r="W271" i="34"/>
  <c r="X271" i="34" s="1"/>
  <c r="J271" i="34"/>
  <c r="K271" i="34" s="1"/>
  <c r="CP270" i="34"/>
  <c r="CC270" i="34"/>
  <c r="CB270" i="34"/>
  <c r="CF270" i="34" s="1"/>
  <c r="BP270" i="34"/>
  <c r="BO270" i="34"/>
  <c r="BA270" i="34"/>
  <c r="AZ270" i="34"/>
  <c r="AK270" i="34"/>
  <c r="AJ270" i="34"/>
  <c r="W270" i="34"/>
  <c r="X270" i="34" s="1"/>
  <c r="J270" i="34"/>
  <c r="K270" i="34" s="1"/>
  <c r="CP269" i="34"/>
  <c r="BX268" i="34"/>
  <c r="BW268" i="34"/>
  <c r="BS268" i="34"/>
  <c r="BR268" i="34"/>
  <c r="BN268" i="34"/>
  <c r="BM268" i="34"/>
  <c r="BI268" i="34"/>
  <c r="BH268" i="34"/>
  <c r="BD268" i="34"/>
  <c r="BC268" i="34"/>
  <c r="AY268" i="34"/>
  <c r="AX268" i="34"/>
  <c r="AV268" i="34"/>
  <c r="AU268" i="34"/>
  <c r="AS268" i="34"/>
  <c r="AR268" i="34"/>
  <c r="AN268" i="34"/>
  <c r="AM268" i="34"/>
  <c r="AI268" i="34"/>
  <c r="AF268" i="34"/>
  <c r="AE268" i="34"/>
  <c r="AA268" i="34"/>
  <c r="Z268" i="34"/>
  <c r="V268" i="34"/>
  <c r="U268" i="34"/>
  <c r="S268" i="34"/>
  <c r="R268" i="34"/>
  <c r="P268" i="34"/>
  <c r="N268" i="34"/>
  <c r="M268" i="34"/>
  <c r="I268" i="34"/>
  <c r="H268" i="34"/>
  <c r="CP267" i="34"/>
  <c r="CP266" i="34"/>
  <c r="CG266" i="34"/>
  <c r="CE266" i="34"/>
  <c r="CB266" i="34"/>
  <c r="CA266" i="34"/>
  <c r="BZ266" i="34"/>
  <c r="CP265" i="34"/>
  <c r="CP264" i="34"/>
  <c r="CP263" i="34"/>
  <c r="CP262" i="34"/>
  <c r="CG262" i="34"/>
  <c r="CE262" i="34"/>
  <c r="CA262" i="34"/>
  <c r="BZ262" i="34"/>
  <c r="CP261" i="34"/>
  <c r="CC261" i="34"/>
  <c r="CB261" i="34"/>
  <c r="CF261" i="34" s="1"/>
  <c r="BP261" i="34"/>
  <c r="BO261" i="34"/>
  <c r="BA261" i="34"/>
  <c r="AZ261" i="34"/>
  <c r="AK261" i="34"/>
  <c r="AJ261" i="34"/>
  <c r="X261" i="34"/>
  <c r="W261" i="34"/>
  <c r="J261" i="34"/>
  <c r="K261" i="34" s="1"/>
  <c r="CP260" i="34"/>
  <c r="CB260" i="34"/>
  <c r="CC260" i="34" s="1"/>
  <c r="BO260" i="34"/>
  <c r="BP260" i="34" s="1"/>
  <c r="AZ260" i="34"/>
  <c r="AJ260" i="34"/>
  <c r="AK260" i="34" s="1"/>
  <c r="W260" i="34"/>
  <c r="J260" i="34"/>
  <c r="K260" i="34" s="1"/>
  <c r="CP259" i="34"/>
  <c r="CP258" i="34"/>
  <c r="CL257" i="34"/>
  <c r="CM257" i="34" s="1"/>
  <c r="CP256" i="34"/>
  <c r="CP254" i="34"/>
  <c r="CG253" i="34"/>
  <c r="CE253" i="34"/>
  <c r="CA253" i="34"/>
  <c r="BZ253" i="34"/>
  <c r="BX253" i="34"/>
  <c r="BW253" i="34"/>
  <c r="BS253" i="34"/>
  <c r="BR253" i="34"/>
  <c r="BN253" i="34"/>
  <c r="BM253" i="34"/>
  <c r="BI253" i="34"/>
  <c r="BH253" i="34"/>
  <c r="BD253" i="34"/>
  <c r="BC253" i="34"/>
  <c r="AY253" i="34"/>
  <c r="AX253" i="34"/>
  <c r="AV253" i="34"/>
  <c r="AU253" i="34"/>
  <c r="AS253" i="34"/>
  <c r="AR253" i="34"/>
  <c r="AN253" i="34"/>
  <c r="AM253" i="34"/>
  <c r="AI253" i="34"/>
  <c r="AF253" i="34"/>
  <c r="AE253" i="34"/>
  <c r="AA253" i="34"/>
  <c r="Z253" i="34"/>
  <c r="V253" i="34"/>
  <c r="U253" i="34"/>
  <c r="S253" i="34"/>
  <c r="R253" i="34"/>
  <c r="P253" i="34"/>
  <c r="N253" i="34"/>
  <c r="M253" i="34"/>
  <c r="I253" i="34"/>
  <c r="H253" i="34"/>
  <c r="CP252" i="34"/>
  <c r="CC252" i="34"/>
  <c r="CB252" i="34"/>
  <c r="CF252" i="34" s="1"/>
  <c r="BP252" i="34"/>
  <c r="BO252" i="34"/>
  <c r="BA252" i="34"/>
  <c r="AZ252" i="34"/>
  <c r="AK252" i="34"/>
  <c r="AJ252" i="34"/>
  <c r="X252" i="34"/>
  <c r="W252" i="34"/>
  <c r="K252" i="34"/>
  <c r="J252" i="34"/>
  <c r="CP251" i="34"/>
  <c r="CB251" i="34"/>
  <c r="BO251" i="34"/>
  <c r="BP251" i="34" s="1"/>
  <c r="AZ251" i="34"/>
  <c r="AJ251" i="34"/>
  <c r="AK251" i="34" s="1"/>
  <c r="W251" i="34"/>
  <c r="J251" i="34"/>
  <c r="K251" i="34" s="1"/>
  <c r="CP250" i="34"/>
  <c r="CG249" i="34"/>
  <c r="CE249" i="34"/>
  <c r="CA249" i="34"/>
  <c r="BZ249" i="34"/>
  <c r="BX249" i="34"/>
  <c r="BW249" i="34"/>
  <c r="BS249" i="34"/>
  <c r="BR249" i="34"/>
  <c r="BN249" i="34"/>
  <c r="BM249" i="34"/>
  <c r="BI249" i="34"/>
  <c r="BH249" i="34"/>
  <c r="BD249" i="34"/>
  <c r="BC249" i="34"/>
  <c r="AY249" i="34"/>
  <c r="AX249" i="34"/>
  <c r="AV249" i="34"/>
  <c r="AU249" i="34"/>
  <c r="AS249" i="34"/>
  <c r="AR249" i="34"/>
  <c r="AN249" i="34"/>
  <c r="AM249" i="34"/>
  <c r="AI249" i="34"/>
  <c r="AF249" i="34"/>
  <c r="AE249" i="34"/>
  <c r="AA249" i="34"/>
  <c r="Z249" i="34"/>
  <c r="V249" i="34"/>
  <c r="U249" i="34"/>
  <c r="S249" i="34"/>
  <c r="R249" i="34"/>
  <c r="P249" i="34"/>
  <c r="N249" i="34"/>
  <c r="M249" i="34"/>
  <c r="I249" i="34"/>
  <c r="H249" i="34"/>
  <c r="CP248" i="34"/>
  <c r="CK248" i="34"/>
  <c r="CC248" i="34"/>
  <c r="CB248" i="34"/>
  <c r="CF248" i="34" s="1"/>
  <c r="BP248" i="34"/>
  <c r="BO248" i="34"/>
  <c r="BA248" i="34"/>
  <c r="AZ248" i="34"/>
  <c r="AK248" i="34"/>
  <c r="AJ248" i="34"/>
  <c r="X248" i="34"/>
  <c r="W248" i="34"/>
  <c r="J248" i="34"/>
  <c r="K248" i="34" s="1"/>
  <c r="CP247" i="34"/>
  <c r="CB247" i="34"/>
  <c r="BO247" i="34"/>
  <c r="AZ247" i="34"/>
  <c r="AJ247" i="34"/>
  <c r="W247" i="34"/>
  <c r="J247" i="34"/>
  <c r="K247" i="34" s="1"/>
  <c r="CP246" i="34"/>
  <c r="CP245" i="34"/>
  <c r="AK244" i="34"/>
  <c r="CP243" i="34"/>
  <c r="CG242" i="34"/>
  <c r="CG244" i="34" s="1"/>
  <c r="CA242" i="34"/>
  <c r="CA244" i="34" s="1"/>
  <c r="BZ242" i="34"/>
  <c r="BZ244" i="34" s="1"/>
  <c r="CC244" i="34" s="1"/>
  <c r="BW242" i="34"/>
  <c r="BW244" i="34" s="1"/>
  <c r="BS242" i="34"/>
  <c r="BS244" i="34" s="1"/>
  <c r="BR242" i="34"/>
  <c r="BR244" i="34" s="1"/>
  <c r="BN242" i="34"/>
  <c r="BN244" i="34" s="1"/>
  <c r="BM242" i="34"/>
  <c r="BM244" i="34" s="1"/>
  <c r="BP244" i="34" s="1"/>
  <c r="BH242" i="34"/>
  <c r="BD242" i="34"/>
  <c r="BD244" i="34" s="1"/>
  <c r="BC242" i="34"/>
  <c r="BC244" i="34" s="1"/>
  <c r="AY242" i="34"/>
  <c r="AY244" i="34" s="1"/>
  <c r="AX242" i="34"/>
  <c r="AX244" i="34" s="1"/>
  <c r="BA244" i="34" s="1"/>
  <c r="AV242" i="34"/>
  <c r="AV244" i="34" s="1"/>
  <c r="AU242" i="34"/>
  <c r="AU244" i="34" s="1"/>
  <c r="AS242" i="34"/>
  <c r="AS244" i="34" s="1"/>
  <c r="AR242" i="34"/>
  <c r="AR244" i="34" s="1"/>
  <c r="AN242" i="34"/>
  <c r="AN244" i="34" s="1"/>
  <c r="AM242" i="34"/>
  <c r="AM244" i="34" s="1"/>
  <c r="AK242" i="34"/>
  <c r="AI242" i="34"/>
  <c r="AI244" i="34" s="1"/>
  <c r="AF242" i="34"/>
  <c r="AF244" i="34" s="1"/>
  <c r="AE242" i="34"/>
  <c r="AE244" i="34" s="1"/>
  <c r="AA242" i="34"/>
  <c r="AA244" i="34" s="1"/>
  <c r="Z242" i="34"/>
  <c r="Z244" i="34" s="1"/>
  <c r="V242" i="34"/>
  <c r="V244" i="34" s="1"/>
  <c r="U242" i="34"/>
  <c r="U244" i="34" s="1"/>
  <c r="X244" i="34" s="1"/>
  <c r="S242" i="34"/>
  <c r="S244" i="34" s="1"/>
  <c r="R242" i="34"/>
  <c r="R244" i="34" s="1"/>
  <c r="P242" i="34"/>
  <c r="P244" i="34" s="1"/>
  <c r="N242" i="34"/>
  <c r="N244" i="34" s="1"/>
  <c r="M242" i="34"/>
  <c r="M244" i="34" s="1"/>
  <c r="I242" i="34"/>
  <c r="I244" i="34" s="1"/>
  <c r="H242" i="34"/>
  <c r="H244" i="34" s="1"/>
  <c r="CP241" i="34"/>
  <c r="CC241" i="34"/>
  <c r="CB241" i="34"/>
  <c r="CF241" i="34" s="1"/>
  <c r="BP241" i="34"/>
  <c r="BO241" i="34"/>
  <c r="BO242" i="34" s="1"/>
  <c r="BO244" i="34" s="1"/>
  <c r="BA241" i="34"/>
  <c r="AZ241" i="34"/>
  <c r="AZ242" i="34" s="1"/>
  <c r="AZ244" i="34" s="1"/>
  <c r="AK241" i="34"/>
  <c r="AJ241" i="34"/>
  <c r="AJ242" i="34" s="1"/>
  <c r="AJ244" i="34" s="1"/>
  <c r="X241" i="34"/>
  <c r="W241" i="34"/>
  <c r="W242" i="34" s="1"/>
  <c r="W244" i="34" s="1"/>
  <c r="J241" i="34"/>
  <c r="J242" i="34" s="1"/>
  <c r="J244" i="34" s="1"/>
  <c r="CP240" i="34"/>
  <c r="CP239" i="34"/>
  <c r="CL238" i="34"/>
  <c r="CM238" i="34" s="1"/>
  <c r="CP237" i="34"/>
  <c r="CG236" i="34"/>
  <c r="CE236" i="34"/>
  <c r="CA236" i="34"/>
  <c r="BZ236" i="34"/>
  <c r="BX236" i="34"/>
  <c r="BS236" i="34"/>
  <c r="BR236" i="34"/>
  <c r="BM236" i="34"/>
  <c r="BI236" i="34"/>
  <c r="BC236" i="34"/>
  <c r="AY236" i="34"/>
  <c r="AX236" i="34"/>
  <c r="AV236" i="34"/>
  <c r="AS236" i="34"/>
  <c r="AR236" i="34"/>
  <c r="AN236" i="34"/>
  <c r="AM236" i="34"/>
  <c r="AI236" i="34"/>
  <c r="AF236" i="34"/>
  <c r="Z236" i="34"/>
  <c r="V236" i="34"/>
  <c r="U236" i="34"/>
  <c r="S236" i="34"/>
  <c r="R236" i="34"/>
  <c r="P236" i="34"/>
  <c r="N236" i="34"/>
  <c r="M236" i="34"/>
  <c r="I236" i="34"/>
  <c r="H236" i="34"/>
  <c r="CP235" i="34"/>
  <c r="CB235" i="34"/>
  <c r="CC235" i="34" s="1"/>
  <c r="BO235" i="34"/>
  <c r="BP235" i="34" s="1"/>
  <c r="AZ235" i="34"/>
  <c r="BA235" i="34" s="1"/>
  <c r="AJ235" i="34"/>
  <c r="AK235" i="34" s="1"/>
  <c r="W235" i="34"/>
  <c r="X235" i="34" s="1"/>
  <c r="J235" i="34"/>
  <c r="K235" i="34" s="1"/>
  <c r="CP234" i="34"/>
  <c r="CB234" i="34"/>
  <c r="BO234" i="34"/>
  <c r="BP234" i="34" s="1"/>
  <c r="AZ234" i="34"/>
  <c r="BA234" i="34" s="1"/>
  <c r="AJ234" i="34"/>
  <c r="AK234" i="34" s="1"/>
  <c r="W234" i="34"/>
  <c r="X234" i="34" s="1"/>
  <c r="J234" i="34"/>
  <c r="K234" i="34" s="1"/>
  <c r="CP233" i="34"/>
  <c r="CB233" i="34"/>
  <c r="BO233" i="34"/>
  <c r="BP233" i="34" s="1"/>
  <c r="AZ233" i="34"/>
  <c r="BA233" i="34" s="1"/>
  <c r="AJ233" i="34"/>
  <c r="AK233" i="34" s="1"/>
  <c r="W233" i="34"/>
  <c r="X233" i="34" s="1"/>
  <c r="J233" i="34"/>
  <c r="K233" i="34" s="1"/>
  <c r="CP232" i="34"/>
  <c r="CB232" i="34"/>
  <c r="CF232" i="34" s="1"/>
  <c r="BZ232" i="34"/>
  <c r="BW232" i="34"/>
  <c r="BO232" i="34"/>
  <c r="BP232" i="34" s="1"/>
  <c r="AZ232" i="34"/>
  <c r="BA232" i="34" s="1"/>
  <c r="AX232" i="34"/>
  <c r="AU232" i="34"/>
  <c r="AJ232" i="34"/>
  <c r="AK232" i="34" s="1"/>
  <c r="AE232" i="34"/>
  <c r="AE236" i="34" s="1"/>
  <c r="AA232" i="34"/>
  <c r="AA236" i="34" s="1"/>
  <c r="W232" i="34"/>
  <c r="X232" i="34" s="1"/>
  <c r="J232" i="34"/>
  <c r="K232" i="34" s="1"/>
  <c r="CP231" i="34"/>
  <c r="CB231" i="34"/>
  <c r="BO231" i="34"/>
  <c r="BP231" i="34" s="1"/>
  <c r="AZ231" i="34"/>
  <c r="BA231" i="34" s="1"/>
  <c r="AJ231" i="34"/>
  <c r="AK231" i="34" s="1"/>
  <c r="W231" i="34"/>
  <c r="X231" i="34" s="1"/>
  <c r="J231" i="34"/>
  <c r="K231" i="34" s="1"/>
  <c r="CP230" i="34"/>
  <c r="CB230" i="34"/>
  <c r="BO230" i="34"/>
  <c r="BP230" i="34" s="1"/>
  <c r="AZ230" i="34"/>
  <c r="BA230" i="34" s="1"/>
  <c r="AJ230" i="34"/>
  <c r="AK230" i="34" s="1"/>
  <c r="W230" i="34"/>
  <c r="X230" i="34" s="1"/>
  <c r="J230" i="34"/>
  <c r="K230" i="34" s="1"/>
  <c r="CP229" i="34"/>
  <c r="CB229" i="34"/>
  <c r="BO229" i="34"/>
  <c r="BP229" i="34" s="1"/>
  <c r="AZ229" i="34"/>
  <c r="BA229" i="34" s="1"/>
  <c r="AJ229" i="34"/>
  <c r="AK229" i="34" s="1"/>
  <c r="W229" i="34"/>
  <c r="X229" i="34" s="1"/>
  <c r="J229" i="34"/>
  <c r="K229" i="34" s="1"/>
  <c r="CP228" i="34"/>
  <c r="CB228" i="34"/>
  <c r="CC228" i="34" s="1"/>
  <c r="BP228" i="34"/>
  <c r="BO228" i="34"/>
  <c r="BA228" i="34"/>
  <c r="AZ228" i="34"/>
  <c r="AK228" i="34"/>
  <c r="AJ228" i="34"/>
  <c r="X228" i="34"/>
  <c r="W228" i="34"/>
  <c r="J228" i="34"/>
  <c r="K228" i="34" s="1"/>
  <c r="CP227" i="34"/>
  <c r="CB227" i="34"/>
  <c r="BO227" i="34"/>
  <c r="BP227" i="34" s="1"/>
  <c r="AZ227" i="34"/>
  <c r="BA227" i="34" s="1"/>
  <c r="AJ227" i="34"/>
  <c r="AK227" i="34" s="1"/>
  <c r="W227" i="34"/>
  <c r="X227" i="34" s="1"/>
  <c r="K227" i="34"/>
  <c r="J227" i="34"/>
  <c r="CP226" i="34"/>
  <c r="CB226" i="34"/>
  <c r="CC226" i="34" s="1"/>
  <c r="BO226" i="34"/>
  <c r="BP226" i="34" s="1"/>
  <c r="AZ226" i="34"/>
  <c r="BA226" i="34" s="1"/>
  <c r="AJ226" i="34"/>
  <c r="AK226" i="34" s="1"/>
  <c r="W226" i="34"/>
  <c r="X226" i="34" s="1"/>
  <c r="J226" i="34"/>
  <c r="K226" i="34" s="1"/>
  <c r="CP225" i="34"/>
  <c r="CB225" i="34"/>
  <c r="BO225" i="34"/>
  <c r="BP225" i="34" s="1"/>
  <c r="AZ225" i="34"/>
  <c r="BA225" i="34" s="1"/>
  <c r="AJ225" i="34"/>
  <c r="AK225" i="34" s="1"/>
  <c r="W225" i="34"/>
  <c r="X225" i="34" s="1"/>
  <c r="J225" i="34"/>
  <c r="K225" i="34" s="1"/>
  <c r="CP224" i="34"/>
  <c r="CB224" i="34"/>
  <c r="BO224" i="34"/>
  <c r="BP224" i="34" s="1"/>
  <c r="AZ224" i="34"/>
  <c r="BA224" i="34" s="1"/>
  <c r="AJ224" i="34"/>
  <c r="AK224" i="34" s="1"/>
  <c r="W224" i="34"/>
  <c r="X224" i="34" s="1"/>
  <c r="J224" i="34"/>
  <c r="K224" i="34" s="1"/>
  <c r="CB223" i="34"/>
  <c r="BN223" i="34"/>
  <c r="BN236" i="34" s="1"/>
  <c r="BM223" i="34"/>
  <c r="BH223" i="34"/>
  <c r="CP223" i="34" s="1"/>
  <c r="BD223" i="34"/>
  <c r="BD236" i="34" s="1"/>
  <c r="AZ223" i="34"/>
  <c r="CP222" i="34"/>
  <c r="CB222" i="34"/>
  <c r="BO222" i="34"/>
  <c r="BP222" i="34" s="1"/>
  <c r="AZ222" i="34"/>
  <c r="BA222" i="34" s="1"/>
  <c r="AJ222" i="34"/>
  <c r="AK222" i="34" s="1"/>
  <c r="W222" i="34"/>
  <c r="X222" i="34" s="1"/>
  <c r="J222" i="34"/>
  <c r="K222" i="34" s="1"/>
  <c r="CP221" i="34"/>
  <c r="CB221" i="34"/>
  <c r="CF221" i="34" s="1"/>
  <c r="BZ221" i="34"/>
  <c r="BW221" i="34"/>
  <c r="BW236" i="34" s="1"/>
  <c r="BO221" i="34"/>
  <c r="BP221" i="34" s="1"/>
  <c r="AZ221" i="34"/>
  <c r="AX221" i="34"/>
  <c r="AU221" i="34"/>
  <c r="AU236" i="34" s="1"/>
  <c r="AJ221" i="34"/>
  <c r="AK221" i="34" s="1"/>
  <c r="W221" i="34"/>
  <c r="X221" i="34" s="1"/>
  <c r="J221" i="34"/>
  <c r="K221" i="34" s="1"/>
  <c r="CP220" i="34"/>
  <c r="CP218" i="34"/>
  <c r="CG217" i="34"/>
  <c r="CE217" i="34"/>
  <c r="CA217" i="34"/>
  <c r="BZ217" i="34"/>
  <c r="BX217" i="34"/>
  <c r="BS217" i="34"/>
  <c r="BR217" i="34"/>
  <c r="BN217" i="34"/>
  <c r="BM217" i="34"/>
  <c r="BI217" i="34"/>
  <c r="BH217" i="34"/>
  <c r="BD217" i="34"/>
  <c r="BC217" i="34"/>
  <c r="AY217" i="34"/>
  <c r="AX217" i="34"/>
  <c r="AV217" i="34"/>
  <c r="AS217" i="34"/>
  <c r="AR217" i="34"/>
  <c r="AN217" i="34"/>
  <c r="AM217" i="34"/>
  <c r="AI217" i="34"/>
  <c r="AF217" i="34"/>
  <c r="AE217" i="34"/>
  <c r="AA217" i="34"/>
  <c r="Z217" i="34"/>
  <c r="V217" i="34"/>
  <c r="U217" i="34"/>
  <c r="S217" i="34"/>
  <c r="R217" i="34"/>
  <c r="P217" i="34"/>
  <c r="N217" i="34"/>
  <c r="M217" i="34"/>
  <c r="I217" i="34"/>
  <c r="H217" i="34"/>
  <c r="CP216" i="34"/>
  <c r="CB216" i="34"/>
  <c r="CC216" i="34" s="1"/>
  <c r="BZ216" i="34"/>
  <c r="BW216" i="34"/>
  <c r="BW217" i="34" s="1"/>
  <c r="BO216" i="34"/>
  <c r="BP216" i="34" s="1"/>
  <c r="AZ216" i="34"/>
  <c r="AX216" i="34"/>
  <c r="AU216" i="34"/>
  <c r="AU217" i="34" s="1"/>
  <c r="AJ216" i="34"/>
  <c r="AK216" i="34" s="1"/>
  <c r="W216" i="34"/>
  <c r="X216" i="34" s="1"/>
  <c r="J216" i="34"/>
  <c r="K216" i="34" s="1"/>
  <c r="CP215" i="34"/>
  <c r="CB215" i="34"/>
  <c r="BO215" i="34"/>
  <c r="BP215" i="34" s="1"/>
  <c r="AZ215" i="34"/>
  <c r="BA215" i="34" s="1"/>
  <c r="AJ215" i="34"/>
  <c r="AK215" i="34" s="1"/>
  <c r="W215" i="34"/>
  <c r="X215" i="34" s="1"/>
  <c r="J215" i="34"/>
  <c r="K215" i="34" s="1"/>
  <c r="CP214" i="34"/>
  <c r="CB214" i="34"/>
  <c r="BO214" i="34"/>
  <c r="BP214" i="34" s="1"/>
  <c r="AZ214" i="34"/>
  <c r="BA214" i="34" s="1"/>
  <c r="AJ214" i="34"/>
  <c r="AK214" i="34" s="1"/>
  <c r="W214" i="34"/>
  <c r="X214" i="34" s="1"/>
  <c r="J214" i="34"/>
  <c r="K214" i="34" s="1"/>
  <c r="CP213" i="34"/>
  <c r="CC213" i="34"/>
  <c r="CB213" i="34"/>
  <c r="CF213" i="34" s="1"/>
  <c r="BP213" i="34"/>
  <c r="BO213" i="34"/>
  <c r="BA213" i="34"/>
  <c r="AZ213" i="34"/>
  <c r="AJ213" i="34"/>
  <c r="AK213" i="34" s="1"/>
  <c r="W213" i="34"/>
  <c r="X213" i="34" s="1"/>
  <c r="J213" i="34"/>
  <c r="K213" i="34" s="1"/>
  <c r="CP212" i="34"/>
  <c r="CB212" i="34"/>
  <c r="BO212" i="34"/>
  <c r="AZ212" i="34"/>
  <c r="AJ212" i="34"/>
  <c r="CP211" i="34"/>
  <c r="CB211" i="34"/>
  <c r="BO211" i="34"/>
  <c r="BP211" i="34" s="1"/>
  <c r="AZ211" i="34"/>
  <c r="BA211" i="34" s="1"/>
  <c r="AJ211" i="34"/>
  <c r="AK211" i="34" s="1"/>
  <c r="W211" i="34"/>
  <c r="J211" i="34"/>
  <c r="CP210" i="34"/>
  <c r="CG209" i="34"/>
  <c r="CE209" i="34"/>
  <c r="CA209" i="34"/>
  <c r="BZ209" i="34"/>
  <c r="BX209" i="34"/>
  <c r="BW209" i="34"/>
  <c r="BS209" i="34"/>
  <c r="BR209" i="34"/>
  <c r="BN209" i="34"/>
  <c r="BM209" i="34"/>
  <c r="BI209" i="34"/>
  <c r="BH209" i="34"/>
  <c r="BD209" i="34"/>
  <c r="BC209" i="34"/>
  <c r="AY209" i="34"/>
  <c r="AX209" i="34"/>
  <c r="AV209" i="34"/>
  <c r="AU209" i="34"/>
  <c r="AS209" i="34"/>
  <c r="AR209" i="34"/>
  <c r="AN209" i="34"/>
  <c r="AM209" i="34"/>
  <c r="AI209" i="34"/>
  <c r="AF209" i="34"/>
  <c r="AE209" i="34"/>
  <c r="AA209" i="34"/>
  <c r="Z209" i="34"/>
  <c r="V209" i="34"/>
  <c r="U209" i="34"/>
  <c r="S209" i="34"/>
  <c r="R209" i="34"/>
  <c r="P209" i="34"/>
  <c r="N209" i="34"/>
  <c r="M209" i="34"/>
  <c r="J209" i="34"/>
  <c r="I209" i="34"/>
  <c r="H209" i="34"/>
  <c r="CP208" i="34"/>
  <c r="CK208" i="34"/>
  <c r="CB208" i="34"/>
  <c r="BO208" i="34"/>
  <c r="AZ208" i="34"/>
  <c r="AJ208" i="34"/>
  <c r="W208" i="34"/>
  <c r="CP207" i="34"/>
  <c r="CB207" i="34"/>
  <c r="BO207" i="34"/>
  <c r="BP207" i="34" s="1"/>
  <c r="BP209" i="34" s="1"/>
  <c r="AZ207" i="34"/>
  <c r="BA207" i="34" s="1"/>
  <c r="BA209" i="34" s="1"/>
  <c r="AJ207" i="34"/>
  <c r="AK207" i="34" s="1"/>
  <c r="AK209" i="34" s="1"/>
  <c r="W207" i="34"/>
  <c r="X207" i="34" s="1"/>
  <c r="X209" i="34" s="1"/>
  <c r="K207" i="34"/>
  <c r="K209" i="34" s="1"/>
  <c r="CP206" i="34"/>
  <c r="CP205" i="34"/>
  <c r="CL204" i="34"/>
  <c r="CP203" i="34"/>
  <c r="CG202" i="34"/>
  <c r="CE202" i="34"/>
  <c r="CA202" i="34"/>
  <c r="BZ202" i="34"/>
  <c r="BX202" i="34"/>
  <c r="BW202" i="34"/>
  <c r="BS202" i="34"/>
  <c r="BR202" i="34"/>
  <c r="BN202" i="34"/>
  <c r="BM202" i="34"/>
  <c r="BI202" i="34"/>
  <c r="BH202" i="34"/>
  <c r="BD202" i="34"/>
  <c r="BC202" i="34"/>
  <c r="AY202" i="34"/>
  <c r="AX202" i="34"/>
  <c r="AV202" i="34"/>
  <c r="AU202" i="34"/>
  <c r="AS202" i="34"/>
  <c r="AR202" i="34"/>
  <c r="AM202" i="34"/>
  <c r="AI202" i="34"/>
  <c r="AH202" i="34"/>
  <c r="AF202" i="34"/>
  <c r="AE202" i="34"/>
  <c r="AA202" i="34"/>
  <c r="Z202" i="34"/>
  <c r="V202" i="34"/>
  <c r="U202" i="34"/>
  <c r="S202" i="34"/>
  <c r="R202" i="34"/>
  <c r="P202" i="34"/>
  <c r="N202" i="34"/>
  <c r="M202" i="34"/>
  <c r="I202" i="34"/>
  <c r="H202" i="34"/>
  <c r="CP201" i="34"/>
  <c r="CB201" i="34"/>
  <c r="BO201" i="34"/>
  <c r="BP201" i="34" s="1"/>
  <c r="AZ201" i="34"/>
  <c r="BA201" i="34" s="1"/>
  <c r="AJ201" i="34"/>
  <c r="AK201" i="34" s="1"/>
  <c r="W201" i="34"/>
  <c r="X201" i="34" s="1"/>
  <c r="J201" i="34"/>
  <c r="K201" i="34" s="1"/>
  <c r="CP200" i="34"/>
  <c r="CG200" i="34"/>
  <c r="CB200" i="34"/>
  <c r="BO200" i="34"/>
  <c r="AZ200" i="34"/>
  <c r="CP199" i="34"/>
  <c r="CB199" i="34"/>
  <c r="BO199" i="34"/>
  <c r="AZ199" i="34"/>
  <c r="AR199" i="34"/>
  <c r="AN199" i="34"/>
  <c r="AN202" i="34" s="1"/>
  <c r="AM199" i="34"/>
  <c r="AJ199" i="34"/>
  <c r="W199" i="34"/>
  <c r="J199" i="34"/>
  <c r="CP198" i="34"/>
  <c r="CC198" i="34"/>
  <c r="CB198" i="34"/>
  <c r="CF198" i="34" s="1"/>
  <c r="BP198" i="34"/>
  <c r="BO198" i="34"/>
  <c r="BA198" i="34"/>
  <c r="AZ198" i="34"/>
  <c r="AK198" i="34"/>
  <c r="AJ198" i="34"/>
  <c r="X198" i="34"/>
  <c r="W198" i="34"/>
  <c r="J198" i="34"/>
  <c r="K198" i="34" s="1"/>
  <c r="CP197" i="34"/>
  <c r="CB197" i="34"/>
  <c r="BO197" i="34"/>
  <c r="AZ197" i="34"/>
  <c r="CP196" i="34"/>
  <c r="CB196" i="34"/>
  <c r="BO196" i="34"/>
  <c r="BA196" i="34"/>
  <c r="AZ196" i="34"/>
  <c r="AK196" i="34"/>
  <c r="AJ196" i="34"/>
  <c r="X196" i="34"/>
  <c r="W196" i="34"/>
  <c r="J196" i="34"/>
  <c r="K196" i="34" s="1"/>
  <c r="CP195" i="34"/>
  <c r="CG194" i="34"/>
  <c r="CE194" i="34"/>
  <c r="CA194" i="34"/>
  <c r="BZ194" i="34"/>
  <c r="BX194" i="34"/>
  <c r="BW194" i="34"/>
  <c r="BS194" i="34"/>
  <c r="BR194" i="34"/>
  <c r="BN194" i="34"/>
  <c r="BM194" i="34"/>
  <c r="BI194" i="34"/>
  <c r="BH194" i="34"/>
  <c r="BD194" i="34"/>
  <c r="BC194" i="34"/>
  <c r="AY194" i="34"/>
  <c r="AX194" i="34"/>
  <c r="AV194" i="34"/>
  <c r="AU194" i="34"/>
  <c r="AS194" i="34"/>
  <c r="AR194" i="34"/>
  <c r="AN194" i="34"/>
  <c r="AM194" i="34"/>
  <c r="AK194" i="34"/>
  <c r="AI194" i="34"/>
  <c r="AF194" i="34"/>
  <c r="AE194" i="34"/>
  <c r="AA194" i="34"/>
  <c r="Z194" i="34"/>
  <c r="V194" i="34"/>
  <c r="U194" i="34"/>
  <c r="S194" i="34"/>
  <c r="R194" i="34"/>
  <c r="P194" i="34"/>
  <c r="N194" i="34"/>
  <c r="M194" i="34"/>
  <c r="I194" i="34"/>
  <c r="H194" i="34"/>
  <c r="CP193" i="34"/>
  <c r="CB193" i="34"/>
  <c r="BO193" i="34"/>
  <c r="AZ193" i="34"/>
  <c r="AJ193" i="34"/>
  <c r="W193" i="34"/>
  <c r="J193" i="34"/>
  <c r="CP192" i="34"/>
  <c r="CB192" i="34"/>
  <c r="BO192" i="34"/>
  <c r="CP191" i="34"/>
  <c r="CC191" i="34"/>
  <c r="CB191" i="34"/>
  <c r="BP191" i="34"/>
  <c r="BO191" i="34"/>
  <c r="BA191" i="34"/>
  <c r="AZ191" i="34"/>
  <c r="AK191" i="34"/>
  <c r="AJ191" i="34"/>
  <c r="AJ194" i="34" s="1"/>
  <c r="X191" i="34"/>
  <c r="W191" i="34"/>
  <c r="W194" i="34" s="1"/>
  <c r="J191" i="34"/>
  <c r="J194" i="34" s="1"/>
  <c r="CP190" i="34"/>
  <c r="CP189" i="34"/>
  <c r="CL188" i="34"/>
  <c r="CM188" i="34" s="1"/>
  <c r="CP187" i="34"/>
  <c r="CG186" i="34"/>
  <c r="CG188" i="34" s="1"/>
  <c r="CE186" i="34"/>
  <c r="CE188" i="34" s="1"/>
  <c r="CA186" i="34"/>
  <c r="CA188" i="34" s="1"/>
  <c r="BZ186" i="34"/>
  <c r="BZ188" i="34" s="1"/>
  <c r="BX186" i="34"/>
  <c r="BX188" i="34" s="1"/>
  <c r="BS186" i="34"/>
  <c r="BS188" i="34" s="1"/>
  <c r="BR186" i="34"/>
  <c r="BR188" i="34" s="1"/>
  <c r="BN186" i="34"/>
  <c r="BN188" i="34" s="1"/>
  <c r="BM186" i="34"/>
  <c r="BM188" i="34" s="1"/>
  <c r="BI186" i="34"/>
  <c r="BH186" i="34"/>
  <c r="BH188" i="34" s="1"/>
  <c r="BD186" i="34"/>
  <c r="BD188" i="34" s="1"/>
  <c r="BC186" i="34"/>
  <c r="BC188" i="34" s="1"/>
  <c r="AY186" i="34"/>
  <c r="AY188" i="34" s="1"/>
  <c r="AX186" i="34"/>
  <c r="AX188" i="34" s="1"/>
  <c r="AV186" i="34"/>
  <c r="AV188" i="34" s="1"/>
  <c r="AU186" i="34"/>
  <c r="AU188" i="34" s="1"/>
  <c r="AS186" i="34"/>
  <c r="AS188" i="34" s="1"/>
  <c r="AR186" i="34"/>
  <c r="AR188" i="34" s="1"/>
  <c r="AN186" i="34"/>
  <c r="AN188" i="34" s="1"/>
  <c r="AM186" i="34"/>
  <c r="AM188" i="34" s="1"/>
  <c r="AI186" i="34"/>
  <c r="AI188" i="34" s="1"/>
  <c r="AF186" i="34"/>
  <c r="AF188" i="34" s="1"/>
  <c r="AE186" i="34"/>
  <c r="AE188" i="34" s="1"/>
  <c r="AA186" i="34"/>
  <c r="AA188" i="34" s="1"/>
  <c r="Z186" i="34"/>
  <c r="Z188" i="34" s="1"/>
  <c r="V186" i="34"/>
  <c r="V188" i="34" s="1"/>
  <c r="U186" i="34"/>
  <c r="U188" i="34" s="1"/>
  <c r="S186" i="34"/>
  <c r="S188" i="34" s="1"/>
  <c r="R186" i="34"/>
  <c r="R188" i="34" s="1"/>
  <c r="P186" i="34"/>
  <c r="P188" i="34" s="1"/>
  <c r="N186" i="34"/>
  <c r="N188" i="34" s="1"/>
  <c r="M186" i="34"/>
  <c r="M188" i="34" s="1"/>
  <c r="I186" i="34"/>
  <c r="I188" i="34" s="1"/>
  <c r="H186" i="34"/>
  <c r="CP185" i="34"/>
  <c r="CB185" i="34"/>
  <c r="CB186" i="34" s="1"/>
  <c r="BZ185" i="34"/>
  <c r="BW185" i="34"/>
  <c r="BW186" i="34" s="1"/>
  <c r="BW188" i="34" s="1"/>
  <c r="BO185" i="34"/>
  <c r="BP185" i="34" s="1"/>
  <c r="AZ185" i="34"/>
  <c r="BA185" i="34" s="1"/>
  <c r="AJ185" i="34"/>
  <c r="AK185" i="34" s="1"/>
  <c r="W185" i="34"/>
  <c r="J185" i="34"/>
  <c r="CP184" i="34"/>
  <c r="CP183" i="34"/>
  <c r="CL182" i="34"/>
  <c r="CP181" i="34"/>
  <c r="CG180" i="34"/>
  <c r="CG182" i="34" s="1"/>
  <c r="CE180" i="34"/>
  <c r="CE182" i="34" s="1"/>
  <c r="BX180" i="34"/>
  <c r="BX182" i="34" s="1"/>
  <c r="BW180" i="34"/>
  <c r="BW182" i="34" s="1"/>
  <c r="BR180" i="34"/>
  <c r="BR182" i="34" s="1"/>
  <c r="BN180" i="34"/>
  <c r="BN182" i="34" s="1"/>
  <c r="BI180" i="34"/>
  <c r="BI182" i="34" s="1"/>
  <c r="BC180" i="34"/>
  <c r="BC182" i="34" s="1"/>
  <c r="AX180" i="34"/>
  <c r="AV180" i="34"/>
  <c r="AV182" i="34" s="1"/>
  <c r="AS180" i="34"/>
  <c r="AS182" i="34" s="1"/>
  <c r="AI180" i="34"/>
  <c r="AI182" i="34" s="1"/>
  <c r="AF180" i="34"/>
  <c r="AF182" i="34" s="1"/>
  <c r="AE180" i="34"/>
  <c r="AE182" i="34" s="1"/>
  <c r="AA180" i="34"/>
  <c r="AA182" i="34" s="1"/>
  <c r="Z180" i="34"/>
  <c r="Z182" i="34" s="1"/>
  <c r="V180" i="34"/>
  <c r="V182" i="34" s="1"/>
  <c r="U180" i="34"/>
  <c r="S180" i="34"/>
  <c r="S182" i="34" s="1"/>
  <c r="R180" i="34"/>
  <c r="R182" i="34" s="1"/>
  <c r="P180" i="34"/>
  <c r="P182" i="34" s="1"/>
  <c r="N180" i="34"/>
  <c r="N182" i="34" s="1"/>
  <c r="M180" i="34"/>
  <c r="M182" i="34" s="1"/>
  <c r="I180" i="34"/>
  <c r="I182" i="34" s="1"/>
  <c r="H180" i="34"/>
  <c r="H182" i="34" s="1"/>
  <c r="CP179" i="34"/>
  <c r="CC179" i="34"/>
  <c r="CB179" i="34"/>
  <c r="CF179" i="34" s="1"/>
  <c r="BP179" i="34"/>
  <c r="BO179" i="34"/>
  <c r="BA179" i="34"/>
  <c r="AZ179" i="34"/>
  <c r="AK179" i="34"/>
  <c r="AJ179" i="34"/>
  <c r="X179" i="34"/>
  <c r="W179" i="34"/>
  <c r="K179" i="34"/>
  <c r="J179" i="34"/>
  <c r="CP178" i="34"/>
  <c r="CB178" i="34"/>
  <c r="BO178" i="34"/>
  <c r="AZ178" i="34"/>
  <c r="CP177" i="34"/>
  <c r="CB177" i="34"/>
  <c r="CF177" i="34" s="1"/>
  <c r="BS177" i="34"/>
  <c r="BO177" i="34"/>
  <c r="BP177" i="34" s="1"/>
  <c r="AZ177" i="34"/>
  <c r="BA177" i="34" s="1"/>
  <c r="AJ177" i="34"/>
  <c r="AK177" i="34" s="1"/>
  <c r="W177" i="34"/>
  <c r="X177" i="34" s="1"/>
  <c r="J177" i="34"/>
  <c r="K177" i="34" s="1"/>
  <c r="CP176" i="34"/>
  <c r="CC176" i="34"/>
  <c r="CB176" i="34"/>
  <c r="CF176" i="34" s="1"/>
  <c r="BP176" i="34"/>
  <c r="BO176" i="34"/>
  <c r="BA176" i="34"/>
  <c r="AZ176" i="34"/>
  <c r="AK176" i="34"/>
  <c r="AJ176" i="34"/>
  <c r="CP175" i="34"/>
  <c r="CC175" i="34"/>
  <c r="CB175" i="34"/>
  <c r="CF175" i="34" s="1"/>
  <c r="BP175" i="34"/>
  <c r="BO175" i="34"/>
  <c r="BA175" i="34"/>
  <c r="AZ175" i="34"/>
  <c r="AK175" i="34"/>
  <c r="AJ175" i="34"/>
  <c r="W175" i="34"/>
  <c r="X175" i="34" s="1"/>
  <c r="J175" i="34"/>
  <c r="K175" i="34" s="1"/>
  <c r="CP174" i="34"/>
  <c r="CB174" i="34"/>
  <c r="BO174" i="34"/>
  <c r="AZ174" i="34"/>
  <c r="AJ174" i="34"/>
  <c r="AK174" i="34" s="1"/>
  <c r="CP173" i="34"/>
  <c r="CC173" i="34"/>
  <c r="CB173" i="34"/>
  <c r="CF173" i="34" s="1"/>
  <c r="BP173" i="34"/>
  <c r="BO173" i="34"/>
  <c r="AZ173" i="34"/>
  <c r="BA173" i="34" s="1"/>
  <c r="AJ173" i="34"/>
  <c r="AK173" i="34" s="1"/>
  <c r="W173" i="34"/>
  <c r="X173" i="34" s="1"/>
  <c r="J173" i="34"/>
  <c r="K173" i="34" s="1"/>
  <c r="CP172" i="34"/>
  <c r="CB172" i="34"/>
  <c r="BO172" i="34"/>
  <c r="BP172" i="34" s="1"/>
  <c r="BA172" i="34"/>
  <c r="AY172" i="34"/>
  <c r="AZ172" i="34" s="1"/>
  <c r="AK172" i="34"/>
  <c r="AJ172" i="34"/>
  <c r="CP171" i="34"/>
  <c r="CB171" i="34"/>
  <c r="BO171" i="34"/>
  <c r="BP171" i="34" s="1"/>
  <c r="AY171" i="34"/>
  <c r="AX171" i="34"/>
  <c r="AU171" i="34"/>
  <c r="AJ171" i="34"/>
  <c r="AK171" i="34" s="1"/>
  <c r="CP170" i="34"/>
  <c r="CB170" i="34"/>
  <c r="BO170" i="34"/>
  <c r="BP170" i="34" s="1"/>
  <c r="AZ170" i="34"/>
  <c r="BA170" i="34" s="1"/>
  <c r="AJ170" i="34"/>
  <c r="AK170" i="34" s="1"/>
  <c r="W170" i="34"/>
  <c r="X170" i="34" s="1"/>
  <c r="J170" i="34"/>
  <c r="K170" i="34" s="1"/>
  <c r="CP169" i="34"/>
  <c r="CC169" i="34"/>
  <c r="CB169" i="34"/>
  <c r="CF169" i="34" s="1"/>
  <c r="BP169" i="34"/>
  <c r="BO169" i="34"/>
  <c r="BA169" i="34"/>
  <c r="AZ169" i="34"/>
  <c r="AK169" i="34"/>
  <c r="AJ169" i="34"/>
  <c r="CP168" i="34"/>
  <c r="CB168" i="34"/>
  <c r="CC168" i="34" s="1"/>
  <c r="BO168" i="34"/>
  <c r="BP168" i="34" s="1"/>
  <c r="AZ168" i="34"/>
  <c r="BA168" i="34" s="1"/>
  <c r="AJ168" i="34"/>
  <c r="AK168" i="34" s="1"/>
  <c r="W168" i="34"/>
  <c r="X168" i="34" s="1"/>
  <c r="J168" i="34"/>
  <c r="K168" i="34" s="1"/>
  <c r="CP167" i="34"/>
  <c r="CB167" i="34"/>
  <c r="CF167" i="34" s="1"/>
  <c r="CP166" i="34"/>
  <c r="CB166" i="34"/>
  <c r="CF166" i="34" s="1"/>
  <c r="BO166" i="34"/>
  <c r="BP166" i="34" s="1"/>
  <c r="AZ166" i="34"/>
  <c r="BA166" i="34" s="1"/>
  <c r="AX166" i="34"/>
  <c r="AU166" i="34"/>
  <c r="AU180" i="34" s="1"/>
  <c r="AU182" i="34" s="1"/>
  <c r="AJ166" i="34"/>
  <c r="AK166" i="34" s="1"/>
  <c r="W166" i="34"/>
  <c r="X166" i="34" s="1"/>
  <c r="J166" i="34"/>
  <c r="K166" i="34" s="1"/>
  <c r="CB165" i="34"/>
  <c r="CF165" i="34" s="1"/>
  <c r="BO165" i="34"/>
  <c r="BM165" i="34"/>
  <c r="BH165" i="34"/>
  <c r="CP165" i="34" s="1"/>
  <c r="BD165" i="34"/>
  <c r="AZ165" i="34"/>
  <c r="BA165" i="34" s="1"/>
  <c r="AJ165" i="34"/>
  <c r="AK165" i="34" s="1"/>
  <c r="W165" i="34"/>
  <c r="X165" i="34" s="1"/>
  <c r="J165" i="34"/>
  <c r="K165" i="34" s="1"/>
  <c r="CP164" i="34"/>
  <c r="CB164" i="34"/>
  <c r="CC164" i="34" s="1"/>
  <c r="BO164" i="34"/>
  <c r="BP164" i="34" s="1"/>
  <c r="AZ164" i="34"/>
  <c r="BA164" i="34" s="1"/>
  <c r="AR164" i="34"/>
  <c r="AN164" i="34"/>
  <c r="AM164" i="34"/>
  <c r="AJ164" i="34"/>
  <c r="AK164" i="34" s="1"/>
  <c r="W164" i="34"/>
  <c r="X164" i="34" s="1"/>
  <c r="K164" i="34"/>
  <c r="J164" i="34"/>
  <c r="CP163" i="34"/>
  <c r="CK163" i="34"/>
  <c r="CB163" i="34"/>
  <c r="CF163" i="34" s="1"/>
  <c r="BO163" i="34"/>
  <c r="BP163" i="34" s="1"/>
  <c r="AZ163" i="34"/>
  <c r="BA163" i="34" s="1"/>
  <c r="AK163" i="34"/>
  <c r="AJ163" i="34"/>
  <c r="CP162" i="34"/>
  <c r="CC162" i="34"/>
  <c r="CB162" i="34"/>
  <c r="CF162" i="34" s="1"/>
  <c r="BP162" i="34"/>
  <c r="BO162" i="34"/>
  <c r="BA162" i="34"/>
  <c r="AZ162" i="34"/>
  <c r="AJ162" i="34"/>
  <c r="AK162" i="34" s="1"/>
  <c r="W162" i="34"/>
  <c r="X162" i="34" s="1"/>
  <c r="J162" i="34"/>
  <c r="K162" i="34" s="1"/>
  <c r="CP161" i="34"/>
  <c r="CK161" i="34"/>
  <c r="CB161" i="34"/>
  <c r="CF161" i="34" s="1"/>
  <c r="BO161" i="34"/>
  <c r="BP161" i="34" s="1"/>
  <c r="AZ161" i="34"/>
  <c r="BA161" i="34" s="1"/>
  <c r="AK161" i="34"/>
  <c r="K161" i="34"/>
  <c r="CP160" i="34"/>
  <c r="CA160" i="34"/>
  <c r="CA180" i="34" s="1"/>
  <c r="CA182" i="34" s="1"/>
  <c r="BZ160" i="34"/>
  <c r="BW160" i="34"/>
  <c r="BS160" i="34"/>
  <c r="BO160" i="34"/>
  <c r="BP160" i="34" s="1"/>
  <c r="AZ160" i="34"/>
  <c r="BA160" i="34" s="1"/>
  <c r="AR160" i="34"/>
  <c r="AN160" i="34"/>
  <c r="AM160" i="34"/>
  <c r="AH160" i="34"/>
  <c r="W160" i="34"/>
  <c r="X160" i="34" s="1"/>
  <c r="J160" i="34"/>
  <c r="K160" i="34" s="1"/>
  <c r="CP159" i="34"/>
  <c r="CB159" i="34"/>
  <c r="BO159" i="34"/>
  <c r="AZ159" i="34"/>
  <c r="CB158" i="34"/>
  <c r="CF158" i="34" s="1"/>
  <c r="BO158" i="34"/>
  <c r="BM158" i="34"/>
  <c r="BH158" i="34"/>
  <c r="CP158" i="34" s="1"/>
  <c r="BD158" i="34"/>
  <c r="BD180" i="34" s="1"/>
  <c r="BD182" i="34" s="1"/>
  <c r="AZ158" i="34"/>
  <c r="BA158" i="34" s="1"/>
  <c r="AJ158" i="34"/>
  <c r="AK158" i="34" s="1"/>
  <c r="CP157" i="34"/>
  <c r="CB157" i="34"/>
  <c r="CC157" i="34" s="1"/>
  <c r="BO157" i="34"/>
  <c r="BP157" i="34" s="1"/>
  <c r="AZ157" i="34"/>
  <c r="BA157" i="34" s="1"/>
  <c r="AJ157" i="34"/>
  <c r="AK157" i="34" s="1"/>
  <c r="K157" i="34"/>
  <c r="CP156" i="34"/>
  <c r="CC156" i="34"/>
  <c r="CB156" i="34"/>
  <c r="CF156" i="34" s="1"/>
  <c r="BP156" i="34"/>
  <c r="BO156" i="34"/>
  <c r="BA156" i="34"/>
  <c r="AZ156" i="34"/>
  <c r="AK156" i="34"/>
  <c r="AJ156" i="34"/>
  <c r="W156" i="34"/>
  <c r="X156" i="34" s="1"/>
  <c r="J156" i="34"/>
  <c r="K156" i="34" s="1"/>
  <c r="CP155" i="34"/>
  <c r="CB155" i="34"/>
  <c r="CC155" i="34" s="1"/>
  <c r="BO155" i="34"/>
  <c r="BP155" i="34" s="1"/>
  <c r="AZ155" i="34"/>
  <c r="BA155" i="34" s="1"/>
  <c r="AR155" i="34"/>
  <c r="AN155" i="34"/>
  <c r="AN180" i="34" s="1"/>
  <c r="AN182" i="34" s="1"/>
  <c r="AM155" i="34"/>
  <c r="AJ155" i="34"/>
  <c r="AK155" i="34" s="1"/>
  <c r="W155" i="34"/>
  <c r="X155" i="34" s="1"/>
  <c r="J155" i="34"/>
  <c r="K155" i="34" s="1"/>
  <c r="CP154" i="34"/>
  <c r="CB154" i="34"/>
  <c r="CF154" i="34" s="1"/>
  <c r="BO154" i="34"/>
  <c r="BP154" i="34" s="1"/>
  <c r="AZ154" i="34"/>
  <c r="BA154" i="34" s="1"/>
  <c r="AJ154" i="34"/>
  <c r="AK154" i="34" s="1"/>
  <c r="W154" i="34"/>
  <c r="X154" i="34" s="1"/>
  <c r="J154" i="34"/>
  <c r="K154" i="34" s="1"/>
  <c r="CP153" i="34"/>
  <c r="CC153" i="34"/>
  <c r="CB153" i="34"/>
  <c r="CF153" i="34" s="1"/>
  <c r="BP153" i="34"/>
  <c r="BO153" i="34"/>
  <c r="BA153" i="34"/>
  <c r="AZ153" i="34"/>
  <c r="AK153" i="34"/>
  <c r="AJ153" i="34"/>
  <c r="X153" i="34"/>
  <c r="W153" i="34"/>
  <c r="K153" i="34"/>
  <c r="J153" i="34"/>
  <c r="CP152" i="34"/>
  <c r="CB152" i="34"/>
  <c r="CF152" i="34" s="1"/>
  <c r="BO152" i="34"/>
  <c r="BP152" i="34" s="1"/>
  <c r="AZ152" i="34"/>
  <c r="BA152" i="34" s="1"/>
  <c r="AJ152" i="34"/>
  <c r="AK152" i="34" s="1"/>
  <c r="W152" i="34"/>
  <c r="X152" i="34" s="1"/>
  <c r="J152" i="34"/>
  <c r="K152" i="34" s="1"/>
  <c r="CP151" i="34"/>
  <c r="CB151" i="34"/>
  <c r="CF151" i="34" s="1"/>
  <c r="BO151" i="34"/>
  <c r="BP151" i="34" s="1"/>
  <c r="AZ151" i="34"/>
  <c r="BA151" i="34" s="1"/>
  <c r="AR151" i="34"/>
  <c r="AR180" i="34" s="1"/>
  <c r="AR182" i="34" s="1"/>
  <c r="AN151" i="34"/>
  <c r="AM151" i="34"/>
  <c r="AJ151" i="34"/>
  <c r="AK151" i="34" s="1"/>
  <c r="W151" i="34"/>
  <c r="X151" i="34" s="1"/>
  <c r="J151" i="34"/>
  <c r="K151" i="34" s="1"/>
  <c r="CP150" i="34"/>
  <c r="CP149" i="34"/>
  <c r="CL148" i="34"/>
  <c r="CP147" i="34"/>
  <c r="CE146" i="34"/>
  <c r="CA146" i="34"/>
  <c r="BZ146" i="34"/>
  <c r="BX146" i="34"/>
  <c r="BW146" i="34"/>
  <c r="BS146" i="34"/>
  <c r="BR146" i="34"/>
  <c r="BN146" i="34"/>
  <c r="BM146" i="34"/>
  <c r="BI146" i="34"/>
  <c r="BH146" i="34"/>
  <c r="BD146" i="34"/>
  <c r="BC146" i="34"/>
  <c r="AY146" i="34"/>
  <c r="AX146" i="34"/>
  <c r="AV146" i="34"/>
  <c r="AU146" i="34"/>
  <c r="AS146" i="34"/>
  <c r="AR146" i="34"/>
  <c r="AN146" i="34"/>
  <c r="AM146" i="34"/>
  <c r="AI146" i="34"/>
  <c r="AF146" i="34"/>
  <c r="AE146" i="34"/>
  <c r="AA146" i="34"/>
  <c r="Z146" i="34"/>
  <c r="V146" i="34"/>
  <c r="U146" i="34"/>
  <c r="S146" i="34"/>
  <c r="R146" i="34"/>
  <c r="P146" i="34"/>
  <c r="N146" i="34"/>
  <c r="M146" i="34"/>
  <c r="I146" i="34"/>
  <c r="H146" i="34"/>
  <c r="CP145" i="34"/>
  <c r="CG145" i="34"/>
  <c r="CB145" i="34"/>
  <c r="CF145" i="34" s="1"/>
  <c r="BO145" i="34"/>
  <c r="BP145" i="34" s="1"/>
  <c r="AZ145" i="34"/>
  <c r="BA145" i="34" s="1"/>
  <c r="AJ145" i="34"/>
  <c r="AK145" i="34" s="1"/>
  <c r="W145" i="34"/>
  <c r="X145" i="34" s="1"/>
  <c r="J145" i="34"/>
  <c r="K145" i="34" s="1"/>
  <c r="CP144" i="34"/>
  <c r="CG144" i="34"/>
  <c r="CB144" i="34"/>
  <c r="CF144" i="34" s="1"/>
  <c r="BO144" i="34"/>
  <c r="BP144" i="34" s="1"/>
  <c r="AZ144" i="34"/>
  <c r="BA144" i="34" s="1"/>
  <c r="AJ144" i="34"/>
  <c r="AK144" i="34" s="1"/>
  <c r="W144" i="34"/>
  <c r="X144" i="34" s="1"/>
  <c r="J144" i="34"/>
  <c r="K144" i="34" s="1"/>
  <c r="CP143" i="34"/>
  <c r="CC143" i="34"/>
  <c r="CB143" i="34"/>
  <c r="CF143" i="34" s="1"/>
  <c r="BP143" i="34"/>
  <c r="BO143" i="34"/>
  <c r="BA143" i="34"/>
  <c r="AZ143" i="34"/>
  <c r="CP142" i="34"/>
  <c r="CB142" i="34"/>
  <c r="BO142" i="34"/>
  <c r="BP142" i="34" s="1"/>
  <c r="AZ142" i="34"/>
  <c r="BA142" i="34" s="1"/>
  <c r="AJ142" i="34"/>
  <c r="AK142" i="34" s="1"/>
  <c r="W142" i="34"/>
  <c r="X142" i="34" s="1"/>
  <c r="J142" i="34"/>
  <c r="K142" i="34" s="1"/>
  <c r="CP141" i="34"/>
  <c r="CB141" i="34"/>
  <c r="CF141" i="34" s="1"/>
  <c r="BO141" i="34"/>
  <c r="BP141" i="34" s="1"/>
  <c r="AZ141" i="34"/>
  <c r="BA141" i="34" s="1"/>
  <c r="AJ141" i="34"/>
  <c r="AK141" i="34" s="1"/>
  <c r="W141" i="34"/>
  <c r="X141" i="34" s="1"/>
  <c r="J141" i="34"/>
  <c r="K141" i="34" s="1"/>
  <c r="CP140" i="34"/>
  <c r="CG140" i="34"/>
  <c r="CB140" i="34"/>
  <c r="CF140" i="34" s="1"/>
  <c r="BO140" i="34"/>
  <c r="BP140" i="34" s="1"/>
  <c r="AZ140" i="34"/>
  <c r="BA140" i="34" s="1"/>
  <c r="AJ140" i="34"/>
  <c r="AK140" i="34" s="1"/>
  <c r="W140" i="34"/>
  <c r="X140" i="34" s="1"/>
  <c r="J140" i="34"/>
  <c r="K140" i="34" s="1"/>
  <c r="CP139" i="34"/>
  <c r="CB139" i="34"/>
  <c r="CC139" i="34" s="1"/>
  <c r="BO139" i="34"/>
  <c r="BP139" i="34" s="1"/>
  <c r="AZ139" i="34"/>
  <c r="BA139" i="34" s="1"/>
  <c r="AJ139" i="34"/>
  <c r="AK139" i="34" s="1"/>
  <c r="W139" i="34"/>
  <c r="X139" i="34" s="1"/>
  <c r="J139" i="34"/>
  <c r="K139" i="34" s="1"/>
  <c r="CP138" i="34"/>
  <c r="CB138" i="34"/>
  <c r="CF138" i="34" s="1"/>
  <c r="BO138" i="34"/>
  <c r="BP138" i="34" s="1"/>
  <c r="AZ138" i="34"/>
  <c r="BA138" i="34" s="1"/>
  <c r="AJ138" i="34"/>
  <c r="AK138" i="34" s="1"/>
  <c r="W138" i="34"/>
  <c r="X138" i="34" s="1"/>
  <c r="J138" i="34"/>
  <c r="K138" i="34" s="1"/>
  <c r="CP137" i="34"/>
  <c r="CB137" i="34"/>
  <c r="CF137" i="34" s="1"/>
  <c r="BO137" i="34"/>
  <c r="BP137" i="34" s="1"/>
  <c r="AZ137" i="34"/>
  <c r="BA137" i="34" s="1"/>
  <c r="AJ137" i="34"/>
  <c r="AK137" i="34" s="1"/>
  <c r="W137" i="34"/>
  <c r="X137" i="34" s="1"/>
  <c r="J137" i="34"/>
  <c r="K137" i="34" s="1"/>
  <c r="CP136" i="34"/>
  <c r="CB136" i="34"/>
  <c r="CF136" i="34" s="1"/>
  <c r="BO136" i="34"/>
  <c r="BP136" i="34" s="1"/>
  <c r="AZ136" i="34"/>
  <c r="BA136" i="34" s="1"/>
  <c r="AJ136" i="34"/>
  <c r="AK136" i="34" s="1"/>
  <c r="W136" i="34"/>
  <c r="X136" i="34" s="1"/>
  <c r="J136" i="34"/>
  <c r="K136" i="34" s="1"/>
  <c r="CP135" i="34"/>
  <c r="CB135" i="34"/>
  <c r="BP135" i="34"/>
  <c r="BO135" i="34"/>
  <c r="BA135" i="34"/>
  <c r="AZ135" i="34"/>
  <c r="AK135" i="34"/>
  <c r="AJ135" i="34"/>
  <c r="W135" i="34"/>
  <c r="X135" i="34" s="1"/>
  <c r="K135" i="34"/>
  <c r="J135" i="34"/>
  <c r="CP134" i="34"/>
  <c r="CB134" i="34"/>
  <c r="BO134" i="34"/>
  <c r="CP133" i="34"/>
  <c r="CG133" i="34"/>
  <c r="CG146" i="34" s="1"/>
  <c r="CB133" i="34"/>
  <c r="BO133" i="34"/>
  <c r="BP133" i="34" s="1"/>
  <c r="AZ133" i="34"/>
  <c r="BA133" i="34" s="1"/>
  <c r="AJ133" i="34"/>
  <c r="AK133" i="34" s="1"/>
  <c r="W133" i="34"/>
  <c r="J133" i="34"/>
  <c r="K133" i="34" s="1"/>
  <c r="CP132" i="34"/>
  <c r="CP130" i="34"/>
  <c r="CG129" i="34"/>
  <c r="CE129" i="34"/>
  <c r="CA129" i="34"/>
  <c r="BZ129" i="34"/>
  <c r="BX129" i="34"/>
  <c r="BW129" i="34"/>
  <c r="BS129" i="34"/>
  <c r="BR129" i="34"/>
  <c r="BN129" i="34"/>
  <c r="BM129" i="34"/>
  <c r="BI129" i="34"/>
  <c r="BH129" i="34"/>
  <c r="BD129" i="34"/>
  <c r="BC129" i="34"/>
  <c r="AY129" i="34"/>
  <c r="AX129" i="34"/>
  <c r="AV129" i="34"/>
  <c r="AU129" i="34"/>
  <c r="AS129" i="34"/>
  <c r="AR129" i="34"/>
  <c r="AN129" i="34"/>
  <c r="AM129" i="34"/>
  <c r="AI129" i="34"/>
  <c r="AF129" i="34"/>
  <c r="AE129" i="34"/>
  <c r="AA129" i="34"/>
  <c r="Z129" i="34"/>
  <c r="V129" i="34"/>
  <c r="R129" i="34"/>
  <c r="P129" i="34"/>
  <c r="N129" i="34"/>
  <c r="M129" i="34"/>
  <c r="I129" i="34"/>
  <c r="H129" i="34"/>
  <c r="CP128" i="34"/>
  <c r="CK128" i="34"/>
  <c r="CC128" i="34"/>
  <c r="CB128" i="34"/>
  <c r="CF128" i="34" s="1"/>
  <c r="BP128" i="34"/>
  <c r="BO128" i="34"/>
  <c r="AZ128" i="34"/>
  <c r="BA128" i="34" s="1"/>
  <c r="AJ128" i="34"/>
  <c r="AK128" i="34" s="1"/>
  <c r="X128" i="34"/>
  <c r="W128" i="34"/>
  <c r="K128" i="34"/>
  <c r="J128" i="34"/>
  <c r="CP127" i="34"/>
  <c r="CB127" i="34"/>
  <c r="BO127" i="34"/>
  <c r="BP127" i="34" s="1"/>
  <c r="AZ127" i="34"/>
  <c r="BA127" i="34" s="1"/>
  <c r="AJ127" i="34"/>
  <c r="AK127" i="34" s="1"/>
  <c r="U127" i="34"/>
  <c r="S127" i="34"/>
  <c r="S129" i="34" s="1"/>
  <c r="R127" i="34"/>
  <c r="N127" i="34"/>
  <c r="J127" i="34"/>
  <c r="K127" i="34" s="1"/>
  <c r="CP126" i="34"/>
  <c r="CB126" i="34"/>
  <c r="CF126" i="34" s="1"/>
  <c r="BO126" i="34"/>
  <c r="AZ126" i="34"/>
  <c r="BA126" i="34" s="1"/>
  <c r="AJ126" i="34"/>
  <c r="W126" i="34"/>
  <c r="X126" i="34" s="1"/>
  <c r="J126" i="34"/>
  <c r="K126" i="34" s="1"/>
  <c r="CP125" i="34"/>
  <c r="CG124" i="34"/>
  <c r="CG131" i="34" s="1"/>
  <c r="CE124" i="34"/>
  <c r="CA124" i="34"/>
  <c r="BZ124" i="34"/>
  <c r="BX124" i="34"/>
  <c r="BW124" i="34"/>
  <c r="BS124" i="34"/>
  <c r="BR124" i="34"/>
  <c r="BN124" i="34"/>
  <c r="BN131" i="34" s="1"/>
  <c r="BM124" i="34"/>
  <c r="BM131" i="34" s="1"/>
  <c r="BI124" i="34"/>
  <c r="BH124" i="34"/>
  <c r="BD124" i="34"/>
  <c r="BC124" i="34"/>
  <c r="AY124" i="34"/>
  <c r="AX124" i="34"/>
  <c r="AV124" i="34"/>
  <c r="AV131" i="34" s="1"/>
  <c r="AU124" i="34"/>
  <c r="AS124" i="34"/>
  <c r="AS131" i="34" s="1"/>
  <c r="AR124" i="34"/>
  <c r="AN124" i="34"/>
  <c r="AM124" i="34"/>
  <c r="AI124" i="34"/>
  <c r="AF124" i="34"/>
  <c r="AE124" i="34"/>
  <c r="AA124" i="34"/>
  <c r="Z124" i="34"/>
  <c r="V124" i="34"/>
  <c r="U124" i="34"/>
  <c r="S124" i="34"/>
  <c r="R124" i="34"/>
  <c r="P124" i="34"/>
  <c r="N124" i="34"/>
  <c r="M124" i="34"/>
  <c r="I124" i="34"/>
  <c r="H124" i="34"/>
  <c r="CP123" i="34"/>
  <c r="CK123" i="34"/>
  <c r="CC123" i="34"/>
  <c r="CB123" i="34"/>
  <c r="CF123" i="34" s="1"/>
  <c r="BP123" i="34"/>
  <c r="BO123" i="34"/>
  <c r="BA123" i="34"/>
  <c r="AZ123" i="34"/>
  <c r="AJ123" i="34"/>
  <c r="AK123" i="34" s="1"/>
  <c r="W123" i="34"/>
  <c r="X123" i="34" s="1"/>
  <c r="J123" i="34"/>
  <c r="CP122" i="34"/>
  <c r="CB122" i="34"/>
  <c r="CF122" i="34" s="1"/>
  <c r="BO122" i="34"/>
  <c r="AZ122" i="34"/>
  <c r="AJ122" i="34"/>
  <c r="W122" i="34"/>
  <c r="J122" i="34"/>
  <c r="K122" i="34" s="1"/>
  <c r="CP121" i="34"/>
  <c r="CP120" i="34"/>
  <c r="CL119" i="34"/>
  <c r="CP118" i="34"/>
  <c r="CG117" i="34"/>
  <c r="CE117" i="34"/>
  <c r="CA117" i="34"/>
  <c r="BZ117" i="34"/>
  <c r="BX117" i="34"/>
  <c r="BW117" i="34"/>
  <c r="BS117" i="34"/>
  <c r="BR117" i="34"/>
  <c r="BN117" i="34"/>
  <c r="BM117" i="34"/>
  <c r="BI117" i="34"/>
  <c r="BC117" i="34"/>
  <c r="AY117" i="34"/>
  <c r="AV117" i="34"/>
  <c r="AS117" i="34"/>
  <c r="AR117" i="34"/>
  <c r="AN117" i="34"/>
  <c r="AM117" i="34"/>
  <c r="AI117" i="34"/>
  <c r="AH117" i="34"/>
  <c r="AF117" i="34"/>
  <c r="AE117" i="34"/>
  <c r="AA117" i="34"/>
  <c r="Z117" i="34"/>
  <c r="V117" i="34"/>
  <c r="U117" i="34"/>
  <c r="S117" i="34"/>
  <c r="R117" i="34"/>
  <c r="P117" i="34"/>
  <c r="N117" i="34"/>
  <c r="M117" i="34"/>
  <c r="I117" i="34"/>
  <c r="H117" i="34"/>
  <c r="CP116" i="34"/>
  <c r="CB116" i="34"/>
  <c r="CF116" i="34" s="1"/>
  <c r="BO116" i="34"/>
  <c r="BP116" i="34" s="1"/>
  <c r="AZ116" i="34"/>
  <c r="BA116" i="34" s="1"/>
  <c r="AJ116" i="34"/>
  <c r="AK116" i="34" s="1"/>
  <c r="W116" i="34"/>
  <c r="X116" i="34" s="1"/>
  <c r="J116" i="34"/>
  <c r="K116" i="34" s="1"/>
  <c r="CP115" i="34"/>
  <c r="CB115" i="34"/>
  <c r="CF115" i="34" s="1"/>
  <c r="BO115" i="34"/>
  <c r="BP115" i="34" s="1"/>
  <c r="AZ115" i="34"/>
  <c r="BA115" i="34" s="1"/>
  <c r="AJ115" i="34"/>
  <c r="AK115" i="34" s="1"/>
  <c r="W115" i="34"/>
  <c r="X115" i="34" s="1"/>
  <c r="J115" i="34"/>
  <c r="K115" i="34" s="1"/>
  <c r="CP114" i="34"/>
  <c r="CB114" i="34"/>
  <c r="CF114" i="34" s="1"/>
  <c r="BO114" i="34"/>
  <c r="BP114" i="34" s="1"/>
  <c r="AX114" i="34"/>
  <c r="AU114" i="34"/>
  <c r="AJ114" i="34"/>
  <c r="AK114" i="34" s="1"/>
  <c r="W114" i="34"/>
  <c r="X114" i="34" s="1"/>
  <c r="J114" i="34"/>
  <c r="K114" i="34" s="1"/>
  <c r="CP113" i="34"/>
  <c r="CB113" i="34"/>
  <c r="CC113" i="34" s="1"/>
  <c r="BO113" i="34"/>
  <c r="BP113" i="34" s="1"/>
  <c r="AZ113" i="34"/>
  <c r="BA113" i="34" s="1"/>
  <c r="AJ113" i="34"/>
  <c r="AK113" i="34" s="1"/>
  <c r="W113" i="34"/>
  <c r="X113" i="34" s="1"/>
  <c r="J113" i="34"/>
  <c r="K113" i="34" s="1"/>
  <c r="CP112" i="34"/>
  <c r="CC112" i="34"/>
  <c r="CB112" i="34"/>
  <c r="CF112" i="34" s="1"/>
  <c r="BP112" i="34"/>
  <c r="BO112" i="34"/>
  <c r="AZ112" i="34"/>
  <c r="BA112" i="34" s="1"/>
  <c r="AJ112" i="34"/>
  <c r="AK112" i="34" s="1"/>
  <c r="W112" i="34"/>
  <c r="X112" i="34" s="1"/>
  <c r="J112" i="34"/>
  <c r="K112" i="34" s="1"/>
  <c r="CP111" i="34"/>
  <c r="CB111" i="34"/>
  <c r="CC111" i="34" s="1"/>
  <c r="BO111" i="34"/>
  <c r="BP111" i="34" s="1"/>
  <c r="AZ111" i="34"/>
  <c r="BA111" i="34" s="1"/>
  <c r="AJ111" i="34"/>
  <c r="AK111" i="34" s="1"/>
  <c r="W111" i="34"/>
  <c r="X111" i="34" s="1"/>
  <c r="J111" i="34"/>
  <c r="CP110" i="34"/>
  <c r="CB110" i="34"/>
  <c r="CF110" i="34" s="1"/>
  <c r="BO110" i="34"/>
  <c r="BP110" i="34" s="1"/>
  <c r="BA110" i="34"/>
  <c r="AZ110" i="34"/>
  <c r="CP109" i="34"/>
  <c r="CB109" i="34"/>
  <c r="CF109" i="34" s="1"/>
  <c r="BO109" i="34"/>
  <c r="BP109" i="34" s="1"/>
  <c r="AZ109" i="34"/>
  <c r="BA109" i="34" s="1"/>
  <c r="AJ109" i="34"/>
  <c r="AK109" i="34" s="1"/>
  <c r="W109" i="34"/>
  <c r="X109" i="34" s="1"/>
  <c r="J109" i="34"/>
  <c r="K109" i="34" s="1"/>
  <c r="CP108" i="34"/>
  <c r="CB108" i="34"/>
  <c r="CF108" i="34" s="1"/>
  <c r="BO108" i="34"/>
  <c r="BP108" i="34" s="1"/>
  <c r="AX108" i="34"/>
  <c r="AU108" i="34"/>
  <c r="AU117" i="34" s="1"/>
  <c r="AJ108" i="34"/>
  <c r="AK108" i="34" s="1"/>
  <c r="W108" i="34"/>
  <c r="X108" i="34" s="1"/>
  <c r="J108" i="34"/>
  <c r="K108" i="34" s="1"/>
  <c r="CP107" i="34"/>
  <c r="CB107" i="34"/>
  <c r="BO107" i="34"/>
  <c r="CP106" i="34"/>
  <c r="CB106" i="34"/>
  <c r="BO106" i="34"/>
  <c r="AZ106" i="34"/>
  <c r="CB105" i="34"/>
  <c r="CF105" i="34" s="1"/>
  <c r="BM105" i="34"/>
  <c r="BH105" i="34"/>
  <c r="BH117" i="34" s="1"/>
  <c r="BD105" i="34"/>
  <c r="BD117" i="34" s="1"/>
  <c r="AZ105" i="34"/>
  <c r="BA105" i="34" s="1"/>
  <c r="AJ105" i="34"/>
  <c r="AK105" i="34" s="1"/>
  <c r="W105" i="34"/>
  <c r="X105" i="34" s="1"/>
  <c r="J105" i="34"/>
  <c r="K105" i="34" s="1"/>
  <c r="CP104" i="34"/>
  <c r="CB104" i="34"/>
  <c r="CF104" i="34" s="1"/>
  <c r="BO104" i="34"/>
  <c r="BP104" i="34" s="1"/>
  <c r="AZ104" i="34"/>
  <c r="BA104" i="34" s="1"/>
  <c r="AJ104" i="34"/>
  <c r="CP103" i="34"/>
  <c r="CP101" i="34"/>
  <c r="CG100" i="34"/>
  <c r="CE100" i="34"/>
  <c r="CA100" i="34"/>
  <c r="BZ100" i="34"/>
  <c r="BX100" i="34"/>
  <c r="BW100" i="34"/>
  <c r="BS100" i="34"/>
  <c r="BR100" i="34"/>
  <c r="BN100" i="34"/>
  <c r="BM100" i="34"/>
  <c r="BI100" i="34"/>
  <c r="BH100" i="34"/>
  <c r="BD100" i="34"/>
  <c r="BC100" i="34"/>
  <c r="AY100" i="34"/>
  <c r="AX100" i="34"/>
  <c r="AV100" i="34"/>
  <c r="AU100" i="34"/>
  <c r="AS100" i="34"/>
  <c r="AR100" i="34"/>
  <c r="AN100" i="34"/>
  <c r="AM100" i="34"/>
  <c r="AI100" i="34"/>
  <c r="AF100" i="34"/>
  <c r="AE100" i="34"/>
  <c r="AA100" i="34"/>
  <c r="Z100" i="34"/>
  <c r="V100" i="34"/>
  <c r="U100" i="34"/>
  <c r="S100" i="34"/>
  <c r="R100" i="34"/>
  <c r="P100" i="34"/>
  <c r="N100" i="34"/>
  <c r="M100" i="34"/>
  <c r="I100" i="34"/>
  <c r="H100" i="34"/>
  <c r="CP99" i="34"/>
  <c r="CC99" i="34"/>
  <c r="CB99" i="34"/>
  <c r="CF99" i="34" s="1"/>
  <c r="BP99" i="34"/>
  <c r="BO99" i="34"/>
  <c r="BA99" i="34"/>
  <c r="AZ99" i="34"/>
  <c r="AJ99" i="34"/>
  <c r="AK99" i="34" s="1"/>
  <c r="W99" i="34"/>
  <c r="X99" i="34" s="1"/>
  <c r="J99" i="34"/>
  <c r="K99" i="34" s="1"/>
  <c r="CP98" i="34"/>
  <c r="CB98" i="34"/>
  <c r="BO98" i="34"/>
  <c r="AZ98" i="34"/>
  <c r="BA98" i="34" s="1"/>
  <c r="AJ98" i="34"/>
  <c r="W98" i="34"/>
  <c r="J98" i="34"/>
  <c r="CP97" i="34"/>
  <c r="CG96" i="34"/>
  <c r="CE96" i="34"/>
  <c r="CA96" i="34"/>
  <c r="BZ96" i="34"/>
  <c r="BX96" i="34"/>
  <c r="BW96" i="34"/>
  <c r="BS96" i="34"/>
  <c r="BR96" i="34"/>
  <c r="BN96" i="34"/>
  <c r="BM96" i="34"/>
  <c r="BI96" i="34"/>
  <c r="BH96" i="34"/>
  <c r="BD96" i="34"/>
  <c r="BC96" i="34"/>
  <c r="AY96" i="34"/>
  <c r="AX96" i="34"/>
  <c r="AV96" i="34"/>
  <c r="AU96" i="34"/>
  <c r="AS96" i="34"/>
  <c r="AR96" i="34"/>
  <c r="AN96" i="34"/>
  <c r="AM96" i="34"/>
  <c r="AI96" i="34"/>
  <c r="AF96" i="34"/>
  <c r="AE96" i="34"/>
  <c r="AA96" i="34"/>
  <c r="Z96" i="34"/>
  <c r="V96" i="34"/>
  <c r="U96" i="34"/>
  <c r="S96" i="34"/>
  <c r="R96" i="34"/>
  <c r="P96" i="34"/>
  <c r="N96" i="34"/>
  <c r="M96" i="34"/>
  <c r="I96" i="34"/>
  <c r="H96" i="34"/>
  <c r="CP95" i="34"/>
  <c r="CK95" i="34"/>
  <c r="CP94" i="34"/>
  <c r="CB94" i="34"/>
  <c r="CC94" i="34" s="1"/>
  <c r="BO94" i="34"/>
  <c r="BP94" i="34" s="1"/>
  <c r="AZ94" i="34"/>
  <c r="BA94" i="34" s="1"/>
  <c r="AJ94" i="34"/>
  <c r="AK94" i="34" s="1"/>
  <c r="W94" i="34"/>
  <c r="X94" i="34" s="1"/>
  <c r="J94" i="34"/>
  <c r="K94" i="34" s="1"/>
  <c r="CP93" i="34"/>
  <c r="CB93" i="34"/>
  <c r="CF93" i="34" s="1"/>
  <c r="BO93" i="34"/>
  <c r="AZ93" i="34"/>
  <c r="BA93" i="34" s="1"/>
  <c r="AJ93" i="34"/>
  <c r="AK93" i="34" s="1"/>
  <c r="W93" i="34"/>
  <c r="J93" i="34"/>
  <c r="K93" i="34" s="1"/>
  <c r="CP92" i="34"/>
  <c r="CP91" i="34"/>
  <c r="CL90" i="34"/>
  <c r="CM90" i="34" s="1"/>
  <c r="CP89" i="34"/>
  <c r="CG88" i="34"/>
  <c r="CE88" i="34"/>
  <c r="CA88" i="34"/>
  <c r="BZ88" i="34"/>
  <c r="BX88" i="34"/>
  <c r="BW88" i="34"/>
  <c r="BS88" i="34"/>
  <c r="BR88" i="34"/>
  <c r="BN88" i="34"/>
  <c r="BI88" i="34"/>
  <c r="BH88" i="34"/>
  <c r="BD88" i="34"/>
  <c r="BC88" i="34"/>
  <c r="AY88" i="34"/>
  <c r="AV88" i="34"/>
  <c r="AU88" i="34"/>
  <c r="AS88" i="34"/>
  <c r="AR88" i="34"/>
  <c r="AN88" i="34"/>
  <c r="AM88" i="34"/>
  <c r="AI88" i="34"/>
  <c r="AF88" i="34"/>
  <c r="AE88" i="34"/>
  <c r="Z88" i="34"/>
  <c r="V88" i="34"/>
  <c r="U88" i="34"/>
  <c r="S88" i="34"/>
  <c r="R88" i="34"/>
  <c r="P88" i="34"/>
  <c r="N88" i="34"/>
  <c r="M88" i="34"/>
  <c r="I88" i="34"/>
  <c r="H88" i="34"/>
  <c r="CP87" i="34"/>
  <c r="CB87" i="34"/>
  <c r="CF87" i="34" s="1"/>
  <c r="BO87" i="34"/>
  <c r="BP87" i="34" s="1"/>
  <c r="AZ87" i="34"/>
  <c r="BA87" i="34" s="1"/>
  <c r="AJ87" i="34"/>
  <c r="AK87" i="34" s="1"/>
  <c r="W87" i="34"/>
  <c r="X87" i="34" s="1"/>
  <c r="J87" i="34"/>
  <c r="K87" i="34" s="1"/>
  <c r="CP86" i="34"/>
  <c r="CB86" i="34"/>
  <c r="BO86" i="34"/>
  <c r="BP86" i="34" s="1"/>
  <c r="AZ86" i="34"/>
  <c r="BA86" i="34" s="1"/>
  <c r="AJ86" i="34"/>
  <c r="AK86" i="34" s="1"/>
  <c r="W86" i="34"/>
  <c r="X86" i="34" s="1"/>
  <c r="J86" i="34"/>
  <c r="K86" i="34" s="1"/>
  <c r="CP85" i="34"/>
  <c r="CB85" i="34"/>
  <c r="BO85" i="34"/>
  <c r="BP85" i="34" s="1"/>
  <c r="AZ85" i="34"/>
  <c r="BA85" i="34" s="1"/>
  <c r="AJ85" i="34"/>
  <c r="AK85" i="34" s="1"/>
  <c r="W85" i="34"/>
  <c r="X85" i="34" s="1"/>
  <c r="J85" i="34"/>
  <c r="K85" i="34" s="1"/>
  <c r="CP84" i="34"/>
  <c r="CB84" i="34"/>
  <c r="CF84" i="34" s="1"/>
  <c r="BO84" i="34"/>
  <c r="BP84" i="34" s="1"/>
  <c r="AZ84" i="34"/>
  <c r="BA84" i="34" s="1"/>
  <c r="AJ84" i="34"/>
  <c r="AK84" i="34" s="1"/>
  <c r="W84" i="34"/>
  <c r="X84" i="34" s="1"/>
  <c r="J84" i="34"/>
  <c r="K84" i="34" s="1"/>
  <c r="CP83" i="34"/>
  <c r="CB83" i="34"/>
  <c r="CF83" i="34" s="1"/>
  <c r="BO83" i="34"/>
  <c r="BP83" i="34" s="1"/>
  <c r="AZ83" i="34"/>
  <c r="BA83" i="34" s="1"/>
  <c r="AJ83" i="34"/>
  <c r="AK83" i="34" s="1"/>
  <c r="W83" i="34"/>
  <c r="X83" i="34" s="1"/>
  <c r="K83" i="34"/>
  <c r="J83" i="34"/>
  <c r="CB82" i="34"/>
  <c r="CF82" i="34" s="1"/>
  <c r="BM82" i="34"/>
  <c r="BH82" i="34"/>
  <c r="CP82" i="34" s="1"/>
  <c r="BD82" i="34"/>
  <c r="AZ82" i="34"/>
  <c r="BA82" i="34" s="1"/>
  <c r="AX82" i="34"/>
  <c r="AX88" i="34" s="1"/>
  <c r="AU82" i="34"/>
  <c r="AJ82" i="34"/>
  <c r="AK82" i="34" s="1"/>
  <c r="AE82" i="34"/>
  <c r="AA82" i="34"/>
  <c r="AA88" i="34" s="1"/>
  <c r="W82" i="34"/>
  <c r="J82" i="34"/>
  <c r="K82" i="34" s="1"/>
  <c r="CP81" i="34"/>
  <c r="CB81" i="34"/>
  <c r="CC81" i="34" s="1"/>
  <c r="BO81" i="34"/>
  <c r="AZ81" i="34"/>
  <c r="CP80" i="34"/>
  <c r="CP78" i="34"/>
  <c r="CG77" i="34"/>
  <c r="CE77" i="34"/>
  <c r="CA77" i="34"/>
  <c r="BZ77" i="34"/>
  <c r="BX77" i="34"/>
  <c r="BW77" i="34"/>
  <c r="BS77" i="34"/>
  <c r="BR77" i="34"/>
  <c r="BN77" i="34"/>
  <c r="BI77" i="34"/>
  <c r="BH77" i="34"/>
  <c r="BC77" i="34"/>
  <c r="AY77" i="34"/>
  <c r="AX77" i="34"/>
  <c r="AV77" i="34"/>
  <c r="AU77" i="34"/>
  <c r="AS77" i="34"/>
  <c r="AR77" i="34"/>
  <c r="AN77" i="34"/>
  <c r="AM77" i="34"/>
  <c r="AI77" i="34"/>
  <c r="AF77" i="34"/>
  <c r="AE77" i="34"/>
  <c r="AA77" i="34"/>
  <c r="Z77" i="34"/>
  <c r="V77" i="34"/>
  <c r="U77" i="34"/>
  <c r="S77" i="34"/>
  <c r="R77" i="34"/>
  <c r="P77" i="34"/>
  <c r="N77" i="34"/>
  <c r="M77" i="34"/>
  <c r="I77" i="34"/>
  <c r="H77" i="34"/>
  <c r="CP76" i="34"/>
  <c r="CK76" i="34"/>
  <c r="CB75" i="34"/>
  <c r="CB77" i="34" s="1"/>
  <c r="BO75" i="34"/>
  <c r="BO77" i="34" s="1"/>
  <c r="BM75" i="34"/>
  <c r="BM77" i="34" s="1"/>
  <c r="BH75" i="34"/>
  <c r="CP75" i="34" s="1"/>
  <c r="BD75" i="34"/>
  <c r="BD77" i="34" s="1"/>
  <c r="AZ75" i="34"/>
  <c r="AZ77" i="34" s="1"/>
  <c r="AJ75" i="34"/>
  <c r="W75" i="34"/>
  <c r="W77" i="34" s="1"/>
  <c r="J75" i="34"/>
  <c r="K75" i="34" s="1"/>
  <c r="CP74" i="34"/>
  <c r="CG73" i="34"/>
  <c r="CE73" i="34"/>
  <c r="CA73" i="34"/>
  <c r="BZ73" i="34"/>
  <c r="BX73" i="34"/>
  <c r="BW73" i="34"/>
  <c r="BS73" i="34"/>
  <c r="BR73" i="34"/>
  <c r="BN73" i="34"/>
  <c r="BM73" i="34"/>
  <c r="BI73" i="34"/>
  <c r="BH73" i="34"/>
  <c r="BD73" i="34"/>
  <c r="BC73" i="34"/>
  <c r="AY73" i="34"/>
  <c r="AX73" i="34"/>
  <c r="AV73" i="34"/>
  <c r="AU73" i="34"/>
  <c r="AS73" i="34"/>
  <c r="AR73" i="34"/>
  <c r="AN73" i="34"/>
  <c r="AN79" i="34" s="1"/>
  <c r="AM73" i="34"/>
  <c r="AI73" i="34"/>
  <c r="AF73" i="34"/>
  <c r="AE73" i="34"/>
  <c r="AE79" i="34" s="1"/>
  <c r="AA73" i="34"/>
  <c r="Z73" i="34"/>
  <c r="V73" i="34"/>
  <c r="U73" i="34"/>
  <c r="S73" i="34"/>
  <c r="R73" i="34"/>
  <c r="R79" i="34" s="1"/>
  <c r="P73" i="34"/>
  <c r="N73" i="34"/>
  <c r="M73" i="34"/>
  <c r="I73" i="34"/>
  <c r="H73" i="34"/>
  <c r="CP72" i="34"/>
  <c r="CK72" i="34"/>
  <c r="CP71" i="34"/>
  <c r="CB71" i="34"/>
  <c r="CB73" i="34" s="1"/>
  <c r="BO71" i="34"/>
  <c r="BO73" i="34" s="1"/>
  <c r="AZ71" i="34"/>
  <c r="AZ73" i="34" s="1"/>
  <c r="AJ71" i="34"/>
  <c r="AJ73" i="34" s="1"/>
  <c r="W71" i="34"/>
  <c r="W73" i="34" s="1"/>
  <c r="J71" i="34"/>
  <c r="J73" i="34" s="1"/>
  <c r="CP70" i="34"/>
  <c r="CP69" i="34"/>
  <c r="CP67" i="34"/>
  <c r="CG66" i="34"/>
  <c r="CE66" i="34"/>
  <c r="CA66" i="34"/>
  <c r="BZ66" i="34"/>
  <c r="BX66" i="34"/>
  <c r="BW66" i="34"/>
  <c r="BS66" i="34"/>
  <c r="BR66" i="34"/>
  <c r="BN66" i="34"/>
  <c r="BM66" i="34"/>
  <c r="BI66" i="34"/>
  <c r="BH66" i="34"/>
  <c r="BD66" i="34"/>
  <c r="BC66" i="34"/>
  <c r="AY66" i="34"/>
  <c r="AX66" i="34"/>
  <c r="AV66" i="34"/>
  <c r="AU66" i="34"/>
  <c r="AS66" i="34"/>
  <c r="AR66" i="34"/>
  <c r="AN66" i="34"/>
  <c r="AM66" i="34"/>
  <c r="AI66" i="34"/>
  <c r="AF66" i="34"/>
  <c r="AE66" i="34"/>
  <c r="AA66" i="34"/>
  <c r="Z66" i="34"/>
  <c r="V66" i="34"/>
  <c r="U66" i="34"/>
  <c r="S66" i="34"/>
  <c r="R66" i="34"/>
  <c r="N66" i="34"/>
  <c r="M66" i="34"/>
  <c r="I66" i="34"/>
  <c r="H66" i="34"/>
  <c r="CP65" i="34"/>
  <c r="CB65" i="34"/>
  <c r="CF65" i="34" s="1"/>
  <c r="BO65" i="34"/>
  <c r="BO66" i="34" s="1"/>
  <c r="AZ65" i="34"/>
  <c r="AZ66" i="34" s="1"/>
  <c r="AJ65" i="34"/>
  <c r="AK65" i="34" s="1"/>
  <c r="W65" i="34"/>
  <c r="X65" i="34" s="1"/>
  <c r="K65" i="34"/>
  <c r="J65" i="34"/>
  <c r="J66" i="34" s="1"/>
  <c r="CP64" i="34"/>
  <c r="CG63" i="34"/>
  <c r="CE63" i="34"/>
  <c r="CA63" i="34"/>
  <c r="BZ63" i="34"/>
  <c r="BX63" i="34"/>
  <c r="BW63" i="34"/>
  <c r="BS63" i="34"/>
  <c r="BR63" i="34"/>
  <c r="BN63" i="34"/>
  <c r="BM63" i="34"/>
  <c r="BI63" i="34"/>
  <c r="BH63" i="34"/>
  <c r="BD63" i="34"/>
  <c r="BC63" i="34"/>
  <c r="AY63" i="34"/>
  <c r="AX63" i="34"/>
  <c r="AV63" i="34"/>
  <c r="AU63" i="34"/>
  <c r="AS63" i="34"/>
  <c r="AR63" i="34"/>
  <c r="AN63" i="34"/>
  <c r="AM63" i="34"/>
  <c r="AI63" i="34"/>
  <c r="AF63" i="34"/>
  <c r="AE63" i="34"/>
  <c r="AA63" i="34"/>
  <c r="Z63" i="34"/>
  <c r="V63" i="34"/>
  <c r="U63" i="34"/>
  <c r="T63" i="34"/>
  <c r="S63" i="34"/>
  <c r="R63" i="34"/>
  <c r="N63" i="34"/>
  <c r="M63" i="34"/>
  <c r="I63" i="34"/>
  <c r="H63" i="34"/>
  <c r="CP62" i="34"/>
  <c r="CB62" i="34"/>
  <c r="CF62" i="34" s="1"/>
  <c r="BO62" i="34"/>
  <c r="BP62" i="34" s="1"/>
  <c r="AZ62" i="34"/>
  <c r="BA62" i="34" s="1"/>
  <c r="AJ62" i="34"/>
  <c r="AK62" i="34" s="1"/>
  <c r="W62" i="34"/>
  <c r="X62" i="34" s="1"/>
  <c r="J62" i="34"/>
  <c r="K62" i="34" s="1"/>
  <c r="CP61" i="34"/>
  <c r="CB61" i="34"/>
  <c r="CF61" i="34" s="1"/>
  <c r="BO61" i="34"/>
  <c r="BP61" i="34" s="1"/>
  <c r="AZ61" i="34"/>
  <c r="BA61" i="34" s="1"/>
  <c r="AJ61" i="34"/>
  <c r="AK61" i="34" s="1"/>
  <c r="W61" i="34"/>
  <c r="X61" i="34" s="1"/>
  <c r="J61" i="34"/>
  <c r="CP60" i="34"/>
  <c r="CC60" i="34"/>
  <c r="CB60" i="34"/>
  <c r="CF60" i="34" s="1"/>
  <c r="BP60" i="34"/>
  <c r="BO60" i="34"/>
  <c r="BA60" i="34"/>
  <c r="AZ60" i="34"/>
  <c r="AJ60" i="34"/>
  <c r="W60" i="34"/>
  <c r="X60" i="34" s="1"/>
  <c r="J60" i="34"/>
  <c r="K60" i="34" s="1"/>
  <c r="CP59" i="34"/>
  <c r="CC59" i="34"/>
  <c r="CB59" i="34"/>
  <c r="BP59" i="34"/>
  <c r="BO59" i="34"/>
  <c r="BA59" i="34"/>
  <c r="AZ59" i="34"/>
  <c r="AJ59" i="34"/>
  <c r="AK59" i="34" s="1"/>
  <c r="W59" i="34"/>
  <c r="J59" i="34"/>
  <c r="K59" i="34" s="1"/>
  <c r="CP58" i="34"/>
  <c r="CG57" i="34"/>
  <c r="CE57" i="34"/>
  <c r="CA57" i="34"/>
  <c r="BZ57" i="34"/>
  <c r="BX57" i="34"/>
  <c r="BW57" i="34"/>
  <c r="BS57" i="34"/>
  <c r="BR57" i="34"/>
  <c r="BN57" i="34"/>
  <c r="BM57" i="34"/>
  <c r="BI57" i="34"/>
  <c r="BH57" i="34"/>
  <c r="BD57" i="34"/>
  <c r="BC57" i="34"/>
  <c r="AY57" i="34"/>
  <c r="AX57" i="34"/>
  <c r="AV57" i="34"/>
  <c r="AU57" i="34"/>
  <c r="AS57" i="34"/>
  <c r="AR57" i="34"/>
  <c r="AN57" i="34"/>
  <c r="AM57" i="34"/>
  <c r="AI57" i="34"/>
  <c r="AF57" i="34"/>
  <c r="AE57" i="34"/>
  <c r="AA57" i="34"/>
  <c r="Z57" i="34"/>
  <c r="V57" i="34"/>
  <c r="U57" i="34"/>
  <c r="S57" i="34"/>
  <c r="R57" i="34"/>
  <c r="P57" i="34"/>
  <c r="P63" i="34" s="1"/>
  <c r="P66" i="34" s="1"/>
  <c r="N57" i="34"/>
  <c r="M57" i="34"/>
  <c r="I57" i="34"/>
  <c r="H57" i="34"/>
  <c r="CP56" i="34"/>
  <c r="CB56" i="34"/>
  <c r="BO56" i="34"/>
  <c r="BO57" i="34" s="1"/>
  <c r="AZ56" i="34"/>
  <c r="AZ57" i="34" s="1"/>
  <c r="AJ56" i="34"/>
  <c r="W56" i="34"/>
  <c r="W57" i="34" s="1"/>
  <c r="J56" i="34"/>
  <c r="J57" i="34" s="1"/>
  <c r="CP55" i="34"/>
  <c r="CP54" i="34"/>
  <c r="CL53" i="34"/>
  <c r="CP52" i="34"/>
  <c r="CG51" i="34"/>
  <c r="CG53" i="34" s="1"/>
  <c r="CE51" i="34"/>
  <c r="CE53" i="34" s="1"/>
  <c r="CA51" i="34"/>
  <c r="CA53" i="34" s="1"/>
  <c r="BZ51" i="34"/>
  <c r="BX51" i="34"/>
  <c r="BX53" i="34" s="1"/>
  <c r="BW51" i="34"/>
  <c r="BW53" i="34" s="1"/>
  <c r="BS51" i="34"/>
  <c r="BS53" i="34" s="1"/>
  <c r="BR51" i="34"/>
  <c r="BR53" i="34" s="1"/>
  <c r="BN51" i="34"/>
  <c r="BN53" i="34" s="1"/>
  <c r="BM51" i="34"/>
  <c r="BI51" i="34"/>
  <c r="BI53" i="34" s="1"/>
  <c r="BH51" i="34"/>
  <c r="BH53" i="34" s="1"/>
  <c r="BD51" i="34"/>
  <c r="BD53" i="34" s="1"/>
  <c r="BC51" i="34"/>
  <c r="BC53" i="34" s="1"/>
  <c r="AY51" i="34"/>
  <c r="AY53" i="34" s="1"/>
  <c r="AX51" i="34"/>
  <c r="AV51" i="34"/>
  <c r="AV53" i="34" s="1"/>
  <c r="AU51" i="34"/>
  <c r="AU53" i="34" s="1"/>
  <c r="AS51" i="34"/>
  <c r="AS53" i="34" s="1"/>
  <c r="AR51" i="34"/>
  <c r="AR53" i="34" s="1"/>
  <c r="AN51" i="34"/>
  <c r="AN53" i="34" s="1"/>
  <c r="AM51" i="34"/>
  <c r="AM53" i="34" s="1"/>
  <c r="AI51" i="34"/>
  <c r="AI53" i="34" s="1"/>
  <c r="AF51" i="34"/>
  <c r="AF53" i="34" s="1"/>
  <c r="AE51" i="34"/>
  <c r="AE53" i="34" s="1"/>
  <c r="AA51" i="34"/>
  <c r="AA53" i="34" s="1"/>
  <c r="Z51" i="34"/>
  <c r="Z53" i="34" s="1"/>
  <c r="V51" i="34"/>
  <c r="V53" i="34" s="1"/>
  <c r="U51" i="34"/>
  <c r="S51" i="34"/>
  <c r="S53" i="34" s="1"/>
  <c r="R51" i="34"/>
  <c r="R53" i="34" s="1"/>
  <c r="P51" i="34"/>
  <c r="P53" i="34" s="1"/>
  <c r="N51" i="34"/>
  <c r="N53" i="34" s="1"/>
  <c r="M51" i="34"/>
  <c r="M53" i="34" s="1"/>
  <c r="I51" i="34"/>
  <c r="I53" i="34" s="1"/>
  <c r="H51" i="34"/>
  <c r="H53" i="34" s="1"/>
  <c r="CP50" i="34"/>
  <c r="CC50" i="34"/>
  <c r="CB50" i="34"/>
  <c r="CF50" i="34" s="1"/>
  <c r="BP50" i="34"/>
  <c r="BO50" i="34"/>
  <c r="BA50" i="34"/>
  <c r="AZ50" i="34"/>
  <c r="AK50" i="34"/>
  <c r="AJ50" i="34"/>
  <c r="X50" i="34"/>
  <c r="W50" i="34"/>
  <c r="K50" i="34"/>
  <c r="J50" i="34"/>
  <c r="CP49" i="34"/>
  <c r="CB49" i="34"/>
  <c r="CF49" i="34" s="1"/>
  <c r="BO49" i="34"/>
  <c r="BP49" i="34" s="1"/>
  <c r="AZ49" i="34"/>
  <c r="BA49" i="34" s="1"/>
  <c r="AJ49" i="34"/>
  <c r="AK49" i="34" s="1"/>
  <c r="W49" i="34"/>
  <c r="X49" i="34" s="1"/>
  <c r="J49" i="34"/>
  <c r="K49" i="34" s="1"/>
  <c r="CP48" i="34"/>
  <c r="CB48" i="34"/>
  <c r="BO48" i="34"/>
  <c r="BP48" i="34" s="1"/>
  <c r="AZ48" i="34"/>
  <c r="BA48" i="34" s="1"/>
  <c r="AJ48" i="34"/>
  <c r="AK48" i="34" s="1"/>
  <c r="W48" i="34"/>
  <c r="X48" i="34" s="1"/>
  <c r="J48" i="34"/>
  <c r="K48" i="34" s="1"/>
  <c r="CP47" i="34"/>
  <c r="CP46" i="34"/>
  <c r="CB46" i="34"/>
  <c r="CF46" i="34" s="1"/>
  <c r="BO46" i="34"/>
  <c r="BP46" i="34" s="1"/>
  <c r="AZ46" i="34"/>
  <c r="BA46" i="34" s="1"/>
  <c r="AJ46" i="34"/>
  <c r="AK46" i="34" s="1"/>
  <c r="W46" i="34"/>
  <c r="X46" i="34" s="1"/>
  <c r="J46" i="34"/>
  <c r="K46" i="34" s="1"/>
  <c r="CP45" i="34"/>
  <c r="CB45" i="34"/>
  <c r="CF45" i="34" s="1"/>
  <c r="BO45" i="34"/>
  <c r="AZ45" i="34"/>
  <c r="BA45" i="34" s="1"/>
  <c r="AJ45" i="34"/>
  <c r="AK45" i="34" s="1"/>
  <c r="W45" i="34"/>
  <c r="X45" i="34" s="1"/>
  <c r="J45" i="34"/>
  <c r="CP44" i="34"/>
  <c r="CP43" i="34"/>
  <c r="CL42" i="34"/>
  <c r="CM42" i="34" s="1"/>
  <c r="CP41" i="34"/>
  <c r="CG40" i="34"/>
  <c r="CE40" i="34"/>
  <c r="CA40" i="34"/>
  <c r="BZ40" i="34"/>
  <c r="BX40" i="34"/>
  <c r="BW40" i="34"/>
  <c r="BS40" i="34"/>
  <c r="BR40" i="34"/>
  <c r="BN40" i="34"/>
  <c r="BM40" i="34"/>
  <c r="BI40" i="34"/>
  <c r="BH40" i="34"/>
  <c r="BD40" i="34"/>
  <c r="BC40" i="34"/>
  <c r="AY40" i="34"/>
  <c r="AX40" i="34"/>
  <c r="AV40" i="34"/>
  <c r="AU40" i="34"/>
  <c r="AS40" i="34"/>
  <c r="AR40" i="34"/>
  <c r="AN40" i="34"/>
  <c r="AM40" i="34"/>
  <c r="AI40" i="34"/>
  <c r="AH40" i="34"/>
  <c r="AF40" i="34"/>
  <c r="AE40" i="34"/>
  <c r="AA40" i="34"/>
  <c r="Z40" i="34"/>
  <c r="V40" i="34"/>
  <c r="U40" i="34"/>
  <c r="S40" i="34"/>
  <c r="R40" i="34"/>
  <c r="N40" i="34"/>
  <c r="M40" i="34"/>
  <c r="I40" i="34"/>
  <c r="H40" i="34"/>
  <c r="CP39" i="34"/>
  <c r="CB39" i="34"/>
  <c r="CC39" i="34" s="1"/>
  <c r="BO39" i="34"/>
  <c r="BP39" i="34" s="1"/>
  <c r="AZ39" i="34"/>
  <c r="BA39" i="34" s="1"/>
  <c r="AJ39" i="34"/>
  <c r="AK39" i="34" s="1"/>
  <c r="W39" i="34"/>
  <c r="X39" i="34" s="1"/>
  <c r="J39" i="34"/>
  <c r="CP38" i="34"/>
  <c r="CC38" i="34"/>
  <c r="CB38" i="34"/>
  <c r="CF38" i="34" s="1"/>
  <c r="BP38" i="34"/>
  <c r="BO38" i="34"/>
  <c r="BA38" i="34"/>
  <c r="AZ38" i="34"/>
  <c r="AJ38" i="34"/>
  <c r="AK38" i="34" s="1"/>
  <c r="W38" i="34"/>
  <c r="X38" i="34" s="1"/>
  <c r="J38" i="34"/>
  <c r="K38" i="34" s="1"/>
  <c r="CP37" i="34"/>
  <c r="CC37" i="34"/>
  <c r="CB37" i="34"/>
  <c r="CF37" i="34" s="1"/>
  <c r="BP37" i="34"/>
  <c r="BO37" i="34"/>
  <c r="BA37" i="34"/>
  <c r="AZ37" i="34"/>
  <c r="CP36" i="34"/>
  <c r="CB36" i="34"/>
  <c r="CF36" i="34" s="1"/>
  <c r="BO36" i="34"/>
  <c r="BP36" i="34" s="1"/>
  <c r="AZ36" i="34"/>
  <c r="BA36" i="34" s="1"/>
  <c r="AJ36" i="34"/>
  <c r="AK36" i="34" s="1"/>
  <c r="W36" i="34"/>
  <c r="X36" i="34" s="1"/>
  <c r="J36" i="34"/>
  <c r="K36" i="34" s="1"/>
  <c r="CP35" i="34"/>
  <c r="CB35" i="34"/>
  <c r="CF35" i="34" s="1"/>
  <c r="BO35" i="34"/>
  <c r="BP35" i="34" s="1"/>
  <c r="AZ35" i="34"/>
  <c r="BA35" i="34" s="1"/>
  <c r="AJ35" i="34"/>
  <c r="AK35" i="34" s="1"/>
  <c r="W35" i="34"/>
  <c r="X35" i="34" s="1"/>
  <c r="J35" i="34"/>
  <c r="K35" i="34" s="1"/>
  <c r="CP34" i="34"/>
  <c r="CB34" i="34"/>
  <c r="CF34" i="34" s="1"/>
  <c r="BO34" i="34"/>
  <c r="BP34" i="34" s="1"/>
  <c r="AZ34" i="34"/>
  <c r="BA34" i="34" s="1"/>
  <c r="AJ34" i="34"/>
  <c r="AK34" i="34" s="1"/>
  <c r="W34" i="34"/>
  <c r="X34" i="34" s="1"/>
  <c r="J34" i="34"/>
  <c r="K34" i="34" s="1"/>
  <c r="CP33" i="34"/>
  <c r="CC33" i="34"/>
  <c r="CB33" i="34"/>
  <c r="CF33" i="34" s="1"/>
  <c r="BP33" i="34"/>
  <c r="BO33" i="34"/>
  <c r="BA33" i="34"/>
  <c r="AZ33" i="34"/>
  <c r="AK33" i="34"/>
  <c r="AJ33" i="34"/>
  <c r="X33" i="34"/>
  <c r="W33" i="34"/>
  <c r="J33" i="34"/>
  <c r="CP32" i="34"/>
  <c r="CB32" i="34"/>
  <c r="BO32" i="34"/>
  <c r="AZ32" i="34"/>
  <c r="BA32" i="34" s="1"/>
  <c r="AJ32" i="34"/>
  <c r="AK32" i="34" s="1"/>
  <c r="W32" i="34"/>
  <c r="X32" i="34" s="1"/>
  <c r="J32" i="34"/>
  <c r="K32" i="34" s="1"/>
  <c r="CP31" i="34"/>
  <c r="CP29" i="34"/>
  <c r="CG28" i="34"/>
  <c r="CE28" i="34"/>
  <c r="BZ28" i="34"/>
  <c r="BX28" i="34"/>
  <c r="BW28" i="34"/>
  <c r="BS28" i="34"/>
  <c r="BR28" i="34"/>
  <c r="BN28" i="34"/>
  <c r="BM28" i="34"/>
  <c r="BI28" i="34"/>
  <c r="BH28" i="34"/>
  <c r="BD28" i="34"/>
  <c r="BC28" i="34"/>
  <c r="AY28" i="34"/>
  <c r="AX28" i="34"/>
  <c r="AV28" i="34"/>
  <c r="AU28" i="34"/>
  <c r="AS28" i="34"/>
  <c r="AR28" i="34"/>
  <c r="AN28" i="34"/>
  <c r="AM28" i="34"/>
  <c r="AI28" i="34"/>
  <c r="AF28" i="34"/>
  <c r="AE28" i="34"/>
  <c r="AA28" i="34"/>
  <c r="Z28" i="34"/>
  <c r="V28" i="34"/>
  <c r="U28" i="34"/>
  <c r="S28" i="34"/>
  <c r="R28" i="34"/>
  <c r="P28" i="34"/>
  <c r="N28" i="34"/>
  <c r="M28" i="34"/>
  <c r="I28" i="34"/>
  <c r="H28" i="34"/>
  <c r="CP27" i="34"/>
  <c r="CC27" i="34"/>
  <c r="CB27" i="34"/>
  <c r="CF27" i="34" s="1"/>
  <c r="BP27" i="34"/>
  <c r="BO27" i="34"/>
  <c r="BA27" i="34"/>
  <c r="AZ27" i="34"/>
  <c r="AK27" i="34"/>
  <c r="AJ27" i="34"/>
  <c r="W27" i="34"/>
  <c r="X27" i="34" s="1"/>
  <c r="J27" i="34"/>
  <c r="K27" i="34" s="1"/>
  <c r="CP26" i="34"/>
  <c r="CC26" i="34"/>
  <c r="CB26" i="34"/>
  <c r="CF26" i="34" s="1"/>
  <c r="BP26" i="34"/>
  <c r="BO26" i="34"/>
  <c r="BA26" i="34"/>
  <c r="AZ26" i="34"/>
  <c r="AK26" i="34"/>
  <c r="AJ26" i="34"/>
  <c r="X26" i="34"/>
  <c r="W26" i="34"/>
  <c r="J26" i="34"/>
  <c r="K26" i="34" s="1"/>
  <c r="CP25" i="34"/>
  <c r="CB25" i="34"/>
  <c r="BO25" i="34"/>
  <c r="AJ25" i="34"/>
  <c r="CP24" i="34"/>
  <c r="CK24" i="34"/>
  <c r="CB24" i="34"/>
  <c r="CP23" i="34"/>
  <c r="CB23" i="34"/>
  <c r="CF23" i="34" s="1"/>
  <c r="BO23" i="34"/>
  <c r="BP23" i="34" s="1"/>
  <c r="AZ23" i="34"/>
  <c r="BA23" i="34" s="1"/>
  <c r="AK23" i="34"/>
  <c r="AJ23" i="34"/>
  <c r="CP22" i="34"/>
  <c r="CK22" i="34"/>
  <c r="CE22" i="34"/>
  <c r="CA22" i="34"/>
  <c r="CB22" i="34" s="1"/>
  <c r="CF22" i="34" s="1"/>
  <c r="CP21" i="34"/>
  <c r="CK21" i="34"/>
  <c r="CB21" i="34"/>
  <c r="CF21" i="34" s="1"/>
  <c r="BO21" i="34"/>
  <c r="BP21" i="34" s="1"/>
  <c r="AZ21" i="34"/>
  <c r="BA21" i="34" s="1"/>
  <c r="AS21" i="34"/>
  <c r="AJ21" i="34"/>
  <c r="AK21" i="34" s="1"/>
  <c r="W21" i="34"/>
  <c r="X21" i="34" s="1"/>
  <c r="J21" i="34"/>
  <c r="K21" i="34" s="1"/>
  <c r="CP20" i="34"/>
  <c r="CC20" i="34"/>
  <c r="CB20" i="34"/>
  <c r="BP20" i="34"/>
  <c r="BO20" i="34"/>
  <c r="BA20" i="34"/>
  <c r="AZ20" i="34"/>
  <c r="AK20" i="34"/>
  <c r="AJ20" i="34"/>
  <c r="W20" i="34"/>
  <c r="J20" i="34"/>
  <c r="CP19" i="34"/>
  <c r="CG18" i="34"/>
  <c r="CE18" i="34"/>
  <c r="CA18" i="34"/>
  <c r="BZ18" i="34"/>
  <c r="BX18" i="34"/>
  <c r="BW18" i="34"/>
  <c r="BS18" i="34"/>
  <c r="BR18" i="34"/>
  <c r="BN18" i="34"/>
  <c r="BM18" i="34"/>
  <c r="BI18" i="34"/>
  <c r="BH18" i="34"/>
  <c r="BD18" i="34"/>
  <c r="BC18" i="34"/>
  <c r="AY18" i="34"/>
  <c r="AX18" i="34"/>
  <c r="AV18" i="34"/>
  <c r="AS18" i="34"/>
  <c r="AR18" i="34"/>
  <c r="AN18" i="34"/>
  <c r="AM18" i="34"/>
  <c r="AI18" i="34"/>
  <c r="AH18" i="34"/>
  <c r="AF18" i="34"/>
  <c r="AE18" i="34"/>
  <c r="AA18" i="34"/>
  <c r="Z18" i="34"/>
  <c r="V18" i="34"/>
  <c r="U18" i="34"/>
  <c r="S18" i="34"/>
  <c r="R18" i="34"/>
  <c r="P18" i="34"/>
  <c r="N18" i="34"/>
  <c r="M18" i="34"/>
  <c r="I18" i="34"/>
  <c r="H18" i="34"/>
  <c r="CP17" i="34"/>
  <c r="CP16" i="34"/>
  <c r="CB16" i="34"/>
  <c r="CC16" i="34" s="1"/>
  <c r="BO16" i="34"/>
  <c r="BP16" i="34" s="1"/>
  <c r="AZ16" i="34"/>
  <c r="BA16" i="34" s="1"/>
  <c r="AJ16" i="34"/>
  <c r="AK16" i="34" s="1"/>
  <c r="W16" i="34"/>
  <c r="X16" i="34" s="1"/>
  <c r="J16" i="34"/>
  <c r="K16" i="34" s="1"/>
  <c r="CP15" i="34"/>
  <c r="CK15" i="34"/>
  <c r="CC15" i="34"/>
  <c r="CB15" i="34"/>
  <c r="CF15" i="34" s="1"/>
  <c r="BO15" i="34"/>
  <c r="BP15" i="34" s="1"/>
  <c r="AZ15" i="34"/>
  <c r="BA15" i="34" s="1"/>
  <c r="AJ15" i="34"/>
  <c r="AK15" i="34" s="1"/>
  <c r="X15" i="34"/>
  <c r="W15" i="34"/>
  <c r="K15" i="34"/>
  <c r="J15" i="34"/>
  <c r="CP14" i="34"/>
  <c r="CB14" i="34"/>
  <c r="CC14" i="34" s="1"/>
  <c r="BO14" i="34"/>
  <c r="BP14" i="34" s="1"/>
  <c r="AZ14" i="34"/>
  <c r="BA14" i="34" s="1"/>
  <c r="AJ14" i="34"/>
  <c r="AK14" i="34" s="1"/>
  <c r="X14" i="34"/>
  <c r="V14" i="34"/>
  <c r="W14" i="34" s="1"/>
  <c r="K14" i="34"/>
  <c r="J14" i="34"/>
  <c r="CP13" i="34"/>
  <c r="CB13" i="34"/>
  <c r="CC13" i="34" s="1"/>
  <c r="BO13" i="34"/>
  <c r="BO19" i="34" s="1"/>
  <c r="AX13" i="34"/>
  <c r="AU13" i="34"/>
  <c r="AU18" i="34" s="1"/>
  <c r="AJ13" i="34"/>
  <c r="AK13" i="34" s="1"/>
  <c r="W13" i="34"/>
  <c r="X13" i="34" s="1"/>
  <c r="J13" i="34"/>
  <c r="K13" i="34" s="1"/>
  <c r="CP12" i="34"/>
  <c r="CB12" i="34"/>
  <c r="CC12" i="34" s="1"/>
  <c r="BO12" i="34"/>
  <c r="BP12" i="34" s="1"/>
  <c r="AZ12" i="34"/>
  <c r="BA12" i="34" s="1"/>
  <c r="AJ12" i="34"/>
  <c r="W12" i="34"/>
  <c r="X12" i="34" s="1"/>
  <c r="J12" i="34"/>
  <c r="K12" i="34" s="1"/>
  <c r="CP11" i="34"/>
  <c r="CP10" i="34"/>
  <c r="CP8" i="34"/>
  <c r="CG7" i="34"/>
  <c r="CG9" i="34" s="1"/>
  <c r="CI9" i="34" s="1"/>
  <c r="CE7" i="34"/>
  <c r="CA7" i="34"/>
  <c r="CA9" i="34" s="1"/>
  <c r="BZ7" i="34"/>
  <c r="BZ9" i="34" s="1"/>
  <c r="BX7" i="34"/>
  <c r="BX9" i="34" s="1"/>
  <c r="BW7" i="34"/>
  <c r="BW9" i="34" s="1"/>
  <c r="BS7" i="34"/>
  <c r="BS9" i="34" s="1"/>
  <c r="BR7" i="34"/>
  <c r="BR9" i="34" s="1"/>
  <c r="BN7" i="34"/>
  <c r="BN9" i="34" s="1"/>
  <c r="BM7" i="34"/>
  <c r="BM9" i="34" s="1"/>
  <c r="BI7" i="34"/>
  <c r="BH7" i="34"/>
  <c r="BH9" i="34" s="1"/>
  <c r="BD7" i="34"/>
  <c r="BD9" i="34" s="1"/>
  <c r="BC7" i="34"/>
  <c r="BC9" i="34" s="1"/>
  <c r="AY7" i="34"/>
  <c r="AY9" i="34" s="1"/>
  <c r="AX7" i="34"/>
  <c r="AX9" i="34" s="1"/>
  <c r="AV7" i="34"/>
  <c r="AV9" i="34" s="1"/>
  <c r="AU7" i="34"/>
  <c r="AU9" i="34" s="1"/>
  <c r="AS7" i="34"/>
  <c r="AS9" i="34" s="1"/>
  <c r="AR7" i="34"/>
  <c r="AR9" i="34" s="1"/>
  <c r="AN7" i="34"/>
  <c r="AN9" i="34" s="1"/>
  <c r="AM7" i="34"/>
  <c r="AM9" i="34" s="1"/>
  <c r="AI7" i="34"/>
  <c r="AI9" i="34" s="1"/>
  <c r="AF7" i="34"/>
  <c r="AF9" i="34" s="1"/>
  <c r="AE7" i="34"/>
  <c r="AE9" i="34" s="1"/>
  <c r="AA7" i="34"/>
  <c r="AA9" i="34" s="1"/>
  <c r="Z7" i="34"/>
  <c r="Z9" i="34" s="1"/>
  <c r="V7" i="34"/>
  <c r="V9" i="34" s="1"/>
  <c r="U7" i="34"/>
  <c r="U9" i="34" s="1"/>
  <c r="S7" i="34"/>
  <c r="S9" i="34" s="1"/>
  <c r="R7" i="34"/>
  <c r="R9" i="34" s="1"/>
  <c r="P7" i="34"/>
  <c r="P9" i="34" s="1"/>
  <c r="N7" i="34"/>
  <c r="N9" i="34" s="1"/>
  <c r="M7" i="34"/>
  <c r="M9" i="34" s="1"/>
  <c r="I7" i="34"/>
  <c r="I9" i="34" s="1"/>
  <c r="H7" i="34"/>
  <c r="H9" i="34" s="1"/>
  <c r="CP6" i="34"/>
  <c r="CB6" i="34"/>
  <c r="CB7" i="34" s="1"/>
  <c r="BO6" i="34"/>
  <c r="BP6" i="34" s="1"/>
  <c r="AZ6" i="34"/>
  <c r="AZ7" i="34" s="1"/>
  <c r="AJ6" i="34"/>
  <c r="AK6" i="34" s="1"/>
  <c r="W6" i="34"/>
  <c r="W7" i="34" s="1"/>
  <c r="J6" i="34"/>
  <c r="K6" i="34" s="1"/>
  <c r="AH3" i="10"/>
  <c r="AI3" i="10" s="1"/>
  <c r="AG57" i="10"/>
  <c r="AI758" i="34" l="1"/>
  <c r="N79" i="34"/>
  <c r="R745" i="34"/>
  <c r="R758" i="34" s="1"/>
  <c r="P853" i="34"/>
  <c r="X481" i="34"/>
  <c r="BD450" i="34"/>
  <c r="BD463" i="34" s="1"/>
  <c r="AF14" i="10"/>
  <c r="BI745" i="34"/>
  <c r="BI758" i="34" s="1"/>
  <c r="CA745" i="34"/>
  <c r="CA758" i="34" s="1"/>
  <c r="H478" i="34"/>
  <c r="S853" i="34"/>
  <c r="BW853" i="34"/>
  <c r="W96" i="34"/>
  <c r="AU853" i="34"/>
  <c r="AA660" i="34"/>
  <c r="AA692" i="34" s="1"/>
  <c r="AN832" i="34"/>
  <c r="BD832" i="34"/>
  <c r="BX832" i="34"/>
  <c r="AR795" i="34"/>
  <c r="BH795" i="34"/>
  <c r="AN90" i="34"/>
  <c r="CC395" i="34"/>
  <c r="S660" i="34"/>
  <c r="S692" i="34" s="1"/>
  <c r="CC514" i="34"/>
  <c r="U660" i="34"/>
  <c r="U692" i="34" s="1"/>
  <c r="AF255" i="34"/>
  <c r="AF257" i="34" s="1"/>
  <c r="K476" i="34"/>
  <c r="AR660" i="34"/>
  <c r="AR692" i="34" s="1"/>
  <c r="BZ660" i="34"/>
  <c r="BZ692" i="34" s="1"/>
  <c r="CC829" i="34"/>
  <c r="CF935" i="34"/>
  <c r="AF10" i="10"/>
  <c r="BN553" i="34"/>
  <c r="BN599" i="34" s="1"/>
  <c r="CG553" i="34"/>
  <c r="CG599" i="34" s="1"/>
  <c r="I717" i="34"/>
  <c r="Z717" i="34"/>
  <c r="Z734" i="34" s="1"/>
  <c r="AS717" i="34"/>
  <c r="AS734" i="34" s="1"/>
  <c r="CP146" i="34"/>
  <c r="J253" i="34"/>
  <c r="K253" i="34" s="1"/>
  <c r="CC289" i="34"/>
  <c r="CF404" i="34"/>
  <c r="CF410" i="34"/>
  <c r="BZ30" i="34"/>
  <c r="BZ42" i="34" s="1"/>
  <c r="V102" i="34"/>
  <c r="V119" i="34" s="1"/>
  <c r="BH102" i="34"/>
  <c r="BH119" i="34" s="1"/>
  <c r="S524" i="34"/>
  <c r="S526" i="34" s="1"/>
  <c r="AM524" i="34"/>
  <c r="AM526" i="34" s="1"/>
  <c r="AF13" i="10"/>
  <c r="S553" i="34"/>
  <c r="S599" i="34" s="1"/>
  <c r="AN553" i="34"/>
  <c r="AN599" i="34" s="1"/>
  <c r="BD553" i="34"/>
  <c r="BD599" i="34" s="1"/>
  <c r="BX553" i="34"/>
  <c r="BX599" i="34" s="1"/>
  <c r="CF667" i="34"/>
  <c r="CF805" i="34"/>
  <c r="CC806" i="34"/>
  <c r="CP823" i="34"/>
  <c r="AY79" i="34"/>
  <c r="AY90" i="34" s="1"/>
  <c r="Z204" i="34"/>
  <c r="AR204" i="34"/>
  <c r="S478" i="34"/>
  <c r="Z616" i="34"/>
  <c r="AR616" i="34"/>
  <c r="BH616" i="34"/>
  <c r="BZ616" i="34"/>
  <c r="BH79" i="34"/>
  <c r="BH90" i="34" s="1"/>
  <c r="AY219" i="34"/>
  <c r="AY238" i="34" s="1"/>
  <c r="BC330" i="34"/>
  <c r="BC371" i="34" s="1"/>
  <c r="CC556" i="34"/>
  <c r="AN717" i="34"/>
  <c r="AN734" i="34" s="1"/>
  <c r="BD717" i="34"/>
  <c r="BX717" i="34"/>
  <c r="BX734" i="34" s="1"/>
  <c r="X787" i="34"/>
  <c r="CB209" i="34"/>
  <c r="P660" i="34"/>
  <c r="AF660" i="34"/>
  <c r="AF692" i="34" s="1"/>
  <c r="CE330" i="34"/>
  <c r="CE371" i="34" s="1"/>
  <c r="BD219" i="34"/>
  <c r="BD238" i="34" s="1"/>
  <c r="M536" i="34"/>
  <c r="AE536" i="34"/>
  <c r="CG536" i="34"/>
  <c r="BP533" i="34"/>
  <c r="BO648" i="34"/>
  <c r="BP648" i="34" s="1"/>
  <c r="N853" i="34"/>
  <c r="AE853" i="34"/>
  <c r="CG853" i="34"/>
  <c r="AI204" i="34"/>
  <c r="W209" i="34"/>
  <c r="AM279" i="34"/>
  <c r="AM286" i="34" s="1"/>
  <c r="BC279" i="34"/>
  <c r="BC286" i="34" s="1"/>
  <c r="I330" i="34"/>
  <c r="I371" i="34" s="1"/>
  <c r="AS392" i="34"/>
  <c r="AS434" i="34" s="1"/>
  <c r="BI392" i="34"/>
  <c r="BI434" i="34" s="1"/>
  <c r="CA392" i="34"/>
  <c r="CA434" i="34" s="1"/>
  <c r="P489" i="34"/>
  <c r="R660" i="34"/>
  <c r="R692" i="34" s="1"/>
  <c r="BO709" i="34"/>
  <c r="BP709" i="34" s="1"/>
  <c r="AR717" i="34"/>
  <c r="AR734" i="34" s="1"/>
  <c r="CP40" i="34"/>
  <c r="S204" i="34"/>
  <c r="BX279" i="34"/>
  <c r="BX286" i="34" s="1"/>
  <c r="CE392" i="34"/>
  <c r="CE434" i="34" s="1"/>
  <c r="AE392" i="34"/>
  <c r="BX660" i="34"/>
  <c r="BX692" i="34" s="1"/>
  <c r="N832" i="34"/>
  <c r="AV832" i="34"/>
  <c r="BN832" i="34"/>
  <c r="CG832" i="34"/>
  <c r="CF842" i="34"/>
  <c r="N219" i="34"/>
  <c r="N238" i="34" s="1"/>
  <c r="AE219" i="34"/>
  <c r="BN219" i="34"/>
  <c r="BN238" i="34" s="1"/>
  <c r="CF388" i="34"/>
  <c r="AA536" i="34"/>
  <c r="CP793" i="34"/>
  <c r="AX219" i="34"/>
  <c r="BR219" i="34"/>
  <c r="BR238" i="34" s="1"/>
  <c r="AU279" i="34"/>
  <c r="AU286" i="34" s="1"/>
  <c r="BR330" i="34"/>
  <c r="BR371" i="34" s="1"/>
  <c r="BH478" i="34"/>
  <c r="AI553" i="34"/>
  <c r="AI599" i="34" s="1"/>
  <c r="AY553" i="34"/>
  <c r="AY599" i="34" s="1"/>
  <c r="BS553" i="34"/>
  <c r="BS599" i="34" s="1"/>
  <c r="I660" i="34"/>
  <c r="Z660" i="34"/>
  <c r="Z692" i="34" s="1"/>
  <c r="AZ923" i="34"/>
  <c r="AZ925" i="34" s="1"/>
  <c r="BI79" i="34"/>
  <c r="BI90" i="34" s="1"/>
  <c r="AV102" i="34"/>
  <c r="AV119" i="34" s="1"/>
  <c r="BN102" i="34"/>
  <c r="BN119" i="34" s="1"/>
  <c r="CG102" i="34"/>
  <c r="CG119" i="34" s="1"/>
  <c r="AN255" i="34"/>
  <c r="AN257" i="34" s="1"/>
  <c r="BD255" i="34"/>
  <c r="BD257" i="34" s="1"/>
  <c r="BX255" i="34"/>
  <c r="BX257" i="34" s="1"/>
  <c r="CC374" i="34"/>
  <c r="S392" i="34"/>
  <c r="S434" i="34" s="1"/>
  <c r="AZ597" i="34"/>
  <c r="CF164" i="34"/>
  <c r="AS536" i="34"/>
  <c r="AF553" i="34"/>
  <c r="AF599" i="34" s="1"/>
  <c r="AX616" i="34"/>
  <c r="CR701" i="34"/>
  <c r="I745" i="34"/>
  <c r="I758" i="34" s="1"/>
  <c r="AF745" i="34"/>
  <c r="AF758" i="34" s="1"/>
  <c r="AX745" i="34"/>
  <c r="BR745" i="34"/>
  <c r="BR758" i="34" s="1"/>
  <c r="X773" i="34"/>
  <c r="Z790" i="34"/>
  <c r="BM795" i="34"/>
  <c r="X75" i="34"/>
  <c r="CC77" i="34"/>
  <c r="M131" i="34"/>
  <c r="M148" i="34" s="1"/>
  <c r="AN219" i="34"/>
  <c r="AN238" i="34" s="1"/>
  <c r="BX219" i="34"/>
  <c r="BX238" i="34" s="1"/>
  <c r="CE268" i="34"/>
  <c r="CE279" i="34" s="1"/>
  <c r="AS279" i="34"/>
  <c r="AS286" i="34" s="1"/>
  <c r="AE330" i="34"/>
  <c r="AE371" i="34" s="1"/>
  <c r="CC350" i="34"/>
  <c r="CC441" i="34"/>
  <c r="CA450" i="34"/>
  <c r="CA463" i="34" s="1"/>
  <c r="CC466" i="34"/>
  <c r="BD478" i="34"/>
  <c r="AS524" i="34"/>
  <c r="AS526" i="34" s="1"/>
  <c r="BI524" i="34"/>
  <c r="BI526" i="34" s="1"/>
  <c r="CB515" i="34"/>
  <c r="CF515" i="34" s="1"/>
  <c r="P553" i="34"/>
  <c r="BI616" i="34"/>
  <c r="CA616" i="34"/>
  <c r="CE660" i="34"/>
  <c r="S795" i="34"/>
  <c r="S819" i="34" s="1"/>
  <c r="AN795" i="34"/>
  <c r="BD795" i="34"/>
  <c r="W79" i="34"/>
  <c r="X531" i="34"/>
  <c r="N616" i="34"/>
  <c r="N692" i="34"/>
  <c r="AE692" i="34"/>
  <c r="AV660" i="34"/>
  <c r="AV692" i="34" s="1"/>
  <c r="J709" i="34"/>
  <c r="K709" i="34" s="1"/>
  <c r="P745" i="34"/>
  <c r="P758" i="34" s="1"/>
  <c r="CF801" i="34"/>
  <c r="CF920" i="34"/>
  <c r="BZ971" i="34"/>
  <c r="CC971" i="34" s="1"/>
  <c r="CQ53" i="34"/>
  <c r="W476" i="34"/>
  <c r="X476" i="34" s="1"/>
  <c r="BW131" i="34"/>
  <c r="BW148" i="34" s="1"/>
  <c r="Z219" i="34"/>
  <c r="Z238" i="34" s="1"/>
  <c r="R219" i="34"/>
  <c r="R238" i="34" s="1"/>
  <c r="S279" i="34"/>
  <c r="S286" i="34" s="1"/>
  <c r="CF357" i="34"/>
  <c r="M524" i="34"/>
  <c r="M526" i="34" s="1"/>
  <c r="AF616" i="34"/>
  <c r="AV616" i="34"/>
  <c r="CQ616" i="34" s="1"/>
  <c r="BN616" i="34"/>
  <c r="CG616" i="34"/>
  <c r="H795" i="34"/>
  <c r="AS795" i="34"/>
  <c r="AS819" i="34" s="1"/>
  <c r="BI795" i="34"/>
  <c r="AI832" i="34"/>
  <c r="BS832" i="34"/>
  <c r="AJ830" i="34"/>
  <c r="AJ832" i="34" s="1"/>
  <c r="AK832" i="34" s="1"/>
  <c r="S131" i="34"/>
  <c r="S148" i="34" s="1"/>
  <c r="U204" i="34"/>
  <c r="M219" i="34"/>
  <c r="M238" i="34" s="1"/>
  <c r="BS279" i="34"/>
  <c r="BS286" i="34" s="1"/>
  <c r="CE295" i="34"/>
  <c r="AF392" i="34"/>
  <c r="AF434" i="34" s="1"/>
  <c r="M450" i="34"/>
  <c r="M463" i="34" s="1"/>
  <c r="AA450" i="34"/>
  <c r="AA463" i="34" s="1"/>
  <c r="AS450" i="34"/>
  <c r="AS463" i="34" s="1"/>
  <c r="X466" i="34"/>
  <c r="AU489" i="34"/>
  <c r="CE489" i="34"/>
  <c r="CF485" i="34"/>
  <c r="AY536" i="34"/>
  <c r="BS536" i="34"/>
  <c r="CC533" i="34"/>
  <c r="BO627" i="34"/>
  <c r="BO629" i="34" s="1"/>
  <c r="BP629" i="34" s="1"/>
  <c r="AI660" i="34"/>
  <c r="AI692" i="34" s="1"/>
  <c r="AY660" i="34"/>
  <c r="AY692" i="34" s="1"/>
  <c r="BS692" i="34"/>
  <c r="V745" i="34"/>
  <c r="V758" i="34" s="1"/>
  <c r="S832" i="34"/>
  <c r="AS853" i="34"/>
  <c r="BI853" i="34"/>
  <c r="CA853" i="34"/>
  <c r="CC932" i="34"/>
  <c r="CP531" i="34"/>
  <c r="CG478" i="34"/>
  <c r="AS499" i="34"/>
  <c r="AS507" i="34" s="1"/>
  <c r="BI499" i="34"/>
  <c r="BI507" i="34" s="1"/>
  <c r="CA499" i="34"/>
  <c r="CA507" i="34" s="1"/>
  <c r="AY524" i="34"/>
  <c r="AY526" i="34" s="1"/>
  <c r="CF533" i="34"/>
  <c r="V553" i="34"/>
  <c r="V599" i="34" s="1"/>
  <c r="J627" i="34"/>
  <c r="J629" i="34" s="1"/>
  <c r="AZ709" i="34"/>
  <c r="S717" i="34"/>
  <c r="AM717" i="34"/>
  <c r="AM734" i="34" s="1"/>
  <c r="BC717" i="34"/>
  <c r="BC734" i="34" s="1"/>
  <c r="BW717" i="34"/>
  <c r="BW734" i="34" s="1"/>
  <c r="AJ249" i="34"/>
  <c r="X56" i="34"/>
  <c r="AS330" i="34"/>
  <c r="AS371" i="34" s="1"/>
  <c r="CR53" i="34"/>
  <c r="I131" i="34"/>
  <c r="I148" i="34" s="1"/>
  <c r="CI188" i="34"/>
  <c r="K191" i="34"/>
  <c r="BH204" i="34"/>
  <c r="BZ204" i="34"/>
  <c r="I279" i="34"/>
  <c r="I286" i="34" s="1"/>
  <c r="Z279" i="34"/>
  <c r="Z286" i="34" s="1"/>
  <c r="V330" i="34"/>
  <c r="V371" i="34" s="1"/>
  <c r="P450" i="34"/>
  <c r="P463" i="34" s="1"/>
  <c r="AF450" i="34"/>
  <c r="AF463" i="34" s="1"/>
  <c r="P478" i="34"/>
  <c r="BP481" i="34"/>
  <c r="I489" i="34"/>
  <c r="CP487" i="34"/>
  <c r="CA489" i="34"/>
  <c r="CP497" i="34"/>
  <c r="AJ505" i="34"/>
  <c r="AK505" i="34" s="1"/>
  <c r="AR536" i="34"/>
  <c r="AN660" i="34"/>
  <c r="AN692" i="34" s="1"/>
  <c r="BD660" i="34"/>
  <c r="BD692" i="34" s="1"/>
  <c r="BA707" i="34"/>
  <c r="AA745" i="34"/>
  <c r="AA758" i="34" s="1"/>
  <c r="CF749" i="34"/>
  <c r="CC751" i="34"/>
  <c r="CF765" i="34"/>
  <c r="CP899" i="34"/>
  <c r="AN279" i="34"/>
  <c r="AN286" i="34" s="1"/>
  <c r="BD279" i="34"/>
  <c r="BD286" i="34" s="1"/>
  <c r="AM330" i="34"/>
  <c r="AM371" i="34" s="1"/>
  <c r="BW330" i="34"/>
  <c r="BW371" i="34" s="1"/>
  <c r="CF349" i="34"/>
  <c r="CC352" i="34"/>
  <c r="AY392" i="34"/>
  <c r="AY434" i="34" s="1"/>
  <c r="CP448" i="34"/>
  <c r="BA466" i="34"/>
  <c r="N478" i="34"/>
  <c r="AA478" i="34"/>
  <c r="AU478" i="34"/>
  <c r="BM478" i="34"/>
  <c r="CE478" i="34"/>
  <c r="CI478" i="34" s="1"/>
  <c r="BP475" i="34"/>
  <c r="AN489" i="34"/>
  <c r="BD489" i="34"/>
  <c r="BX489" i="34"/>
  <c r="AK492" i="34"/>
  <c r="CC504" i="34"/>
  <c r="AF536" i="34"/>
  <c r="AM553" i="34"/>
  <c r="AM599" i="34" s="1"/>
  <c r="BC553" i="34"/>
  <c r="BC599" i="34" s="1"/>
  <c r="BW553" i="34"/>
  <c r="BW599" i="34" s="1"/>
  <c r="CC586" i="34"/>
  <c r="W634" i="34"/>
  <c r="X634" i="34" s="1"/>
  <c r="AU660" i="34"/>
  <c r="AU692" i="34" s="1"/>
  <c r="CF671" i="34"/>
  <c r="S745" i="34"/>
  <c r="S758" i="34" s="1"/>
  <c r="AN745" i="34"/>
  <c r="CP756" i="34"/>
  <c r="CQ770" i="34"/>
  <c r="AJ788" i="34"/>
  <c r="AK788" i="34" s="1"/>
  <c r="AU795" i="34"/>
  <c r="CF816" i="34"/>
  <c r="BR832" i="34"/>
  <c r="AI853" i="34"/>
  <c r="AX853" i="34"/>
  <c r="BR853" i="34"/>
  <c r="AZ28" i="34"/>
  <c r="BA28" i="34" s="1"/>
  <c r="BX131" i="34"/>
  <c r="BX148" i="34" s="1"/>
  <c r="M30" i="34"/>
  <c r="M42" i="34" s="1"/>
  <c r="BM30" i="34"/>
  <c r="BM42" i="34" s="1"/>
  <c r="CC36" i="34"/>
  <c r="BP56" i="34"/>
  <c r="CA79" i="34"/>
  <c r="CA90" i="34" s="1"/>
  <c r="CP77" i="34"/>
  <c r="I102" i="34"/>
  <c r="I119" i="34" s="1"/>
  <c r="Z102" i="34"/>
  <c r="Z119" i="34" s="1"/>
  <c r="AS102" i="34"/>
  <c r="AS119" i="34" s="1"/>
  <c r="CA102" i="34"/>
  <c r="CA119" i="34" s="1"/>
  <c r="AZ124" i="34"/>
  <c r="BA124" i="34" s="1"/>
  <c r="BO129" i="34"/>
  <c r="BP129" i="34" s="1"/>
  <c r="CF139" i="34"/>
  <c r="CF157" i="34"/>
  <c r="W202" i="34"/>
  <c r="AV219" i="34"/>
  <c r="AV238" i="34" s="1"/>
  <c r="CF216" i="34"/>
  <c r="CF228" i="34"/>
  <c r="CF235" i="34"/>
  <c r="CB242" i="34"/>
  <c r="CB244" i="34" s="1"/>
  <c r="CF244" i="34" s="1"/>
  <c r="BW255" i="34"/>
  <c r="BW257" i="34" s="1"/>
  <c r="V279" i="34"/>
  <c r="V286" i="34" s="1"/>
  <c r="AV279" i="34"/>
  <c r="CA295" i="34"/>
  <c r="M392" i="34"/>
  <c r="M434" i="34" s="1"/>
  <c r="BR450" i="34"/>
  <c r="BR463" i="34" s="1"/>
  <c r="AE499" i="34"/>
  <c r="AE507" i="34" s="1"/>
  <c r="M616" i="34"/>
  <c r="CF608" i="34"/>
  <c r="CF674" i="34"/>
  <c r="AJ843" i="34"/>
  <c r="AK843" i="34" s="1"/>
  <c r="AY853" i="34"/>
  <c r="BA6" i="34"/>
  <c r="CF14" i="34"/>
  <c r="N30" i="34"/>
  <c r="N42" i="34" s="1"/>
  <c r="AE30" i="34"/>
  <c r="AE42" i="34" s="1"/>
  <c r="AV30" i="34"/>
  <c r="AV42" i="34" s="1"/>
  <c r="BN30" i="34"/>
  <c r="BN42" i="34" s="1"/>
  <c r="CG30" i="34"/>
  <c r="CG42" i="34" s="1"/>
  <c r="CP28" i="34"/>
  <c r="AZ79" i="34"/>
  <c r="M102" i="34"/>
  <c r="M119" i="34" s="1"/>
  <c r="AA102" i="34"/>
  <c r="AA119" i="34" s="1"/>
  <c r="AU102" i="34"/>
  <c r="BM102" i="34"/>
  <c r="BM119" i="34" s="1"/>
  <c r="CC105" i="34"/>
  <c r="CC207" i="34"/>
  <c r="CC209" i="34" s="1"/>
  <c r="CA219" i="34"/>
  <c r="CA238" i="34" s="1"/>
  <c r="BZ268" i="34"/>
  <c r="BZ279" i="34" s="1"/>
  <c r="BN392" i="34"/>
  <c r="BN434" i="34" s="1"/>
  <c r="CC467" i="34"/>
  <c r="CC469" i="34" s="1"/>
  <c r="R478" i="34"/>
  <c r="AF478" i="34"/>
  <c r="BR478" i="34"/>
  <c r="AA489" i="34"/>
  <c r="R536" i="34"/>
  <c r="AM536" i="34"/>
  <c r="BD536" i="34"/>
  <c r="U553" i="34"/>
  <c r="U599" i="34" s="1"/>
  <c r="AU616" i="34"/>
  <c r="BM616" i="34"/>
  <c r="CE616" i="34"/>
  <c r="CP614" i="34"/>
  <c r="AM832" i="34"/>
  <c r="BC832" i="34"/>
  <c r="BW832" i="34"/>
  <c r="BR524" i="34"/>
  <c r="BR526" i="34" s="1"/>
  <c r="AF30" i="34"/>
  <c r="AF42" i="34" s="1"/>
  <c r="CS42" i="34" s="1"/>
  <c r="BO79" i="34"/>
  <c r="CR182" i="34"/>
  <c r="AJ202" i="34"/>
  <c r="AJ204" i="34" s="1"/>
  <c r="AK204" i="34" s="1"/>
  <c r="CF207" i="34"/>
  <c r="CF209" i="34" s="1"/>
  <c r="BS219" i="34"/>
  <c r="BS238" i="34" s="1"/>
  <c r="J217" i="34"/>
  <c r="J219" i="34" s="1"/>
  <c r="AM450" i="34"/>
  <c r="AM463" i="34" s="1"/>
  <c r="BC450" i="34"/>
  <c r="BC463" i="34" s="1"/>
  <c r="N489" i="34"/>
  <c r="AE489" i="34"/>
  <c r="R499" i="34"/>
  <c r="R507" i="34" s="1"/>
  <c r="BR499" i="34"/>
  <c r="BR507" i="34" s="1"/>
  <c r="CF731" i="34"/>
  <c r="AU745" i="34"/>
  <c r="AU758" i="34" s="1"/>
  <c r="BM745" i="34"/>
  <c r="BM758" i="34" s="1"/>
  <c r="CE745" i="34"/>
  <c r="CE758" i="34" s="1"/>
  <c r="P795" i="34"/>
  <c r="P819" i="34" s="1"/>
  <c r="AI795" i="34"/>
  <c r="AI819" i="34" s="1"/>
  <c r="AY795" i="34"/>
  <c r="AY819" i="34" s="1"/>
  <c r="CC825" i="34"/>
  <c r="CF81" i="34"/>
  <c r="P30" i="34"/>
  <c r="P40" i="34" s="1"/>
  <c r="P42" i="34" s="1"/>
  <c r="BR30" i="34"/>
  <c r="BR42" i="34" s="1"/>
  <c r="CF94" i="34"/>
  <c r="P131" i="34"/>
  <c r="P148" i="34" s="1"/>
  <c r="V204" i="34"/>
  <c r="CP202" i="34"/>
  <c r="AM219" i="34"/>
  <c r="AM238" i="34" s="1"/>
  <c r="BW219" i="34"/>
  <c r="BW238" i="34" s="1"/>
  <c r="BN279" i="34"/>
  <c r="BN286" i="34" s="1"/>
  <c r="CE450" i="34"/>
  <c r="CE463" i="34" s="1"/>
  <c r="AI450" i="34"/>
  <c r="AI463" i="34" s="1"/>
  <c r="CC455" i="34"/>
  <c r="V489" i="34"/>
  <c r="CC492" i="34"/>
  <c r="S499" i="34"/>
  <c r="S507" i="34" s="1"/>
  <c r="I553" i="34"/>
  <c r="I599" i="34" s="1"/>
  <c r="AA553" i="34"/>
  <c r="AA599" i="34" s="1"/>
  <c r="AU553" i="34"/>
  <c r="AU599" i="34" s="1"/>
  <c r="CE553" i="34"/>
  <c r="CE599" i="34" s="1"/>
  <c r="CC581" i="34"/>
  <c r="CI636" i="34"/>
  <c r="N745" i="34"/>
  <c r="N758" i="34" s="1"/>
  <c r="AE745" i="34"/>
  <c r="AE758" i="34" s="1"/>
  <c r="AJ743" i="34"/>
  <c r="AK743" i="34" s="1"/>
  <c r="CF784" i="34"/>
  <c r="R795" i="34"/>
  <c r="R819" i="34" s="1"/>
  <c r="AM795" i="34"/>
  <c r="AM819" i="34" s="1"/>
  <c r="BC795" i="34"/>
  <c r="CC867" i="34"/>
  <c r="CC950" i="34"/>
  <c r="AJ957" i="34"/>
  <c r="AJ959" i="34" s="1"/>
  <c r="AK959" i="34" s="1"/>
  <c r="J969" i="34"/>
  <c r="J971" i="34" s="1"/>
  <c r="J305" i="34"/>
  <c r="K305" i="34" s="1"/>
  <c r="AM499" i="34"/>
  <c r="AM507" i="34" s="1"/>
  <c r="BC499" i="34"/>
  <c r="BC507" i="34" s="1"/>
  <c r="BW499" i="34"/>
  <c r="CC633" i="34"/>
  <c r="K699" i="34"/>
  <c r="W859" i="34"/>
  <c r="W861" i="34" s="1"/>
  <c r="CC21" i="34"/>
  <c r="AY30" i="34"/>
  <c r="AY42" i="34" s="1"/>
  <c r="AI131" i="34"/>
  <c r="AI148" i="34" s="1"/>
  <c r="CC151" i="34"/>
  <c r="BN204" i="34"/>
  <c r="AJ209" i="34"/>
  <c r="BH219" i="34"/>
  <c r="M255" i="34"/>
  <c r="M257" i="34" s="1"/>
  <c r="CG268" i="34"/>
  <c r="CG279" i="34" s="1"/>
  <c r="AI279" i="34"/>
  <c r="AI286" i="34" s="1"/>
  <c r="BX392" i="34"/>
  <c r="BX434" i="34" s="1"/>
  <c r="CP443" i="34"/>
  <c r="K472" i="34"/>
  <c r="W473" i="34"/>
  <c r="X492" i="34"/>
  <c r="I536" i="34"/>
  <c r="CI622" i="34"/>
  <c r="BI660" i="34"/>
  <c r="BI692" i="34" s="1"/>
  <c r="BA71" i="34"/>
  <c r="Z79" i="34"/>
  <c r="Z90" i="34" s="1"/>
  <c r="CF406" i="34"/>
  <c r="CC406" i="34"/>
  <c r="J63" i="34"/>
  <c r="K63" i="34" s="1"/>
  <c r="CP63" i="34"/>
  <c r="CF135" i="34"/>
  <c r="CC135" i="34"/>
  <c r="CC177" i="34"/>
  <c r="P204" i="34"/>
  <c r="CF226" i="34"/>
  <c r="K241" i="34"/>
  <c r="CE79" i="34"/>
  <c r="CE90" i="34" s="1"/>
  <c r="J505" i="34"/>
  <c r="N68" i="34"/>
  <c r="K61" i="34"/>
  <c r="U102" i="34"/>
  <c r="U119" i="34" s="1"/>
  <c r="BX102" i="34"/>
  <c r="BX119" i="34" s="1"/>
  <c r="BM148" i="34"/>
  <c r="CC145" i="34"/>
  <c r="AI219" i="34"/>
  <c r="AI238" i="34" s="1"/>
  <c r="CC224" i="34"/>
  <c r="CF224" i="34"/>
  <c r="P279" i="34"/>
  <c r="P286" i="34" s="1"/>
  <c r="AF279" i="34"/>
  <c r="AF286" i="34" s="1"/>
  <c r="BR279" i="34"/>
  <c r="BR286" i="34" s="1"/>
  <c r="CC387" i="34"/>
  <c r="CF387" i="34"/>
  <c r="CF422" i="34"/>
  <c r="CC422" i="34"/>
  <c r="BP57" i="34"/>
  <c r="N131" i="34"/>
  <c r="N148" i="34" s="1"/>
  <c r="AV148" i="34"/>
  <c r="BN148" i="34"/>
  <c r="CC126" i="34"/>
  <c r="CC163" i="34"/>
  <c r="R279" i="34"/>
  <c r="R286" i="34" s="1"/>
  <c r="BP93" i="34"/>
  <c r="BO96" i="34"/>
  <c r="AF131" i="34"/>
  <c r="AF148" i="34" s="1"/>
  <c r="AX131" i="34"/>
  <c r="AX148" i="34" s="1"/>
  <c r="BR131" i="34"/>
  <c r="BR148" i="34" s="1"/>
  <c r="CF386" i="34"/>
  <c r="CC386" i="34"/>
  <c r="AZ627" i="34"/>
  <c r="AZ629" i="34" s="1"/>
  <c r="BA629" i="34" s="1"/>
  <c r="BA626" i="34"/>
  <c r="CF39" i="34"/>
  <c r="CF48" i="34"/>
  <c r="CC48" i="34"/>
  <c r="CB57" i="34"/>
  <c r="CF57" i="34" s="1"/>
  <c r="CF56" i="34"/>
  <c r="CF111" i="34"/>
  <c r="J124" i="34"/>
  <c r="CC172" i="34"/>
  <c r="CF172" i="34"/>
  <c r="K211" i="34"/>
  <c r="K217" i="34" s="1"/>
  <c r="CF326" i="34"/>
  <c r="CC326" i="34"/>
  <c r="X454" i="34"/>
  <c r="W461" i="34"/>
  <c r="CS53" i="34"/>
  <c r="J40" i="34"/>
  <c r="K40" i="34" s="1"/>
  <c r="AK71" i="34"/>
  <c r="V79" i="34"/>
  <c r="V90" i="34" s="1"/>
  <c r="AR79" i="34"/>
  <c r="AR90" i="34" s="1"/>
  <c r="CC83" i="34"/>
  <c r="CF86" i="34"/>
  <c r="CC86" i="34"/>
  <c r="CC167" i="34"/>
  <c r="CC171" i="34"/>
  <c r="CF171" i="34"/>
  <c r="N450" i="34"/>
  <c r="N463" i="34" s="1"/>
  <c r="AE450" i="34"/>
  <c r="AE463" i="34" s="1"/>
  <c r="AU450" i="34"/>
  <c r="AU463" i="34" s="1"/>
  <c r="BW478" i="34"/>
  <c r="AZ476" i="34"/>
  <c r="BA476" i="34" s="1"/>
  <c r="AV524" i="34"/>
  <c r="AV526" i="34" s="1"/>
  <c r="BH536" i="34"/>
  <c r="CF560" i="34"/>
  <c r="CC560" i="34"/>
  <c r="CS770" i="34"/>
  <c r="AY279" i="34"/>
  <c r="AY286" i="34" s="1"/>
  <c r="AV392" i="34"/>
  <c r="AV434" i="34" s="1"/>
  <c r="CG392" i="34"/>
  <c r="CG434" i="34" s="1"/>
  <c r="CI434" i="34" s="1"/>
  <c r="BA514" i="34"/>
  <c r="AZ515" i="34"/>
  <c r="BA515" i="34" s="1"/>
  <c r="CF548" i="34"/>
  <c r="CC548" i="34"/>
  <c r="CC559" i="34"/>
  <c r="CF559" i="34"/>
  <c r="AX795" i="34"/>
  <c r="CC791" i="34"/>
  <c r="CF791" i="34"/>
  <c r="AR853" i="34"/>
  <c r="BM917" i="34"/>
  <c r="BP917" i="34" s="1"/>
  <c r="BP915" i="34"/>
  <c r="BN515" i="34"/>
  <c r="BO514" i="34"/>
  <c r="X530" i="34"/>
  <c r="CC570" i="34"/>
  <c r="CC613" i="34"/>
  <c r="CF613" i="34"/>
  <c r="CC625" i="34"/>
  <c r="CC301" i="34"/>
  <c r="BC68" i="34"/>
  <c r="AA68" i="34"/>
  <c r="CE68" i="34"/>
  <c r="N90" i="34"/>
  <c r="AE90" i="34"/>
  <c r="BN79" i="34"/>
  <c r="BN90" i="34" s="1"/>
  <c r="CG79" i="34"/>
  <c r="CG90" i="34" s="1"/>
  <c r="AZ100" i="34"/>
  <c r="BA100" i="34" s="1"/>
  <c r="BZ102" i="34"/>
  <c r="BZ119" i="34" s="1"/>
  <c r="AY131" i="34"/>
  <c r="AY148" i="34" s="1"/>
  <c r="CC165" i="34"/>
  <c r="H255" i="34"/>
  <c r="H257" i="34" s="1"/>
  <c r="BH255" i="34"/>
  <c r="BH257" i="34" s="1"/>
  <c r="S255" i="34"/>
  <c r="S257" i="34" s="1"/>
  <c r="CF309" i="34"/>
  <c r="AA330" i="34"/>
  <c r="AA371" i="34" s="1"/>
  <c r="CC362" i="34"/>
  <c r="K374" i="34"/>
  <c r="AJ376" i="34"/>
  <c r="AK376" i="34" s="1"/>
  <c r="AY450" i="34"/>
  <c r="AY463" i="34" s="1"/>
  <c r="AV450" i="34"/>
  <c r="AV463" i="34" s="1"/>
  <c r="CQ463" i="34" s="1"/>
  <c r="CI469" i="34"/>
  <c r="M553" i="34"/>
  <c r="M599" i="34" s="1"/>
  <c r="CF546" i="34"/>
  <c r="CC546" i="34"/>
  <c r="CC723" i="34"/>
  <c r="CC814" i="34"/>
  <c r="CF814" i="34"/>
  <c r="AE832" i="34"/>
  <c r="BM861" i="34"/>
  <c r="BP861" i="34" s="1"/>
  <c r="BP859" i="34"/>
  <c r="AX917" i="34"/>
  <c r="BA917" i="34" s="1"/>
  <c r="BA915" i="34"/>
  <c r="CF949" i="34"/>
  <c r="CC949" i="34"/>
  <c r="AY204" i="34"/>
  <c r="CP305" i="34"/>
  <c r="CP7" i="34"/>
  <c r="S30" i="34"/>
  <c r="S42" i="34" s="1"/>
  <c r="BC30" i="34"/>
  <c r="BC42" i="34" s="1"/>
  <c r="BW30" i="34"/>
  <c r="BW42" i="34" s="1"/>
  <c r="J51" i="34"/>
  <c r="J53" i="34" s="1"/>
  <c r="AN68" i="34"/>
  <c r="W63" i="34"/>
  <c r="X63" i="34" s="1"/>
  <c r="P79" i="34"/>
  <c r="P90" i="34" s="1"/>
  <c r="AF79" i="34"/>
  <c r="AF90" i="34" s="1"/>
  <c r="BR79" i="34"/>
  <c r="BR90" i="34" s="1"/>
  <c r="CE102" i="34"/>
  <c r="CE119" i="34" s="1"/>
  <c r="BO100" i="34"/>
  <c r="BP100" i="34" s="1"/>
  <c r="CF113" i="34"/>
  <c r="CP129" i="34"/>
  <c r="CC152" i="34"/>
  <c r="CI182" i="34"/>
  <c r="CF185" i="34"/>
  <c r="I204" i="34"/>
  <c r="BD204" i="34"/>
  <c r="BX204" i="34"/>
  <c r="AA219" i="34"/>
  <c r="AA238" i="34" s="1"/>
  <c r="BA242" i="34"/>
  <c r="CB262" i="34"/>
  <c r="CB268" i="34" s="1"/>
  <c r="CP295" i="34"/>
  <c r="P330" i="34"/>
  <c r="P371" i="34" s="1"/>
  <c r="AF330" i="34"/>
  <c r="AF371" i="34" s="1"/>
  <c r="AV330" i="34"/>
  <c r="AV371" i="34" s="1"/>
  <c r="AY330" i="34"/>
  <c r="AY371" i="34" s="1"/>
  <c r="CC337" i="34"/>
  <c r="CF345" i="34"/>
  <c r="R450" i="34"/>
  <c r="R463" i="34" s="1"/>
  <c r="CB522" i="34"/>
  <c r="CF522" i="34" s="1"/>
  <c r="CF521" i="34"/>
  <c r="CC521" i="34"/>
  <c r="AJ605" i="34"/>
  <c r="AK605" i="34" s="1"/>
  <c r="CC610" i="34"/>
  <c r="AM30" i="34"/>
  <c r="AM42" i="34" s="1"/>
  <c r="BD30" i="34"/>
  <c r="BD42" i="34" s="1"/>
  <c r="BX30" i="34"/>
  <c r="BX42" i="34" s="1"/>
  <c r="AJ40" i="34"/>
  <c r="AK40" i="34" s="1"/>
  <c r="K57" i="34"/>
  <c r="AF102" i="34"/>
  <c r="AF119" i="34" s="1"/>
  <c r="AX102" i="34"/>
  <c r="AU131" i="34"/>
  <c r="AU148" i="34" s="1"/>
  <c r="AU255" i="34"/>
  <c r="AU257" i="34" s="1"/>
  <c r="CG295" i="34"/>
  <c r="V392" i="34"/>
  <c r="V434" i="34" s="1"/>
  <c r="BW450" i="34"/>
  <c r="BW463" i="34" s="1"/>
  <c r="H450" i="34"/>
  <c r="H463" i="34" s="1"/>
  <c r="V450" i="34"/>
  <c r="V463" i="34" s="1"/>
  <c r="BA472" i="34"/>
  <c r="AZ473" i="34"/>
  <c r="N717" i="34"/>
  <c r="N734" i="34" s="1"/>
  <c r="AE717" i="34"/>
  <c r="AE734" i="34" s="1"/>
  <c r="AV717" i="34"/>
  <c r="AV734" i="34" s="1"/>
  <c r="AJ738" i="34"/>
  <c r="AK737" i="34"/>
  <c r="X786" i="34"/>
  <c r="Z786" i="34"/>
  <c r="AX861" i="34"/>
  <c r="BA861" i="34" s="1"/>
  <c r="BA859" i="34"/>
  <c r="BS204" i="34"/>
  <c r="X6" i="34"/>
  <c r="CF13" i="34"/>
  <c r="AN30" i="34"/>
  <c r="AN42" i="34" s="1"/>
  <c r="CC49" i="34"/>
  <c r="BH68" i="34"/>
  <c r="BZ68" i="34"/>
  <c r="BW79" i="34"/>
  <c r="BW90" i="34" s="1"/>
  <c r="AZ88" i="34"/>
  <c r="BA88" i="34" s="1"/>
  <c r="X96" i="34"/>
  <c r="R102" i="34"/>
  <c r="R119" i="34" s="1"/>
  <c r="AI102" i="34"/>
  <c r="AI119" i="34" s="1"/>
  <c r="AY102" i="34"/>
  <c r="AY119" i="34" s="1"/>
  <c r="BR102" i="34"/>
  <c r="BR119" i="34" s="1"/>
  <c r="CP117" i="34"/>
  <c r="BO124" i="34"/>
  <c r="BP124" i="34" s="1"/>
  <c r="H131" i="34"/>
  <c r="H148" i="34" s="1"/>
  <c r="V131" i="34"/>
  <c r="V148" i="34" s="1"/>
  <c r="AR131" i="34"/>
  <c r="AR148" i="34" s="1"/>
  <c r="BH131" i="34"/>
  <c r="BH148" i="34" s="1"/>
  <c r="BZ131" i="34"/>
  <c r="BZ148" i="34" s="1"/>
  <c r="AS204" i="34"/>
  <c r="BI204" i="34"/>
  <c r="CA204" i="34"/>
  <c r="S219" i="34"/>
  <c r="S238" i="34" s="1"/>
  <c r="AF219" i="34"/>
  <c r="AF238" i="34" s="1"/>
  <c r="N255" i="34"/>
  <c r="N257" i="34" s="1"/>
  <c r="AE255" i="34"/>
  <c r="AE257" i="34" s="1"/>
  <c r="CP253" i="34"/>
  <c r="J268" i="34"/>
  <c r="K268" i="34" s="1"/>
  <c r="CF260" i="34"/>
  <c r="AJ305" i="34"/>
  <c r="AK305" i="34" s="1"/>
  <c r="CF314" i="34"/>
  <c r="CF343" i="34"/>
  <c r="AR450" i="34"/>
  <c r="AR463" i="34" s="1"/>
  <c r="BH450" i="34"/>
  <c r="BH463" i="34" s="1"/>
  <c r="CG450" i="34"/>
  <c r="CG463" i="34" s="1"/>
  <c r="K481" i="34"/>
  <c r="BD499" i="34"/>
  <c r="BD507" i="34" s="1"/>
  <c r="CC503" i="34"/>
  <c r="J522" i="34"/>
  <c r="K522" i="34" s="1"/>
  <c r="K521" i="34"/>
  <c r="CQ629" i="34"/>
  <c r="Z785" i="34"/>
  <c r="X785" i="34"/>
  <c r="CS469" i="34"/>
  <c r="N524" i="34"/>
  <c r="N526" i="34" s="1"/>
  <c r="BC524" i="34"/>
  <c r="BC526" i="34" s="1"/>
  <c r="AU536" i="34"/>
  <c r="V536" i="34"/>
  <c r="CP534" i="34"/>
  <c r="N553" i="34"/>
  <c r="N599" i="34" s="1"/>
  <c r="AX553" i="34"/>
  <c r="AX599" i="34" s="1"/>
  <c r="BR553" i="34"/>
  <c r="BR599" i="34" s="1"/>
  <c r="AM616" i="34"/>
  <c r="CG660" i="34"/>
  <c r="BO658" i="34"/>
  <c r="AJ709" i="34"/>
  <c r="AK709" i="34" s="1"/>
  <c r="M745" i="34"/>
  <c r="M758" i="34" s="1"/>
  <c r="CP743" i="34"/>
  <c r="AR819" i="34"/>
  <c r="CR819" i="34" s="1"/>
  <c r="I832" i="34"/>
  <c r="U853" i="34"/>
  <c r="CP957" i="34"/>
  <c r="BI959" i="34"/>
  <c r="CP959" i="34" s="1"/>
  <c r="AJ969" i="34"/>
  <c r="AJ971" i="34" s="1"/>
  <c r="BS478" i="34"/>
  <c r="AE478" i="34"/>
  <c r="Z489" i="34"/>
  <c r="AR489" i="34"/>
  <c r="BH489" i="34"/>
  <c r="BR616" i="34"/>
  <c r="AY717" i="34"/>
  <c r="AY734" i="34" s="1"/>
  <c r="BS717" i="34"/>
  <c r="BS734" i="34" s="1"/>
  <c r="CF726" i="34"/>
  <c r="BN795" i="34"/>
  <c r="BN819" i="34" s="1"/>
  <c r="AS832" i="34"/>
  <c r="CA832" i="34"/>
  <c r="CP461" i="34"/>
  <c r="CF466" i="34"/>
  <c r="AN478" i="34"/>
  <c r="BC478" i="34"/>
  <c r="K475" i="34"/>
  <c r="AS489" i="34"/>
  <c r="CP482" i="34"/>
  <c r="I499" i="34"/>
  <c r="I507" i="34" s="1"/>
  <c r="Z499" i="34"/>
  <c r="Z507" i="34" s="1"/>
  <c r="AR499" i="34"/>
  <c r="AR507" i="34" s="1"/>
  <c r="CG499" i="34"/>
  <c r="CG507" i="34" s="1"/>
  <c r="X514" i="34"/>
  <c r="CF534" i="34"/>
  <c r="CC540" i="34"/>
  <c r="CC544" i="34"/>
  <c r="CC588" i="34"/>
  <c r="AI616" i="34"/>
  <c r="AY616" i="34"/>
  <c r="CP690" i="34"/>
  <c r="CF727" i="34"/>
  <c r="BC745" i="34"/>
  <c r="BC758" i="34" s="1"/>
  <c r="BW745" i="34"/>
  <c r="BW758" i="34" s="1"/>
  <c r="CC742" i="34"/>
  <c r="K773" i="34"/>
  <c r="CG795" i="34"/>
  <c r="CG819" i="34" s="1"/>
  <c r="X791" i="34"/>
  <c r="CF798" i="34"/>
  <c r="CC803" i="34"/>
  <c r="CC810" i="34"/>
  <c r="AU832" i="34"/>
  <c r="CE832" i="34"/>
  <c r="BZ853" i="34"/>
  <c r="J859" i="34"/>
  <c r="J861" i="34" s="1"/>
  <c r="BO859" i="34"/>
  <c r="BO861" i="34" s="1"/>
  <c r="CC888" i="34"/>
  <c r="X915" i="34"/>
  <c r="AJ940" i="34"/>
  <c r="AK940" i="34" s="1"/>
  <c r="AI489" i="34"/>
  <c r="AY489" i="34"/>
  <c r="M499" i="34"/>
  <c r="M507" i="34" s="1"/>
  <c r="AA499" i="34"/>
  <c r="AA507" i="34" s="1"/>
  <c r="CQ622" i="34"/>
  <c r="CS701" i="34"/>
  <c r="CF711" i="34"/>
  <c r="BD745" i="34"/>
  <c r="BD758" i="34" s="1"/>
  <c r="M795" i="34"/>
  <c r="M819" i="34" s="1"/>
  <c r="AE795" i="34"/>
  <c r="AE819" i="34" s="1"/>
  <c r="AV795" i="34"/>
  <c r="AV819" i="34" s="1"/>
  <c r="AA853" i="34"/>
  <c r="M478" i="34"/>
  <c r="Z478" i="34"/>
  <c r="AS478" i="34"/>
  <c r="BZ478" i="34"/>
  <c r="AJ476" i="34"/>
  <c r="AK476" i="34" s="1"/>
  <c r="CG489" i="34"/>
  <c r="CC486" i="34"/>
  <c r="AU499" i="34"/>
  <c r="AU507" i="34" s="1"/>
  <c r="BM499" i="34"/>
  <c r="AJ497" i="34"/>
  <c r="AJ499" i="34" s="1"/>
  <c r="AK514" i="34"/>
  <c r="AK521" i="34"/>
  <c r="CP522" i="34"/>
  <c r="CC530" i="34"/>
  <c r="S536" i="34"/>
  <c r="P536" i="34"/>
  <c r="X540" i="34"/>
  <c r="CC574" i="34"/>
  <c r="CC580" i="34"/>
  <c r="CP593" i="34"/>
  <c r="V616" i="34"/>
  <c r="AN616" i="34"/>
  <c r="BX616" i="34"/>
  <c r="BO634" i="34"/>
  <c r="BP634" i="34" s="1"/>
  <c r="CF679" i="34"/>
  <c r="CC720" i="34"/>
  <c r="CC737" i="34"/>
  <c r="CC740" i="34"/>
  <c r="CC748" i="34"/>
  <c r="N795" i="34"/>
  <c r="N819" i="34" s="1"/>
  <c r="AF795" i="34"/>
  <c r="AF819" i="34" s="1"/>
  <c r="CB793" i="34"/>
  <c r="CF793" i="34" s="1"/>
  <c r="CB859" i="34"/>
  <c r="CB861" i="34" s="1"/>
  <c r="CQ953" i="34"/>
  <c r="CP473" i="34"/>
  <c r="P499" i="34"/>
  <c r="P507" i="34" s="1"/>
  <c r="AF499" i="34"/>
  <c r="AF507" i="34" s="1"/>
  <c r="CP505" i="34"/>
  <c r="AI519" i="34"/>
  <c r="AI524" i="34" s="1"/>
  <c r="AI526" i="34" s="1"/>
  <c r="U536" i="34"/>
  <c r="AN536" i="34"/>
  <c r="BX536" i="34"/>
  <c r="BW536" i="34"/>
  <c r="AS553" i="34"/>
  <c r="AS599" i="34" s="1"/>
  <c r="BI553" i="34"/>
  <c r="BI599" i="34" s="1"/>
  <c r="CC545" i="34"/>
  <c r="CF558" i="34"/>
  <c r="CC590" i="34"/>
  <c r="BA619" i="34"/>
  <c r="K625" i="34"/>
  <c r="J634" i="34"/>
  <c r="J636" i="34" s="1"/>
  <c r="K636" i="34" s="1"/>
  <c r="V660" i="34"/>
  <c r="V692" i="34" s="1"/>
  <c r="M717" i="34"/>
  <c r="M734" i="34" s="1"/>
  <c r="AA717" i="34"/>
  <c r="AA734" i="34" s="1"/>
  <c r="CE717" i="34"/>
  <c r="CE734" i="34" s="1"/>
  <c r="CF722" i="34"/>
  <c r="CI776" i="34"/>
  <c r="BW795" i="34"/>
  <c r="BW819" i="34" s="1"/>
  <c r="W793" i="34"/>
  <c r="X793" i="34" s="1"/>
  <c r="CC790" i="34"/>
  <c r="CF812" i="34"/>
  <c r="CF850" i="34"/>
  <c r="CP915" i="34"/>
  <c r="BA7" i="34"/>
  <c r="AZ9" i="34"/>
  <c r="BA9" i="34" s="1"/>
  <c r="CQ9" i="34"/>
  <c r="X57" i="34"/>
  <c r="BD68" i="34"/>
  <c r="AU79" i="34"/>
  <c r="AU90" i="34" s="1"/>
  <c r="AE131" i="34"/>
  <c r="AE148" i="34" s="1"/>
  <c r="W146" i="34"/>
  <c r="X146" i="34" s="1"/>
  <c r="N204" i="34"/>
  <c r="AE204" i="34"/>
  <c r="BO217" i="34"/>
  <c r="CP217" i="34"/>
  <c r="BI219" i="34"/>
  <c r="BI238" i="34" s="1"/>
  <c r="BH244" i="34"/>
  <c r="CP244" i="34" s="1"/>
  <c r="CP242" i="34"/>
  <c r="CF321" i="34"/>
  <c r="CC321" i="34"/>
  <c r="CF346" i="34"/>
  <c r="CC346" i="34"/>
  <c r="W376" i="34"/>
  <c r="X376" i="34" s="1"/>
  <c r="X374" i="34"/>
  <c r="BI9" i="34"/>
  <c r="CP9" i="34" s="1"/>
  <c r="CB40" i="34"/>
  <c r="CF40" i="34" s="1"/>
  <c r="CP53" i="34"/>
  <c r="CM53" i="34" s="1"/>
  <c r="AR68" i="34"/>
  <c r="AS68" i="34"/>
  <c r="BI68" i="34"/>
  <c r="CA68" i="34"/>
  <c r="BA81" i="34"/>
  <c r="S102" i="34"/>
  <c r="S119" i="34" s="1"/>
  <c r="AM102" i="34"/>
  <c r="AM119" i="34" s="1"/>
  <c r="AZ96" i="34"/>
  <c r="BP98" i="34"/>
  <c r="CC104" i="34"/>
  <c r="CC108" i="34"/>
  <c r="CC116" i="34"/>
  <c r="BP122" i="34"/>
  <c r="R131" i="34"/>
  <c r="R148" i="34" s="1"/>
  <c r="BS131" i="34"/>
  <c r="BS148" i="34" s="1"/>
  <c r="BP126" i="34"/>
  <c r="CC138" i="34"/>
  <c r="CG219" i="34"/>
  <c r="CG238" i="34" s="1"/>
  <c r="CC214" i="34"/>
  <c r="CF214" i="34"/>
  <c r="CF405" i="34"/>
  <c r="CC405" i="34"/>
  <c r="BO28" i="34"/>
  <c r="BP28" i="34" s="1"/>
  <c r="CC32" i="34"/>
  <c r="CC34" i="34"/>
  <c r="CC6" i="34"/>
  <c r="AU30" i="34"/>
  <c r="AU42" i="34" s="1"/>
  <c r="CF16" i="34"/>
  <c r="R30" i="34"/>
  <c r="R42" i="34" s="1"/>
  <c r="BS30" i="34"/>
  <c r="BS42" i="34" s="1"/>
  <c r="J28" i="34"/>
  <c r="K28" i="34" s="1"/>
  <c r="CF32" i="34"/>
  <c r="BA57" i="34"/>
  <c r="Z68" i="34"/>
  <c r="CP57" i="34"/>
  <c r="I68" i="34"/>
  <c r="AU68" i="34"/>
  <c r="BS79" i="34"/>
  <c r="BS90" i="34" s="1"/>
  <c r="CC87" i="34"/>
  <c r="BS102" i="34"/>
  <c r="BS119" i="34" s="1"/>
  <c r="J100" i="34"/>
  <c r="CP100" i="34"/>
  <c r="CC114" i="34"/>
  <c r="CB124" i="34"/>
  <c r="CF124" i="34" s="1"/>
  <c r="BC131" i="34"/>
  <c r="BC148" i="34" s="1"/>
  <c r="J129" i="34"/>
  <c r="K129" i="34" s="1"/>
  <c r="CC144" i="34"/>
  <c r="CC158" i="34"/>
  <c r="CC196" i="34"/>
  <c r="CF196" i="34"/>
  <c r="H219" i="34"/>
  <c r="H238" i="34" s="1"/>
  <c r="U219" i="34"/>
  <c r="U238" i="34" s="1"/>
  <c r="CC230" i="34"/>
  <c r="CF230" i="34"/>
  <c r="W268" i="34"/>
  <c r="X268" i="34" s="1"/>
  <c r="X260" i="34"/>
  <c r="AJ277" i="34"/>
  <c r="AK277" i="34" s="1"/>
  <c r="CF383" i="34"/>
  <c r="CC383" i="34"/>
  <c r="CC389" i="34"/>
  <c r="CF389" i="34"/>
  <c r="CS9" i="34"/>
  <c r="CB18" i="34"/>
  <c r="CF18" i="34" s="1"/>
  <c r="CF6" i="34"/>
  <c r="BO7" i="34"/>
  <c r="W18" i="34"/>
  <c r="X18" i="34" s="1"/>
  <c r="CF12" i="34"/>
  <c r="AI30" i="34"/>
  <c r="AI42" i="34" s="1"/>
  <c r="K20" i="34"/>
  <c r="CB28" i="34"/>
  <c r="CF28" i="34" s="1"/>
  <c r="CI53" i="34"/>
  <c r="M68" i="34"/>
  <c r="AE68" i="34"/>
  <c r="BN68" i="34"/>
  <c r="CG68" i="34"/>
  <c r="X73" i="34"/>
  <c r="AM79" i="34"/>
  <c r="AM90" i="34" s="1"/>
  <c r="BC79" i="34"/>
  <c r="BC90" i="34" s="1"/>
  <c r="CF77" i="34"/>
  <c r="CB88" i="34"/>
  <c r="CF88" i="34" s="1"/>
  <c r="J96" i="34"/>
  <c r="K96" i="34" s="1"/>
  <c r="H102" i="34"/>
  <c r="H119" i="34" s="1"/>
  <c r="AR102" i="34"/>
  <c r="AR119" i="34" s="1"/>
  <c r="BD102" i="34"/>
  <c r="BD119" i="34" s="1"/>
  <c r="BW102" i="34"/>
  <c r="BW119" i="34" s="1"/>
  <c r="K98" i="34"/>
  <c r="W117" i="34"/>
  <c r="X117" i="34" s="1"/>
  <c r="CC122" i="34"/>
  <c r="AN131" i="34"/>
  <c r="AN148" i="34" s="1"/>
  <c r="BD131" i="34"/>
  <c r="BD148" i="34" s="1"/>
  <c r="AM131" i="34"/>
  <c r="AM148" i="34" s="1"/>
  <c r="AZ129" i="34"/>
  <c r="BA129" i="34" s="1"/>
  <c r="CC161" i="34"/>
  <c r="CF201" i="34"/>
  <c r="CC201" i="34"/>
  <c r="AZ209" i="34"/>
  <c r="I219" i="34"/>
  <c r="I238" i="34" s="1"/>
  <c r="BC219" i="34"/>
  <c r="BC238" i="34" s="1"/>
  <c r="CF211" i="34"/>
  <c r="CC211" i="34"/>
  <c r="AJ253" i="34"/>
  <c r="AK253" i="34" s="1"/>
  <c r="AF11" i="10"/>
  <c r="AN330" i="34"/>
  <c r="AN371" i="34" s="1"/>
  <c r="CC333" i="34"/>
  <c r="CF333" i="34"/>
  <c r="BO376" i="34"/>
  <c r="BP374" i="34"/>
  <c r="AU392" i="34"/>
  <c r="AX68" i="34"/>
  <c r="BD79" i="34"/>
  <c r="AJ117" i="34"/>
  <c r="AK117" i="34" s="1"/>
  <c r="W124" i="34"/>
  <c r="X124" i="34" s="1"/>
  <c r="U279" i="34"/>
  <c r="U286" i="34" s="1"/>
  <c r="CF428" i="34"/>
  <c r="CC428" i="34"/>
  <c r="CP277" i="34"/>
  <c r="BI279" i="34"/>
  <c r="BI286" i="34" s="1"/>
  <c r="BO51" i="34"/>
  <c r="BO53" i="34" s="1"/>
  <c r="AF68" i="34"/>
  <c r="AJ18" i="34"/>
  <c r="AK18" i="34" s="1"/>
  <c r="H30" i="34"/>
  <c r="H42" i="34" s="1"/>
  <c r="V30" i="34"/>
  <c r="V42" i="34" s="1"/>
  <c r="BH30" i="34"/>
  <c r="BH42" i="34" s="1"/>
  <c r="AJ28" i="34"/>
  <c r="AK28" i="34" s="1"/>
  <c r="CC23" i="34"/>
  <c r="AZ40" i="34"/>
  <c r="BA40" i="34" s="1"/>
  <c r="K33" i="34"/>
  <c r="BR68" i="34"/>
  <c r="BO63" i="34"/>
  <c r="BP63" i="34" s="1"/>
  <c r="R68" i="34"/>
  <c r="AY68" i="34"/>
  <c r="BS68" i="34"/>
  <c r="I79" i="34"/>
  <c r="I90" i="34" s="1"/>
  <c r="CC73" i="34"/>
  <c r="CC82" i="34"/>
  <c r="CP96" i="34"/>
  <c r="AJ100" i="34"/>
  <c r="AK100" i="34" s="1"/>
  <c r="BI102" i="34"/>
  <c r="J117" i="34"/>
  <c r="K117" i="34" s="1"/>
  <c r="X122" i="34"/>
  <c r="AS148" i="34"/>
  <c r="CP124" i="34"/>
  <c r="CA131" i="34"/>
  <c r="CA148" i="34" s="1"/>
  <c r="BI131" i="34"/>
  <c r="CC137" i="34"/>
  <c r="CS188" i="34"/>
  <c r="AR219" i="34"/>
  <c r="AR238" i="34" s="1"/>
  <c r="W217" i="34"/>
  <c r="X211" i="34"/>
  <c r="X217" i="34" s="1"/>
  <c r="CC233" i="34"/>
  <c r="CF233" i="34"/>
  <c r="AR279" i="34"/>
  <c r="AR286" i="34" s="1"/>
  <c r="BH279" i="34"/>
  <c r="BH286" i="34" s="1"/>
  <c r="BZ295" i="34"/>
  <c r="CP293" i="34"/>
  <c r="W328" i="34"/>
  <c r="CC397" i="34"/>
  <c r="CF397" i="34"/>
  <c r="CP51" i="34"/>
  <c r="J18" i="34"/>
  <c r="I30" i="34"/>
  <c r="I42" i="34" s="1"/>
  <c r="Z30" i="34"/>
  <c r="Z42" i="34" s="1"/>
  <c r="AR30" i="34"/>
  <c r="AR42" i="34" s="1"/>
  <c r="CC46" i="34"/>
  <c r="K56" i="34"/>
  <c r="CC56" i="34"/>
  <c r="AJ63" i="34"/>
  <c r="AK63" i="34" s="1"/>
  <c r="S68" i="34"/>
  <c r="AM68" i="34"/>
  <c r="BW68" i="34"/>
  <c r="M79" i="34"/>
  <c r="M90" i="34" s="1"/>
  <c r="AA79" i="34"/>
  <c r="AA90" i="34" s="1"/>
  <c r="AS79" i="34"/>
  <c r="AS90" i="34" s="1"/>
  <c r="AJ96" i="34"/>
  <c r="AK96" i="34" s="1"/>
  <c r="AE102" i="34"/>
  <c r="AE119" i="34" s="1"/>
  <c r="CB117" i="34"/>
  <c r="CF117" i="34" s="1"/>
  <c r="AA131" i="34"/>
  <c r="AA148" i="34" s="1"/>
  <c r="CE131" i="34"/>
  <c r="CE148" i="34" s="1"/>
  <c r="M204" i="34"/>
  <c r="AA204" i="34"/>
  <c r="BO209" i="34"/>
  <c r="AS219" i="34"/>
  <c r="AS238" i="34" s="1"/>
  <c r="BA216" i="34"/>
  <c r="BA217" i="34" s="1"/>
  <c r="CC286" i="34"/>
  <c r="CC360" i="34"/>
  <c r="CF360" i="34"/>
  <c r="K244" i="34"/>
  <c r="BW279" i="34"/>
  <c r="BW286" i="34" s="1"/>
  <c r="BX330" i="34"/>
  <c r="BX371" i="34" s="1"/>
  <c r="CB376" i="34"/>
  <c r="CC376" i="34" s="1"/>
  <c r="AA392" i="34"/>
  <c r="AA434" i="34" s="1"/>
  <c r="AJ461" i="34"/>
  <c r="AK461" i="34" s="1"/>
  <c r="X473" i="34"/>
  <c r="BZ489" i="34"/>
  <c r="P392" i="34"/>
  <c r="P434" i="34" s="1"/>
  <c r="BM489" i="34"/>
  <c r="BP482" i="34"/>
  <c r="CF549" i="34"/>
  <c r="CC549" i="34"/>
  <c r="CP186" i="34"/>
  <c r="BI188" i="34"/>
  <c r="CP188" i="34" s="1"/>
  <c r="AZ194" i="34"/>
  <c r="BA194" i="34" s="1"/>
  <c r="AF204" i="34"/>
  <c r="AU204" i="34"/>
  <c r="AZ202" i="34"/>
  <c r="BA202" i="34" s="1"/>
  <c r="R204" i="34"/>
  <c r="AK202" i="34"/>
  <c r="P219" i="34"/>
  <c r="P238" i="34" s="1"/>
  <c r="CP209" i="34"/>
  <c r="AZ236" i="34"/>
  <c r="BA236" i="34" s="1"/>
  <c r="CC242" i="34"/>
  <c r="I255" i="34"/>
  <c r="I257" i="34" s="1"/>
  <c r="Z255" i="34"/>
  <c r="Z257" i="34" s="1"/>
  <c r="AS255" i="34"/>
  <c r="AS257" i="34" s="1"/>
  <c r="CA255" i="34"/>
  <c r="CA257" i="34" s="1"/>
  <c r="CA268" i="34"/>
  <c r="CA279" i="34" s="1"/>
  <c r="W305" i="34"/>
  <c r="X305" i="34" s="1"/>
  <c r="M330" i="34"/>
  <c r="M371" i="34" s="1"/>
  <c r="Z330" i="34"/>
  <c r="Z371" i="34" s="1"/>
  <c r="BH330" i="34"/>
  <c r="BH371" i="34" s="1"/>
  <c r="CC322" i="34"/>
  <c r="AI392" i="34"/>
  <c r="AI434" i="34" s="1"/>
  <c r="BR392" i="34"/>
  <c r="BR434" i="34" s="1"/>
  <c r="CC379" i="34"/>
  <c r="CC385" i="34"/>
  <c r="CF398" i="34"/>
  <c r="CC426" i="34"/>
  <c r="CC438" i="34"/>
  <c r="AJ467" i="34"/>
  <c r="AK466" i="34"/>
  <c r="BO531" i="34"/>
  <c r="BO536" i="34" s="1"/>
  <c r="BP530" i="34"/>
  <c r="CQ188" i="34"/>
  <c r="H204" i="34"/>
  <c r="AV204" i="34"/>
  <c r="CG204" i="34"/>
  <c r="BM219" i="34"/>
  <c r="BM238" i="34" s="1"/>
  <c r="AA279" i="34"/>
  <c r="AA286" i="34" s="1"/>
  <c r="CA330" i="34"/>
  <c r="CA371" i="34" s="1"/>
  <c r="BO390" i="34"/>
  <c r="CF394" i="34"/>
  <c r="CC394" i="34"/>
  <c r="X515" i="34"/>
  <c r="BH985" i="34"/>
  <c r="CP519" i="34"/>
  <c r="BO194" i="34"/>
  <c r="BP194" i="34" s="1"/>
  <c r="X202" i="34"/>
  <c r="AV255" i="34"/>
  <c r="AV257" i="34" s="1"/>
  <c r="BN255" i="34"/>
  <c r="BN257" i="34" s="1"/>
  <c r="CG255" i="34"/>
  <c r="CG257" i="34" s="1"/>
  <c r="N279" i="34"/>
  <c r="N286" i="34" s="1"/>
  <c r="AE279" i="34"/>
  <c r="AE286" i="34" s="1"/>
  <c r="CF271" i="34"/>
  <c r="J293" i="34"/>
  <c r="J295" i="34" s="1"/>
  <c r="K295" i="34" s="1"/>
  <c r="CG328" i="34"/>
  <c r="CG330" i="34" s="1"/>
  <c r="CG371" i="34" s="1"/>
  <c r="AI330" i="34"/>
  <c r="AI371" i="34" s="1"/>
  <c r="CP328" i="34"/>
  <c r="CC332" i="34"/>
  <c r="CC354" i="34"/>
  <c r="CF364" i="34"/>
  <c r="H392" i="34"/>
  <c r="H434" i="34" s="1"/>
  <c r="BC392" i="34"/>
  <c r="BC434" i="34" s="1"/>
  <c r="W432" i="34"/>
  <c r="X432" i="34" s="1"/>
  <c r="CC409" i="34"/>
  <c r="CC418" i="34"/>
  <c r="AZ448" i="34"/>
  <c r="BA448" i="34" s="1"/>
  <c r="BA446" i="34"/>
  <c r="CF459" i="34"/>
  <c r="CC459" i="34"/>
  <c r="CB482" i="34"/>
  <c r="CC482" i="34" s="1"/>
  <c r="CF481" i="34"/>
  <c r="CC481" i="34"/>
  <c r="CC563" i="34"/>
  <c r="CF563" i="34"/>
  <c r="CF584" i="34"/>
  <c r="CC584" i="34"/>
  <c r="BM450" i="34"/>
  <c r="BM463" i="34" s="1"/>
  <c r="CA524" i="34"/>
  <c r="CA526" i="34" s="1"/>
  <c r="AZ519" i="34"/>
  <c r="BA519" i="34" s="1"/>
  <c r="CB194" i="34"/>
  <c r="CF194" i="34" s="1"/>
  <c r="K194" i="34"/>
  <c r="AM204" i="34"/>
  <c r="BC204" i="34"/>
  <c r="BW204" i="34"/>
  <c r="V219" i="34"/>
  <c r="V238" i="34" s="1"/>
  <c r="AZ217" i="34"/>
  <c r="R255" i="34"/>
  <c r="R257" i="34" s="1"/>
  <c r="AI255" i="34"/>
  <c r="AI257" i="34" s="1"/>
  <c r="AY255" i="34"/>
  <c r="AY257" i="34" s="1"/>
  <c r="BS255" i="34"/>
  <c r="BS257" i="34" s="1"/>
  <c r="S330" i="34"/>
  <c r="S371" i="34" s="1"/>
  <c r="AR330" i="34"/>
  <c r="AR371" i="34" s="1"/>
  <c r="BA323" i="34"/>
  <c r="Z392" i="34"/>
  <c r="Z434" i="34" s="1"/>
  <c r="AR392" i="34"/>
  <c r="AR434" i="34" s="1"/>
  <c r="CF402" i="34"/>
  <c r="CC402" i="34"/>
  <c r="CF407" i="34"/>
  <c r="CC407" i="34"/>
  <c r="BN450" i="34"/>
  <c r="BN463" i="34" s="1"/>
  <c r="CF454" i="34"/>
  <c r="CC454" i="34"/>
  <c r="BS499" i="34"/>
  <c r="BS507" i="34" s="1"/>
  <c r="J519" i="34"/>
  <c r="J524" i="34" s="1"/>
  <c r="J526" i="34" s="1"/>
  <c r="AZ541" i="34"/>
  <c r="BA541" i="34" s="1"/>
  <c r="BA539" i="34"/>
  <c r="AZ551" i="34"/>
  <c r="BO443" i="34"/>
  <c r="BP443" i="34" s="1"/>
  <c r="AJ448" i="34"/>
  <c r="AK448" i="34" s="1"/>
  <c r="AR478" i="34"/>
  <c r="R489" i="34"/>
  <c r="AF489" i="34"/>
  <c r="W487" i="34"/>
  <c r="W489" i="34" s="1"/>
  <c r="H499" i="34"/>
  <c r="H507" i="34" s="1"/>
  <c r="AN499" i="34"/>
  <c r="AN507" i="34" s="1"/>
  <c r="W497" i="34"/>
  <c r="W499" i="34" s="1"/>
  <c r="N536" i="34"/>
  <c r="CE536" i="34"/>
  <c r="BO541" i="34"/>
  <c r="BP541" i="34" s="1"/>
  <c r="AV553" i="34"/>
  <c r="AV599" i="34" s="1"/>
  <c r="BO551" i="34"/>
  <c r="CF564" i="34"/>
  <c r="CC564" i="34"/>
  <c r="CF572" i="34"/>
  <c r="CC572" i="34"/>
  <c r="U616" i="34"/>
  <c r="BC616" i="34"/>
  <c r="BW616" i="34"/>
  <c r="BD616" i="34"/>
  <c r="AZ634" i="34"/>
  <c r="BA634" i="34" s="1"/>
  <c r="CR643" i="34"/>
  <c r="J738" i="34"/>
  <c r="S450" i="34"/>
  <c r="S463" i="34" s="1"/>
  <c r="CC445" i="34"/>
  <c r="W448" i="34"/>
  <c r="X448" i="34" s="1"/>
  <c r="BX450" i="34"/>
  <c r="BX463" i="34" s="1"/>
  <c r="BA467" i="34"/>
  <c r="BA469" i="34" s="1"/>
  <c r="BX478" i="34"/>
  <c r="S489" i="34"/>
  <c r="AX489" i="34"/>
  <c r="BI489" i="34"/>
  <c r="BH499" i="34"/>
  <c r="BH507" i="34" s="1"/>
  <c r="J497" i="34"/>
  <c r="K497" i="34" s="1"/>
  <c r="BO497" i="34"/>
  <c r="BP497" i="34" s="1"/>
  <c r="AZ505" i="34"/>
  <c r="BA505" i="34" s="1"/>
  <c r="AF524" i="34"/>
  <c r="AF526" i="34" s="1"/>
  <c r="BI701" i="34"/>
  <c r="CP701" i="34" s="1"/>
  <c r="CP699" i="34"/>
  <c r="U450" i="34"/>
  <c r="U463" i="34" s="1"/>
  <c r="X482" i="34"/>
  <c r="BR536" i="34"/>
  <c r="J541" i="34"/>
  <c r="K541" i="34" s="1"/>
  <c r="AJ634" i="34"/>
  <c r="AJ636" i="34" s="1"/>
  <c r="AK636" i="34" s="1"/>
  <c r="AK633" i="34"/>
  <c r="CF687" i="34"/>
  <c r="BO738" i="34"/>
  <c r="BP737" i="34"/>
  <c r="CP969" i="34"/>
  <c r="BI971" i="34"/>
  <c r="AN450" i="34"/>
  <c r="AN463" i="34" s="1"/>
  <c r="CC458" i="34"/>
  <c r="CC460" i="34"/>
  <c r="CP469" i="34"/>
  <c r="BP472" i="34"/>
  <c r="CC475" i="34"/>
  <c r="BI478" i="34"/>
  <c r="CP478" i="34" s="1"/>
  <c r="CM478" i="34" s="1"/>
  <c r="AK481" i="34"/>
  <c r="AM489" i="34"/>
  <c r="BC489" i="34"/>
  <c r="BR489" i="34"/>
  <c r="BA492" i="34"/>
  <c r="N499" i="34"/>
  <c r="N507" i="34" s="1"/>
  <c r="CF501" i="34"/>
  <c r="V524" i="34"/>
  <c r="V526" i="34" s="1"/>
  <c r="CC515" i="34"/>
  <c r="AJ517" i="34"/>
  <c r="Z530" i="34"/>
  <c r="Z531" i="34" s="1"/>
  <c r="AI536" i="34"/>
  <c r="AV536" i="34"/>
  <c r="CA536" i="34"/>
  <c r="AJ534" i="34"/>
  <c r="AK534" i="34" s="1"/>
  <c r="H536" i="34"/>
  <c r="K536" i="34" s="1"/>
  <c r="W541" i="34"/>
  <c r="X541" i="34" s="1"/>
  <c r="CB541" i="34"/>
  <c r="CC541" i="34" s="1"/>
  <c r="R553" i="34"/>
  <c r="R599" i="34" s="1"/>
  <c r="CC568" i="34"/>
  <c r="CC573" i="34"/>
  <c r="CC585" i="34"/>
  <c r="CB658" i="34"/>
  <c r="CF658" i="34" s="1"/>
  <c r="CC677" i="34"/>
  <c r="CI701" i="34"/>
  <c r="CB709" i="34"/>
  <c r="CC709" i="34" s="1"/>
  <c r="CF708" i="34"/>
  <c r="U776" i="34"/>
  <c r="X774" i="34"/>
  <c r="J899" i="34"/>
  <c r="J901" i="34" s="1"/>
  <c r="J902" i="34" s="1"/>
  <c r="K902" i="34" s="1"/>
  <c r="K867" i="34"/>
  <c r="CB951" i="34"/>
  <c r="CB953" i="34" s="1"/>
  <c r="BA420" i="34"/>
  <c r="CP432" i="34"/>
  <c r="BS450" i="34"/>
  <c r="BS463" i="34" s="1"/>
  <c r="I450" i="34"/>
  <c r="I463" i="34" s="1"/>
  <c r="Z450" i="34"/>
  <c r="Z463" i="34" s="1"/>
  <c r="K466" i="34"/>
  <c r="BP466" i="34"/>
  <c r="AX478" i="34"/>
  <c r="BN478" i="34"/>
  <c r="AI478" i="34"/>
  <c r="AV478" i="34"/>
  <c r="BS489" i="34"/>
  <c r="AV489" i="34"/>
  <c r="BN489" i="34"/>
  <c r="AV499" i="34"/>
  <c r="AV507" i="34" s="1"/>
  <c r="BN499" i="34"/>
  <c r="BN507" i="34" s="1"/>
  <c r="AZ497" i="34"/>
  <c r="BA497" i="34" s="1"/>
  <c r="I524" i="34"/>
  <c r="I526" i="34" s="1"/>
  <c r="AN524" i="34"/>
  <c r="AN526" i="34" s="1"/>
  <c r="BO521" i="34"/>
  <c r="BO522" i="34" s="1"/>
  <c r="BP522" i="34" s="1"/>
  <c r="AA524" i="34"/>
  <c r="AA526" i="34" s="1"/>
  <c r="CE524" i="34"/>
  <c r="CE526" i="34" s="1"/>
  <c r="AJ531" i="34"/>
  <c r="AK531" i="34" s="1"/>
  <c r="CB531" i="34"/>
  <c r="CC531" i="34" s="1"/>
  <c r="BC536" i="34"/>
  <c r="X539" i="34"/>
  <c r="CC539" i="34"/>
  <c r="W551" i="34"/>
  <c r="CF569" i="34"/>
  <c r="CC569" i="34"/>
  <c r="CC576" i="34"/>
  <c r="CC582" i="34"/>
  <c r="CC589" i="34"/>
  <c r="CC609" i="34"/>
  <c r="CF609" i="34"/>
  <c r="CC651" i="34"/>
  <c r="AK707" i="34"/>
  <c r="BI450" i="34"/>
  <c r="BI463" i="34" s="1"/>
  <c r="U478" i="34"/>
  <c r="BW489" i="34"/>
  <c r="AI499" i="34"/>
  <c r="AI507" i="34" s="1"/>
  <c r="CP493" i="34"/>
  <c r="BA533" i="34"/>
  <c r="Z539" i="34"/>
  <c r="Z541" i="34" s="1"/>
  <c r="Z553" i="34" s="1"/>
  <c r="Z599" i="34" s="1"/>
  <c r="CF539" i="34"/>
  <c r="AR553" i="34"/>
  <c r="AR599" i="34" s="1"/>
  <c r="BH553" i="34"/>
  <c r="BH599" i="34" s="1"/>
  <c r="CC682" i="34"/>
  <c r="CF682" i="34"/>
  <c r="R717" i="34"/>
  <c r="R734" i="34" s="1"/>
  <c r="R778" i="34" s="1"/>
  <c r="BA842" i="34"/>
  <c r="AZ843" i="34"/>
  <c r="BA843" i="34" s="1"/>
  <c r="AM478" i="34"/>
  <c r="I478" i="34"/>
  <c r="AY499" i="34"/>
  <c r="AY507" i="34" s="1"/>
  <c r="Z524" i="34"/>
  <c r="Z526" i="34" s="1"/>
  <c r="P524" i="34"/>
  <c r="P526" i="34" s="1"/>
  <c r="AZ531" i="34"/>
  <c r="AZ536" i="34" s="1"/>
  <c r="J536" i="34"/>
  <c r="CF650" i="34"/>
  <c r="CC650" i="34"/>
  <c r="CF655" i="34"/>
  <c r="CC655" i="34"/>
  <c r="X763" i="34"/>
  <c r="Z763" i="34"/>
  <c r="AJ593" i="34"/>
  <c r="AK593" i="34" s="1"/>
  <c r="AJ597" i="34"/>
  <c r="I616" i="34"/>
  <c r="CS622" i="34"/>
  <c r="CP629" i="34"/>
  <c r="BC660" i="34"/>
  <c r="BC692" i="34" s="1"/>
  <c r="BW660" i="34"/>
  <c r="BW692" i="34" s="1"/>
  <c r="AM660" i="34"/>
  <c r="AM692" i="34" s="1"/>
  <c r="CB699" i="34"/>
  <c r="CC699" i="34" s="1"/>
  <c r="CP709" i="34"/>
  <c r="AZ743" i="34"/>
  <c r="BA743" i="34" s="1"/>
  <c r="BA740" i="34"/>
  <c r="K774" i="34"/>
  <c r="AF15" i="10"/>
  <c r="W830" i="34"/>
  <c r="W832" i="34" s="1"/>
  <c r="W899" i="34"/>
  <c r="W901" i="34" s="1"/>
  <c r="W902" i="34" s="1"/>
  <c r="X902" i="34" s="1"/>
  <c r="CF882" i="34"/>
  <c r="CC882" i="34"/>
  <c r="AS616" i="34"/>
  <c r="AJ620" i="34"/>
  <c r="AK620" i="34" s="1"/>
  <c r="CR636" i="34"/>
  <c r="P717" i="34"/>
  <c r="P734" i="34" s="1"/>
  <c r="CB732" i="34"/>
  <c r="CF732" i="34" s="1"/>
  <c r="CP732" i="34"/>
  <c r="CF741" i="34"/>
  <c r="CC741" i="34"/>
  <c r="CB851" i="34"/>
  <c r="CF851" i="34" s="1"/>
  <c r="CC845" i="34"/>
  <c r="J915" i="34"/>
  <c r="J917" i="34" s="1"/>
  <c r="AE616" i="34"/>
  <c r="CC632" i="34"/>
  <c r="CP641" i="34"/>
  <c r="AJ658" i="34"/>
  <c r="AK658" i="34" s="1"/>
  <c r="CF685" i="34"/>
  <c r="CF686" i="34"/>
  <c r="CQ701" i="34"/>
  <c r="AI717" i="34"/>
  <c r="AI734" i="34" s="1"/>
  <c r="AI778" i="34" s="1"/>
  <c r="CC724" i="34"/>
  <c r="CC728" i="34"/>
  <c r="J743" i="34"/>
  <c r="K743" i="34" s="1"/>
  <c r="Z767" i="34"/>
  <c r="H819" i="34"/>
  <c r="CF808" i="34"/>
  <c r="CC808" i="34"/>
  <c r="AJ899" i="34"/>
  <c r="AJ901" i="34" s="1"/>
  <c r="AJ902" i="34" s="1"/>
  <c r="BI942" i="34"/>
  <c r="CP942" i="34" s="1"/>
  <c r="CM942" i="34" s="1"/>
  <c r="CP940" i="34"/>
  <c r="U959" i="34"/>
  <c r="X959" i="34" s="1"/>
  <c r="X957" i="34"/>
  <c r="CP551" i="34"/>
  <c r="CP597" i="34"/>
  <c r="AZ614" i="34"/>
  <c r="BA614" i="34" s="1"/>
  <c r="AJ627" i="34"/>
  <c r="AJ629" i="34" s="1"/>
  <c r="AK629" i="34" s="1"/>
  <c r="X632" i="34"/>
  <c r="CP634" i="34"/>
  <c r="CS643" i="34"/>
  <c r="CC646" i="34"/>
  <c r="AZ648" i="34"/>
  <c r="BA648" i="34" s="1"/>
  <c r="I692" i="34"/>
  <c r="AS660" i="34"/>
  <c r="AS692" i="34" s="1"/>
  <c r="CA660" i="34"/>
  <c r="CA692" i="34" s="1"/>
  <c r="AK650" i="34"/>
  <c r="AZ658" i="34"/>
  <c r="BA658" i="34" s="1"/>
  <c r="CC654" i="34"/>
  <c r="CC656" i="34"/>
  <c r="AK695" i="34"/>
  <c r="BO699" i="34"/>
  <c r="BO701" i="34" s="1"/>
  <c r="BP701" i="34" s="1"/>
  <c r="BP707" i="34"/>
  <c r="CA717" i="34"/>
  <c r="CA734" i="34" s="1"/>
  <c r="CF719" i="34"/>
  <c r="CF730" i="34"/>
  <c r="CF737" i="34"/>
  <c r="BP773" i="34"/>
  <c r="BO774" i="34"/>
  <c r="BO776" i="34" s="1"/>
  <c r="BP776" i="34" s="1"/>
  <c r="AZ788" i="34"/>
  <c r="BA788" i="34" s="1"/>
  <c r="BC853" i="34"/>
  <c r="W851" i="34"/>
  <c r="X851" i="34" s="1"/>
  <c r="X845" i="34"/>
  <c r="AZ899" i="34"/>
  <c r="AZ901" i="34" s="1"/>
  <c r="AZ902" i="34" s="1"/>
  <c r="BA902" i="34" s="1"/>
  <c r="BA867" i="34"/>
  <c r="AE553" i="34"/>
  <c r="AE599" i="34" s="1"/>
  <c r="BO597" i="34"/>
  <c r="CC602" i="34"/>
  <c r="R616" i="34"/>
  <c r="CI643" i="34"/>
  <c r="CE692" i="34"/>
  <c r="M660" i="34"/>
  <c r="M692" i="34" s="1"/>
  <c r="BN658" i="34"/>
  <c r="CC670" i="34"/>
  <c r="H717" i="34"/>
  <c r="H734" i="34" s="1"/>
  <c r="U717" i="34"/>
  <c r="U734" i="34" s="1"/>
  <c r="BR717" i="34"/>
  <c r="BR734" i="34" s="1"/>
  <c r="CG717" i="34"/>
  <c r="CG734" i="34" s="1"/>
  <c r="Z745" i="34"/>
  <c r="Z758" i="34" s="1"/>
  <c r="CF761" i="34"/>
  <c r="CF800" i="34"/>
  <c r="CC800" i="34"/>
  <c r="CC826" i="34"/>
  <c r="CF826" i="34"/>
  <c r="BI839" i="34"/>
  <c r="CP839" i="34" s="1"/>
  <c r="CP837" i="34"/>
  <c r="V853" i="34"/>
  <c r="BX853" i="34"/>
  <c r="AJ851" i="34"/>
  <c r="AK851" i="34" s="1"/>
  <c r="AK845" i="34"/>
  <c r="AZ859" i="34"/>
  <c r="AZ861" i="34" s="1"/>
  <c r="BS616" i="34"/>
  <c r="BO620" i="34"/>
  <c r="BO622" i="34" s="1"/>
  <c r="CS636" i="34"/>
  <c r="CB634" i="34"/>
  <c r="CC634" i="34" s="1"/>
  <c r="AJ648" i="34"/>
  <c r="BN660" i="34"/>
  <c r="BN692" i="34" s="1"/>
  <c r="CG692" i="34"/>
  <c r="I734" i="34"/>
  <c r="V717" i="34"/>
  <c r="V734" i="34" s="1"/>
  <c r="AJ715" i="34"/>
  <c r="AK715" i="34" s="1"/>
  <c r="BN717" i="34"/>
  <c r="BN734" i="34" s="1"/>
  <c r="CC753" i="34"/>
  <c r="CF753" i="34"/>
  <c r="V795" i="34"/>
  <c r="V819" i="34" s="1"/>
  <c r="R832" i="34"/>
  <c r="I853" i="34"/>
  <c r="CF848" i="34"/>
  <c r="AY745" i="34"/>
  <c r="AY758" i="34" s="1"/>
  <c r="BS745" i="34"/>
  <c r="BS758" i="34" s="1"/>
  <c r="M832" i="34"/>
  <c r="AR832" i="34"/>
  <c r="BH832" i="34"/>
  <c r="BI832" i="34"/>
  <c r="CC836" i="34"/>
  <c r="AM853" i="34"/>
  <c r="J851" i="34"/>
  <c r="K851" i="34" s="1"/>
  <c r="BO851" i="34"/>
  <c r="BP851" i="34" s="1"/>
  <c r="CC846" i="34"/>
  <c r="AJ859" i="34"/>
  <c r="AJ861" i="34" s="1"/>
  <c r="CR953" i="34"/>
  <c r="CP953" i="34"/>
  <c r="CM953" i="34" s="1"/>
  <c r="P973" i="34"/>
  <c r="AN973" i="34"/>
  <c r="BO743" i="34"/>
  <c r="BP743" i="34" s="1"/>
  <c r="AJ756" i="34"/>
  <c r="AK756" i="34" s="1"/>
  <c r="AZ774" i="34"/>
  <c r="AZ776" i="34" s="1"/>
  <c r="BA776" i="34" s="1"/>
  <c r="BC819" i="34"/>
  <c r="AJ793" i="34"/>
  <c r="AK793" i="34" s="1"/>
  <c r="CF792" i="34"/>
  <c r="AA832" i="34"/>
  <c r="AZ830" i="34"/>
  <c r="AZ832" i="34" s="1"/>
  <c r="Z832" i="34"/>
  <c r="AZ837" i="34"/>
  <c r="AZ839" i="34" s="1"/>
  <c r="BA839" i="34" s="1"/>
  <c r="K845" i="34"/>
  <c r="CC849" i="34"/>
  <c r="CC859" i="34"/>
  <c r="AK867" i="34"/>
  <c r="CC885" i="34"/>
  <c r="CR925" i="34"/>
  <c r="BO951" i="34"/>
  <c r="BO953" i="34" s="1"/>
  <c r="BP953" i="34" s="1"/>
  <c r="W951" i="34"/>
  <c r="W953" i="34" s="1"/>
  <c r="X953" i="34" s="1"/>
  <c r="AR745" i="34"/>
  <c r="AR758" i="34" s="1"/>
  <c r="BZ745" i="34"/>
  <c r="BZ758" i="34" s="1"/>
  <c r="CA795" i="34"/>
  <c r="CA819" i="34" s="1"/>
  <c r="AF832" i="34"/>
  <c r="CP830" i="34"/>
  <c r="CR839" i="34"/>
  <c r="M853" i="34"/>
  <c r="BH853" i="34"/>
  <c r="X892" i="34"/>
  <c r="W915" i="34"/>
  <c r="W917" i="34" s="1"/>
  <c r="CB915" i="34"/>
  <c r="CB917" i="34" s="1"/>
  <c r="CF917" i="34" s="1"/>
  <c r="CP923" i="34"/>
  <c r="AJ951" i="34"/>
  <c r="AK951" i="34" s="1"/>
  <c r="CI953" i="34"/>
  <c r="AZ969" i="34"/>
  <c r="AZ971" i="34" s="1"/>
  <c r="BA971" i="34" s="1"/>
  <c r="W969" i="34"/>
  <c r="W971" i="34" s="1"/>
  <c r="CQ942" i="34"/>
  <c r="CP774" i="34"/>
  <c r="AA795" i="34"/>
  <c r="AA819" i="34" s="1"/>
  <c r="CE795" i="34"/>
  <c r="CE819" i="34" s="1"/>
  <c r="AY832" i="34"/>
  <c r="J830" i="34"/>
  <c r="J832" i="34" s="1"/>
  <c r="CB837" i="34"/>
  <c r="CB839" i="34" s="1"/>
  <c r="CF839" i="34" s="1"/>
  <c r="AF853" i="34"/>
  <c r="AV853" i="34"/>
  <c r="CQ853" i="34" s="1"/>
  <c r="CE853" i="34"/>
  <c r="CI853" i="34" s="1"/>
  <c r="CP851" i="34"/>
  <c r="AJ915" i="34"/>
  <c r="AJ917" i="34" s="1"/>
  <c r="BI917" i="34"/>
  <c r="CP917" i="34" s="1"/>
  <c r="BA925" i="34"/>
  <c r="J951" i="34"/>
  <c r="BO969" i="34"/>
  <c r="BO971" i="34" s="1"/>
  <c r="BP971" i="34" s="1"/>
  <c r="AV745" i="34"/>
  <c r="AV758" i="34" s="1"/>
  <c r="BN745" i="34"/>
  <c r="BN758" i="34" s="1"/>
  <c r="CG745" i="34"/>
  <c r="CG758" i="34" s="1"/>
  <c r="BX745" i="34"/>
  <c r="BX758" i="34" s="1"/>
  <c r="CC786" i="34"/>
  <c r="BR795" i="34"/>
  <c r="BR819" i="34" s="1"/>
  <c r="CF807" i="34"/>
  <c r="CC811" i="34"/>
  <c r="CC815" i="34"/>
  <c r="V832" i="34"/>
  <c r="U832" i="34"/>
  <c r="X832" i="34" s="1"/>
  <c r="R853" i="34"/>
  <c r="BN853" i="34"/>
  <c r="AZ851" i="34"/>
  <c r="BA851" i="34" s="1"/>
  <c r="CC847" i="34"/>
  <c r="BO915" i="34"/>
  <c r="BO917" i="34" s="1"/>
  <c r="CC915" i="34"/>
  <c r="K945" i="34"/>
  <c r="AZ915" i="34"/>
  <c r="AZ917" i="34" s="1"/>
  <c r="CI942" i="34"/>
  <c r="BP959" i="34"/>
  <c r="CR9" i="34"/>
  <c r="CC7" i="34"/>
  <c r="CF7" i="34"/>
  <c r="CB9" i="34"/>
  <c r="CF9" i="34" s="1"/>
  <c r="X7" i="34"/>
  <c r="W9" i="34"/>
  <c r="X9" i="34" s="1"/>
  <c r="BO40" i="34"/>
  <c r="BP40" i="34" s="1"/>
  <c r="BP32" i="34"/>
  <c r="AJ57" i="34"/>
  <c r="AK57" i="34" s="1"/>
  <c r="AK56" i="34"/>
  <c r="V68" i="34"/>
  <c r="W100" i="34"/>
  <c r="X100" i="34" s="1"/>
  <c r="X98" i="34"/>
  <c r="CB146" i="34"/>
  <c r="BA221" i="34"/>
  <c r="CC232" i="34"/>
  <c r="CF234" i="34"/>
  <c r="CC234" i="34"/>
  <c r="W253" i="34"/>
  <c r="X253" i="34" s="1"/>
  <c r="X251" i="34"/>
  <c r="W293" i="34"/>
  <c r="W295" i="34" s="1"/>
  <c r="X288" i="34"/>
  <c r="CS295" i="34"/>
  <c r="J461" i="34"/>
  <c r="K461" i="34" s="1"/>
  <c r="K460" i="34"/>
  <c r="U30" i="34"/>
  <c r="AK12" i="34"/>
  <c r="W28" i="34"/>
  <c r="X28" i="34" s="1"/>
  <c r="X20" i="34"/>
  <c r="CF142" i="34"/>
  <c r="CC142" i="34"/>
  <c r="AZ13" i="34"/>
  <c r="AZ18" i="34" s="1"/>
  <c r="BO18" i="34"/>
  <c r="CF20" i="34"/>
  <c r="CC22" i="34"/>
  <c r="AX30" i="34"/>
  <c r="W40" i="34"/>
  <c r="X40" i="34" s="1"/>
  <c r="K45" i="34"/>
  <c r="AJ51" i="34"/>
  <c r="CB63" i="34"/>
  <c r="CF63" i="34" s="1"/>
  <c r="CF59" i="34"/>
  <c r="AK60" i="34"/>
  <c r="BM68" i="34"/>
  <c r="BP73" i="34"/>
  <c r="X77" i="34"/>
  <c r="CF85" i="34"/>
  <c r="CC85" i="34"/>
  <c r="CP88" i="34"/>
  <c r="CC93" i="34"/>
  <c r="AN102" i="34"/>
  <c r="AN119" i="34" s="1"/>
  <c r="AZ108" i="34"/>
  <c r="K111" i="34"/>
  <c r="AX117" i="34"/>
  <c r="CF127" i="34"/>
  <c r="CC127" i="34"/>
  <c r="AJ146" i="34"/>
  <c r="AK146" i="34" s="1"/>
  <c r="W180" i="34"/>
  <c r="W182" i="34" s="1"/>
  <c r="K185" i="34"/>
  <c r="J186" i="34"/>
  <c r="J188" i="34" s="1"/>
  <c r="CF396" i="34"/>
  <c r="CC396" i="34"/>
  <c r="AH180" i="34"/>
  <c r="AJ160" i="34"/>
  <c r="AK160" i="34" s="1"/>
  <c r="BO202" i="34"/>
  <c r="BP202" i="34" s="1"/>
  <c r="BP196" i="34"/>
  <c r="K53" i="34"/>
  <c r="U53" i="34"/>
  <c r="X59" i="34"/>
  <c r="AV68" i="34"/>
  <c r="CB79" i="34"/>
  <c r="AV79" i="34"/>
  <c r="AV90" i="34" s="1"/>
  <c r="CF73" i="34"/>
  <c r="X93" i="34"/>
  <c r="BC102" i="34"/>
  <c r="BC119" i="34" s="1"/>
  <c r="U129" i="34"/>
  <c r="BO146" i="34"/>
  <c r="BP146" i="34" s="1"/>
  <c r="W186" i="34"/>
  <c r="X185" i="34"/>
  <c r="W204" i="34"/>
  <c r="BI255" i="34"/>
  <c r="CP249" i="34"/>
  <c r="AJ77" i="34"/>
  <c r="AK77" i="34" s="1"/>
  <c r="AK75" i="34"/>
  <c r="J7" i="34"/>
  <c r="AJ7" i="34"/>
  <c r="AA30" i="34"/>
  <c r="AA42" i="34" s="1"/>
  <c r="CE30" i="34"/>
  <c r="CE42" i="34" s="1"/>
  <c r="CI42" i="34" s="1"/>
  <c r="CP66" i="34"/>
  <c r="R90" i="34"/>
  <c r="AI79" i="34"/>
  <c r="AI90" i="34" s="1"/>
  <c r="BA73" i="34"/>
  <c r="J88" i="34"/>
  <c r="K88" i="34" s="1"/>
  <c r="AZ114" i="34"/>
  <c r="BA114" i="34" s="1"/>
  <c r="W127" i="34"/>
  <c r="X127" i="34" s="1"/>
  <c r="CG148" i="34"/>
  <c r="AZ146" i="34"/>
  <c r="BA146" i="34" s="1"/>
  <c r="BO180" i="34"/>
  <c r="BO182" i="34" s="1"/>
  <c r="AJ217" i="34"/>
  <c r="AJ219" i="34" s="1"/>
  <c r="CQ279" i="34"/>
  <c r="AV286" i="34"/>
  <c r="AX53" i="34"/>
  <c r="H68" i="34"/>
  <c r="K66" i="34"/>
  <c r="CB96" i="34"/>
  <c r="BP13" i="34"/>
  <c r="AS30" i="34"/>
  <c r="AS42" i="34" s="1"/>
  <c r="BZ53" i="34"/>
  <c r="BA65" i="34"/>
  <c r="AI68" i="34"/>
  <c r="S79" i="34"/>
  <c r="S90" i="34" s="1"/>
  <c r="BP77" i="34"/>
  <c r="N102" i="34"/>
  <c r="N119" i="34" s="1"/>
  <c r="AU119" i="34"/>
  <c r="K124" i="34"/>
  <c r="AM180" i="34"/>
  <c r="AM182" i="34" s="1"/>
  <c r="U182" i="34"/>
  <c r="CB188" i="34"/>
  <c r="CF186" i="34"/>
  <c r="CC170" i="34"/>
  <c r="CF170" i="34"/>
  <c r="CK977" i="34"/>
  <c r="AZ63" i="34"/>
  <c r="AZ68" i="34" s="1"/>
  <c r="W88" i="34"/>
  <c r="W90" i="34" s="1"/>
  <c r="P102" i="34"/>
  <c r="P119" i="34" s="1"/>
  <c r="CB100" i="34"/>
  <c r="CF98" i="34"/>
  <c r="CC98" i="34"/>
  <c r="Z131" i="34"/>
  <c r="Z148" i="34" s="1"/>
  <c r="CB129" i="34"/>
  <c r="CQ182" i="34"/>
  <c r="AJ236" i="34"/>
  <c r="AK236" i="34" s="1"/>
  <c r="AH30" i="34"/>
  <c r="BI30" i="34"/>
  <c r="CP18" i="34"/>
  <c r="CC28" i="34"/>
  <c r="BP45" i="34"/>
  <c r="BM53" i="34"/>
  <c r="U68" i="34"/>
  <c r="BX68" i="34"/>
  <c r="P68" i="34"/>
  <c r="K73" i="34"/>
  <c r="BD90" i="34"/>
  <c r="BX79" i="34"/>
  <c r="BX90" i="34" s="1"/>
  <c r="BP75" i="34"/>
  <c r="BA77" i="34"/>
  <c r="BP81" i="34"/>
  <c r="X82" i="34"/>
  <c r="AJ124" i="34"/>
  <c r="AK122" i="34"/>
  <c r="AJ129" i="34"/>
  <c r="AK129" i="34" s="1"/>
  <c r="AK126" i="34"/>
  <c r="J146" i="34"/>
  <c r="J180" i="34"/>
  <c r="AX182" i="34"/>
  <c r="AE238" i="34"/>
  <c r="AZ305" i="34"/>
  <c r="BA305" i="34" s="1"/>
  <c r="BA301" i="34"/>
  <c r="CB328" i="34"/>
  <c r="CF308" i="34"/>
  <c r="CC308" i="34"/>
  <c r="K51" i="34"/>
  <c r="W51" i="34"/>
  <c r="W53" i="34" s="1"/>
  <c r="AJ66" i="34"/>
  <c r="J77" i="34"/>
  <c r="K77" i="34" s="1"/>
  <c r="CP105" i="34"/>
  <c r="BS180" i="34"/>
  <c r="BS182" i="34" s="1"/>
  <c r="H188" i="34"/>
  <c r="AJ186" i="34"/>
  <c r="BO186" i="34"/>
  <c r="BO188" i="34" s="1"/>
  <c r="BP188" i="34" s="1"/>
  <c r="AN204" i="34"/>
  <c r="BP217" i="34"/>
  <c r="CB217" i="34"/>
  <c r="BO223" i="34"/>
  <c r="BO236" i="34" s="1"/>
  <c r="BP236" i="34" s="1"/>
  <c r="CF225" i="34"/>
  <c r="CC225" i="34"/>
  <c r="CF227" i="34"/>
  <c r="CC227" i="34"/>
  <c r="W249" i="34"/>
  <c r="X249" i="34" s="1"/>
  <c r="X247" i="34"/>
  <c r="AZ253" i="34"/>
  <c r="BA253" i="34" s="1"/>
  <c r="BA251" i="34"/>
  <c r="CC45" i="34"/>
  <c r="AZ51" i="34"/>
  <c r="AZ53" i="34" s="1"/>
  <c r="CB51" i="34"/>
  <c r="CC51" i="34" s="1"/>
  <c r="CC62" i="34"/>
  <c r="BP65" i="34"/>
  <c r="W66" i="34"/>
  <c r="K71" i="34"/>
  <c r="BP71" i="34"/>
  <c r="CP73" i="34"/>
  <c r="CC75" i="34"/>
  <c r="H79" i="34"/>
  <c r="AJ88" i="34"/>
  <c r="AK88" i="34" s="1"/>
  <c r="BM88" i="34"/>
  <c r="AZ186" i="34"/>
  <c r="AZ188" i="34" s="1"/>
  <c r="BA188" i="34" s="1"/>
  <c r="AU219" i="34"/>
  <c r="AU238" i="34" s="1"/>
  <c r="BZ219" i="34"/>
  <c r="CF215" i="34"/>
  <c r="CC215" i="34"/>
  <c r="AX279" i="34"/>
  <c r="CF359" i="34"/>
  <c r="CC359" i="34"/>
  <c r="BA56" i="34"/>
  <c r="CB66" i="34"/>
  <c r="CC66" i="34" s="1"/>
  <c r="BA75" i="34"/>
  <c r="CF75" i="34"/>
  <c r="U79" i="34"/>
  <c r="CC84" i="34"/>
  <c r="AK98" i="34"/>
  <c r="BA122" i="34"/>
  <c r="K123" i="34"/>
  <c r="CC141" i="34"/>
  <c r="BH180" i="34"/>
  <c r="CF231" i="34"/>
  <c r="CC231" i="34"/>
  <c r="J236" i="34"/>
  <c r="K236" i="34" s="1"/>
  <c r="K242" i="34"/>
  <c r="AZ249" i="34"/>
  <c r="BA247" i="34"/>
  <c r="CB253" i="34"/>
  <c r="CF253" i="34" s="1"/>
  <c r="CF251" i="34"/>
  <c r="CC251" i="34"/>
  <c r="CF272" i="34"/>
  <c r="CC272" i="34"/>
  <c r="CB277" i="34"/>
  <c r="CF277" i="34" s="1"/>
  <c r="CA28" i="34"/>
  <c r="CA30" i="34" s="1"/>
  <c r="CA42" i="34" s="1"/>
  <c r="CC61" i="34"/>
  <c r="CC65" i="34"/>
  <c r="BA66" i="34"/>
  <c r="BP66" i="34"/>
  <c r="X71" i="34"/>
  <c r="CC71" i="34"/>
  <c r="AK73" i="34"/>
  <c r="AX79" i="34"/>
  <c r="BM79" i="34"/>
  <c r="BZ79" i="34"/>
  <c r="BO82" i="34"/>
  <c r="BP82" i="34" s="1"/>
  <c r="BO105" i="34"/>
  <c r="BP105" i="34" s="1"/>
  <c r="CC109" i="34"/>
  <c r="CC110" i="34"/>
  <c r="CC115" i="34"/>
  <c r="X133" i="34"/>
  <c r="CC133" i="34"/>
  <c r="CC136" i="34"/>
  <c r="CC140" i="34"/>
  <c r="CF155" i="34"/>
  <c r="BP158" i="34"/>
  <c r="BP165" i="34"/>
  <c r="CC166" i="34"/>
  <c r="CF168" i="34"/>
  <c r="BZ180" i="34"/>
  <c r="CR188" i="34"/>
  <c r="BM204" i="34"/>
  <c r="CE204" i="34"/>
  <c r="AX238" i="34"/>
  <c r="CB236" i="34"/>
  <c r="CF236" i="34" s="1"/>
  <c r="CF222" i="34"/>
  <c r="CC222" i="34"/>
  <c r="CF229" i="34"/>
  <c r="CC229" i="34"/>
  <c r="BO249" i="34"/>
  <c r="U255" i="34"/>
  <c r="BO293" i="34"/>
  <c r="BP288" i="34"/>
  <c r="CC35" i="34"/>
  <c r="CF71" i="34"/>
  <c r="CF133" i="34"/>
  <c r="CC154" i="34"/>
  <c r="CB160" i="34"/>
  <c r="CF160" i="34" s="1"/>
  <c r="AZ171" i="34"/>
  <c r="BA171" i="34" s="1"/>
  <c r="CS182" i="34"/>
  <c r="BM180" i="34"/>
  <c r="CC185" i="34"/>
  <c r="CE219" i="34"/>
  <c r="CE238" i="34" s="1"/>
  <c r="CI238" i="34" s="1"/>
  <c r="AK217" i="34"/>
  <c r="CB249" i="34"/>
  <c r="CF247" i="34"/>
  <c r="CC247" i="34"/>
  <c r="BA271" i="34"/>
  <c r="AZ277" i="34"/>
  <c r="BA277" i="34" s="1"/>
  <c r="AJ328" i="34"/>
  <c r="AY180" i="34"/>
  <c r="AY182" i="34" s="1"/>
  <c r="AX204" i="34"/>
  <c r="BR204" i="34"/>
  <c r="X273" i="34"/>
  <c r="W277" i="34"/>
  <c r="X277" i="34" s="1"/>
  <c r="BA332" i="34"/>
  <c r="AZ369" i="34"/>
  <c r="CF334" i="34"/>
  <c r="CC334" i="34"/>
  <c r="AK402" i="34"/>
  <c r="AJ432" i="34"/>
  <c r="AK432" i="34" s="1"/>
  <c r="CC186" i="34"/>
  <c r="X242" i="34"/>
  <c r="BP242" i="34"/>
  <c r="P255" i="34"/>
  <c r="P257" i="34" s="1"/>
  <c r="AA255" i="34"/>
  <c r="AA257" i="34" s="1"/>
  <c r="AR255" i="34"/>
  <c r="AR257" i="34" s="1"/>
  <c r="BC255" i="34"/>
  <c r="BC257" i="34" s="1"/>
  <c r="BR255" i="34"/>
  <c r="BR257" i="34" s="1"/>
  <c r="CE255" i="34"/>
  <c r="CE257" i="34" s="1"/>
  <c r="AJ268" i="34"/>
  <c r="AJ293" i="34"/>
  <c r="AK288" i="34"/>
  <c r="BO305" i="34"/>
  <c r="BP305" i="34" s="1"/>
  <c r="BP301" i="34"/>
  <c r="BD330" i="34"/>
  <c r="R328" i="34"/>
  <c r="R330" i="34" s="1"/>
  <c r="R371" i="34" s="1"/>
  <c r="CF324" i="34"/>
  <c r="CC324" i="34"/>
  <c r="AH330" i="34"/>
  <c r="CF363" i="34"/>
  <c r="CC363" i="34"/>
  <c r="BS392" i="34"/>
  <c r="BS434" i="34" s="1"/>
  <c r="CF384" i="34"/>
  <c r="CC384" i="34"/>
  <c r="CF561" i="34"/>
  <c r="CC561" i="34"/>
  <c r="CP194" i="34"/>
  <c r="BH236" i="34"/>
  <c r="CP236" i="34" s="1"/>
  <c r="CB305" i="34"/>
  <c r="CC305" i="34" s="1"/>
  <c r="N330" i="34"/>
  <c r="N371" i="34" s="1"/>
  <c r="CF341" i="34"/>
  <c r="CC341" i="34"/>
  <c r="CF355" i="34"/>
  <c r="CC355" i="34"/>
  <c r="AZ376" i="34"/>
  <c r="BA376" i="34" s="1"/>
  <c r="BA374" i="34"/>
  <c r="CF429" i="34"/>
  <c r="CC429" i="34"/>
  <c r="AZ605" i="34"/>
  <c r="BA602" i="34"/>
  <c r="J202" i="34"/>
  <c r="K202" i="34" s="1"/>
  <c r="CC221" i="34"/>
  <c r="AK247" i="34"/>
  <c r="BO272" i="34"/>
  <c r="H279" i="34"/>
  <c r="CQ295" i="34"/>
  <c r="AK309" i="34"/>
  <c r="CC313" i="34"/>
  <c r="BA322" i="34"/>
  <c r="BI330" i="34"/>
  <c r="J369" i="34"/>
  <c r="K369" i="34" s="1"/>
  <c r="CF335" i="34"/>
  <c r="CC335" i="34"/>
  <c r="BP378" i="34"/>
  <c r="BO448" i="34"/>
  <c r="BP445" i="34"/>
  <c r="AK501" i="34"/>
  <c r="CF366" i="34"/>
  <c r="CC366" i="34"/>
  <c r="AU432" i="34"/>
  <c r="CF442" i="34"/>
  <c r="CC442" i="34"/>
  <c r="H489" i="34"/>
  <c r="CF191" i="34"/>
  <c r="X194" i="34"/>
  <c r="W236" i="34"/>
  <c r="X236" i="34" s="1"/>
  <c r="J249" i="34"/>
  <c r="V255" i="34"/>
  <c r="V257" i="34" s="1"/>
  <c r="AX255" i="34"/>
  <c r="BM255" i="34"/>
  <c r="BZ255" i="34"/>
  <c r="M279" i="34"/>
  <c r="M286" i="34" s="1"/>
  <c r="CP268" i="34"/>
  <c r="CR295" i="34"/>
  <c r="CC318" i="34"/>
  <c r="BA321" i="34"/>
  <c r="CC323" i="34"/>
  <c r="W369" i="34"/>
  <c r="X369" i="34" s="1"/>
  <c r="BD369" i="34"/>
  <c r="CC361" i="34"/>
  <c r="CP369" i="34"/>
  <c r="R390" i="34"/>
  <c r="R392" i="34" s="1"/>
  <c r="R434" i="34" s="1"/>
  <c r="AZ380" i="34"/>
  <c r="BA380" i="34" s="1"/>
  <c r="CC380" i="34"/>
  <c r="AE432" i="34"/>
  <c r="AE434" i="34" s="1"/>
  <c r="BP467" i="34"/>
  <c r="BP469" i="34" s="1"/>
  <c r="BO469" i="34"/>
  <c r="CR469" i="34"/>
  <c r="CB202" i="34"/>
  <c r="CF202" i="34" s="1"/>
  <c r="BO253" i="34"/>
  <c r="BP253" i="34" s="1"/>
  <c r="AZ268" i="34"/>
  <c r="BA260" i="34"/>
  <c r="BM279" i="34"/>
  <c r="CB293" i="34"/>
  <c r="CC288" i="34"/>
  <c r="AZ293" i="34"/>
  <c r="BA289" i="34"/>
  <c r="CF303" i="34"/>
  <c r="CC303" i="34"/>
  <c r="H330" i="34"/>
  <c r="AU328" i="34"/>
  <c r="AU330" i="34" s="1"/>
  <c r="AU371" i="34" s="1"/>
  <c r="J328" i="34"/>
  <c r="K328" i="34" s="1"/>
  <c r="CB369" i="34"/>
  <c r="U371" i="34"/>
  <c r="W378" i="34"/>
  <c r="W390" i="34" s="1"/>
  <c r="BZ390" i="34"/>
  <c r="CB378" i="34"/>
  <c r="CC378" i="34" s="1"/>
  <c r="AX390" i="34"/>
  <c r="AX392" i="34" s="1"/>
  <c r="BD390" i="34"/>
  <c r="BD392" i="34" s="1"/>
  <c r="BD434" i="34" s="1"/>
  <c r="BO432" i="34"/>
  <c r="BP432" i="34" s="1"/>
  <c r="BP394" i="34"/>
  <c r="BP247" i="34"/>
  <c r="AM255" i="34"/>
  <c r="AM257" i="34" s="1"/>
  <c r="BO268" i="34"/>
  <c r="J277" i="34"/>
  <c r="K277" i="34" s="1"/>
  <c r="K288" i="34"/>
  <c r="CF288" i="34"/>
  <c r="U295" i="34"/>
  <c r="AK301" i="34"/>
  <c r="CF311" i="34"/>
  <c r="BA318" i="34"/>
  <c r="BO321" i="34"/>
  <c r="BP321" i="34" s="1"/>
  <c r="BN328" i="34"/>
  <c r="BN330" i="34" s="1"/>
  <c r="BN371" i="34" s="1"/>
  <c r="BS328" i="34"/>
  <c r="BS330" i="34" s="1"/>
  <c r="BS371" i="34" s="1"/>
  <c r="AJ369" i="34"/>
  <c r="CF347" i="34"/>
  <c r="CC347" i="34"/>
  <c r="BM369" i="34"/>
  <c r="BO359" i="34"/>
  <c r="BP359" i="34" s="1"/>
  <c r="CC365" i="34"/>
  <c r="AJ390" i="34"/>
  <c r="AK390" i="34" s="1"/>
  <c r="AK378" i="34"/>
  <c r="AZ379" i="34"/>
  <c r="BA379" i="34" s="1"/>
  <c r="BH390" i="34"/>
  <c r="BH392" i="34" s="1"/>
  <c r="BH434" i="34" s="1"/>
  <c r="CP380" i="34"/>
  <c r="K394" i="34"/>
  <c r="J432" i="34"/>
  <c r="K432" i="34" s="1"/>
  <c r="CC425" i="34"/>
  <c r="J448" i="34"/>
  <c r="K448" i="34" s="1"/>
  <c r="AJ443" i="34"/>
  <c r="BZ443" i="34"/>
  <c r="BO461" i="34"/>
  <c r="BP461" i="34" s="1"/>
  <c r="BP452" i="34"/>
  <c r="CF472" i="34"/>
  <c r="CC472" i="34"/>
  <c r="AJ541" i="34"/>
  <c r="AK539" i="34"/>
  <c r="BO605" i="34"/>
  <c r="BP602" i="34"/>
  <c r="W732" i="34"/>
  <c r="X732" i="34" s="1"/>
  <c r="X719" i="34"/>
  <c r="AZ328" i="34"/>
  <c r="AK332" i="34"/>
  <c r="I392" i="34"/>
  <c r="I434" i="34" s="1"/>
  <c r="U392" i="34"/>
  <c r="CP376" i="34"/>
  <c r="BW390" i="34"/>
  <c r="BW392" i="34" s="1"/>
  <c r="BW434" i="34" s="1"/>
  <c r="CF401" i="34"/>
  <c r="CC401" i="34"/>
  <c r="CF417" i="34"/>
  <c r="CC417" i="34"/>
  <c r="AK437" i="34"/>
  <c r="CB437" i="34"/>
  <c r="AX450" i="34"/>
  <c r="CQ469" i="34"/>
  <c r="CF467" i="34"/>
  <c r="CF469" i="34" s="1"/>
  <c r="J478" i="34"/>
  <c r="K478" i="34" s="1"/>
  <c r="CA478" i="34"/>
  <c r="AX499" i="34"/>
  <c r="BA493" i="34"/>
  <c r="BM536" i="34"/>
  <c r="BP534" i="34"/>
  <c r="AZ458" i="34"/>
  <c r="AZ461" i="34" s="1"/>
  <c r="CF473" i="34"/>
  <c r="CC473" i="34"/>
  <c r="AK493" i="34"/>
  <c r="CB622" i="34"/>
  <c r="CF622" i="34" s="1"/>
  <c r="CF620" i="34"/>
  <c r="X310" i="34"/>
  <c r="AX330" i="34"/>
  <c r="BM330" i="34"/>
  <c r="BZ330" i="34"/>
  <c r="K376" i="34"/>
  <c r="J390" i="34"/>
  <c r="K390" i="34" s="1"/>
  <c r="BM390" i="34"/>
  <c r="AZ396" i="34"/>
  <c r="BA396" i="34" s="1"/>
  <c r="AZ443" i="34"/>
  <c r="CC456" i="34"/>
  <c r="AX461" i="34"/>
  <c r="AK467" i="34"/>
  <c r="AK469" i="34" s="1"/>
  <c r="AJ469" i="34"/>
  <c r="CB469" i="34"/>
  <c r="V478" i="34"/>
  <c r="AY478" i="34"/>
  <c r="BO478" i="34"/>
  <c r="BP473" i="34"/>
  <c r="BP476" i="34"/>
  <c r="AK482" i="34"/>
  <c r="CB487" i="34"/>
  <c r="CF484" i="34"/>
  <c r="Z533" i="34"/>
  <c r="Z534" i="34" s="1"/>
  <c r="X533" i="34"/>
  <c r="W534" i="34"/>
  <c r="W536" i="34" s="1"/>
  <c r="K619" i="34"/>
  <c r="J620" i="34"/>
  <c r="AM390" i="34"/>
  <c r="AM392" i="34" s="1"/>
  <c r="AM434" i="34" s="1"/>
  <c r="CF413" i="34"/>
  <c r="CC413" i="34"/>
  <c r="CB420" i="34"/>
  <c r="CF420" i="34" s="1"/>
  <c r="BZ432" i="34"/>
  <c r="J443" i="34"/>
  <c r="W443" i="34"/>
  <c r="X461" i="34"/>
  <c r="K473" i="34"/>
  <c r="N392" i="34"/>
  <c r="N434" i="34" s="1"/>
  <c r="AN390" i="34"/>
  <c r="AN392" i="34" s="1"/>
  <c r="AN434" i="34" s="1"/>
  <c r="AZ469" i="34"/>
  <c r="K482" i="34"/>
  <c r="BN536" i="34"/>
  <c r="CF399" i="34"/>
  <c r="CF411" i="34"/>
  <c r="CF415" i="34"/>
  <c r="CF439" i="34"/>
  <c r="AJ473" i="34"/>
  <c r="CP476" i="34"/>
  <c r="AZ482" i="34"/>
  <c r="U489" i="34"/>
  <c r="K515" i="34"/>
  <c r="BM622" i="34"/>
  <c r="CB476" i="34"/>
  <c r="CF476" i="34" s="1"/>
  <c r="AJ487" i="34"/>
  <c r="AK487" i="34" s="1"/>
  <c r="AZ487" i="34"/>
  <c r="BA487" i="34" s="1"/>
  <c r="BO487" i="34"/>
  <c r="BP487" i="34" s="1"/>
  <c r="U499" i="34"/>
  <c r="X493" i="34"/>
  <c r="AX536" i="34"/>
  <c r="BA534" i="34"/>
  <c r="CB551" i="34"/>
  <c r="CF551" i="34" s="1"/>
  <c r="CF543" i="34"/>
  <c r="CC592" i="34"/>
  <c r="CF592" i="34"/>
  <c r="W620" i="34"/>
  <c r="X619" i="34"/>
  <c r="CF665" i="34"/>
  <c r="CC665" i="34"/>
  <c r="CB448" i="34"/>
  <c r="CF448" i="34" s="1"/>
  <c r="CB461" i="34"/>
  <c r="CF461" i="34" s="1"/>
  <c r="CP467" i="34"/>
  <c r="V499" i="34"/>
  <c r="V507" i="34" s="1"/>
  <c r="BA495" i="34"/>
  <c r="K503" i="34"/>
  <c r="K505" i="34"/>
  <c r="BX524" i="34"/>
  <c r="BX526" i="34" s="1"/>
  <c r="BN519" i="34"/>
  <c r="BO517" i="34"/>
  <c r="CC543" i="34"/>
  <c r="CB593" i="34"/>
  <c r="W597" i="34"/>
  <c r="X597" i="34" s="1"/>
  <c r="X595" i="34"/>
  <c r="CC400" i="34"/>
  <c r="CC412" i="34"/>
  <c r="CC416" i="34"/>
  <c r="CC446" i="34"/>
  <c r="CC452" i="34"/>
  <c r="J493" i="34"/>
  <c r="BW507" i="34"/>
  <c r="CI507" i="34"/>
  <c r="AK515" i="34"/>
  <c r="AX524" i="34"/>
  <c r="BM524" i="34"/>
  <c r="BZ524" i="34"/>
  <c r="X543" i="34"/>
  <c r="J593" i="34"/>
  <c r="K593" i="34" s="1"/>
  <c r="H629" i="34"/>
  <c r="K627" i="34"/>
  <c r="K467" i="34"/>
  <c r="K469" i="34" s="1"/>
  <c r="BX499" i="34"/>
  <c r="BX507" i="34" s="1"/>
  <c r="W519" i="34"/>
  <c r="W524" i="34" s="1"/>
  <c r="W526" i="34" s="1"/>
  <c r="X517" i="34"/>
  <c r="X522" i="34"/>
  <c r="P599" i="34"/>
  <c r="AJ551" i="34"/>
  <c r="AK551" i="34" s="1"/>
  <c r="X551" i="34"/>
  <c r="AJ614" i="34"/>
  <c r="AK614" i="34" s="1"/>
  <c r="AK608" i="34"/>
  <c r="CF611" i="34"/>
  <c r="CC611" i="34"/>
  <c r="CC612" i="34"/>
  <c r="CF612" i="34"/>
  <c r="X467" i="34"/>
  <c r="X469" i="34" s="1"/>
  <c r="M489" i="34"/>
  <c r="J487" i="34"/>
  <c r="K487" i="34" s="1"/>
  <c r="BO493" i="34"/>
  <c r="BP492" i="34"/>
  <c r="CP499" i="34"/>
  <c r="BZ499" i="34"/>
  <c r="BM505" i="34"/>
  <c r="BP504" i="34"/>
  <c r="AR981" i="34"/>
  <c r="AR524" i="34"/>
  <c r="AR526" i="34" s="1"/>
  <c r="U524" i="34"/>
  <c r="AZ522" i="34"/>
  <c r="BA521" i="34"/>
  <c r="BZ536" i="34"/>
  <c r="CC534" i="34"/>
  <c r="W505" i="34"/>
  <c r="X505" i="34" s="1"/>
  <c r="BI536" i="34"/>
  <c r="H553" i="34"/>
  <c r="AA616" i="34"/>
  <c r="J614" i="34"/>
  <c r="K614" i="34" s="1"/>
  <c r="BO614" i="34"/>
  <c r="BP614" i="34" s="1"/>
  <c r="CR629" i="34"/>
  <c r="CP627" i="34"/>
  <c r="CQ636" i="34"/>
  <c r="CA641" i="34"/>
  <c r="CA643" i="34" s="1"/>
  <c r="CB640" i="34"/>
  <c r="AH660" i="34"/>
  <c r="CF738" i="34"/>
  <c r="CB493" i="34"/>
  <c r="CB497" i="34"/>
  <c r="CF497" i="34" s="1"/>
  <c r="CB519" i="34"/>
  <c r="CC519" i="34" s="1"/>
  <c r="W593" i="34"/>
  <c r="X593" i="34" s="1"/>
  <c r="CB605" i="34"/>
  <c r="CF603" i="34"/>
  <c r="CC603" i="34"/>
  <c r="P616" i="34"/>
  <c r="AX622" i="34"/>
  <c r="BA622" i="34" s="1"/>
  <c r="BA620" i="34"/>
  <c r="CP622" i="34"/>
  <c r="BZ643" i="34"/>
  <c r="CC643" i="34" s="1"/>
  <c r="CC641" i="34"/>
  <c r="CC673" i="34"/>
  <c r="CF673" i="34"/>
  <c r="BO505" i="34"/>
  <c r="CB505" i="34"/>
  <c r="CF505" i="34" s="1"/>
  <c r="R524" i="34"/>
  <c r="R526" i="34" s="1"/>
  <c r="AE524" i="34"/>
  <c r="AE526" i="34" s="1"/>
  <c r="BD524" i="34"/>
  <c r="BD526" i="34" s="1"/>
  <c r="BS524" i="34"/>
  <c r="BS526" i="34" s="1"/>
  <c r="CP541" i="34"/>
  <c r="J605" i="34"/>
  <c r="K605" i="34" s="1"/>
  <c r="K602" i="34"/>
  <c r="W614" i="34"/>
  <c r="X614" i="34" s="1"/>
  <c r="CB614" i="34"/>
  <c r="CF607" i="34"/>
  <c r="CI629" i="34"/>
  <c r="CQ643" i="34"/>
  <c r="BM643" i="34"/>
  <c r="BP643" i="34" s="1"/>
  <c r="BP641" i="34"/>
  <c r="CF666" i="34"/>
  <c r="CC666" i="34"/>
  <c r="CC495" i="34"/>
  <c r="CC502" i="34"/>
  <c r="K514" i="34"/>
  <c r="CP515" i="34"/>
  <c r="CC517" i="34"/>
  <c r="X521" i="34"/>
  <c r="H524" i="34"/>
  <c r="AU524" i="34"/>
  <c r="AU526" i="34" s="1"/>
  <c r="BH524" i="34"/>
  <c r="BH526" i="34" s="1"/>
  <c r="BW524" i="34"/>
  <c r="BW526" i="34" s="1"/>
  <c r="CG524" i="34"/>
  <c r="CG526" i="34" s="1"/>
  <c r="K539" i="34"/>
  <c r="BP540" i="34"/>
  <c r="BM553" i="34"/>
  <c r="BZ553" i="34"/>
  <c r="BA543" i="34"/>
  <c r="BA551" i="34"/>
  <c r="AK555" i="34"/>
  <c r="W605" i="34"/>
  <c r="S616" i="34"/>
  <c r="CS629" i="34"/>
  <c r="AX643" i="34"/>
  <c r="BA643" i="34" s="1"/>
  <c r="BA641" i="34"/>
  <c r="H660" i="34"/>
  <c r="BH660" i="34"/>
  <c r="BH692" i="34" s="1"/>
  <c r="CP658" i="34"/>
  <c r="K663" i="34"/>
  <c r="J690" i="34"/>
  <c r="K690" i="34" s="1"/>
  <c r="CF663" i="34"/>
  <c r="CC663" i="34"/>
  <c r="CA553" i="34"/>
  <c r="CA599" i="34" s="1"/>
  <c r="J551" i="34"/>
  <c r="AZ593" i="34"/>
  <c r="BA593" i="34" s="1"/>
  <c r="BA555" i="34"/>
  <c r="CF557" i="34"/>
  <c r="CC557" i="34"/>
  <c r="CF619" i="34"/>
  <c r="CC619" i="34"/>
  <c r="CP636" i="34"/>
  <c r="AJ643" i="34"/>
  <c r="AK643" i="34" s="1"/>
  <c r="AK641" i="34"/>
  <c r="CP648" i="34"/>
  <c r="BO593" i="34"/>
  <c r="BP593" i="34" s="1"/>
  <c r="CF565" i="34"/>
  <c r="CC565" i="34"/>
  <c r="CF567" i="34"/>
  <c r="CC567" i="34"/>
  <c r="CF571" i="34"/>
  <c r="CC571" i="34"/>
  <c r="CF575" i="34"/>
  <c r="CC575" i="34"/>
  <c r="K595" i="34"/>
  <c r="J597" i="34"/>
  <c r="K597" i="34" s="1"/>
  <c r="CB597" i="34"/>
  <c r="CF597" i="34" s="1"/>
  <c r="CF595" i="34"/>
  <c r="CP620" i="34"/>
  <c r="BZ622" i="34"/>
  <c r="CC620" i="34"/>
  <c r="CR622" i="34"/>
  <c r="K641" i="34"/>
  <c r="CF651" i="34"/>
  <c r="J658" i="34"/>
  <c r="K658" i="34" s="1"/>
  <c r="BM660" i="34"/>
  <c r="AZ690" i="34"/>
  <c r="BA690" i="34" s="1"/>
  <c r="AJ732" i="34"/>
  <c r="AK732" i="34" s="1"/>
  <c r="CF729" i="34"/>
  <c r="CC729" i="34"/>
  <c r="X641" i="34"/>
  <c r="BI643" i="34"/>
  <c r="CP643" i="34" s="1"/>
  <c r="J648" i="34"/>
  <c r="J660" i="34" s="1"/>
  <c r="W658" i="34"/>
  <c r="X658" i="34" s="1"/>
  <c r="U701" i="34"/>
  <c r="X701" i="34" s="1"/>
  <c r="X699" i="34"/>
  <c r="BD734" i="34"/>
  <c r="CF725" i="34"/>
  <c r="CC725" i="34"/>
  <c r="AM745" i="34"/>
  <c r="AM758" i="34" s="1"/>
  <c r="CF752" i="34"/>
  <c r="CC752" i="34"/>
  <c r="W627" i="34"/>
  <c r="W648" i="34"/>
  <c r="BO690" i="34"/>
  <c r="BP690" i="34" s="1"/>
  <c r="BH717" i="34"/>
  <c r="BH734" i="34" s="1"/>
  <c r="CC579" i="34"/>
  <c r="CC583" i="34"/>
  <c r="CC587" i="34"/>
  <c r="CP605" i="34"/>
  <c r="H616" i="34"/>
  <c r="BP625" i="34"/>
  <c r="CC626" i="34"/>
  <c r="CB627" i="34"/>
  <c r="CC627" i="34" s="1"/>
  <c r="K633" i="34"/>
  <c r="BP646" i="34"/>
  <c r="CC647" i="34"/>
  <c r="CB648" i="34"/>
  <c r="CC648" i="34" s="1"/>
  <c r="BP650" i="34"/>
  <c r="CC653" i="34"/>
  <c r="AX660" i="34"/>
  <c r="CC676" i="34"/>
  <c r="AU717" i="34"/>
  <c r="AU734" i="34" s="1"/>
  <c r="BZ717" i="34"/>
  <c r="H745" i="34"/>
  <c r="BH745" i="34"/>
  <c r="CB756" i="34"/>
  <c r="CF747" i="34"/>
  <c r="CC747" i="34"/>
  <c r="X555" i="34"/>
  <c r="CC555" i="34"/>
  <c r="AK602" i="34"/>
  <c r="CF662" i="34"/>
  <c r="CC662" i="34"/>
  <c r="CB690" i="34"/>
  <c r="CF664" i="34"/>
  <c r="CC672" i="34"/>
  <c r="CC678" i="34"/>
  <c r="CF680" i="34"/>
  <c r="AF717" i="34"/>
  <c r="AF734" i="34" s="1"/>
  <c r="BM717" i="34"/>
  <c r="AZ738" i="34"/>
  <c r="BA737" i="34"/>
  <c r="CP738" i="34"/>
  <c r="W690" i="34"/>
  <c r="X690" i="34" s="1"/>
  <c r="X662" i="34"/>
  <c r="AX717" i="34"/>
  <c r="BA709" i="34"/>
  <c r="U743" i="34"/>
  <c r="W740" i="34"/>
  <c r="W743" i="34" s="1"/>
  <c r="CF785" i="34"/>
  <c r="CC785" i="34"/>
  <c r="AJ690" i="34"/>
  <c r="AK690" i="34" s="1"/>
  <c r="CF681" i="34"/>
  <c r="CF688" i="34"/>
  <c r="CC688" i="34"/>
  <c r="AJ701" i="34"/>
  <c r="AK701" i="34" s="1"/>
  <c r="AK699" i="34"/>
  <c r="S734" i="34"/>
  <c r="AZ715" i="34"/>
  <c r="AZ717" i="34" s="1"/>
  <c r="CP715" i="34"/>
  <c r="CC754" i="34"/>
  <c r="CF754" i="34"/>
  <c r="CF695" i="34"/>
  <c r="AX699" i="34"/>
  <c r="W709" i="34"/>
  <c r="U738" i="34"/>
  <c r="J768" i="34"/>
  <c r="J770" i="34" s="1"/>
  <c r="K770" i="34" s="1"/>
  <c r="J715" i="34"/>
  <c r="J732" i="34"/>
  <c r="K732" i="34" s="1"/>
  <c r="CB774" i="34"/>
  <c r="CC774" i="34" s="1"/>
  <c r="BM817" i="34"/>
  <c r="BO799" i="34"/>
  <c r="BP799" i="34" s="1"/>
  <c r="AJ837" i="34"/>
  <c r="AK835" i="34"/>
  <c r="AZ695" i="34"/>
  <c r="AZ699" i="34" s="1"/>
  <c r="AZ701" i="34" s="1"/>
  <c r="CC713" i="34"/>
  <c r="W715" i="34"/>
  <c r="X715" i="34" s="1"/>
  <c r="AK719" i="34"/>
  <c r="BO719" i="34"/>
  <c r="BP719" i="34" s="1"/>
  <c r="BM732" i="34"/>
  <c r="CB743" i="34"/>
  <c r="CB745" i="34" s="1"/>
  <c r="J756" i="34"/>
  <c r="K756" i="34" s="1"/>
  <c r="AK761" i="34"/>
  <c r="AJ768" i="34"/>
  <c r="Z762" i="34"/>
  <c r="X762" i="34"/>
  <c r="Z766" i="34"/>
  <c r="X766" i="34"/>
  <c r="CR770" i="34"/>
  <c r="CP770" i="34"/>
  <c r="CM770" i="34" s="1"/>
  <c r="CF773" i="34"/>
  <c r="X776" i="34"/>
  <c r="CQ776" i="34"/>
  <c r="BO788" i="34"/>
  <c r="BP783" i="34"/>
  <c r="CC698" i="34"/>
  <c r="CC707" i="34"/>
  <c r="BO711" i="34"/>
  <c r="BO715" i="34" s="1"/>
  <c r="CB715" i="34"/>
  <c r="CF715" i="34" s="1"/>
  <c r="BI717" i="34"/>
  <c r="CC721" i="34"/>
  <c r="BO722" i="34"/>
  <c r="BP722" i="34" s="1"/>
  <c r="W737" i="34"/>
  <c r="W738" i="34" s="1"/>
  <c r="AK740" i="34"/>
  <c r="CC755" i="34"/>
  <c r="AZ768" i="34"/>
  <c r="AZ770" i="34" s="1"/>
  <c r="BA770" i="34" s="1"/>
  <c r="BA761" i="34"/>
  <c r="CF763" i="34"/>
  <c r="CC763" i="34"/>
  <c r="CI770" i="34"/>
  <c r="AZ732" i="34"/>
  <c r="BA732" i="34" s="1"/>
  <c r="BP738" i="34"/>
  <c r="CC738" i="34"/>
  <c r="W756" i="34"/>
  <c r="X756" i="34" s="1"/>
  <c r="AX756" i="34"/>
  <c r="AZ754" i="34"/>
  <c r="AZ756" i="34" s="1"/>
  <c r="BO768" i="34"/>
  <c r="BO770" i="34" s="1"/>
  <c r="BP770" i="34" s="1"/>
  <c r="BP761" i="34"/>
  <c r="CF767" i="34"/>
  <c r="CC767" i="34"/>
  <c r="BS795" i="34"/>
  <c r="BS819" i="34" s="1"/>
  <c r="K790" i="34"/>
  <c r="J793" i="34"/>
  <c r="K793" i="34" s="1"/>
  <c r="AN758" i="34"/>
  <c r="BO756" i="34"/>
  <c r="BP756" i="34" s="1"/>
  <c r="BP748" i="34"/>
  <c r="W788" i="34"/>
  <c r="Z783" i="34"/>
  <c r="X783" i="34"/>
  <c r="AS745" i="34"/>
  <c r="AS758" i="34" s="1"/>
  <c r="CP768" i="34"/>
  <c r="AJ774" i="34"/>
  <c r="AK773" i="34"/>
  <c r="CP776" i="34"/>
  <c r="Z784" i="34"/>
  <c r="X784" i="34"/>
  <c r="W768" i="34"/>
  <c r="Z773" i="34"/>
  <c r="Z774" i="34" s="1"/>
  <c r="Z776" i="34" s="1"/>
  <c r="J776" i="34"/>
  <c r="BX795" i="34"/>
  <c r="BX819" i="34" s="1"/>
  <c r="BP797" i="34"/>
  <c r="BZ817" i="34"/>
  <c r="CC802" i="34"/>
  <c r="CF809" i="34"/>
  <c r="CC809" i="34"/>
  <c r="AJ903" i="34"/>
  <c r="CB788" i="34"/>
  <c r="CB817" i="34"/>
  <c r="CF817" i="34" s="1"/>
  <c r="CF797" i="34"/>
  <c r="CF799" i="34"/>
  <c r="CC799" i="34"/>
  <c r="AH902" i="34"/>
  <c r="CB768" i="34"/>
  <c r="CC783" i="34"/>
  <c r="BI819" i="34"/>
  <c r="AK791" i="34"/>
  <c r="J817" i="34"/>
  <c r="K817" i="34" s="1"/>
  <c r="K797" i="34"/>
  <c r="CC797" i="34"/>
  <c r="K823" i="34"/>
  <c r="H832" i="34"/>
  <c r="K832" i="34" s="1"/>
  <c r="CF870" i="34"/>
  <c r="CC870" i="34"/>
  <c r="CB899" i="34"/>
  <c r="CC899" i="34" s="1"/>
  <c r="BD973" i="34"/>
  <c r="X761" i="34"/>
  <c r="CC762" i="34"/>
  <c r="X765" i="34"/>
  <c r="CC766" i="34"/>
  <c r="AK783" i="34"/>
  <c r="CF783" i="34"/>
  <c r="BA786" i="34"/>
  <c r="I795" i="34"/>
  <c r="I819" i="34" s="1"/>
  <c r="U795" i="34"/>
  <c r="BZ795" i="34"/>
  <c r="W817" i="34"/>
  <c r="X817" i="34" s="1"/>
  <c r="AU817" i="34"/>
  <c r="BO800" i="34"/>
  <c r="BP800" i="34" s="1"/>
  <c r="CC804" i="34"/>
  <c r="CR776" i="34"/>
  <c r="J788" i="34"/>
  <c r="AZ793" i="34"/>
  <c r="BA793" i="34" s="1"/>
  <c r="Z792" i="34"/>
  <c r="X792" i="34"/>
  <c r="AX817" i="34"/>
  <c r="AZ799" i="34"/>
  <c r="AZ817" i="34" s="1"/>
  <c r="AN817" i="34"/>
  <c r="CC823" i="34"/>
  <c r="BM853" i="34"/>
  <c r="K859" i="34"/>
  <c r="CS776" i="34"/>
  <c r="BD817" i="34"/>
  <c r="BD819" i="34" s="1"/>
  <c r="BO823" i="34"/>
  <c r="BP823" i="34" s="1"/>
  <c r="BP822" i="34"/>
  <c r="AZ903" i="34"/>
  <c r="BO793" i="34"/>
  <c r="BP793" i="34" s="1"/>
  <c r="BH817" i="34"/>
  <c r="BH819" i="34" s="1"/>
  <c r="CF823" i="34"/>
  <c r="CP788" i="34"/>
  <c r="X830" i="34"/>
  <c r="W837" i="34"/>
  <c r="W839" i="34" s="1"/>
  <c r="CB843" i="34"/>
  <c r="X859" i="34"/>
  <c r="U861" i="34"/>
  <c r="X861" i="34" s="1"/>
  <c r="W940" i="34"/>
  <c r="W942" i="34" s="1"/>
  <c r="X928" i="34"/>
  <c r="AA973" i="34"/>
  <c r="I973" i="34"/>
  <c r="Z973" i="34"/>
  <c r="AR973" i="34"/>
  <c r="BO830" i="34"/>
  <c r="BP830" i="34" s="1"/>
  <c r="CB830" i="34"/>
  <c r="CF830" i="34" s="1"/>
  <c r="BO843" i="34"/>
  <c r="CC822" i="34"/>
  <c r="AK823" i="34"/>
  <c r="CC828" i="34"/>
  <c r="AX832" i="34"/>
  <c r="BA832" i="34" s="1"/>
  <c r="BM832" i="34"/>
  <c r="BZ832" i="34"/>
  <c r="W843" i="34"/>
  <c r="X842" i="34"/>
  <c r="H853" i="34"/>
  <c r="CF873" i="34"/>
  <c r="CC873" i="34"/>
  <c r="AS902" i="34"/>
  <c r="CR901" i="34"/>
  <c r="CC813" i="34"/>
  <c r="AJ817" i="34"/>
  <c r="AK817" i="34" s="1"/>
  <c r="CF822" i="34"/>
  <c r="CC827" i="34"/>
  <c r="J837" i="34"/>
  <c r="BO837" i="34"/>
  <c r="CS839" i="34"/>
  <c r="CI839" i="34"/>
  <c r="J843" i="34"/>
  <c r="AN853" i="34"/>
  <c r="BS853" i="34"/>
  <c r="AF902" i="34"/>
  <c r="CS901" i="34"/>
  <c r="K835" i="34"/>
  <c r="CQ839" i="34"/>
  <c r="Z853" i="34"/>
  <c r="BD853" i="34"/>
  <c r="CF876" i="34"/>
  <c r="CQ901" i="34"/>
  <c r="BI861" i="34"/>
  <c r="CP859" i="34"/>
  <c r="BZ902" i="34"/>
  <c r="U839" i="34"/>
  <c r="BO899" i="34"/>
  <c r="BO901" i="34" s="1"/>
  <c r="BO902" i="34" s="1"/>
  <c r="BP902" i="34" s="1"/>
  <c r="CG973" i="34"/>
  <c r="CF929" i="34"/>
  <c r="CC929" i="34"/>
  <c r="AZ951" i="34"/>
  <c r="BA945" i="34"/>
  <c r="AS973" i="34"/>
  <c r="M973" i="34"/>
  <c r="K920" i="34"/>
  <c r="J923" i="34"/>
  <c r="CR942" i="34"/>
  <c r="N973" i="34"/>
  <c r="AE973" i="34"/>
  <c r="AU973" i="34"/>
  <c r="V973" i="34"/>
  <c r="BN973" i="34"/>
  <c r="CF845" i="34"/>
  <c r="BI901" i="34"/>
  <c r="CS925" i="34"/>
  <c r="CQ925" i="34"/>
  <c r="AZ940" i="34"/>
  <c r="CF946" i="34"/>
  <c r="CC946" i="34"/>
  <c r="AZ957" i="34"/>
  <c r="AZ959" i="34" s="1"/>
  <c r="BA959" i="34" s="1"/>
  <c r="BA956" i="34"/>
  <c r="AF973" i="34"/>
  <c r="AI973" i="34"/>
  <c r="BW973" i="34"/>
  <c r="AJ923" i="34"/>
  <c r="AJ925" i="34" s="1"/>
  <c r="AK925" i="34" s="1"/>
  <c r="AK920" i="34"/>
  <c r="U942" i="34"/>
  <c r="R973" i="34"/>
  <c r="AH973" i="34"/>
  <c r="AK971" i="34"/>
  <c r="AV973" i="34"/>
  <c r="BX973" i="34"/>
  <c r="CP843" i="34"/>
  <c r="CF856" i="34"/>
  <c r="CF907" i="34"/>
  <c r="K915" i="34"/>
  <c r="BO923" i="34"/>
  <c r="BO925" i="34" s="1"/>
  <c r="BP925" i="34" s="1"/>
  <c r="CP925" i="34"/>
  <c r="BO940" i="34"/>
  <c r="CS953" i="34"/>
  <c r="S973" i="34"/>
  <c r="CE973" i="34"/>
  <c r="BZ973" i="34"/>
  <c r="U925" i="34"/>
  <c r="CB969" i="34"/>
  <c r="CF962" i="34"/>
  <c r="X971" i="34"/>
  <c r="AM973" i="34"/>
  <c r="BA969" i="34"/>
  <c r="BR973" i="34"/>
  <c r="AY973" i="34"/>
  <c r="CA973" i="34"/>
  <c r="CB940" i="34"/>
  <c r="CF928" i="34"/>
  <c r="J940" i="34"/>
  <c r="J942" i="34" s="1"/>
  <c r="CS942" i="34"/>
  <c r="H959" i="34"/>
  <c r="K959" i="34" s="1"/>
  <c r="K957" i="34"/>
  <c r="K971" i="34"/>
  <c r="BC973" i="34"/>
  <c r="BS973" i="34"/>
  <c r="BH973" i="34"/>
  <c r="W923" i="34"/>
  <c r="W925" i="34" s="1"/>
  <c r="CB921" i="34"/>
  <c r="CB923" i="34" s="1"/>
  <c r="CC923" i="34" s="1"/>
  <c r="BP945" i="34"/>
  <c r="BP956" i="34"/>
  <c r="CP951" i="34"/>
  <c r="CB957" i="34"/>
  <c r="CC957" i="34" s="1"/>
  <c r="BA923" i="34"/>
  <c r="CC938" i="34"/>
  <c r="CC945" i="34"/>
  <c r="CC956" i="34"/>
  <c r="BP957" i="34"/>
  <c r="K969" i="34"/>
  <c r="CF945" i="34"/>
  <c r="X969" i="34"/>
  <c r="AK969" i="34"/>
  <c r="CF699" i="34" l="1"/>
  <c r="CB701" i="34"/>
  <c r="CF701" i="34" s="1"/>
  <c r="AU819" i="34"/>
  <c r="J30" i="34"/>
  <c r="AJ255" i="34"/>
  <c r="CI536" i="34"/>
  <c r="CP853" i="34"/>
  <c r="CM853" i="34" s="1"/>
  <c r="W636" i="34"/>
  <c r="X636" i="34" s="1"/>
  <c r="W478" i="34"/>
  <c r="BO68" i="34"/>
  <c r="BA531" i="34"/>
  <c r="AR862" i="34"/>
  <c r="CR758" i="34"/>
  <c r="CQ692" i="34"/>
  <c r="BP531" i="34"/>
  <c r="BO30" i="34"/>
  <c r="BO42" i="34" s="1"/>
  <c r="BP42" i="34" s="1"/>
  <c r="CR616" i="34"/>
  <c r="BP622" i="34"/>
  <c r="R862" i="34"/>
  <c r="BO853" i="34"/>
  <c r="AJ953" i="34"/>
  <c r="AK953" i="34" s="1"/>
  <c r="J499" i="34"/>
  <c r="J507" i="34" s="1"/>
  <c r="K507" i="34" s="1"/>
  <c r="CQ371" i="34"/>
  <c r="CC117" i="34"/>
  <c r="AJ622" i="34"/>
  <c r="AK622" i="34" s="1"/>
  <c r="AK249" i="34"/>
  <c r="BA68" i="34"/>
  <c r="CR119" i="34"/>
  <c r="CI119" i="34"/>
  <c r="CA778" i="34"/>
  <c r="CR463" i="34"/>
  <c r="BP627" i="34"/>
  <c r="BO717" i="34"/>
  <c r="BP717" i="34" s="1"/>
  <c r="CP279" i="34"/>
  <c r="CM279" i="34" s="1"/>
  <c r="W219" i="34"/>
  <c r="X219" i="34" s="1"/>
  <c r="BW778" i="34"/>
  <c r="CS536" i="34"/>
  <c r="M778" i="34"/>
  <c r="CC851" i="34"/>
  <c r="I862" i="34"/>
  <c r="AZ745" i="34"/>
  <c r="AZ758" i="34" s="1"/>
  <c r="CC124" i="34"/>
  <c r="BO219" i="34"/>
  <c r="BP219" i="34" s="1"/>
  <c r="M703" i="34"/>
  <c r="BP699" i="34"/>
  <c r="BP774" i="34"/>
  <c r="CB536" i="34"/>
  <c r="CF536" i="34" s="1"/>
  <c r="BP620" i="34"/>
  <c r="CB180" i="34"/>
  <c r="CC180" i="34" s="1"/>
  <c r="CS832" i="34"/>
  <c r="CQ536" i="34"/>
  <c r="CP489" i="34"/>
  <c r="CM489" i="34" s="1"/>
  <c r="AN819" i="34"/>
  <c r="AN862" i="34" s="1"/>
  <c r="CB219" i="34"/>
  <c r="CC219" i="34" s="1"/>
  <c r="CP463" i="34"/>
  <c r="AV703" i="34"/>
  <c r="BP521" i="34"/>
  <c r="CC658" i="34"/>
  <c r="CS257" i="34"/>
  <c r="X182" i="34"/>
  <c r="CI489" i="34"/>
  <c r="N778" i="34"/>
  <c r="AU703" i="34"/>
  <c r="J717" i="34"/>
  <c r="J734" i="34" s="1"/>
  <c r="K734" i="34" s="1"/>
  <c r="CP526" i="34"/>
  <c r="Z793" i="34"/>
  <c r="X204" i="34"/>
  <c r="CQ478" i="34"/>
  <c r="X837" i="34"/>
  <c r="CC194" i="34"/>
  <c r="CG778" i="34"/>
  <c r="CP795" i="34"/>
  <c r="CQ599" i="34"/>
  <c r="CR279" i="34"/>
  <c r="S703" i="34"/>
  <c r="CQ758" i="34"/>
  <c r="BR778" i="34"/>
  <c r="AI862" i="34"/>
  <c r="AU778" i="34"/>
  <c r="CP599" i="34"/>
  <c r="CS853" i="34"/>
  <c r="BD778" i="34"/>
  <c r="AX119" i="34"/>
  <c r="BW862" i="34"/>
  <c r="AJ660" i="34"/>
  <c r="AJ692" i="34" s="1"/>
  <c r="CS371" i="34"/>
  <c r="CI90" i="34"/>
  <c r="K634" i="34"/>
  <c r="AY703" i="34"/>
  <c r="W392" i="34"/>
  <c r="W434" i="34" s="1"/>
  <c r="CQ489" i="34"/>
  <c r="CP102" i="34"/>
  <c r="AJ745" i="34"/>
  <c r="AK745" i="34" s="1"/>
  <c r="AR778" i="34"/>
  <c r="BM819" i="34"/>
  <c r="BM862" i="34" s="1"/>
  <c r="S778" i="34"/>
  <c r="BP478" i="34"/>
  <c r="CI279" i="34"/>
  <c r="CN279" i="34" s="1"/>
  <c r="K30" i="34"/>
  <c r="CG703" i="34"/>
  <c r="CS478" i="34"/>
  <c r="K629" i="34"/>
  <c r="AN778" i="34"/>
  <c r="CP553" i="34"/>
  <c r="AE862" i="34"/>
  <c r="CI832" i="34"/>
  <c r="CA862" i="34"/>
  <c r="CR489" i="34"/>
  <c r="AS862" i="34"/>
  <c r="BC778" i="34"/>
  <c r="P509" i="34"/>
  <c r="CR507" i="34"/>
  <c r="V778" i="34"/>
  <c r="I778" i="34"/>
  <c r="BX703" i="34"/>
  <c r="BM973" i="34"/>
  <c r="K519" i="34"/>
  <c r="AS703" i="34"/>
  <c r="CS507" i="34"/>
  <c r="BX778" i="34"/>
  <c r="CP450" i="34"/>
  <c r="J131" i="34"/>
  <c r="K131" i="34" s="1"/>
  <c r="CP219" i="34"/>
  <c r="AY862" i="34"/>
  <c r="CI599" i="34"/>
  <c r="BO204" i="34"/>
  <c r="BP204" i="34" s="1"/>
  <c r="CR599" i="34"/>
  <c r="CS204" i="34"/>
  <c r="CQ42" i="34"/>
  <c r="CF531" i="34"/>
  <c r="AZ450" i="34"/>
  <c r="AZ463" i="34" s="1"/>
  <c r="BS778" i="34"/>
  <c r="CR734" i="34"/>
  <c r="CI295" i="34"/>
  <c r="AZ90" i="34"/>
  <c r="S862" i="34"/>
  <c r="CP616" i="34"/>
  <c r="CP79" i="34"/>
  <c r="J68" i="34"/>
  <c r="K68" i="34" s="1"/>
  <c r="CC793" i="34"/>
  <c r="CP204" i="34"/>
  <c r="CM204" i="34" s="1"/>
  <c r="AZ478" i="34"/>
  <c r="BA478" i="34" s="1"/>
  <c r="BD703" i="34"/>
  <c r="K901" i="34"/>
  <c r="K899" i="34"/>
  <c r="CR692" i="34"/>
  <c r="AK497" i="34"/>
  <c r="AJ102" i="34"/>
  <c r="AJ119" i="34" s="1"/>
  <c r="AK119" i="34" s="1"/>
  <c r="CR204" i="34"/>
  <c r="BH509" i="34"/>
  <c r="X293" i="34"/>
  <c r="CI204" i="34"/>
  <c r="CR832" i="34"/>
  <c r="BN524" i="34"/>
  <c r="BN526" i="34" s="1"/>
  <c r="CC217" i="34"/>
  <c r="BA627" i="34"/>
  <c r="AU434" i="34"/>
  <c r="CQ434" i="34" s="1"/>
  <c r="CI257" i="34"/>
  <c r="K18" i="34"/>
  <c r="CR371" i="34"/>
  <c r="BO660" i="34"/>
  <c r="BO692" i="34" s="1"/>
  <c r="AZ131" i="34"/>
  <c r="BA131" i="34" s="1"/>
  <c r="X536" i="34"/>
  <c r="CR853" i="34"/>
  <c r="CQ832" i="34"/>
  <c r="CR434" i="34"/>
  <c r="N862" i="34"/>
  <c r="CE509" i="34"/>
  <c r="CI463" i="34"/>
  <c r="CS90" i="34"/>
  <c r="CI148" i="34"/>
  <c r="BC703" i="34"/>
  <c r="BR862" i="34"/>
  <c r="AR703" i="34"/>
  <c r="N703" i="34"/>
  <c r="AA703" i="34"/>
  <c r="I509" i="34"/>
  <c r="CS616" i="34"/>
  <c r="AK957" i="34"/>
  <c r="CF915" i="34"/>
  <c r="Z536" i="34"/>
  <c r="Z703" i="34" s="1"/>
  <c r="BS703" i="34"/>
  <c r="CI734" i="34"/>
  <c r="CI616" i="34"/>
  <c r="BR509" i="34"/>
  <c r="BS509" i="34"/>
  <c r="CC40" i="34"/>
  <c r="BN862" i="34"/>
  <c r="J42" i="34"/>
  <c r="K42" i="34" s="1"/>
  <c r="AF703" i="34"/>
  <c r="CS463" i="34"/>
  <c r="BC509" i="34"/>
  <c r="AM862" i="34"/>
  <c r="AX758" i="34"/>
  <c r="BP536" i="34"/>
  <c r="AN703" i="34"/>
  <c r="AI703" i="34"/>
  <c r="CE862" i="34"/>
  <c r="BA186" i="34"/>
  <c r="CQ257" i="34"/>
  <c r="AX973" i="34"/>
  <c r="K768" i="34"/>
  <c r="CE778" i="34"/>
  <c r="BP658" i="34"/>
  <c r="AK627" i="34"/>
  <c r="BP390" i="34"/>
  <c r="CB131" i="34"/>
  <c r="CF131" i="34" s="1"/>
  <c r="CR148" i="34"/>
  <c r="CR536" i="34"/>
  <c r="BO369" i="34"/>
  <c r="BP369" i="34" s="1"/>
  <c r="BA63" i="34"/>
  <c r="S297" i="34"/>
  <c r="CS148" i="34"/>
  <c r="AJ795" i="34"/>
  <c r="AJ819" i="34" s="1"/>
  <c r="AK819" i="34" s="1"/>
  <c r="CS758" i="34"/>
  <c r="BR703" i="34"/>
  <c r="J102" i="34"/>
  <c r="J119" i="34" s="1"/>
  <c r="K119" i="34" s="1"/>
  <c r="AA862" i="34"/>
  <c r="AS509" i="34"/>
  <c r="AM703" i="34"/>
  <c r="CP90" i="34"/>
  <c r="I297" i="34"/>
  <c r="AK899" i="34"/>
  <c r="AM778" i="34"/>
  <c r="N509" i="34"/>
  <c r="AK738" i="34"/>
  <c r="Z509" i="34"/>
  <c r="CQ204" i="34"/>
  <c r="CR238" i="34"/>
  <c r="CQ148" i="34"/>
  <c r="CN942" i="34"/>
  <c r="CF859" i="34"/>
  <c r="X478" i="34"/>
  <c r="AZ279" i="34"/>
  <c r="AZ286" i="34" s="1"/>
  <c r="CF217" i="34"/>
  <c r="K186" i="34"/>
  <c r="CQ68" i="34"/>
  <c r="BA957" i="34"/>
  <c r="BH862" i="34"/>
  <c r="K188" i="34"/>
  <c r="J745" i="34"/>
  <c r="K745" i="34" s="1"/>
  <c r="CA509" i="34"/>
  <c r="CF376" i="34"/>
  <c r="CC277" i="34"/>
  <c r="K100" i="34"/>
  <c r="BO131" i="34"/>
  <c r="BP131" i="34" s="1"/>
  <c r="BN778" i="34"/>
  <c r="W973" i="34"/>
  <c r="CR478" i="34"/>
  <c r="X839" i="34"/>
  <c r="AK648" i="34"/>
  <c r="AZ499" i="34"/>
  <c r="AZ507" i="34" s="1"/>
  <c r="CP390" i="34"/>
  <c r="V862" i="34"/>
  <c r="BS297" i="34"/>
  <c r="CP286" i="34"/>
  <c r="Z768" i="34"/>
  <c r="Z770" i="34" s="1"/>
  <c r="Z778" i="34" s="1"/>
  <c r="CC522" i="34"/>
  <c r="CF242" i="34"/>
  <c r="R297" i="34"/>
  <c r="BP18" i="34"/>
  <c r="AF297" i="34"/>
  <c r="AF509" i="34"/>
  <c r="AX819" i="34"/>
  <c r="AX862" i="34" s="1"/>
  <c r="X497" i="34"/>
  <c r="AE509" i="34"/>
  <c r="X180" i="34"/>
  <c r="BI973" i="34"/>
  <c r="CP973" i="34" s="1"/>
  <c r="BO553" i="34"/>
  <c r="X487" i="34"/>
  <c r="S509" i="34"/>
  <c r="S977" i="34" s="1"/>
  <c r="BW703" i="34"/>
  <c r="V703" i="34"/>
  <c r="M862" i="34"/>
  <c r="AA509" i="34"/>
  <c r="R703" i="34"/>
  <c r="AY778" i="34"/>
  <c r="CS599" i="34"/>
  <c r="CI758" i="34"/>
  <c r="BO102" i="34"/>
  <c r="BP102" i="34" s="1"/>
  <c r="CF709" i="34"/>
  <c r="AJ942" i="34"/>
  <c r="AK942" i="34" s="1"/>
  <c r="BS862" i="34"/>
  <c r="BX862" i="34"/>
  <c r="K738" i="34"/>
  <c r="AJ79" i="34"/>
  <c r="AJ90" i="34" s="1"/>
  <c r="AK90" i="34" s="1"/>
  <c r="AR509" i="34"/>
  <c r="P703" i="34"/>
  <c r="CF541" i="34"/>
  <c r="AA778" i="34"/>
  <c r="CS489" i="34"/>
  <c r="CR68" i="34"/>
  <c r="N297" i="34"/>
  <c r="CS119" i="34"/>
  <c r="AZ219" i="34"/>
  <c r="AZ238" i="34" s="1"/>
  <c r="BA238" i="34" s="1"/>
  <c r="J853" i="34"/>
  <c r="K853" i="34" s="1"/>
  <c r="W745" i="34"/>
  <c r="W758" i="34" s="1"/>
  <c r="CS734" i="34"/>
  <c r="BO636" i="34"/>
  <c r="BP636" i="34" s="1"/>
  <c r="CC551" i="34"/>
  <c r="CB553" i="34"/>
  <c r="CC553" i="34" s="1"/>
  <c r="CN478" i="34"/>
  <c r="CP434" i="34"/>
  <c r="CC57" i="34"/>
  <c r="CC63" i="34"/>
  <c r="CR90" i="34"/>
  <c r="CG862" i="34"/>
  <c r="CI819" i="34"/>
  <c r="CP971" i="34"/>
  <c r="BA774" i="34"/>
  <c r="BO795" i="34"/>
  <c r="BP795" i="34" s="1"/>
  <c r="BP711" i="34"/>
  <c r="AZ636" i="34"/>
  <c r="BA636" i="34" s="1"/>
  <c r="AZ524" i="34"/>
  <c r="AZ526" i="34" s="1"/>
  <c r="AZ981" i="34" s="1"/>
  <c r="K293" i="34"/>
  <c r="CP392" i="34"/>
  <c r="W279" i="34"/>
  <c r="AZ204" i="34"/>
  <c r="BA204" i="34" s="1"/>
  <c r="K219" i="34"/>
  <c r="CQ90" i="34"/>
  <c r="BA837" i="34"/>
  <c r="AY297" i="34"/>
  <c r="CQ238" i="34"/>
  <c r="CC88" i="34"/>
  <c r="I703" i="34"/>
  <c r="BO515" i="34"/>
  <c r="BP515" i="34" s="1"/>
  <c r="BP514" i="34"/>
  <c r="AJ616" i="34"/>
  <c r="AK616" i="34" s="1"/>
  <c r="BP551" i="34"/>
  <c r="CP524" i="34"/>
  <c r="BA473" i="34"/>
  <c r="CB489" i="34"/>
  <c r="CF489" i="34" s="1"/>
  <c r="AZ117" i="34"/>
  <c r="BA117" i="34" s="1"/>
  <c r="CI692" i="34"/>
  <c r="AE297" i="34"/>
  <c r="X951" i="34"/>
  <c r="BP969" i="34"/>
  <c r="CQ734" i="34"/>
  <c r="CC701" i="34"/>
  <c r="BA695" i="34"/>
  <c r="J553" i="34"/>
  <c r="J599" i="34" s="1"/>
  <c r="BI119" i="34"/>
  <c r="CP119" i="34" s="1"/>
  <c r="CM119" i="34" s="1"/>
  <c r="W68" i="34"/>
  <c r="X68" i="34" s="1"/>
  <c r="AI509" i="34"/>
  <c r="AE703" i="34"/>
  <c r="AZ102" i="34"/>
  <c r="BA102" i="34" s="1"/>
  <c r="X940" i="34"/>
  <c r="AF862" i="34"/>
  <c r="AJ853" i="34"/>
  <c r="AK853" i="34" s="1"/>
  <c r="AK902" i="34"/>
  <c r="K715" i="34"/>
  <c r="BH703" i="34"/>
  <c r="CF482" i="34"/>
  <c r="V297" i="34"/>
  <c r="BP51" i="34"/>
  <c r="BA53" i="34"/>
  <c r="CN953" i="34"/>
  <c r="CP832" i="34"/>
  <c r="CM832" i="34" s="1"/>
  <c r="BN297" i="34"/>
  <c r="X942" i="34"/>
  <c r="CN853" i="34"/>
  <c r="BR297" i="34"/>
  <c r="BP53" i="34"/>
  <c r="BP96" i="34"/>
  <c r="AU297" i="34"/>
  <c r="BC862" i="34"/>
  <c r="W330" i="34"/>
  <c r="X330" i="34" s="1"/>
  <c r="BO392" i="34"/>
  <c r="BO434" i="34" s="1"/>
  <c r="BD297" i="34"/>
  <c r="CG297" i="34"/>
  <c r="CP68" i="34"/>
  <c r="AK901" i="34"/>
  <c r="AM903" i="34" s="1"/>
  <c r="BN703" i="34"/>
  <c r="CS692" i="34"/>
  <c r="BP951" i="34"/>
  <c r="BP768" i="34"/>
  <c r="AE778" i="34"/>
  <c r="CP536" i="34"/>
  <c r="CM536" i="34" s="1"/>
  <c r="CN536" i="34" s="1"/>
  <c r="CS238" i="34"/>
  <c r="CS68" i="34"/>
  <c r="BN509" i="34"/>
  <c r="CG509" i="34"/>
  <c r="CI371" i="34"/>
  <c r="CF953" i="34"/>
  <c r="CC953" i="34"/>
  <c r="CN53" i="34"/>
  <c r="BA901" i="34"/>
  <c r="AF778" i="34"/>
  <c r="AZ734" i="34"/>
  <c r="BP715" i="34"/>
  <c r="J616" i="34"/>
  <c r="K616" i="34" s="1"/>
  <c r="CA703" i="34"/>
  <c r="BA536" i="34"/>
  <c r="AY509" i="34"/>
  <c r="W507" i="34"/>
  <c r="AZ432" i="34"/>
  <c r="BA432" i="34" s="1"/>
  <c r="CS434" i="34"/>
  <c r="AM297" i="34"/>
  <c r="AN297" i="34"/>
  <c r="CC951" i="34"/>
  <c r="AJ536" i="34"/>
  <c r="AK536" i="34" s="1"/>
  <c r="CS279" i="34"/>
  <c r="BD862" i="34"/>
  <c r="CE703" i="34"/>
  <c r="CF634" i="34"/>
  <c r="BP505" i="34"/>
  <c r="AJ489" i="34"/>
  <c r="AK489" i="34" s="1"/>
  <c r="AS297" i="34"/>
  <c r="BC297" i="34"/>
  <c r="BP186" i="34"/>
  <c r="Z297" i="34"/>
  <c r="CC18" i="34"/>
  <c r="K951" i="34"/>
  <c r="J953" i="34"/>
  <c r="K953" i="34" s="1"/>
  <c r="CC837" i="34"/>
  <c r="CF837" i="34"/>
  <c r="AV778" i="34"/>
  <c r="AJ717" i="34"/>
  <c r="AJ734" i="34" s="1"/>
  <c r="AK734" i="34" s="1"/>
  <c r="X489" i="34"/>
  <c r="CC448" i="34"/>
  <c r="BO450" i="34"/>
  <c r="BO463" i="34" s="1"/>
  <c r="BP463" i="34" s="1"/>
  <c r="AR297" i="34"/>
  <c r="BO117" i="34"/>
  <c r="BP117" i="34" s="1"/>
  <c r="BA108" i="34"/>
  <c r="X88" i="34"/>
  <c r="CB30" i="34"/>
  <c r="CC30" i="34" s="1"/>
  <c r="AZ553" i="34"/>
  <c r="BA553" i="34" s="1"/>
  <c r="X923" i="34"/>
  <c r="BO817" i="34"/>
  <c r="BP817" i="34" s="1"/>
  <c r="CC732" i="34"/>
  <c r="J692" i="34"/>
  <c r="K648" i="34"/>
  <c r="CC505" i="34"/>
  <c r="X519" i="34"/>
  <c r="X378" i="34"/>
  <c r="R509" i="34"/>
  <c r="R977" i="34" s="1"/>
  <c r="X328" i="34"/>
  <c r="AA297" i="34"/>
  <c r="CC253" i="34"/>
  <c r="AZ853" i="34"/>
  <c r="BA853" i="34" s="1"/>
  <c r="BP7" i="34"/>
  <c r="BO9" i="34"/>
  <c r="BP9" i="34" s="1"/>
  <c r="AM509" i="34"/>
  <c r="X925" i="34"/>
  <c r="CF951" i="34"/>
  <c r="BP901" i="34"/>
  <c r="BA899" i="34"/>
  <c r="X901" i="34"/>
  <c r="AK634" i="34"/>
  <c r="M509" i="34"/>
  <c r="AZ330" i="34"/>
  <c r="BA330" i="34" s="1"/>
  <c r="BP376" i="34"/>
  <c r="W255" i="34"/>
  <c r="W257" i="34" s="1"/>
  <c r="BX297" i="34"/>
  <c r="J238" i="34"/>
  <c r="K238" i="34" s="1"/>
  <c r="AZ180" i="34"/>
  <c r="AZ182" i="34" s="1"/>
  <c r="BA182" i="34" s="1"/>
  <c r="BO745" i="34"/>
  <c r="BP745" i="34" s="1"/>
  <c r="BI148" i="34"/>
  <c r="CP148" i="34" s="1"/>
  <c r="CM148" i="34" s="1"/>
  <c r="CP131" i="34"/>
  <c r="X899" i="34"/>
  <c r="BP899" i="34"/>
  <c r="CA297" i="34"/>
  <c r="BW297" i="34"/>
  <c r="BH238" i="34"/>
  <c r="CP238" i="34" s="1"/>
  <c r="P297" i="34"/>
  <c r="K940" i="34"/>
  <c r="AV862" i="34"/>
  <c r="CC817" i="34"/>
  <c r="CB636" i="34"/>
  <c r="CF636" i="34" s="1"/>
  <c r="CC622" i="34"/>
  <c r="BX509" i="34"/>
  <c r="BA522" i="34"/>
  <c r="CC497" i="34"/>
  <c r="CB432" i="34"/>
  <c r="CF432" i="34" s="1"/>
  <c r="AN509" i="34"/>
  <c r="AV297" i="34"/>
  <c r="CC160" i="34"/>
  <c r="AI297" i="34"/>
  <c r="BA96" i="34"/>
  <c r="AZ660" i="34"/>
  <c r="AZ692" i="34" s="1"/>
  <c r="W553" i="34"/>
  <c r="AK517" i="34"/>
  <c r="AJ519" i="34"/>
  <c r="AJ30" i="34"/>
  <c r="AJ42" i="34" s="1"/>
  <c r="AK42" i="34" s="1"/>
  <c r="AZ30" i="34"/>
  <c r="AZ42" i="34" s="1"/>
  <c r="BA18" i="34"/>
  <c r="CQ819" i="34"/>
  <c r="AU862" i="34"/>
  <c r="AX434" i="34"/>
  <c r="K788" i="34"/>
  <c r="J795" i="34"/>
  <c r="AJ770" i="34"/>
  <c r="AK770" i="34" s="1"/>
  <c r="AK768" i="34"/>
  <c r="W717" i="34"/>
  <c r="X709" i="34"/>
  <c r="BI862" i="34"/>
  <c r="CP861" i="34"/>
  <c r="CF861" i="34"/>
  <c r="BA799" i="34"/>
  <c r="BZ819" i="34"/>
  <c r="BA738" i="34"/>
  <c r="BI734" i="34"/>
  <c r="CP717" i="34"/>
  <c r="X534" i="34"/>
  <c r="BM371" i="34"/>
  <c r="AX507" i="34"/>
  <c r="BP268" i="34"/>
  <c r="K942" i="34"/>
  <c r="J839" i="34"/>
  <c r="K839" i="34" s="1"/>
  <c r="K837" i="34"/>
  <c r="BP853" i="34"/>
  <c r="BP788" i="34"/>
  <c r="CP819" i="34"/>
  <c r="CM819" i="34" s="1"/>
  <c r="BP923" i="34"/>
  <c r="AK923" i="34"/>
  <c r="K843" i="34"/>
  <c r="U819" i="34"/>
  <c r="CP817" i="34"/>
  <c r="CS819" i="34"/>
  <c r="BA756" i="34"/>
  <c r="CN770" i="34"/>
  <c r="AK837" i="34"/>
  <c r="AJ839" i="34"/>
  <c r="AK839" i="34" s="1"/>
  <c r="U745" i="34"/>
  <c r="X738" i="34"/>
  <c r="X743" i="34"/>
  <c r="H758" i="34"/>
  <c r="AX692" i="34"/>
  <c r="BA715" i="34"/>
  <c r="U703" i="34"/>
  <c r="CB499" i="34"/>
  <c r="CC499" i="34" s="1"/>
  <c r="CF493" i="34"/>
  <c r="CC493" i="34"/>
  <c r="AK660" i="34"/>
  <c r="AH692" i="34"/>
  <c r="K493" i="34"/>
  <c r="V509" i="34"/>
  <c r="BP448" i="34"/>
  <c r="BA458" i="34"/>
  <c r="AJ553" i="34"/>
  <c r="AK541" i="34"/>
  <c r="CC461" i="34"/>
  <c r="CB390" i="34"/>
  <c r="CC390" i="34" s="1"/>
  <c r="CF378" i="34"/>
  <c r="AZ616" i="34"/>
  <c r="BA616" i="34" s="1"/>
  <c r="BA605" i="34"/>
  <c r="AX90" i="34"/>
  <c r="BA90" i="34" s="1"/>
  <c r="BA79" i="34"/>
  <c r="X79" i="34"/>
  <c r="U90" i="34"/>
  <c r="X90" i="34" s="1"/>
  <c r="X390" i="34"/>
  <c r="AK124" i="34"/>
  <c r="AJ131" i="34"/>
  <c r="BI42" i="34"/>
  <c r="CP42" i="34" s="1"/>
  <c r="CP30" i="34"/>
  <c r="CR42" i="34"/>
  <c r="BA51" i="34"/>
  <c r="J79" i="34"/>
  <c r="J90" i="34" s="1"/>
  <c r="W188" i="34"/>
  <c r="X188" i="34" s="1"/>
  <c r="X186" i="34"/>
  <c r="K146" i="34"/>
  <c r="BP68" i="34"/>
  <c r="AX42" i="34"/>
  <c r="U42" i="34"/>
  <c r="CF690" i="34"/>
  <c r="CC690" i="34"/>
  <c r="BZ599" i="34"/>
  <c r="CF369" i="34"/>
  <c r="CC369" i="34"/>
  <c r="CP330" i="34"/>
  <c r="BI371" i="34"/>
  <c r="CP371" i="34" s="1"/>
  <c r="CM371" i="34" s="1"/>
  <c r="BP293" i="34"/>
  <c r="BO295" i="34"/>
  <c r="M297" i="34"/>
  <c r="BH182" i="34"/>
  <c r="CP180" i="34"/>
  <c r="AJ257" i="34"/>
  <c r="AK257" i="34" s="1"/>
  <c r="AK255" i="34"/>
  <c r="J182" i="34"/>
  <c r="K182" i="34" s="1"/>
  <c r="K180" i="34"/>
  <c r="CF129" i="34"/>
  <c r="CC129" i="34"/>
  <c r="CF100" i="34"/>
  <c r="CC100" i="34"/>
  <c r="BZ526" i="34"/>
  <c r="AV509" i="34"/>
  <c r="CQ507" i="34"/>
  <c r="CF843" i="34"/>
  <c r="CB853" i="34"/>
  <c r="W770" i="34"/>
  <c r="X768" i="34"/>
  <c r="AS778" i="34"/>
  <c r="BP553" i="34"/>
  <c r="BM599" i="34"/>
  <c r="BM526" i="34"/>
  <c r="CN489" i="34"/>
  <c r="W622" i="34"/>
  <c r="X622" i="34" s="1"/>
  <c r="X620" i="34"/>
  <c r="CF437" i="34"/>
  <c r="CB443" i="34"/>
  <c r="CC443" i="34" s="1"/>
  <c r="BI257" i="34"/>
  <c r="CP255" i="34"/>
  <c r="CF79" i="34"/>
  <c r="CB90" i="34"/>
  <c r="CF90" i="34" s="1"/>
  <c r="AJ478" i="34"/>
  <c r="AK478" i="34" s="1"/>
  <c r="AK473" i="34"/>
  <c r="CB959" i="34"/>
  <c r="CF957" i="34"/>
  <c r="CF768" i="34"/>
  <c r="CB770" i="34"/>
  <c r="X737" i="34"/>
  <c r="K524" i="34"/>
  <c r="H526" i="34"/>
  <c r="K526" i="34" s="1"/>
  <c r="CF605" i="34"/>
  <c r="CC605" i="34"/>
  <c r="CB616" i="34"/>
  <c r="CF745" i="34"/>
  <c r="CB758" i="34"/>
  <c r="BO499" i="34"/>
  <c r="BP493" i="34"/>
  <c r="BA461" i="34"/>
  <c r="CB279" i="34"/>
  <c r="CF279" i="34" s="1"/>
  <c r="CF268" i="34"/>
  <c r="H286" i="34"/>
  <c r="BA328" i="34"/>
  <c r="CC843" i="34"/>
  <c r="BO832" i="34"/>
  <c r="BP832" i="34" s="1"/>
  <c r="BA817" i="34"/>
  <c r="AZ795" i="34"/>
  <c r="AX701" i="34"/>
  <c r="BA701" i="34" s="1"/>
  <c r="BA699" i="34"/>
  <c r="CB660" i="34"/>
  <c r="CF648" i="34"/>
  <c r="W660" i="34"/>
  <c r="X648" i="34"/>
  <c r="CF614" i="34"/>
  <c r="CC614" i="34"/>
  <c r="CF640" i="34"/>
  <c r="CB641" i="34"/>
  <c r="K551" i="34"/>
  <c r="AX526" i="34"/>
  <c r="BW509" i="34"/>
  <c r="K499" i="34"/>
  <c r="BA443" i="34"/>
  <c r="W450" i="34"/>
  <c r="X443" i="34"/>
  <c r="AZ390" i="34"/>
  <c r="BA390" i="34" s="1"/>
  <c r="BZ371" i="34"/>
  <c r="J489" i="34"/>
  <c r="K489" i="34" s="1"/>
  <c r="BM286" i="34"/>
  <c r="BZ257" i="34"/>
  <c r="BP272" i="34"/>
  <c r="BO277" i="34"/>
  <c r="BP277" i="34" s="1"/>
  <c r="BO328" i="34"/>
  <c r="CC268" i="34"/>
  <c r="CB255" i="34"/>
  <c r="CF249" i="34"/>
  <c r="CC249" i="34"/>
  <c r="BM182" i="34"/>
  <c r="BP182" i="34" s="1"/>
  <c r="BP180" i="34"/>
  <c r="BA369" i="34"/>
  <c r="CB68" i="34"/>
  <c r="CF66" i="34"/>
  <c r="AJ238" i="34"/>
  <c r="AK238" i="34" s="1"/>
  <c r="AK219" i="34"/>
  <c r="W129" i="34"/>
  <c r="W131" i="34" s="1"/>
  <c r="W148" i="34" s="1"/>
  <c r="AJ9" i="34"/>
  <c r="AK9" i="34" s="1"/>
  <c r="AK7" i="34"/>
  <c r="CE297" i="34"/>
  <c r="W102" i="34"/>
  <c r="CF146" i="34"/>
  <c r="CC146" i="34"/>
  <c r="BM257" i="34"/>
  <c r="AK293" i="34"/>
  <c r="AJ295" i="34"/>
  <c r="CC236" i="34"/>
  <c r="U257" i="34"/>
  <c r="BZ238" i="34"/>
  <c r="CF328" i="34"/>
  <c r="CC328" i="34"/>
  <c r="J330" i="34"/>
  <c r="J371" i="34" s="1"/>
  <c r="BO88" i="34"/>
  <c r="BO90" i="34" s="1"/>
  <c r="CF96" i="34"/>
  <c r="CB102" i="34"/>
  <c r="CC96" i="34"/>
  <c r="J9" i="34"/>
  <c r="K9" i="34" s="1"/>
  <c r="K7" i="34"/>
  <c r="J204" i="34"/>
  <c r="K204" i="34" s="1"/>
  <c r="AJ180" i="34"/>
  <c r="AJ182" i="34" s="1"/>
  <c r="AK182" i="34" s="1"/>
  <c r="H862" i="34"/>
  <c r="CB795" i="34"/>
  <c r="CC795" i="34" s="1"/>
  <c r="CF788" i="34"/>
  <c r="AX734" i="34"/>
  <c r="BA717" i="34"/>
  <c r="CF293" i="34"/>
  <c r="CC293" i="34"/>
  <c r="CB295" i="34"/>
  <c r="X627" i="34"/>
  <c r="W629" i="34"/>
  <c r="X629" i="34" s="1"/>
  <c r="J925" i="34"/>
  <c r="K925" i="34" s="1"/>
  <c r="K923" i="34"/>
  <c r="AZ953" i="34"/>
  <c r="BA953" i="34" s="1"/>
  <c r="BA951" i="34"/>
  <c r="BP837" i="34"/>
  <c r="BO839" i="34"/>
  <c r="BP839" i="34" s="1"/>
  <c r="CC839" i="34"/>
  <c r="CC768" i="34"/>
  <c r="K776" i="34"/>
  <c r="AK774" i="34"/>
  <c r="AJ776" i="34"/>
  <c r="Z788" i="34"/>
  <c r="Z795" i="34" s="1"/>
  <c r="Z819" i="34" s="1"/>
  <c r="Z862" i="34" s="1"/>
  <c r="CC743" i="34"/>
  <c r="CF743" i="34"/>
  <c r="CC715" i="34"/>
  <c r="BM734" i="34"/>
  <c r="CF756" i="34"/>
  <c r="CC756" i="34"/>
  <c r="BZ734" i="34"/>
  <c r="BM692" i="34"/>
  <c r="BP660" i="34"/>
  <c r="CP660" i="34"/>
  <c r="K660" i="34"/>
  <c r="H692" i="34"/>
  <c r="W616" i="34"/>
  <c r="X616" i="34" s="1"/>
  <c r="X605" i="34"/>
  <c r="H599" i="34"/>
  <c r="CB599" i="34"/>
  <c r="CF599" i="34" s="1"/>
  <c r="CF553" i="34"/>
  <c r="U526" i="34"/>
  <c r="X526" i="34" s="1"/>
  <c r="X524" i="34"/>
  <c r="BZ507" i="34"/>
  <c r="AX371" i="34"/>
  <c r="CB478" i="34"/>
  <c r="BZ450" i="34"/>
  <c r="AX257" i="34"/>
  <c r="AJ392" i="34"/>
  <c r="CR257" i="34"/>
  <c r="H90" i="34"/>
  <c r="H297" i="34" s="1"/>
  <c r="CB53" i="34"/>
  <c r="CF53" i="34" s="1"/>
  <c r="CF51" i="34"/>
  <c r="AK186" i="34"/>
  <c r="AJ188" i="34"/>
  <c r="AK188" i="34" s="1"/>
  <c r="AJ68" i="34"/>
  <c r="AK68" i="34" s="1"/>
  <c r="AK66" i="34"/>
  <c r="W238" i="34"/>
  <c r="X238" i="34" s="1"/>
  <c r="CQ119" i="34"/>
  <c r="CF188" i="34"/>
  <c r="CC188" i="34"/>
  <c r="CB204" i="34"/>
  <c r="X51" i="34"/>
  <c r="AJ53" i="34"/>
  <c r="AK53" i="34" s="1"/>
  <c r="AK51" i="34"/>
  <c r="BA13" i="34"/>
  <c r="CF519" i="34"/>
  <c r="CB524" i="34"/>
  <c r="CC524" i="34" s="1"/>
  <c r="CF593" i="34"/>
  <c r="CC593" i="34"/>
  <c r="BO519" i="34"/>
  <c r="BP517" i="34"/>
  <c r="BO489" i="34"/>
  <c r="BP489" i="34" s="1"/>
  <c r="K620" i="34"/>
  <c r="J622" i="34"/>
  <c r="K622" i="34" s="1"/>
  <c r="CF487" i="34"/>
  <c r="CC487" i="34"/>
  <c r="U434" i="34"/>
  <c r="BP605" i="34"/>
  <c r="BO616" i="34"/>
  <c r="BP616" i="34" s="1"/>
  <c r="CC437" i="34"/>
  <c r="X295" i="34"/>
  <c r="BM392" i="34"/>
  <c r="BZ392" i="34"/>
  <c r="CB330" i="34"/>
  <c r="CF305" i="34"/>
  <c r="AH371" i="34"/>
  <c r="BD371" i="34"/>
  <c r="BD509" i="34" s="1"/>
  <c r="BO255" i="34"/>
  <c r="BO257" i="34" s="1"/>
  <c r="BP249" i="34"/>
  <c r="BZ90" i="34"/>
  <c r="CC79" i="34"/>
  <c r="AZ255" i="34"/>
  <c r="AZ257" i="34" s="1"/>
  <c r="BA249" i="34"/>
  <c r="AX286" i="34"/>
  <c r="X66" i="34"/>
  <c r="U131" i="34"/>
  <c r="X53" i="34"/>
  <c r="AZ148" i="34"/>
  <c r="BA148" i="34" s="1"/>
  <c r="CC9" i="34"/>
  <c r="CB971" i="34"/>
  <c r="CF969" i="34"/>
  <c r="X499" i="34"/>
  <c r="U507" i="34"/>
  <c r="AZ942" i="34"/>
  <c r="BA942" i="34" s="1"/>
  <c r="BA940" i="34"/>
  <c r="W853" i="34"/>
  <c r="X843" i="34"/>
  <c r="CB832" i="34"/>
  <c r="CF832" i="34" s="1"/>
  <c r="J450" i="34"/>
  <c r="K443" i="34"/>
  <c r="AJ507" i="34"/>
  <c r="AK499" i="34"/>
  <c r="X788" i="34"/>
  <c r="W795" i="34"/>
  <c r="W819" i="34" s="1"/>
  <c r="CB776" i="34"/>
  <c r="CF774" i="34"/>
  <c r="CC745" i="34"/>
  <c r="BI703" i="34"/>
  <c r="CP692" i="34"/>
  <c r="CM692" i="34" s="1"/>
  <c r="CB925" i="34"/>
  <c r="CF923" i="34"/>
  <c r="H973" i="34"/>
  <c r="CB942" i="34"/>
  <c r="CF940" i="34"/>
  <c r="CC940" i="34"/>
  <c r="U973" i="34"/>
  <c r="BO942" i="34"/>
  <c r="BP940" i="34"/>
  <c r="CP901" i="34"/>
  <c r="BI902" i="34"/>
  <c r="CP902" i="34" s="1"/>
  <c r="BP843" i="34"/>
  <c r="BA768" i="34"/>
  <c r="CB901" i="34"/>
  <c r="CF899" i="34"/>
  <c r="CC788" i="34"/>
  <c r="BA754" i="34"/>
  <c r="CC830" i="34"/>
  <c r="BO732" i="34"/>
  <c r="X740" i="34"/>
  <c r="CB717" i="34"/>
  <c r="CC717" i="34" s="1"/>
  <c r="BH758" i="34"/>
  <c r="CP745" i="34"/>
  <c r="CB629" i="34"/>
  <c r="CF627" i="34"/>
  <c r="CC536" i="34"/>
  <c r="CP507" i="34"/>
  <c r="CM507" i="34" s="1"/>
  <c r="CN507" i="34" s="1"/>
  <c r="BM507" i="34"/>
  <c r="AZ489" i="34"/>
  <c r="BA489" i="34" s="1"/>
  <c r="BA482" i="34"/>
  <c r="CC420" i="34"/>
  <c r="CC476" i="34"/>
  <c r="AX463" i="34"/>
  <c r="AJ450" i="34"/>
  <c r="AK443" i="34"/>
  <c r="BO599" i="34"/>
  <c r="H371" i="34"/>
  <c r="BA293" i="34"/>
  <c r="AZ295" i="34"/>
  <c r="J255" i="34"/>
  <c r="K249" i="34"/>
  <c r="J392" i="34"/>
  <c r="AK369" i="34"/>
  <c r="AK268" i="34"/>
  <c r="AJ279" i="34"/>
  <c r="AJ330" i="34"/>
  <c r="AK330" i="34" s="1"/>
  <c r="AK328" i="34"/>
  <c r="BZ182" i="34"/>
  <c r="BM90" i="34"/>
  <c r="BP79" i="34"/>
  <c r="CC202" i="34"/>
  <c r="BA268" i="34"/>
  <c r="J279" i="34"/>
  <c r="W30" i="34"/>
  <c r="W42" i="34" s="1"/>
  <c r="AF57" i="10"/>
  <c r="CN832" i="34" l="1"/>
  <c r="X434" i="34"/>
  <c r="AK717" i="34"/>
  <c r="CF180" i="34"/>
  <c r="K717" i="34"/>
  <c r="CB182" i="34"/>
  <c r="CF182" i="34" s="1"/>
  <c r="BA745" i="34"/>
  <c r="CP862" i="34"/>
  <c r="BP30" i="34"/>
  <c r="BO734" i="34"/>
  <c r="BP734" i="34" s="1"/>
  <c r="K102" i="34"/>
  <c r="CN119" i="34"/>
  <c r="AU509" i="34"/>
  <c r="CS977" i="34"/>
  <c r="J758" i="34"/>
  <c r="J778" i="34" s="1"/>
  <c r="BA279" i="34"/>
  <c r="W371" i="34"/>
  <c r="X371" i="34" s="1"/>
  <c r="BO238" i="34"/>
  <c r="BP238" i="34" s="1"/>
  <c r="AK102" i="34"/>
  <c r="AY975" i="34"/>
  <c r="N975" i="34"/>
  <c r="CF219" i="34"/>
  <c r="CB238" i="34"/>
  <c r="CF238" i="34" s="1"/>
  <c r="X392" i="34"/>
  <c r="AE17" i="10"/>
  <c r="J148" i="34"/>
  <c r="K148" i="34" s="1"/>
  <c r="X257" i="34"/>
  <c r="AI975" i="34"/>
  <c r="AZ392" i="34"/>
  <c r="AZ434" i="34" s="1"/>
  <c r="BA434" i="34" s="1"/>
  <c r="X255" i="34"/>
  <c r="AJ973" i="34"/>
  <c r="AK973" i="34" s="1"/>
  <c r="AJ758" i="34"/>
  <c r="AK758" i="34" s="1"/>
  <c r="CN204" i="34"/>
  <c r="AE977" i="34"/>
  <c r="BA450" i="34"/>
  <c r="AF977" i="34"/>
  <c r="AR975" i="34"/>
  <c r="AV977" i="34"/>
  <c r="CN819" i="34"/>
  <c r="AE15" i="10" s="1"/>
  <c r="AM975" i="34"/>
  <c r="CQ977" i="34"/>
  <c r="BA180" i="34"/>
  <c r="AX778" i="34"/>
  <c r="AU977" i="34"/>
  <c r="BP450" i="34"/>
  <c r="AK795" i="34"/>
  <c r="BR975" i="34"/>
  <c r="CP703" i="34"/>
  <c r="S975" i="34"/>
  <c r="S980" i="34" s="1"/>
  <c r="S984" i="34" s="1"/>
  <c r="S987" i="34" s="1"/>
  <c r="I975" i="34"/>
  <c r="K553" i="34"/>
  <c r="BS975" i="34"/>
  <c r="BS984" i="34" s="1"/>
  <c r="BS988" i="34" s="1"/>
  <c r="BN975" i="34"/>
  <c r="CC432" i="34"/>
  <c r="AF975" i="34"/>
  <c r="AF980" i="34" s="1"/>
  <c r="AF984" i="34" s="1"/>
  <c r="AF987" i="34" s="1"/>
  <c r="CN692" i="34"/>
  <c r="AE13" i="10" s="1"/>
  <c r="K599" i="34"/>
  <c r="BA219" i="34"/>
  <c r="BA286" i="34"/>
  <c r="BC975" i="34"/>
  <c r="K371" i="34"/>
  <c r="CB42" i="34"/>
  <c r="CC42" i="34" s="1"/>
  <c r="BW975" i="34"/>
  <c r="BW984" i="34" s="1"/>
  <c r="BW988" i="34" s="1"/>
  <c r="AS975" i="34"/>
  <c r="AS980" i="34" s="1"/>
  <c r="AS984" i="34" s="1"/>
  <c r="AS987" i="34" s="1"/>
  <c r="CC131" i="34"/>
  <c r="BO148" i="34"/>
  <c r="BP148" i="34" s="1"/>
  <c r="CF30" i="34"/>
  <c r="CB148" i="34"/>
  <c r="CF148" i="34" s="1"/>
  <c r="Z975" i="34"/>
  <c r="AE975" i="34"/>
  <c r="AE984" i="34" s="1"/>
  <c r="AE988" i="34" s="1"/>
  <c r="BI509" i="34"/>
  <c r="CP509" i="34" s="1"/>
  <c r="BX975" i="34"/>
  <c r="CG975" i="34"/>
  <c r="CG980" i="34" s="1"/>
  <c r="CG982" i="34" s="1"/>
  <c r="CR977" i="34"/>
  <c r="BA660" i="34"/>
  <c r="AA975" i="34"/>
  <c r="AR977" i="34"/>
  <c r="BA499" i="34"/>
  <c r="CC489" i="34"/>
  <c r="CA975" i="34"/>
  <c r="AV975" i="34"/>
  <c r="AV980" i="34" s="1"/>
  <c r="AV984" i="34" s="1"/>
  <c r="AV987" i="34" s="1"/>
  <c r="AK79" i="34"/>
  <c r="BA42" i="34"/>
  <c r="AU975" i="34"/>
  <c r="AU984" i="34" s="1"/>
  <c r="AU988" i="34" s="1"/>
  <c r="CN371" i="34"/>
  <c r="AE11" i="10" s="1"/>
  <c r="BZ297" i="34"/>
  <c r="BA524" i="34"/>
  <c r="M975" i="34"/>
  <c r="BP88" i="34"/>
  <c r="AZ371" i="34"/>
  <c r="BA371" i="34" s="1"/>
  <c r="CC636" i="34"/>
  <c r="BA734" i="34"/>
  <c r="CE975" i="34"/>
  <c r="BO758" i="34"/>
  <c r="BP758" i="34" s="1"/>
  <c r="W286" i="34"/>
  <c r="X286" i="34" s="1"/>
  <c r="X279" i="34"/>
  <c r="AK180" i="34"/>
  <c r="R975" i="34"/>
  <c r="R984" i="34" s="1"/>
  <c r="R988" i="34" s="1"/>
  <c r="BD975" i="34"/>
  <c r="BD984" i="34" s="1"/>
  <c r="BD988" i="34" s="1"/>
  <c r="BO819" i="34"/>
  <c r="BO862" i="34" s="1"/>
  <c r="BP862" i="34" s="1"/>
  <c r="AZ778" i="34"/>
  <c r="BA778" i="34" s="1"/>
  <c r="V975" i="34"/>
  <c r="AZ119" i="34"/>
  <c r="BA119" i="34" s="1"/>
  <c r="BO119" i="34"/>
  <c r="BP119" i="34" s="1"/>
  <c r="AK519" i="34"/>
  <c r="AJ524" i="34"/>
  <c r="AJ862" i="34"/>
  <c r="AK862" i="34" s="1"/>
  <c r="K79" i="34"/>
  <c r="BA30" i="34"/>
  <c r="CN148" i="34"/>
  <c r="AZ599" i="34"/>
  <c r="BA599" i="34" s="1"/>
  <c r="BA392" i="34"/>
  <c r="W599" i="34"/>
  <c r="X599" i="34" s="1"/>
  <c r="X553" i="34"/>
  <c r="BO703" i="34"/>
  <c r="CC182" i="34"/>
  <c r="X819" i="34"/>
  <c r="AS977" i="34"/>
  <c r="BA257" i="34"/>
  <c r="BP255" i="34"/>
  <c r="AN975" i="34"/>
  <c r="BA463" i="34"/>
  <c r="X129" i="34"/>
  <c r="AK30" i="34"/>
  <c r="CF776" i="34"/>
  <c r="CC776" i="34"/>
  <c r="CF204" i="34"/>
  <c r="CC204" i="34"/>
  <c r="CB257" i="34"/>
  <c r="CF257" i="34" s="1"/>
  <c r="CF255" i="34"/>
  <c r="BP732" i="34"/>
  <c r="CF717" i="34"/>
  <c r="CB734" i="34"/>
  <c r="CF734" i="34" s="1"/>
  <c r="U862" i="34"/>
  <c r="BP942" i="34"/>
  <c r="BO973" i="34"/>
  <c r="AJ371" i="34"/>
  <c r="AK371" i="34" s="1"/>
  <c r="AH509" i="34"/>
  <c r="CB526" i="34"/>
  <c r="CC526" i="34" s="1"/>
  <c r="CF524" i="34"/>
  <c r="BA255" i="34"/>
  <c r="H703" i="34"/>
  <c r="K692" i="34"/>
  <c r="AK776" i="34"/>
  <c r="W119" i="34"/>
  <c r="X102" i="34"/>
  <c r="BA758" i="34"/>
  <c r="CC279" i="34"/>
  <c r="X770" i="34"/>
  <c r="BZ981" i="34"/>
  <c r="AX703" i="34"/>
  <c r="BA692" i="34"/>
  <c r="AK450" i="34"/>
  <c r="AJ463" i="34"/>
  <c r="AK463" i="34" s="1"/>
  <c r="CB973" i="34"/>
  <c r="CF971" i="34"/>
  <c r="CF959" i="34"/>
  <c r="CC959" i="34"/>
  <c r="CF390" i="34"/>
  <c r="CB392" i="34"/>
  <c r="CC392" i="34" s="1"/>
  <c r="H778" i="34"/>
  <c r="J819" i="34"/>
  <c r="K795" i="34"/>
  <c r="CP758" i="34"/>
  <c r="CM758" i="34" s="1"/>
  <c r="CN758" i="34" s="1"/>
  <c r="BH778" i="34"/>
  <c r="AJ434" i="34"/>
  <c r="AK434" i="34" s="1"/>
  <c r="AK392" i="34"/>
  <c r="CC832" i="34"/>
  <c r="CF295" i="34"/>
  <c r="CC295" i="34"/>
  <c r="BA295" i="34"/>
  <c r="AK507" i="34"/>
  <c r="CC90" i="34"/>
  <c r="CF330" i="34"/>
  <c r="CB371" i="34"/>
  <c r="CF371" i="34" s="1"/>
  <c r="BM778" i="34"/>
  <c r="CB119" i="34"/>
  <c r="CF102" i="34"/>
  <c r="CC102" i="34"/>
  <c r="BP257" i="34"/>
  <c r="CC330" i="34"/>
  <c r="W692" i="34"/>
  <c r="X660" i="34"/>
  <c r="AZ819" i="34"/>
  <c r="BA795" i="34"/>
  <c r="CB450" i="34"/>
  <c r="CC450" i="34" s="1"/>
  <c r="CF443" i="34"/>
  <c r="BM981" i="34"/>
  <c r="CF853" i="34"/>
  <c r="CC853" i="34"/>
  <c r="X30" i="34"/>
  <c r="CB507" i="34"/>
  <c r="CC507" i="34" s="1"/>
  <c r="CF499" i="34"/>
  <c r="AZ973" i="34"/>
  <c r="BZ862" i="34"/>
  <c r="CF925" i="34"/>
  <c r="CC925" i="34"/>
  <c r="BO330" i="34"/>
  <c r="BP328" i="34"/>
  <c r="X973" i="34"/>
  <c r="AX981" i="34"/>
  <c r="BA526" i="34"/>
  <c r="BO507" i="34"/>
  <c r="BP499" i="34"/>
  <c r="CP257" i="34"/>
  <c r="BI297" i="34"/>
  <c r="BP599" i="34"/>
  <c r="X42" i="34"/>
  <c r="AK131" i="34"/>
  <c r="AJ148" i="34"/>
  <c r="AK148" i="34" s="1"/>
  <c r="J434" i="34"/>
  <c r="K434" i="34" s="1"/>
  <c r="K392" i="34"/>
  <c r="W862" i="34"/>
  <c r="X853" i="34"/>
  <c r="J257" i="34"/>
  <c r="K257" i="34" s="1"/>
  <c r="K255" i="34"/>
  <c r="CB819" i="34"/>
  <c r="CF819" i="34" s="1"/>
  <c r="CF795" i="34"/>
  <c r="CF68" i="34"/>
  <c r="CC68" i="34"/>
  <c r="CF901" i="34"/>
  <c r="CB902" i="34"/>
  <c r="CC901" i="34"/>
  <c r="AX297" i="34"/>
  <c r="BP90" i="34"/>
  <c r="AJ286" i="34"/>
  <c r="AK286" i="34" s="1"/>
  <c r="AK279" i="34"/>
  <c r="K330" i="34"/>
  <c r="J703" i="34"/>
  <c r="J463" i="34"/>
  <c r="K463" i="34" s="1"/>
  <c r="K450" i="34"/>
  <c r="BZ434" i="34"/>
  <c r="K90" i="34"/>
  <c r="BZ463" i="34"/>
  <c r="BM703" i="34"/>
  <c r="BP692" i="34"/>
  <c r="CC53" i="34"/>
  <c r="CC255" i="34"/>
  <c r="CF660" i="34"/>
  <c r="CB692" i="34"/>
  <c r="CC660" i="34"/>
  <c r="CF758" i="34"/>
  <c r="CC758" i="34"/>
  <c r="H509" i="34"/>
  <c r="CP182" i="34"/>
  <c r="CM182" i="34" s="1"/>
  <c r="CN182" i="34" s="1"/>
  <c r="BH297" i="34"/>
  <c r="BH977" i="34" s="1"/>
  <c r="AK553" i="34"/>
  <c r="AJ599" i="34"/>
  <c r="AK599" i="34" s="1"/>
  <c r="X795" i="34"/>
  <c r="BO279" i="34"/>
  <c r="AR984" i="34"/>
  <c r="AR988" i="34" s="1"/>
  <c r="AR980" i="34"/>
  <c r="AR982" i="34" s="1"/>
  <c r="J286" i="34"/>
  <c r="K286" i="34" s="1"/>
  <c r="CF629" i="34"/>
  <c r="CC629" i="34"/>
  <c r="BP519" i="34"/>
  <c r="BO524" i="34"/>
  <c r="CF478" i="34"/>
  <c r="CC478" i="34"/>
  <c r="K279" i="34"/>
  <c r="CC599" i="34"/>
  <c r="BZ703" i="34"/>
  <c r="U758" i="34"/>
  <c r="X745" i="34"/>
  <c r="CP734" i="34"/>
  <c r="CM734" i="34" s="1"/>
  <c r="CN734" i="34" s="1"/>
  <c r="BI778" i="34"/>
  <c r="X507" i="34"/>
  <c r="U509" i="34"/>
  <c r="CB643" i="34"/>
  <c r="CF643" i="34" s="1"/>
  <c r="CF641" i="34"/>
  <c r="CF942" i="34"/>
  <c r="CC942" i="34"/>
  <c r="U148" i="34"/>
  <c r="X131" i="34"/>
  <c r="BM434" i="34"/>
  <c r="BP434" i="34" s="1"/>
  <c r="BP392" i="34"/>
  <c r="BZ778" i="34"/>
  <c r="AK295" i="34"/>
  <c r="BM297" i="34"/>
  <c r="W463" i="34"/>
  <c r="X450" i="34"/>
  <c r="CF616" i="34"/>
  <c r="CC616" i="34"/>
  <c r="CF770" i="34"/>
  <c r="CC770" i="34"/>
  <c r="BP295" i="34"/>
  <c r="AH703" i="34"/>
  <c r="AK692" i="34"/>
  <c r="AX509" i="34"/>
  <c r="BA507" i="34"/>
  <c r="W734" i="34"/>
  <c r="X734" i="34" s="1"/>
  <c r="X717" i="34"/>
  <c r="J973" i="34"/>
  <c r="K778" i="34" l="1"/>
  <c r="BW980" i="34"/>
  <c r="BW982" i="34" s="1"/>
  <c r="K758" i="34"/>
  <c r="AJ778" i="34"/>
  <c r="AK778" i="34" s="1"/>
  <c r="CC734" i="34"/>
  <c r="BO778" i="34"/>
  <c r="CM977" i="34"/>
  <c r="CC238" i="34"/>
  <c r="AE980" i="34"/>
  <c r="AE982" i="34" s="1"/>
  <c r="CF42" i="34"/>
  <c r="CB297" i="34"/>
  <c r="CF297" i="34" s="1"/>
  <c r="AE10" i="10"/>
  <c r="BS980" i="34"/>
  <c r="BS982" i="34" s="1"/>
  <c r="BP819" i="34"/>
  <c r="AU980" i="34"/>
  <c r="AU982" i="34" s="1"/>
  <c r="BP703" i="34"/>
  <c r="AJ297" i="34"/>
  <c r="AK297" i="34" s="1"/>
  <c r="CG984" i="34"/>
  <c r="CG988" i="34" s="1"/>
  <c r="AZ297" i="34"/>
  <c r="BA297" i="34" s="1"/>
  <c r="CC148" i="34"/>
  <c r="R980" i="34"/>
  <c r="R982" i="34" s="1"/>
  <c r="CB862" i="34"/>
  <c r="CF862" i="34" s="1"/>
  <c r="AE14" i="10"/>
  <c r="BD976" i="34"/>
  <c r="AZ509" i="34"/>
  <c r="BA509" i="34" s="1"/>
  <c r="BO297" i="34"/>
  <c r="BP297" i="34" s="1"/>
  <c r="BD980" i="34"/>
  <c r="BD982" i="34" s="1"/>
  <c r="CC819" i="34"/>
  <c r="CP778" i="34"/>
  <c r="CP977" i="34" s="1"/>
  <c r="CP297" i="34"/>
  <c r="CC257" i="34"/>
  <c r="AJ526" i="34"/>
  <c r="AK526" i="34" s="1"/>
  <c r="AK524" i="34"/>
  <c r="AX975" i="34"/>
  <c r="AX980" i="34" s="1"/>
  <c r="AX982" i="34" s="1"/>
  <c r="AZ703" i="34"/>
  <c r="BA703" i="34" s="1"/>
  <c r="CB778" i="34"/>
  <c r="CF778" i="34" s="1"/>
  <c r="BI977" i="34"/>
  <c r="X862" i="34"/>
  <c r="X148" i="34"/>
  <c r="U297" i="34"/>
  <c r="J297" i="34"/>
  <c r="K297" i="34" s="1"/>
  <c r="CF692" i="34"/>
  <c r="CB703" i="34"/>
  <c r="CF703" i="34" s="1"/>
  <c r="CC692" i="34"/>
  <c r="AJ703" i="34"/>
  <c r="AK703" i="34" s="1"/>
  <c r="K973" i="34"/>
  <c r="BO371" i="34"/>
  <c r="BP371" i="34" s="1"/>
  <c r="BP330" i="34"/>
  <c r="CB463" i="34"/>
  <c r="CF463" i="34" s="1"/>
  <c r="CF450" i="34"/>
  <c r="X119" i="34"/>
  <c r="W297" i="34"/>
  <c r="BP507" i="34"/>
  <c r="BA973" i="34"/>
  <c r="X758" i="34"/>
  <c r="U778" i="34"/>
  <c r="H975" i="34"/>
  <c r="CC371" i="34"/>
  <c r="CF507" i="34"/>
  <c r="CF119" i="34"/>
  <c r="CC119" i="34"/>
  <c r="CF973" i="34"/>
  <c r="CC973" i="34"/>
  <c r="BM509" i="34"/>
  <c r="J509" i="34"/>
  <c r="K509" i="34" s="1"/>
  <c r="W509" i="34"/>
  <c r="X509" i="34" s="1"/>
  <c r="X463" i="34"/>
  <c r="K819" i="34"/>
  <c r="J862" i="34"/>
  <c r="K862" i="34" s="1"/>
  <c r="CB981" i="34"/>
  <c r="CF526" i="34"/>
  <c r="AH975" i="34"/>
  <c r="BZ509" i="34"/>
  <c r="BO526" i="34"/>
  <c r="BP524" i="34"/>
  <c r="BO286" i="34"/>
  <c r="BP286" i="34" s="1"/>
  <c r="BP279" i="34"/>
  <c r="AZ862" i="34"/>
  <c r="BA862" i="34" s="1"/>
  <c r="BA819" i="34"/>
  <c r="BP778" i="34"/>
  <c r="AJ509" i="34"/>
  <c r="AK509" i="34" s="1"/>
  <c r="CB434" i="34"/>
  <c r="CF434" i="34" s="1"/>
  <c r="CF392" i="34"/>
  <c r="W778" i="34"/>
  <c r="BP973" i="34"/>
  <c r="CF902" i="34"/>
  <c r="CC902" i="34"/>
  <c r="BI975" i="34"/>
  <c r="W703" i="34"/>
  <c r="X703" i="34" s="1"/>
  <c r="X692" i="34"/>
  <c r="BH975" i="34"/>
  <c r="K703" i="34"/>
  <c r="CC297" i="34"/>
  <c r="CC862" i="34" l="1"/>
  <c r="X778" i="34"/>
  <c r="BO509" i="34"/>
  <c r="BP509" i="34" s="1"/>
  <c r="CC778" i="34"/>
  <c r="CC463" i="34"/>
  <c r="W975" i="34"/>
  <c r="K975" i="34"/>
  <c r="J975" i="34"/>
  <c r="CB509" i="34"/>
  <c r="CF509" i="34" s="1"/>
  <c r="X297" i="34"/>
  <c r="CP975" i="34"/>
  <c r="BI980" i="34"/>
  <c r="BI984" i="34" s="1"/>
  <c r="BI987" i="34" s="1"/>
  <c r="BI997" i="34" s="1"/>
  <c r="BI1000" i="34" s="1"/>
  <c r="CC434" i="34"/>
  <c r="BM975" i="34"/>
  <c r="CC703" i="34"/>
  <c r="BO981" i="34"/>
  <c r="BP526" i="34"/>
  <c r="U975" i="34"/>
  <c r="AJ975" i="34"/>
  <c r="AK975" i="34" s="1"/>
  <c r="BZ975" i="34"/>
  <c r="BH984" i="34"/>
  <c r="BH988" i="34" s="1"/>
  <c r="BH980" i="34"/>
  <c r="BH982" i="34" s="1"/>
  <c r="AZ975" i="34"/>
  <c r="BO975" i="34" l="1"/>
  <c r="BO980" i="34" s="1"/>
  <c r="BO982" i="34" s="1"/>
  <c r="BO984" i="34" s="1"/>
  <c r="X975" i="34"/>
  <c r="BZ980" i="34"/>
  <c r="BZ982" i="34" s="1"/>
  <c r="CC509" i="34"/>
  <c r="BM980" i="34"/>
  <c r="BM982" i="34" s="1"/>
  <c r="AZ980" i="34"/>
  <c r="AZ982" i="34" s="1"/>
  <c r="AZ984" i="34" s="1"/>
  <c r="BA975" i="34"/>
  <c r="CB975" i="34"/>
  <c r="CC975" i="34" s="1"/>
  <c r="BP975" i="34" l="1"/>
  <c r="CF975" i="34"/>
  <c r="CB980" i="34"/>
  <c r="CB982" i="34" s="1"/>
  <c r="CB984" i="34" s="1"/>
  <c r="AE57" i="10" l="1"/>
  <c r="AR183" i="1" l="1"/>
  <c r="AQ3" i="1"/>
  <c r="AZ208" i="1" l="1"/>
  <c r="G208" i="29" s="1"/>
  <c r="J208" i="29" s="1"/>
  <c r="AZ220" i="1"/>
  <c r="G220" i="29" s="1"/>
  <c r="J220" i="29" s="1"/>
  <c r="AZ239" i="1"/>
  <c r="G239" i="29" s="1"/>
  <c r="AZ194" i="1"/>
  <c r="G194" i="29" s="1"/>
  <c r="J194" i="29" s="1"/>
  <c r="AZ110" i="1"/>
  <c r="G82" i="29"/>
  <c r="J82" i="29" s="1"/>
  <c r="AR56" i="1"/>
  <c r="G110" i="29" l="1"/>
  <c r="J110" i="29" s="1"/>
  <c r="J444" i="29" s="1"/>
  <c r="J446" i="29" s="1"/>
  <c r="AR194" i="1"/>
  <c r="AR195" i="1" s="1"/>
  <c r="AR220" i="1"/>
  <c r="AR141" i="1"/>
  <c r="AR208" i="1"/>
  <c r="AR39" i="1"/>
  <c r="AQ39" i="1"/>
  <c r="C38" i="11"/>
  <c r="C39" i="11"/>
  <c r="C45" i="11"/>
  <c r="C42" i="11"/>
  <c r="C44" i="11"/>
  <c r="C40" i="11"/>
  <c r="C52" i="11"/>
  <c r="C47" i="11"/>
  <c r="C31" i="11"/>
  <c r="C32" i="11"/>
  <c r="C35" i="11"/>
  <c r="C34" i="11"/>
  <c r="F24" i="11"/>
  <c r="L28" i="33" l="1"/>
  <c r="AR38" i="1"/>
  <c r="AR433" i="1" l="1"/>
  <c r="AR396" i="1"/>
  <c r="AR394" i="1"/>
  <c r="AR390" i="1"/>
  <c r="AR335" i="1"/>
  <c r="AR330" i="1"/>
  <c r="AR310" i="1"/>
  <c r="AR309" i="1"/>
  <c r="AR300" i="1"/>
  <c r="AR299" i="1"/>
  <c r="AR287" i="1"/>
  <c r="AR283" i="1"/>
  <c r="AR272" i="1"/>
  <c r="AR271" i="1"/>
  <c r="AR270" i="1"/>
  <c r="AR251" i="1"/>
  <c r="AR250" i="1"/>
  <c r="AR239" i="1"/>
  <c r="AR234" i="1"/>
  <c r="AR233" i="1"/>
  <c r="AR228" i="1"/>
  <c r="AR227" i="1"/>
  <c r="AR225" i="1"/>
  <c r="AR224" i="1"/>
  <c r="AR214" i="1"/>
  <c r="AR212" i="1"/>
  <c r="AR203" i="1"/>
  <c r="AR193" i="1"/>
  <c r="AR163" i="1"/>
  <c r="AR162" i="1"/>
  <c r="AR158" i="1"/>
  <c r="AR157" i="1"/>
  <c r="AR152" i="1"/>
  <c r="AR148" i="1"/>
  <c r="AR147" i="1"/>
  <c r="AR146" i="1"/>
  <c r="AR140" i="1"/>
  <c r="AR131" i="1"/>
  <c r="AR130" i="1"/>
  <c r="AR123" i="1"/>
  <c r="AR111" i="1"/>
  <c r="AR105" i="1"/>
  <c r="AR103" i="1"/>
  <c r="AR94" i="1"/>
  <c r="AR93" i="1"/>
  <c r="AR83" i="1"/>
  <c r="AR81" i="1"/>
  <c r="AR72" i="1"/>
  <c r="AR62" i="1"/>
  <c r="AR61" i="1"/>
  <c r="AR60" i="1"/>
  <c r="AR55" i="1"/>
  <c r="AR54" i="1"/>
  <c r="AR50" i="1"/>
  <c r="AR49" i="1"/>
  <c r="AR48" i="1"/>
  <c r="AR32" i="1"/>
  <c r="AR18" i="1"/>
  <c r="AR17" i="1"/>
  <c r="AR382" i="1"/>
  <c r="AR34" i="1"/>
  <c r="AR33" i="1"/>
  <c r="AR24" i="1"/>
  <c r="AR19" i="1"/>
  <c r="AR14" i="1"/>
  <c r="M15" i="33" l="1"/>
  <c r="M16" i="33"/>
  <c r="M14" i="33"/>
  <c r="E60" i="11" l="1"/>
  <c r="J29" i="33" l="1"/>
  <c r="I29" i="33"/>
  <c r="I28" i="33"/>
  <c r="J28" i="33"/>
  <c r="K28" i="33"/>
  <c r="L29" i="33" s="1"/>
  <c r="H28" i="33"/>
  <c r="D9" i="33"/>
  <c r="E9" i="33"/>
  <c r="F9" i="33"/>
  <c r="G9" i="33"/>
  <c r="H9" i="33"/>
  <c r="I9" i="33"/>
  <c r="J9" i="33"/>
  <c r="K9" i="33"/>
  <c r="L9" i="33"/>
  <c r="C9" i="33"/>
  <c r="L8" i="33"/>
  <c r="D8" i="33"/>
  <c r="E8" i="33"/>
  <c r="F8" i="33"/>
  <c r="G8" i="33"/>
  <c r="H8" i="33"/>
  <c r="I8" i="33"/>
  <c r="J8" i="33"/>
  <c r="K8" i="33"/>
  <c r="C8" i="33"/>
  <c r="J17" i="33"/>
  <c r="K17" i="33"/>
  <c r="L17" i="33"/>
  <c r="K2" i="33"/>
  <c r="J2" i="33" s="1"/>
  <c r="I2" i="33" s="1"/>
  <c r="H2" i="33" s="1"/>
  <c r="G2" i="33" s="1"/>
  <c r="F2" i="33" s="1"/>
  <c r="E2" i="33" s="1"/>
  <c r="D2" i="33" s="1"/>
  <c r="C2" i="33" s="1"/>
  <c r="B2" i="33" s="1"/>
  <c r="K29" i="33" l="1"/>
  <c r="AX32" i="15"/>
  <c r="AX31" i="15"/>
  <c r="AL13" i="14"/>
  <c r="AK35" i="14"/>
  <c r="AM35" i="14"/>
  <c r="AK29" i="14"/>
  <c r="AM29" i="14"/>
  <c r="AN26" i="14"/>
  <c r="AN19" i="14"/>
  <c r="AK13" i="14"/>
  <c r="AM13" i="14"/>
  <c r="AN13" i="14"/>
  <c r="AX7" i="15"/>
  <c r="AN29" i="14" l="1"/>
  <c r="AN31" i="14" s="1"/>
  <c r="AL29" i="14"/>
  <c r="AL35" i="14" s="1"/>
  <c r="AN35" i="14" l="1"/>
  <c r="AL31" i="14"/>
  <c r="H28" i="9" l="1"/>
  <c r="I28" i="9"/>
  <c r="AR417" i="1"/>
  <c r="AA34" i="10" l="1"/>
  <c r="AR371" i="1" l="1"/>
  <c r="AT437" i="1"/>
  <c r="AT435" i="1"/>
  <c r="AT434" i="1"/>
  <c r="AT432" i="1"/>
  <c r="AT430" i="1"/>
  <c r="AT426" i="1"/>
  <c r="AT425" i="1"/>
  <c r="AT423" i="1"/>
  <c r="AT421" i="1"/>
  <c r="AT420" i="1"/>
  <c r="AT416" i="1"/>
  <c r="AT415" i="1"/>
  <c r="AT414" i="1"/>
  <c r="AT411" i="1"/>
  <c r="AT410" i="1"/>
  <c r="AT409" i="1"/>
  <c r="AT408" i="1"/>
  <c r="AT406" i="1"/>
  <c r="AT405" i="1"/>
  <c r="AT404" i="1"/>
  <c r="AT403" i="1"/>
  <c r="AT402" i="1"/>
  <c r="AT400" i="1"/>
  <c r="AT399" i="1"/>
  <c r="AT397" i="1"/>
  <c r="AT395" i="1"/>
  <c r="AT393" i="1"/>
  <c r="AT392" i="1"/>
  <c r="AT389" i="1"/>
  <c r="AT388" i="1"/>
  <c r="AT387" i="1"/>
  <c r="AT385" i="1"/>
  <c r="AT383" i="1"/>
  <c r="AT381" i="1"/>
  <c r="AT380" i="1"/>
  <c r="AT379" i="1"/>
  <c r="AT378" i="1"/>
  <c r="AT377" i="1"/>
  <c r="AT375" i="1"/>
  <c r="AT371" i="1"/>
  <c r="AT370" i="1"/>
  <c r="AT369" i="1"/>
  <c r="AT368" i="1"/>
  <c r="AT367" i="1"/>
  <c r="AT366" i="1"/>
  <c r="AT365" i="1"/>
  <c r="AT364" i="1"/>
  <c r="AT362" i="1"/>
  <c r="AT358" i="1"/>
  <c r="AT357" i="1"/>
  <c r="AT356" i="1"/>
  <c r="AT355" i="1"/>
  <c r="AT354" i="1"/>
  <c r="AT353" i="1"/>
  <c r="AT352" i="1"/>
  <c r="AT351" i="1"/>
  <c r="AT349" i="1"/>
  <c r="AT348" i="1"/>
  <c r="AT346" i="1"/>
  <c r="AT342" i="1"/>
  <c r="AT341" i="1"/>
  <c r="AT340" i="1"/>
  <c r="AT339" i="1"/>
  <c r="AT338" i="1"/>
  <c r="AT337" i="1"/>
  <c r="AT334" i="1"/>
  <c r="AT333" i="1"/>
  <c r="AT332" i="1"/>
  <c r="AT329" i="1"/>
  <c r="AT312" i="1"/>
  <c r="AT308" i="1"/>
  <c r="AT307" i="1"/>
  <c r="AT306" i="1"/>
  <c r="AT304" i="1"/>
  <c r="AT302" i="1"/>
  <c r="AT298" i="1"/>
  <c r="AT297" i="1"/>
  <c r="AT293" i="1"/>
  <c r="AT290" i="1"/>
  <c r="AT289" i="1"/>
  <c r="AT286" i="1"/>
  <c r="AT285" i="1"/>
  <c r="AT282" i="1"/>
  <c r="AT274" i="1"/>
  <c r="AT269" i="1"/>
  <c r="AT254" i="1"/>
  <c r="AT249" i="1"/>
  <c r="AT248" i="1"/>
  <c r="AT246" i="1"/>
  <c r="AT242" i="1"/>
  <c r="AT241" i="1"/>
  <c r="AT238" i="1"/>
  <c r="AT237" i="1"/>
  <c r="AT236" i="1"/>
  <c r="AT232" i="1"/>
  <c r="AT231" i="1"/>
  <c r="AT226" i="1"/>
  <c r="AT223" i="1"/>
  <c r="AT222" i="1"/>
  <c r="AT219" i="1"/>
  <c r="AT218" i="1"/>
  <c r="AT216" i="1"/>
  <c r="AT215" i="1"/>
  <c r="AT211" i="1"/>
  <c r="AT205" i="1"/>
  <c r="AT202" i="1"/>
  <c r="AT201" i="1"/>
  <c r="AT200" i="1"/>
  <c r="AT197" i="1"/>
  <c r="AT196" i="1"/>
  <c r="AT192" i="1"/>
  <c r="AT191" i="1"/>
  <c r="AT184" i="1"/>
  <c r="AT182" i="1"/>
  <c r="AT181" i="1"/>
  <c r="AT180" i="1"/>
  <c r="AT179" i="1"/>
  <c r="AT178" i="1"/>
  <c r="AT177" i="1"/>
  <c r="AT176" i="1"/>
  <c r="AT175" i="1"/>
  <c r="AT174" i="1"/>
  <c r="AT173" i="1"/>
  <c r="AT172" i="1"/>
  <c r="AT171" i="1"/>
  <c r="AT166" i="1"/>
  <c r="AT165" i="1"/>
  <c r="AT161" i="1"/>
  <c r="AT160" i="1"/>
  <c r="AT156" i="1"/>
  <c r="AT155" i="1"/>
  <c r="AT153" i="1"/>
  <c r="AT151" i="1"/>
  <c r="AT150" i="1"/>
  <c r="AT145" i="1"/>
  <c r="AT144" i="1"/>
  <c r="AT139" i="1"/>
  <c r="AT134" i="1"/>
  <c r="AT129" i="1"/>
  <c r="AT128" i="1"/>
  <c r="AT125" i="1"/>
  <c r="AT122" i="1"/>
  <c r="AT121" i="1"/>
  <c r="AT119" i="1"/>
  <c r="AT114" i="1"/>
  <c r="AT113" i="1"/>
  <c r="AT110" i="1"/>
  <c r="AT109" i="1"/>
  <c r="AT108" i="1"/>
  <c r="AT107" i="1"/>
  <c r="AT104" i="1"/>
  <c r="AT102" i="1"/>
  <c r="AT97" i="1"/>
  <c r="AT95" i="1"/>
  <c r="AT92" i="1"/>
  <c r="AT85" i="1"/>
  <c r="AT80" i="1"/>
  <c r="AT74" i="1"/>
  <c r="AT71" i="1"/>
  <c r="AT70" i="1"/>
  <c r="AT67" i="1"/>
  <c r="AT66" i="1"/>
  <c r="AT65" i="1"/>
  <c r="AT59" i="1"/>
  <c r="AT58" i="1"/>
  <c r="AT53" i="1"/>
  <c r="AT52" i="1"/>
  <c r="AT47" i="1"/>
  <c r="AT41" i="1"/>
  <c r="AT37" i="1"/>
  <c r="AT36" i="1"/>
  <c r="AT26" i="1"/>
  <c r="AT23" i="1"/>
  <c r="AT22" i="1"/>
  <c r="AT21" i="1"/>
  <c r="AT16" i="1"/>
  <c r="AS437" i="1"/>
  <c r="AS435" i="1"/>
  <c r="AS434" i="1"/>
  <c r="AS432" i="1"/>
  <c r="AS430" i="1"/>
  <c r="AS425" i="1"/>
  <c r="AS423" i="1"/>
  <c r="AS421" i="1"/>
  <c r="AS420" i="1"/>
  <c r="AS416" i="1"/>
  <c r="AS415" i="1"/>
  <c r="AS414" i="1"/>
  <c r="AS411" i="1"/>
  <c r="AS410" i="1"/>
  <c r="AS409" i="1"/>
  <c r="AS408" i="1"/>
  <c r="AS406" i="1"/>
  <c r="AS405" i="1"/>
  <c r="AS404" i="1"/>
  <c r="AS403" i="1"/>
  <c r="AS402" i="1"/>
  <c r="AS400" i="1"/>
  <c r="AS399" i="1"/>
  <c r="AS397" i="1"/>
  <c r="AS395" i="1"/>
  <c r="AS393" i="1"/>
  <c r="AS392" i="1"/>
  <c r="AS389" i="1"/>
  <c r="AS388" i="1"/>
  <c r="AS387" i="1"/>
  <c r="AS385" i="1"/>
  <c r="AS383" i="1"/>
  <c r="AS381" i="1"/>
  <c r="AS380" i="1"/>
  <c r="AS379" i="1"/>
  <c r="AS378" i="1"/>
  <c r="AS377" i="1"/>
  <c r="AS375" i="1"/>
  <c r="AS368" i="1"/>
  <c r="AS367" i="1"/>
  <c r="AS366" i="1"/>
  <c r="AS365" i="1"/>
  <c r="AS364" i="1"/>
  <c r="AS362" i="1"/>
  <c r="AS358" i="1"/>
  <c r="AS357" i="1"/>
  <c r="AS356" i="1"/>
  <c r="AS355" i="1"/>
  <c r="AS354" i="1"/>
  <c r="AS353" i="1"/>
  <c r="AS352" i="1"/>
  <c r="AS351" i="1"/>
  <c r="AS349" i="1"/>
  <c r="AS348" i="1"/>
  <c r="AS346" i="1"/>
  <c r="AS342" i="1"/>
  <c r="AS341" i="1"/>
  <c r="AS340" i="1"/>
  <c r="AS339" i="1"/>
  <c r="AS338" i="1"/>
  <c r="AS337" i="1"/>
  <c r="AS336" i="1"/>
  <c r="AT336" i="1" s="1"/>
  <c r="AS334" i="1"/>
  <c r="AS333" i="1"/>
  <c r="AS332" i="1"/>
  <c r="AS329" i="1"/>
  <c r="AS312" i="1"/>
  <c r="AS308" i="1"/>
  <c r="AS307" i="1"/>
  <c r="AS306" i="1"/>
  <c r="AS304" i="1"/>
  <c r="AS302" i="1"/>
  <c r="AS298" i="1"/>
  <c r="AS297" i="1"/>
  <c r="AS293" i="1"/>
  <c r="AS290" i="1"/>
  <c r="AS289" i="1"/>
  <c r="AS286" i="1"/>
  <c r="AS285" i="1"/>
  <c r="AS282" i="1"/>
  <c r="AS274" i="1"/>
  <c r="AS269" i="1"/>
  <c r="AS254" i="1"/>
  <c r="AS249" i="1"/>
  <c r="AS248" i="1"/>
  <c r="AS246" i="1"/>
  <c r="AS242" i="1"/>
  <c r="AS241" i="1"/>
  <c r="AS238" i="1"/>
  <c r="AS237" i="1"/>
  <c r="AS236" i="1"/>
  <c r="AS232" i="1"/>
  <c r="AS231" i="1"/>
  <c r="AS229" i="1"/>
  <c r="AT229" i="1" s="1"/>
  <c r="AS226" i="1"/>
  <c r="AS223" i="1"/>
  <c r="AS222" i="1"/>
  <c r="AS219" i="1"/>
  <c r="AS218" i="1"/>
  <c r="AS216" i="1"/>
  <c r="AS215" i="1"/>
  <c r="AS211" i="1"/>
  <c r="AS205" i="1"/>
  <c r="AS202" i="1"/>
  <c r="AS201" i="1"/>
  <c r="AS200" i="1"/>
  <c r="AS197" i="1"/>
  <c r="AS196" i="1"/>
  <c r="AS192" i="1"/>
  <c r="AS191" i="1"/>
  <c r="AS184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66" i="1"/>
  <c r="AS165" i="1"/>
  <c r="AS161" i="1"/>
  <c r="AS160" i="1"/>
  <c r="AS156" i="1"/>
  <c r="AS155" i="1"/>
  <c r="AS153" i="1"/>
  <c r="AS151" i="1"/>
  <c r="AS150" i="1"/>
  <c r="AS145" i="1"/>
  <c r="AS144" i="1"/>
  <c r="AS139" i="1"/>
  <c r="AS134" i="1"/>
  <c r="AS129" i="1"/>
  <c r="AS128" i="1"/>
  <c r="AS125" i="1"/>
  <c r="AS122" i="1"/>
  <c r="AS121" i="1"/>
  <c r="AS119" i="1"/>
  <c r="AS114" i="1"/>
  <c r="AS113" i="1"/>
  <c r="AS110" i="1"/>
  <c r="AS109" i="1"/>
  <c r="AS108" i="1"/>
  <c r="AS107" i="1"/>
  <c r="AS104" i="1"/>
  <c r="AS102" i="1"/>
  <c r="AS97" i="1"/>
  <c r="AS95" i="1"/>
  <c r="AS92" i="1"/>
  <c r="AS85" i="1"/>
  <c r="AS80" i="1"/>
  <c r="AS74" i="1"/>
  <c r="AS71" i="1"/>
  <c r="AS70" i="1"/>
  <c r="AS67" i="1"/>
  <c r="AS66" i="1"/>
  <c r="AS65" i="1"/>
  <c r="AS63" i="1"/>
  <c r="AT63" i="1" s="1"/>
  <c r="AS59" i="1"/>
  <c r="AS58" i="1"/>
  <c r="AS53" i="1"/>
  <c r="AS52" i="1"/>
  <c r="AS47" i="1"/>
  <c r="AS41" i="1"/>
  <c r="AS37" i="1"/>
  <c r="AS36" i="1"/>
  <c r="AS31" i="1"/>
  <c r="AS26" i="1"/>
  <c r="AS23" i="1"/>
  <c r="AS22" i="1"/>
  <c r="AS21" i="1"/>
  <c r="AS16" i="1"/>
  <c r="AS450" i="1"/>
  <c r="AS449" i="1"/>
  <c r="AS448" i="1"/>
  <c r="AS447" i="1"/>
  <c r="AS446" i="1"/>
  <c r="AS445" i="1"/>
  <c r="AS371" i="1" l="1"/>
  <c r="AR429" i="1"/>
  <c r="AS429" i="1" s="1"/>
  <c r="AT429" i="1" s="1"/>
  <c r="AR428" i="1"/>
  <c r="AS428" i="1" s="1"/>
  <c r="AT428" i="1" s="1"/>
  <c r="AR426" i="1"/>
  <c r="AS426" i="1" s="1"/>
  <c r="AR424" i="1"/>
  <c r="AS424" i="1" s="1"/>
  <c r="AT424" i="1" s="1"/>
  <c r="AR422" i="1"/>
  <c r="AS422" i="1" s="1"/>
  <c r="AT422" i="1" s="1"/>
  <c r="AR419" i="1"/>
  <c r="AS419" i="1" s="1"/>
  <c r="AT419" i="1" s="1"/>
  <c r="AR418" i="1"/>
  <c r="AS418" i="1" s="1"/>
  <c r="AT418" i="1" s="1"/>
  <c r="AS417" i="1"/>
  <c r="AT417" i="1" s="1"/>
  <c r="AR427" i="1" l="1"/>
  <c r="G10" i="9"/>
  <c r="G11" i="9"/>
  <c r="G13" i="9"/>
  <c r="G15" i="9"/>
  <c r="AR431" i="1" l="1"/>
  <c r="G16" i="9"/>
  <c r="AS396" i="1"/>
  <c r="AT396" i="1" s="1"/>
  <c r="AS394" i="1"/>
  <c r="AT394" i="1" s="1"/>
  <c r="AS390" i="1"/>
  <c r="AT390" i="1" s="1"/>
  <c r="AS330" i="1"/>
  <c r="AT330" i="1" s="1"/>
  <c r="AS335" i="1"/>
  <c r="AT335" i="1" s="1"/>
  <c r="AS310" i="1"/>
  <c r="AT310" i="1" s="1"/>
  <c r="AS309" i="1"/>
  <c r="AT309" i="1" s="1"/>
  <c r="AS301" i="1"/>
  <c r="AT301" i="1" s="1"/>
  <c r="AS300" i="1"/>
  <c r="AT300" i="1" s="1"/>
  <c r="AS299" i="1"/>
  <c r="AT299" i="1" s="1"/>
  <c r="AS287" i="1"/>
  <c r="AT287" i="1" s="1"/>
  <c r="AS283" i="1"/>
  <c r="AT283" i="1" s="1"/>
  <c r="AS272" i="1"/>
  <c r="AT272" i="1" s="1"/>
  <c r="AS271" i="1"/>
  <c r="AT271" i="1" s="1"/>
  <c r="AS270" i="1"/>
  <c r="AT270" i="1" s="1"/>
  <c r="AS252" i="1"/>
  <c r="AT252" i="1" s="1"/>
  <c r="AS251" i="1"/>
  <c r="AT251" i="1" s="1"/>
  <c r="AS250" i="1"/>
  <c r="AT250" i="1" s="1"/>
  <c r="AS239" i="1"/>
  <c r="AT239" i="1" s="1"/>
  <c r="AS234" i="1"/>
  <c r="AT234" i="1" s="1"/>
  <c r="AS233" i="1"/>
  <c r="AT233" i="1" s="1"/>
  <c r="AS228" i="1"/>
  <c r="AT228" i="1" s="1"/>
  <c r="AS225" i="1"/>
  <c r="AT225" i="1" s="1"/>
  <c r="AS224" i="1"/>
  <c r="AT224" i="1" s="1"/>
  <c r="AS220" i="1"/>
  <c r="AT220" i="1" s="1"/>
  <c r="AS214" i="1"/>
  <c r="AT214" i="1" s="1"/>
  <c r="AS213" i="1"/>
  <c r="AT213" i="1" s="1"/>
  <c r="AS212" i="1"/>
  <c r="AT212" i="1" s="1"/>
  <c r="AS203" i="1"/>
  <c r="AT203" i="1" s="1"/>
  <c r="AS194" i="1"/>
  <c r="AT194" i="1" s="1"/>
  <c r="AS193" i="1"/>
  <c r="AT193" i="1" s="1"/>
  <c r="AS163" i="1"/>
  <c r="AT163" i="1" s="1"/>
  <c r="AS162" i="1"/>
  <c r="AT162" i="1" s="1"/>
  <c r="AS158" i="1"/>
  <c r="AT158" i="1" s="1"/>
  <c r="AS157" i="1"/>
  <c r="AT157" i="1" s="1"/>
  <c r="AS152" i="1"/>
  <c r="AT152" i="1" s="1"/>
  <c r="AS148" i="1"/>
  <c r="AT148" i="1" s="1"/>
  <c r="AS147" i="1"/>
  <c r="AT147" i="1" s="1"/>
  <c r="AS146" i="1"/>
  <c r="AT146" i="1" s="1"/>
  <c r="AS142" i="1"/>
  <c r="AT142" i="1" s="1"/>
  <c r="AS141" i="1"/>
  <c r="AT141" i="1" s="1"/>
  <c r="AS140" i="1"/>
  <c r="AT140" i="1" s="1"/>
  <c r="AS132" i="1"/>
  <c r="AT132" i="1" s="1"/>
  <c r="AS131" i="1"/>
  <c r="AT131" i="1" s="1"/>
  <c r="AS130" i="1"/>
  <c r="AT130" i="1" s="1"/>
  <c r="AS126" i="1"/>
  <c r="AT126" i="1" s="1"/>
  <c r="AS124" i="1"/>
  <c r="AT124" i="1" s="1"/>
  <c r="AS123" i="1"/>
  <c r="AT123" i="1" s="1"/>
  <c r="AS32" i="1"/>
  <c r="AT32" i="1" s="1"/>
  <c r="AS18" i="1"/>
  <c r="AT18" i="1" s="1"/>
  <c r="AS17" i="1"/>
  <c r="AT17" i="1" s="1"/>
  <c r="AS111" i="1"/>
  <c r="AT111" i="1" s="1"/>
  <c r="AS105" i="1"/>
  <c r="AT105" i="1" s="1"/>
  <c r="AS103" i="1"/>
  <c r="AT103" i="1" s="1"/>
  <c r="AS94" i="1"/>
  <c r="AT94" i="1" s="1"/>
  <c r="AS93" i="1"/>
  <c r="AT93" i="1" s="1"/>
  <c r="AS83" i="1"/>
  <c r="AT83" i="1" s="1"/>
  <c r="AS82" i="1"/>
  <c r="AT82" i="1" s="1"/>
  <c r="AS81" i="1"/>
  <c r="AT81" i="1" s="1"/>
  <c r="AS72" i="1"/>
  <c r="AT72" i="1" s="1"/>
  <c r="AS68" i="1"/>
  <c r="AT68" i="1" s="1"/>
  <c r="AS62" i="1"/>
  <c r="AT62" i="1" s="1"/>
  <c r="AS61" i="1"/>
  <c r="AT61" i="1" s="1"/>
  <c r="AS60" i="1"/>
  <c r="AT60" i="1" s="1"/>
  <c r="AS56" i="1"/>
  <c r="AT56" i="1" s="1"/>
  <c r="AS55" i="1"/>
  <c r="AT55" i="1" s="1"/>
  <c r="AS54" i="1"/>
  <c r="AT54" i="1" s="1"/>
  <c r="AS50" i="1"/>
  <c r="AT50" i="1" s="1"/>
  <c r="AS49" i="1"/>
  <c r="AT49" i="1" s="1"/>
  <c r="AS48" i="1"/>
  <c r="AT48" i="1" s="1"/>
  <c r="AS39" i="1"/>
  <c r="AT39" i="1" s="1"/>
  <c r="AS38" i="1"/>
  <c r="AT38" i="1" s="1"/>
  <c r="AS382" i="1"/>
  <c r="AT382" i="1" s="1"/>
  <c r="AS34" i="1"/>
  <c r="AT34" i="1" s="1"/>
  <c r="AS33" i="1"/>
  <c r="AT33" i="1" s="1"/>
  <c r="AS24" i="1"/>
  <c r="AT24" i="1" s="1"/>
  <c r="AS19" i="1"/>
  <c r="AT19" i="1" s="1"/>
  <c r="AS14" i="1"/>
  <c r="AT14" i="1" s="1"/>
  <c r="G12" i="11" l="1"/>
  <c r="AS198" i="1"/>
  <c r="AT198" i="1" s="1"/>
  <c r="AS433" i="1"/>
  <c r="AT433" i="1" s="1"/>
  <c r="AC21" i="10"/>
  <c r="AC23" i="10"/>
  <c r="AC24" i="10"/>
  <c r="AC25" i="10"/>
  <c r="AC26" i="10"/>
  <c r="AC27" i="10"/>
  <c r="AC29" i="10"/>
  <c r="AC30" i="10"/>
  <c r="AC31" i="10"/>
  <c r="AC33" i="10"/>
  <c r="AC38" i="10"/>
  <c r="AC39" i="10"/>
  <c r="AC44" i="10"/>
  <c r="AC49" i="10"/>
  <c r="AC50" i="10"/>
  <c r="AC51" i="10"/>
  <c r="AC55" i="10"/>
  <c r="AC57" i="10"/>
  <c r="AC59" i="10"/>
  <c r="AC60" i="10"/>
  <c r="AC61" i="10"/>
  <c r="AB41" i="10"/>
  <c r="AB44" i="10"/>
  <c r="AB36" i="10"/>
  <c r="AC36" i="10" s="1"/>
  <c r="AB35" i="10"/>
  <c r="AC35" i="10" s="1"/>
  <c r="AP401" i="1" l="1"/>
  <c r="AS401" i="1" s="1"/>
  <c r="AT401" i="1" s="1"/>
  <c r="AR398" i="1"/>
  <c r="AR391" i="1"/>
  <c r="AR384" i="1"/>
  <c r="AR331" i="1"/>
  <c r="AR344" i="1"/>
  <c r="AR343" i="1"/>
  <c r="AR288" i="1"/>
  <c r="AR284" i="1"/>
  <c r="AR240" i="1"/>
  <c r="AR235" i="1"/>
  <c r="AR295" i="1" l="1"/>
  <c r="AR412" i="1"/>
  <c r="AR294" i="1"/>
  <c r="AR273" i="1"/>
  <c r="AR230" i="1"/>
  <c r="AR303" i="1"/>
  <c r="AR292" i="1"/>
  <c r="AR253" i="1"/>
  <c r="AR311" i="1"/>
  <c r="AR345" i="1"/>
  <c r="AR291" i="1"/>
  <c r="AA17" i="10" l="1"/>
  <c r="AR305" i="1"/>
  <c r="AR347" i="1"/>
  <c r="AR296" i="1"/>
  <c r="AR221" i="1"/>
  <c r="AR209" i="1"/>
  <c r="AR204" i="1"/>
  <c r="AR199" i="1"/>
  <c r="AA12" i="10"/>
  <c r="AR159" i="1"/>
  <c r="AR154" i="1"/>
  <c r="AR112" i="1"/>
  <c r="AR73" i="1"/>
  <c r="AR69" i="1"/>
  <c r="AR118" i="1"/>
  <c r="AR25" i="1"/>
  <c r="AW14" i="1"/>
  <c r="AX14" i="1" s="1"/>
  <c r="AI17" i="10" l="1"/>
  <c r="AR350" i="1"/>
  <c r="AA14" i="10"/>
  <c r="AR245" i="1"/>
  <c r="AR244" i="1"/>
  <c r="AR164" i="1"/>
  <c r="AR217" i="1"/>
  <c r="AR40" i="1"/>
  <c r="AR57" i="1"/>
  <c r="AR84" i="1"/>
  <c r="AR149" i="1"/>
  <c r="AR116" i="1"/>
  <c r="AR117" i="1"/>
  <c r="AR143" i="1"/>
  <c r="AR64" i="1"/>
  <c r="AR96" i="1"/>
  <c r="AR127" i="1"/>
  <c r="AR169" i="1"/>
  <c r="AR115" i="1"/>
  <c r="AR51" i="1"/>
  <c r="AR20" i="1"/>
  <c r="AR106" i="1"/>
  <c r="AR133" i="1"/>
  <c r="AR168" i="1"/>
  <c r="AR167" i="1"/>
  <c r="AR35" i="1"/>
  <c r="AI14" i="10" l="1"/>
  <c r="AA15" i="10"/>
  <c r="AR247" i="1"/>
  <c r="AR120" i="1"/>
  <c r="AR170" i="1"/>
  <c r="AG132" i="3"/>
  <c r="AI15" i="10" l="1"/>
  <c r="AA11" i="10"/>
  <c r="AA13" i="10"/>
  <c r="AA10" i="10"/>
  <c r="AH6" i="1"/>
  <c r="AH5" i="1"/>
  <c r="AN4" i="1"/>
  <c r="AN5" i="1"/>
  <c r="AI11" i="10" l="1"/>
  <c r="AI10" i="10"/>
  <c r="AI13" i="10"/>
  <c r="AH3" i="1"/>
  <c r="AB39" i="10"/>
  <c r="AB24" i="10"/>
  <c r="AB25" i="10"/>
  <c r="AB26" i="10"/>
  <c r="AB27" i="10"/>
  <c r="AB28" i="10"/>
  <c r="AC28" i="10" s="1"/>
  <c r="AB29" i="10"/>
  <c r="AB30" i="10"/>
  <c r="AB31" i="10"/>
  <c r="AB32" i="10"/>
  <c r="AB33" i="10"/>
  <c r="AB23" i="10"/>
  <c r="AN6" i="1" l="1"/>
  <c r="AK5" i="1"/>
  <c r="AX8" i="15"/>
  <c r="AX9" i="15"/>
  <c r="AX10" i="15"/>
  <c r="AX16" i="15"/>
  <c r="AX22" i="15"/>
  <c r="AX23" i="15"/>
  <c r="AX25" i="15"/>
  <c r="AX26" i="15"/>
  <c r="AX27" i="15"/>
  <c r="AX30" i="15"/>
  <c r="AO240" i="1"/>
  <c r="AO199" i="1"/>
  <c r="AO73" i="1"/>
  <c r="AQ379" i="1"/>
  <c r="AQ380" i="1" s="1"/>
  <c r="AQ374" i="1"/>
  <c r="AR374" i="1" s="1"/>
  <c r="AQ373" i="1"/>
  <c r="AR373" i="1" s="1"/>
  <c r="AQ372" i="1"/>
  <c r="AR372" i="1" s="1"/>
  <c r="AQ369" i="1"/>
  <c r="AQ361" i="1"/>
  <c r="AR361" i="1" s="1"/>
  <c r="AQ360" i="1"/>
  <c r="AR360" i="1" s="1"/>
  <c r="AQ359" i="1"/>
  <c r="AR359" i="1" s="1"/>
  <c r="AQ384" i="1"/>
  <c r="AQ370" i="1"/>
  <c r="AR370" i="1" s="1"/>
  <c r="AQ358" i="1"/>
  <c r="AQ357" i="1"/>
  <c r="AQ356" i="1"/>
  <c r="AQ405" i="1"/>
  <c r="AQ404" i="1"/>
  <c r="AQ331" i="1"/>
  <c r="AQ288" i="1"/>
  <c r="AQ284" i="1"/>
  <c r="AQ295" i="1" s="1"/>
  <c r="AQ204" i="1"/>
  <c r="AQ118" i="1"/>
  <c r="AQ95" i="1"/>
  <c r="AO69" i="1"/>
  <c r="AO83" i="1"/>
  <c r="AO95" i="1"/>
  <c r="AO106" i="1"/>
  <c r="AO118" i="1"/>
  <c r="AO169" i="1"/>
  <c r="AO245" i="1"/>
  <c r="AO204" i="1"/>
  <c r="AO221" i="1"/>
  <c r="AO294" i="1"/>
  <c r="AO284" i="1"/>
  <c r="AO295" i="1" s="1"/>
  <c r="AO288" i="1"/>
  <c r="AO331" i="1"/>
  <c r="AO345" i="1"/>
  <c r="AO356" i="1"/>
  <c r="AO357" i="1"/>
  <c r="AO358" i="1"/>
  <c r="AO359" i="1"/>
  <c r="AO360" i="1"/>
  <c r="AO361" i="1"/>
  <c r="AO369" i="1"/>
  <c r="AO370" i="1"/>
  <c r="AO372" i="1"/>
  <c r="AO373" i="1"/>
  <c r="AO374" i="1"/>
  <c r="AO379" i="1"/>
  <c r="AO380" i="1" s="1"/>
  <c r="AO384" i="1"/>
  <c r="AO404" i="1"/>
  <c r="AO405" i="1"/>
  <c r="AO425" i="1"/>
  <c r="AO426" i="1"/>
  <c r="AS370" i="1" l="1"/>
  <c r="AR369" i="1"/>
  <c r="AQ376" i="1"/>
  <c r="AR363" i="1"/>
  <c r="AO363" i="1"/>
  <c r="AO427" i="1"/>
  <c r="AO431" i="1" s="1"/>
  <c r="AO376" i="1"/>
  <c r="AO407" i="1"/>
  <c r="AO117" i="1"/>
  <c r="AQ363" i="1"/>
  <c r="G650" i="12"/>
  <c r="J650" i="12" s="1"/>
  <c r="G649" i="12"/>
  <c r="J649" i="12" s="1"/>
  <c r="G646" i="12"/>
  <c r="J646" i="12" s="1"/>
  <c r="G645" i="12"/>
  <c r="J645" i="12" s="1"/>
  <c r="G642" i="12"/>
  <c r="J642" i="12" s="1"/>
  <c r="G621" i="12"/>
  <c r="I657" i="12"/>
  <c r="G653" i="12"/>
  <c r="G640" i="12"/>
  <c r="J640" i="12" s="1"/>
  <c r="E640" i="12"/>
  <c r="E636" i="12"/>
  <c r="G633" i="12"/>
  <c r="J633" i="12" s="1"/>
  <c r="E633" i="12"/>
  <c r="G630" i="12"/>
  <c r="E630" i="12"/>
  <c r="G628" i="12"/>
  <c r="J628" i="12" s="1"/>
  <c r="F628" i="12"/>
  <c r="G626" i="12"/>
  <c r="J626" i="12" s="1"/>
  <c r="E626" i="12"/>
  <c r="G624" i="12"/>
  <c r="J624" i="12" s="1"/>
  <c r="F624" i="12"/>
  <c r="E624" i="12"/>
  <c r="E621" i="12"/>
  <c r="A659" i="12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R10" i="13"/>
  <c r="AS369" i="1" l="1"/>
  <c r="AR376" i="1"/>
  <c r="AO386" i="1"/>
  <c r="J657" i="12"/>
  <c r="AR20" i="13" s="1"/>
  <c r="AQ386" i="1"/>
  <c r="G657" i="12"/>
  <c r="Z65" i="10"/>
  <c r="C37" i="11"/>
  <c r="C46" i="11"/>
  <c r="C53" i="11"/>
  <c r="C55" i="11"/>
  <c r="C56" i="11"/>
  <c r="C57" i="11"/>
  <c r="C58" i="11"/>
  <c r="C51" i="11"/>
  <c r="AR386" i="1" l="1"/>
  <c r="AA16" i="10" s="1"/>
  <c r="C59" i="11"/>
  <c r="AA18" i="10" l="1"/>
  <c r="AR413" i="1"/>
  <c r="C67" i="11"/>
  <c r="C68" i="11"/>
  <c r="C69" i="11"/>
  <c r="C70" i="11"/>
  <c r="C71" i="11"/>
  <c r="C72" i="11"/>
  <c r="C73" i="11"/>
  <c r="C74" i="11"/>
  <c r="C75" i="11"/>
  <c r="C66" i="11"/>
  <c r="AI16" i="10" l="1"/>
  <c r="D11" i="11"/>
  <c r="AT328" i="1" l="1"/>
  <c r="AS328" i="1"/>
  <c r="AT327" i="1"/>
  <c r="AS327" i="1"/>
  <c r="AT326" i="1"/>
  <c r="AS326" i="1"/>
  <c r="AT325" i="1"/>
  <c r="AS325" i="1"/>
  <c r="AT324" i="1"/>
  <c r="AS324" i="1"/>
  <c r="AT323" i="1"/>
  <c r="AS323" i="1"/>
  <c r="AT322" i="1"/>
  <c r="AS322" i="1"/>
  <c r="AT321" i="1"/>
  <c r="AS321" i="1"/>
  <c r="AT320" i="1"/>
  <c r="AS320" i="1"/>
  <c r="AT319" i="1"/>
  <c r="AS319" i="1"/>
  <c r="AT318" i="1"/>
  <c r="AS318" i="1"/>
  <c r="AT317" i="1"/>
  <c r="AS317" i="1"/>
  <c r="AT316" i="1"/>
  <c r="AS316" i="1"/>
  <c r="AT315" i="1"/>
  <c r="AS315" i="1"/>
  <c r="AT314" i="1"/>
  <c r="AS314" i="1"/>
  <c r="AT313" i="1"/>
  <c r="AS313" i="1"/>
  <c r="AQ126" i="1" l="1"/>
  <c r="AZ439" i="1"/>
  <c r="AQ301" i="1" l="1"/>
  <c r="AQ214" i="1"/>
  <c r="AQ132" i="1"/>
  <c r="AQ72" i="1"/>
  <c r="AQ68" i="1"/>
  <c r="AQ83" i="1"/>
  <c r="AQ73" i="1" l="1"/>
  <c r="AQ69" i="1"/>
  <c r="B55" i="32"/>
  <c r="M54" i="32"/>
  <c r="J54" i="32"/>
  <c r="I54" i="32"/>
  <c r="H54" i="32"/>
  <c r="G54" i="32"/>
  <c r="F54" i="32"/>
  <c r="E54" i="32"/>
  <c r="D54" i="32"/>
  <c r="C54" i="32"/>
  <c r="B54" i="32"/>
  <c r="M53" i="32"/>
  <c r="J53" i="32"/>
  <c r="I53" i="32"/>
  <c r="H53" i="32"/>
  <c r="G53" i="32"/>
  <c r="F53" i="32"/>
  <c r="E53" i="32"/>
  <c r="D53" i="32"/>
  <c r="M52" i="32"/>
  <c r="J52" i="32"/>
  <c r="I52" i="32"/>
  <c r="H52" i="32"/>
  <c r="G52" i="32"/>
  <c r="F52" i="32"/>
  <c r="E52" i="32"/>
  <c r="D52" i="32"/>
  <c r="C52" i="32"/>
  <c r="B52" i="32"/>
  <c r="M51" i="32"/>
  <c r="J51" i="32"/>
  <c r="I51" i="32"/>
  <c r="H51" i="32"/>
  <c r="G51" i="32"/>
  <c r="F51" i="32"/>
  <c r="E51" i="32"/>
  <c r="D51" i="32"/>
  <c r="C51" i="32"/>
  <c r="B51" i="32"/>
  <c r="M50" i="32"/>
  <c r="J50" i="32"/>
  <c r="I50" i="32"/>
  <c r="H50" i="32"/>
  <c r="G50" i="32"/>
  <c r="F50" i="32"/>
  <c r="E50" i="32"/>
  <c r="D50" i="32"/>
  <c r="C50" i="32"/>
  <c r="B50" i="32"/>
  <c r="M49" i="32"/>
  <c r="J49" i="32"/>
  <c r="I49" i="32"/>
  <c r="H49" i="32"/>
  <c r="G49" i="32"/>
  <c r="F49" i="32"/>
  <c r="E49" i="32"/>
  <c r="C49" i="32"/>
  <c r="B49" i="32"/>
  <c r="M48" i="32"/>
  <c r="J48" i="32"/>
  <c r="I48" i="32"/>
  <c r="H48" i="32"/>
  <c r="G48" i="32"/>
  <c r="F48" i="32"/>
  <c r="E48" i="32"/>
  <c r="C48" i="32"/>
  <c r="B48" i="32"/>
  <c r="M47" i="32"/>
  <c r="J47" i="32"/>
  <c r="I47" i="32"/>
  <c r="H47" i="32"/>
  <c r="G47" i="32"/>
  <c r="F47" i="32"/>
  <c r="E47" i="32"/>
  <c r="B47" i="32"/>
  <c r="M46" i="32"/>
  <c r="J46" i="32"/>
  <c r="I46" i="32"/>
  <c r="H46" i="32"/>
  <c r="G46" i="32"/>
  <c r="F46" i="32"/>
  <c r="E46" i="32"/>
  <c r="C46" i="32"/>
  <c r="B46" i="32"/>
  <c r="M45" i="32"/>
  <c r="J45" i="32"/>
  <c r="I45" i="32"/>
  <c r="H45" i="32"/>
  <c r="G45" i="32"/>
  <c r="F45" i="32"/>
  <c r="E45" i="32"/>
  <c r="C45" i="32"/>
  <c r="B45" i="32"/>
  <c r="J44" i="32"/>
  <c r="I44" i="32"/>
  <c r="H44" i="32"/>
  <c r="G44" i="32"/>
  <c r="F44" i="32"/>
  <c r="E44" i="32"/>
  <c r="C44" i="32"/>
  <c r="B44" i="32"/>
  <c r="J43" i="32"/>
  <c r="I43" i="32"/>
  <c r="H43" i="32"/>
  <c r="G43" i="32"/>
  <c r="F43" i="32"/>
  <c r="E43" i="32"/>
  <c r="C43" i="32"/>
  <c r="B43" i="32"/>
  <c r="J42" i="32"/>
  <c r="I42" i="32"/>
  <c r="H42" i="32"/>
  <c r="G42" i="32"/>
  <c r="F42" i="32"/>
  <c r="E42" i="32"/>
  <c r="C42" i="32"/>
  <c r="B42" i="32"/>
  <c r="J41" i="32"/>
  <c r="I41" i="32"/>
  <c r="H41" i="32"/>
  <c r="G41" i="32"/>
  <c r="F41" i="32"/>
  <c r="E41" i="32"/>
  <c r="C41" i="32"/>
  <c r="B41" i="32"/>
  <c r="J40" i="32"/>
  <c r="I40" i="32"/>
  <c r="H40" i="32"/>
  <c r="G40" i="32"/>
  <c r="F40" i="32"/>
  <c r="E40" i="32"/>
  <c r="C40" i="32"/>
  <c r="B40" i="32"/>
  <c r="J39" i="32"/>
  <c r="I39" i="32"/>
  <c r="H39" i="32"/>
  <c r="G39" i="32"/>
  <c r="F39" i="32"/>
  <c r="E39" i="32"/>
  <c r="C39" i="32"/>
  <c r="B39" i="32"/>
  <c r="J38" i="32"/>
  <c r="I38" i="32"/>
  <c r="H38" i="32"/>
  <c r="G38" i="32"/>
  <c r="F38" i="32"/>
  <c r="E38" i="32"/>
  <c r="C38" i="32"/>
  <c r="B38" i="32"/>
  <c r="J37" i="32"/>
  <c r="I37" i="32"/>
  <c r="H37" i="32"/>
  <c r="G37" i="32"/>
  <c r="F37" i="32"/>
  <c r="E37" i="32"/>
  <c r="C37" i="32"/>
  <c r="B37" i="32"/>
  <c r="J36" i="32"/>
  <c r="I36" i="32"/>
  <c r="H36" i="32"/>
  <c r="G36" i="32"/>
  <c r="F36" i="32"/>
  <c r="E36" i="32"/>
  <c r="C36" i="32"/>
  <c r="B36" i="32"/>
  <c r="J35" i="32"/>
  <c r="I35" i="32"/>
  <c r="H35" i="32"/>
  <c r="G35" i="32"/>
  <c r="F35" i="32"/>
  <c r="E35" i="32"/>
  <c r="C35" i="32"/>
  <c r="B35" i="32"/>
  <c r="J34" i="32"/>
  <c r="I34" i="32"/>
  <c r="H34" i="32"/>
  <c r="G34" i="32"/>
  <c r="F34" i="32"/>
  <c r="E34" i="32"/>
  <c r="C34" i="32"/>
  <c r="B34" i="32"/>
  <c r="J33" i="32"/>
  <c r="I33" i="32"/>
  <c r="H33" i="32"/>
  <c r="G33" i="32"/>
  <c r="F33" i="32"/>
  <c r="E33" i="32"/>
  <c r="C33" i="32"/>
  <c r="B33" i="32"/>
  <c r="J32" i="32"/>
  <c r="I32" i="32"/>
  <c r="H32" i="32"/>
  <c r="G32" i="32"/>
  <c r="F32" i="32"/>
  <c r="E32" i="32"/>
  <c r="C32" i="32"/>
  <c r="B32" i="32"/>
  <c r="J31" i="32"/>
  <c r="I31" i="32"/>
  <c r="H31" i="32"/>
  <c r="G31" i="32"/>
  <c r="F31" i="32"/>
  <c r="E31" i="32"/>
  <c r="C31" i="32"/>
  <c r="B31" i="32"/>
  <c r="J30" i="32"/>
  <c r="I30" i="32"/>
  <c r="H30" i="32"/>
  <c r="G30" i="32"/>
  <c r="F30" i="32"/>
  <c r="E30" i="32"/>
  <c r="C30" i="32"/>
  <c r="B30" i="32"/>
  <c r="J29" i="32"/>
  <c r="I29" i="32"/>
  <c r="H29" i="32"/>
  <c r="G29" i="32"/>
  <c r="F29" i="32"/>
  <c r="E29" i="32"/>
  <c r="C29" i="32"/>
  <c r="B29" i="32"/>
  <c r="J28" i="32"/>
  <c r="I28" i="32"/>
  <c r="H28" i="32"/>
  <c r="F28" i="32"/>
  <c r="E28" i="32"/>
  <c r="C28" i="32"/>
  <c r="B28" i="32"/>
  <c r="J27" i="32"/>
  <c r="I27" i="32"/>
  <c r="H27" i="32"/>
  <c r="G27" i="32"/>
  <c r="F27" i="32"/>
  <c r="E27" i="32"/>
  <c r="C27" i="32"/>
  <c r="B27" i="32"/>
  <c r="J26" i="32"/>
  <c r="I26" i="32"/>
  <c r="H26" i="32"/>
  <c r="G26" i="32"/>
  <c r="F26" i="32"/>
  <c r="E26" i="32"/>
  <c r="C26" i="32"/>
  <c r="B26" i="32"/>
  <c r="J25" i="32"/>
  <c r="I25" i="32"/>
  <c r="H25" i="32"/>
  <c r="G25" i="32"/>
  <c r="F25" i="32"/>
  <c r="E25" i="32"/>
  <c r="C25" i="32"/>
  <c r="B25" i="32"/>
  <c r="M24" i="32"/>
  <c r="J24" i="32"/>
  <c r="I24" i="32"/>
  <c r="H24" i="32"/>
  <c r="G24" i="32"/>
  <c r="F24" i="32"/>
  <c r="E24" i="32"/>
  <c r="C24" i="32"/>
  <c r="B24" i="32"/>
  <c r="M23" i="32"/>
  <c r="J23" i="32"/>
  <c r="I23" i="32"/>
  <c r="H23" i="32"/>
  <c r="G23" i="32"/>
  <c r="F23" i="32"/>
  <c r="E23" i="32"/>
  <c r="C23" i="32"/>
  <c r="B23" i="32"/>
  <c r="M22" i="32"/>
  <c r="J22" i="32"/>
  <c r="I22" i="32"/>
  <c r="H22" i="32"/>
  <c r="G22" i="32"/>
  <c r="F22" i="32"/>
  <c r="E22" i="32"/>
  <c r="C22" i="32"/>
  <c r="B22" i="32"/>
  <c r="M20" i="32"/>
  <c r="J20" i="32"/>
  <c r="I20" i="32"/>
  <c r="H20" i="32"/>
  <c r="G20" i="32"/>
  <c r="F20" i="32"/>
  <c r="E20" i="32"/>
  <c r="C20" i="32"/>
  <c r="B20" i="32"/>
  <c r="M19" i="32"/>
  <c r="J19" i="32"/>
  <c r="I19" i="32"/>
  <c r="H19" i="32"/>
  <c r="G19" i="32"/>
  <c r="F19" i="32"/>
  <c r="E19" i="32"/>
  <c r="C19" i="32"/>
  <c r="B19" i="32"/>
  <c r="M18" i="32"/>
  <c r="J18" i="32"/>
  <c r="I18" i="32"/>
  <c r="H18" i="32"/>
  <c r="G18" i="32"/>
  <c r="F18" i="32"/>
  <c r="E18" i="32"/>
  <c r="C18" i="32"/>
  <c r="B18" i="32"/>
  <c r="M17" i="32"/>
  <c r="J17" i="32"/>
  <c r="I17" i="32"/>
  <c r="H17" i="32"/>
  <c r="G17" i="32"/>
  <c r="F17" i="32"/>
  <c r="E17" i="32"/>
  <c r="C17" i="32"/>
  <c r="B17" i="32"/>
  <c r="M16" i="32"/>
  <c r="J16" i="32"/>
  <c r="I16" i="32"/>
  <c r="H16" i="32"/>
  <c r="G16" i="32"/>
  <c r="F16" i="32"/>
  <c r="E16" i="32"/>
  <c r="C16" i="32"/>
  <c r="B16" i="32"/>
  <c r="M15" i="32"/>
  <c r="J15" i="32"/>
  <c r="I15" i="32"/>
  <c r="H15" i="32"/>
  <c r="G15" i="32"/>
  <c r="F15" i="32"/>
  <c r="E15" i="32"/>
  <c r="C15" i="32"/>
  <c r="B15" i="32"/>
  <c r="M14" i="32"/>
  <c r="J14" i="32"/>
  <c r="I14" i="32"/>
  <c r="H14" i="32"/>
  <c r="G14" i="32"/>
  <c r="F14" i="32"/>
  <c r="C14" i="32"/>
  <c r="B14" i="32"/>
  <c r="M13" i="32"/>
  <c r="J13" i="32"/>
  <c r="I13" i="32"/>
  <c r="H13" i="32"/>
  <c r="G13" i="32"/>
  <c r="F13" i="32"/>
  <c r="C13" i="32"/>
  <c r="B13" i="32"/>
  <c r="M12" i="32"/>
  <c r="J12" i="32"/>
  <c r="I12" i="32"/>
  <c r="G12" i="32"/>
  <c r="F12" i="32"/>
  <c r="E12" i="32"/>
  <c r="C12" i="32"/>
  <c r="B12" i="32"/>
  <c r="M11" i="32"/>
  <c r="J11" i="32"/>
  <c r="I11" i="32"/>
  <c r="H11" i="32"/>
  <c r="G11" i="32"/>
  <c r="F11" i="32"/>
  <c r="C11" i="32"/>
  <c r="B11" i="32"/>
  <c r="M10" i="32"/>
  <c r="J10" i="32"/>
  <c r="I10" i="32"/>
  <c r="H10" i="32"/>
  <c r="G10" i="32"/>
  <c r="F10" i="32"/>
  <c r="E10" i="32"/>
  <c r="C10" i="32"/>
  <c r="B10" i="32"/>
  <c r="J9" i="32"/>
  <c r="I9" i="32"/>
  <c r="H9" i="32"/>
  <c r="G9" i="32"/>
  <c r="F9" i="32"/>
  <c r="E9" i="32"/>
  <c r="D9" i="32"/>
  <c r="C9" i="32"/>
  <c r="B9" i="32"/>
  <c r="J8" i="32"/>
  <c r="I8" i="32"/>
  <c r="H8" i="32"/>
  <c r="G8" i="32"/>
  <c r="F8" i="32"/>
  <c r="E8" i="32"/>
  <c r="D8" i="32"/>
  <c r="C8" i="32"/>
  <c r="B8" i="32"/>
  <c r="J7" i="32"/>
  <c r="I7" i="32"/>
  <c r="H7" i="32"/>
  <c r="G7" i="32"/>
  <c r="F7" i="32"/>
  <c r="E7" i="32"/>
  <c r="D7" i="32"/>
  <c r="C7" i="32"/>
  <c r="B7" i="32"/>
  <c r="J6" i="32"/>
  <c r="I6" i="32"/>
  <c r="H6" i="32"/>
  <c r="G6" i="32"/>
  <c r="F6" i="32"/>
  <c r="E6" i="32"/>
  <c r="D6" i="32"/>
  <c r="C6" i="32"/>
  <c r="B6" i="32"/>
  <c r="J5" i="32"/>
  <c r="I5" i="32"/>
  <c r="H5" i="32"/>
  <c r="G5" i="32"/>
  <c r="F5" i="32"/>
  <c r="E5" i="32"/>
  <c r="D5" i="32"/>
  <c r="C5" i="32"/>
  <c r="B5" i="32"/>
  <c r="J4" i="32"/>
  <c r="I4" i="32"/>
  <c r="H4" i="32"/>
  <c r="G4" i="32"/>
  <c r="F4" i="32"/>
  <c r="E4" i="32"/>
  <c r="D4" i="32"/>
  <c r="C4" i="32"/>
  <c r="B4" i="32"/>
  <c r="AA40" i="10" l="1"/>
  <c r="AP436" i="1"/>
  <c r="C209" i="31"/>
  <c r="C141" i="31"/>
  <c r="C140" i="31"/>
  <c r="C72" i="31"/>
  <c r="C567" i="31"/>
  <c r="C566" i="31"/>
  <c r="C565" i="31"/>
  <c r="C564" i="31"/>
  <c r="C563" i="31"/>
  <c r="C562" i="31"/>
  <c r="C561" i="31"/>
  <c r="C560" i="31"/>
  <c r="C559" i="31"/>
  <c r="C558" i="31"/>
  <c r="C557" i="31"/>
  <c r="C556" i="31"/>
  <c r="C555" i="31"/>
  <c r="C554" i="31"/>
  <c r="C553" i="31"/>
  <c r="C552" i="31"/>
  <c r="C551" i="31"/>
  <c r="C550" i="31"/>
  <c r="C549" i="31"/>
  <c r="C548" i="31"/>
  <c r="C547" i="31"/>
  <c r="C546" i="31"/>
  <c r="C545" i="31"/>
  <c r="C544" i="31"/>
  <c r="C543" i="31"/>
  <c r="C542" i="31"/>
  <c r="C541" i="31"/>
  <c r="C540" i="31"/>
  <c r="C539" i="31"/>
  <c r="C538" i="31"/>
  <c r="C537" i="31"/>
  <c r="C536" i="31"/>
  <c r="C535" i="31"/>
  <c r="C534" i="31"/>
  <c r="C533" i="31"/>
  <c r="C532" i="31"/>
  <c r="C531" i="31"/>
  <c r="C530" i="31"/>
  <c r="C529" i="31"/>
  <c r="C528" i="31"/>
  <c r="C527" i="31"/>
  <c r="C526" i="31"/>
  <c r="C525" i="31"/>
  <c r="C524" i="31"/>
  <c r="C523" i="31"/>
  <c r="C522" i="31"/>
  <c r="C521" i="31"/>
  <c r="C520" i="31"/>
  <c r="C519" i="31"/>
  <c r="C518" i="31"/>
  <c r="C517" i="31"/>
  <c r="C516" i="31"/>
  <c r="C515" i="31"/>
  <c r="C514" i="31"/>
  <c r="C513" i="31"/>
  <c r="C512" i="31"/>
  <c r="C511" i="31"/>
  <c r="C510" i="31"/>
  <c r="C509" i="31"/>
  <c r="C508" i="31"/>
  <c r="C507" i="31"/>
  <c r="C506" i="31"/>
  <c r="C505" i="31"/>
  <c r="C504" i="31"/>
  <c r="C503" i="31"/>
  <c r="C502" i="31"/>
  <c r="C501" i="31"/>
  <c r="C500" i="31"/>
  <c r="C499" i="31"/>
  <c r="C498" i="31"/>
  <c r="C497" i="31"/>
  <c r="C496" i="31"/>
  <c r="C495" i="31"/>
  <c r="C494" i="31"/>
  <c r="C493" i="31"/>
  <c r="C492" i="31"/>
  <c r="C491" i="31"/>
  <c r="C490" i="31"/>
  <c r="C489" i="31"/>
  <c r="C488" i="31"/>
  <c r="C487" i="31"/>
  <c r="C486" i="31"/>
  <c r="C485" i="31"/>
  <c r="C484" i="31"/>
  <c r="C483" i="31"/>
  <c r="C482" i="31"/>
  <c r="C481" i="31"/>
  <c r="C480" i="31"/>
  <c r="C479" i="31"/>
  <c r="C478" i="31"/>
  <c r="C477" i="31"/>
  <c r="C476" i="31"/>
  <c r="C475" i="31"/>
  <c r="C474" i="31"/>
  <c r="C473" i="31"/>
  <c r="C472" i="31"/>
  <c r="C471" i="31"/>
  <c r="C470" i="31"/>
  <c r="C469" i="31"/>
  <c r="C468" i="31"/>
  <c r="C467" i="31"/>
  <c r="C466" i="31"/>
  <c r="C465" i="31"/>
  <c r="C464" i="31"/>
  <c r="C463" i="31"/>
  <c r="C462" i="31"/>
  <c r="C461" i="31"/>
  <c r="C460" i="31"/>
  <c r="C459" i="31"/>
  <c r="C458" i="31"/>
  <c r="C457" i="31"/>
  <c r="C456" i="31"/>
  <c r="C455" i="31"/>
  <c r="C454" i="31"/>
  <c r="C453" i="31"/>
  <c r="C452" i="31"/>
  <c r="C434" i="31"/>
  <c r="B433" i="31"/>
  <c r="C432" i="31"/>
  <c r="B432" i="31"/>
  <c r="B431" i="31"/>
  <c r="C430" i="31"/>
  <c r="B430" i="31"/>
  <c r="C429" i="31"/>
  <c r="B429" i="31"/>
  <c r="C428" i="31"/>
  <c r="B428" i="31"/>
  <c r="C427" i="31"/>
  <c r="B427" i="31"/>
  <c r="B426" i="31"/>
  <c r="C425" i="31"/>
  <c r="B425" i="31"/>
  <c r="B424" i="31"/>
  <c r="B423" i="31"/>
  <c r="B422" i="31"/>
  <c r="C421" i="31"/>
  <c r="B421" i="31"/>
  <c r="C420" i="31"/>
  <c r="B420" i="31"/>
  <c r="B419" i="31"/>
  <c r="C418" i="31"/>
  <c r="B418" i="31"/>
  <c r="B417" i="31"/>
  <c r="C416" i="31"/>
  <c r="B416" i="31"/>
  <c r="C415" i="31"/>
  <c r="B415" i="31"/>
  <c r="B414" i="31"/>
  <c r="B413" i="31"/>
  <c r="B412" i="31"/>
  <c r="C411" i="31"/>
  <c r="B411" i="31"/>
  <c r="C410" i="31"/>
  <c r="B410" i="31"/>
  <c r="C409" i="31"/>
  <c r="B409" i="31"/>
  <c r="B408" i="31"/>
  <c r="B407" i="31"/>
  <c r="C406" i="31"/>
  <c r="B406" i="31"/>
  <c r="C405" i="31"/>
  <c r="B405" i="31"/>
  <c r="C404" i="31"/>
  <c r="B404" i="31"/>
  <c r="C403" i="31"/>
  <c r="B403" i="31"/>
  <c r="B402" i="31"/>
  <c r="B401" i="31"/>
  <c r="C400" i="31"/>
  <c r="B400" i="31"/>
  <c r="C399" i="31"/>
  <c r="B399" i="31"/>
  <c r="C398" i="31"/>
  <c r="B398" i="31"/>
  <c r="C397" i="31"/>
  <c r="B397" i="31"/>
  <c r="C396" i="31"/>
  <c r="B396" i="31"/>
  <c r="C395" i="31"/>
  <c r="B395" i="31"/>
  <c r="C394" i="31"/>
  <c r="B394" i="31"/>
  <c r="B393" i="31"/>
  <c r="C392" i="31"/>
  <c r="B392" i="31"/>
  <c r="B391" i="31"/>
  <c r="C390" i="31"/>
  <c r="B390" i="31"/>
  <c r="B389" i="31"/>
  <c r="C388" i="31"/>
  <c r="B388" i="31"/>
  <c r="C387" i="31"/>
  <c r="B387" i="31"/>
  <c r="B386" i="31"/>
  <c r="C385" i="31"/>
  <c r="B385" i="31"/>
  <c r="C384" i="31"/>
  <c r="B384" i="31"/>
  <c r="C383" i="31"/>
  <c r="B383" i="31"/>
  <c r="C382" i="31"/>
  <c r="B382" i="31"/>
  <c r="B381" i="31"/>
  <c r="C380" i="31"/>
  <c r="B380" i="31"/>
  <c r="B379" i="31"/>
  <c r="C378" i="31"/>
  <c r="B378" i="31"/>
  <c r="C377" i="31"/>
  <c r="B377" i="31"/>
  <c r="C376" i="31"/>
  <c r="B376" i="31"/>
  <c r="C375" i="31"/>
  <c r="B375" i="31"/>
  <c r="C374" i="31"/>
  <c r="B374" i="31"/>
  <c r="C373" i="31"/>
  <c r="B373" i="31"/>
  <c r="C372" i="31"/>
  <c r="B372" i="31"/>
  <c r="B371" i="31"/>
  <c r="C370" i="31"/>
  <c r="B370" i="31"/>
  <c r="B369" i="31"/>
  <c r="B368" i="31"/>
  <c r="B367" i="31"/>
  <c r="C366" i="31"/>
  <c r="B366" i="31"/>
  <c r="C365" i="31"/>
  <c r="B365" i="31"/>
  <c r="C364" i="31"/>
  <c r="B364" i="31"/>
  <c r="C363" i="31"/>
  <c r="B363" i="31"/>
  <c r="C362" i="31"/>
  <c r="B362" i="31"/>
  <c r="C361" i="31"/>
  <c r="B361" i="31"/>
  <c r="C360" i="31"/>
  <c r="B360" i="31"/>
  <c r="C359" i="31"/>
  <c r="B359" i="31"/>
  <c r="B358" i="31"/>
  <c r="C357" i="31"/>
  <c r="B357" i="31"/>
  <c r="B356" i="31"/>
  <c r="B355" i="31"/>
  <c r="B354" i="31"/>
  <c r="C353" i="31"/>
  <c r="B353" i="31"/>
  <c r="C352" i="31"/>
  <c r="B352" i="31"/>
  <c r="C351" i="31"/>
  <c r="B351" i="31"/>
  <c r="C350" i="31"/>
  <c r="B350" i="31"/>
  <c r="C349" i="31"/>
  <c r="B349" i="31"/>
  <c r="C348" i="31"/>
  <c r="B348" i="31"/>
  <c r="C347" i="31"/>
  <c r="B347" i="31"/>
  <c r="C346" i="31"/>
  <c r="B346" i="31"/>
  <c r="B345" i="31"/>
  <c r="C344" i="31"/>
  <c r="B344" i="31"/>
  <c r="C343" i="31"/>
  <c r="B343" i="31"/>
  <c r="B342" i="31"/>
  <c r="C341" i="31"/>
  <c r="B341" i="31"/>
  <c r="B340" i="31"/>
  <c r="B339" i="31"/>
  <c r="B338" i="31"/>
  <c r="C337" i="31"/>
  <c r="B337" i="31"/>
  <c r="C336" i="31"/>
  <c r="B336" i="31"/>
  <c r="C335" i="31"/>
  <c r="B335" i="31"/>
  <c r="C334" i="31"/>
  <c r="B334" i="31"/>
  <c r="C333" i="31"/>
  <c r="B333" i="31"/>
  <c r="C332" i="31"/>
  <c r="B332" i="31"/>
  <c r="C331" i="31"/>
  <c r="B331" i="31"/>
  <c r="B330" i="31"/>
  <c r="C329" i="31"/>
  <c r="B329" i="31"/>
  <c r="C328" i="31"/>
  <c r="B328" i="31"/>
  <c r="C327" i="31"/>
  <c r="B327" i="31"/>
  <c r="B326" i="31"/>
  <c r="B325" i="31"/>
  <c r="C324" i="31"/>
  <c r="B324" i="31"/>
  <c r="C323" i="31"/>
  <c r="B323" i="31"/>
  <c r="C322" i="31"/>
  <c r="B322" i="31"/>
  <c r="C321" i="31"/>
  <c r="B321" i="31"/>
  <c r="C320" i="31"/>
  <c r="B320" i="31"/>
  <c r="C319" i="31"/>
  <c r="B319" i="31"/>
  <c r="C318" i="31"/>
  <c r="B318" i="31"/>
  <c r="C317" i="31"/>
  <c r="B317" i="31"/>
  <c r="C316" i="31"/>
  <c r="B316" i="31"/>
  <c r="C315" i="31"/>
  <c r="B315" i="31"/>
  <c r="C314" i="31"/>
  <c r="B314" i="31"/>
  <c r="C313" i="31"/>
  <c r="B313" i="31"/>
  <c r="C312" i="31"/>
  <c r="B312" i="31"/>
  <c r="C311" i="31"/>
  <c r="B311" i="31"/>
  <c r="C310" i="31"/>
  <c r="B310" i="31"/>
  <c r="C309" i="31"/>
  <c r="B309" i="31"/>
  <c r="C308" i="31"/>
  <c r="B308" i="31"/>
  <c r="C307" i="31"/>
  <c r="B307" i="31"/>
  <c r="B306" i="31"/>
  <c r="B305" i="31"/>
  <c r="B304" i="31"/>
  <c r="C303" i="31"/>
  <c r="B303" i="31"/>
  <c r="C302" i="31"/>
  <c r="B302" i="31"/>
  <c r="C301" i="31"/>
  <c r="B301" i="31"/>
  <c r="B300" i="31"/>
  <c r="C299" i="31"/>
  <c r="B299" i="31"/>
  <c r="B298" i="31"/>
  <c r="C297" i="31"/>
  <c r="B297" i="31"/>
  <c r="B296" i="31"/>
  <c r="B295" i="31"/>
  <c r="B294" i="31"/>
  <c r="C293" i="31"/>
  <c r="B293" i="31"/>
  <c r="C292" i="31"/>
  <c r="B292" i="31"/>
  <c r="B291" i="31"/>
  <c r="B290" i="31"/>
  <c r="B289" i="31"/>
  <c r="C288" i="31"/>
  <c r="B288" i="31"/>
  <c r="B287" i="31"/>
  <c r="B286" i="31"/>
  <c r="C285" i="31"/>
  <c r="B285" i="31"/>
  <c r="C284" i="31"/>
  <c r="B284" i="31"/>
  <c r="B283" i="31"/>
  <c r="B282" i="31"/>
  <c r="C281" i="31"/>
  <c r="B281" i="31"/>
  <c r="C280" i="31"/>
  <c r="B280" i="31"/>
  <c r="B279" i="31"/>
  <c r="B278" i="31"/>
  <c r="C277" i="31"/>
  <c r="B277" i="31"/>
  <c r="C276" i="31"/>
  <c r="B276" i="31"/>
  <c r="C275" i="31"/>
  <c r="B275" i="31"/>
  <c r="C274" i="31"/>
  <c r="B274" i="31"/>
  <c r="C273" i="31"/>
  <c r="B273" i="31"/>
  <c r="C272" i="31"/>
  <c r="B272" i="31"/>
  <c r="C271" i="31"/>
  <c r="B271" i="31"/>
  <c r="C270" i="31"/>
  <c r="B270" i="31"/>
  <c r="C269" i="31"/>
  <c r="B269" i="31"/>
  <c r="B268" i="31"/>
  <c r="B267" i="31"/>
  <c r="B266" i="31"/>
  <c r="B265" i="31"/>
  <c r="C264" i="31"/>
  <c r="B264" i="31"/>
  <c r="C263" i="31"/>
  <c r="B263" i="31"/>
  <c r="C262" i="31"/>
  <c r="B262" i="31"/>
  <c r="C261" i="31"/>
  <c r="B261" i="31"/>
  <c r="C260" i="31"/>
  <c r="B260" i="31"/>
  <c r="C259" i="31"/>
  <c r="B259" i="31"/>
  <c r="C258" i="31"/>
  <c r="B258" i="31"/>
  <c r="C257" i="31"/>
  <c r="B257" i="31"/>
  <c r="C256" i="31"/>
  <c r="B256" i="31"/>
  <c r="C255" i="31"/>
  <c r="B255" i="31"/>
  <c r="C254" i="31"/>
  <c r="B254" i="31"/>
  <c r="C253" i="31"/>
  <c r="B253" i="31"/>
  <c r="C252" i="31"/>
  <c r="B252" i="31"/>
  <c r="C251" i="31"/>
  <c r="B251" i="31"/>
  <c r="C250" i="31"/>
  <c r="B250" i="31"/>
  <c r="C249" i="31"/>
  <c r="B249" i="31"/>
  <c r="B248" i="31"/>
  <c r="B247" i="31"/>
  <c r="B246" i="31"/>
  <c r="B245" i="31"/>
  <c r="C244" i="31"/>
  <c r="B244" i="31"/>
  <c r="C243" i="31"/>
  <c r="B243" i="31"/>
  <c r="B242" i="31"/>
  <c r="C241" i="31"/>
  <c r="B241" i="31"/>
  <c r="B240" i="31"/>
  <c r="B239" i="31"/>
  <c r="B238" i="31"/>
  <c r="C237" i="31"/>
  <c r="B237" i="31"/>
  <c r="C236" i="31"/>
  <c r="B236" i="31"/>
  <c r="B235" i="31"/>
  <c r="B234" i="31"/>
  <c r="C233" i="31"/>
  <c r="B233" i="31"/>
  <c r="C232" i="31"/>
  <c r="B232" i="31"/>
  <c r="C231" i="31"/>
  <c r="B231" i="31"/>
  <c r="B230" i="31"/>
  <c r="B229" i="31"/>
  <c r="B228" i="31"/>
  <c r="C227" i="31"/>
  <c r="B227" i="31"/>
  <c r="C226" i="31"/>
  <c r="B226" i="31"/>
  <c r="B225" i="31"/>
  <c r="B224" i="31"/>
  <c r="B223" i="31"/>
  <c r="B222" i="31"/>
  <c r="C221" i="31"/>
  <c r="B221" i="31"/>
  <c r="B220" i="31"/>
  <c r="B219" i="31"/>
  <c r="C218" i="31"/>
  <c r="B218" i="31"/>
  <c r="C217" i="31"/>
  <c r="B217" i="31"/>
  <c r="B216" i="31"/>
  <c r="B215" i="31"/>
  <c r="C214" i="31"/>
  <c r="B214" i="31"/>
  <c r="C213" i="31"/>
  <c r="B213" i="31"/>
  <c r="B212" i="31"/>
  <c r="C211" i="31"/>
  <c r="B211" i="31"/>
  <c r="C210" i="31"/>
  <c r="B210" i="31"/>
  <c r="B209" i="31"/>
  <c r="B208" i="31"/>
  <c r="B207" i="31"/>
  <c r="C206" i="31"/>
  <c r="B206" i="31"/>
  <c r="C205" i="31"/>
  <c r="B205" i="31"/>
  <c r="B204" i="31"/>
  <c r="B203" i="31"/>
  <c r="C202" i="31"/>
  <c r="B202" i="31"/>
  <c r="C201" i="31"/>
  <c r="B201" i="31"/>
  <c r="C200" i="31"/>
  <c r="B200" i="31"/>
  <c r="B199" i="31"/>
  <c r="B198" i="31"/>
  <c r="C197" i="31"/>
  <c r="B197" i="31"/>
  <c r="C196" i="31"/>
  <c r="B196" i="31"/>
  <c r="B195" i="31"/>
  <c r="B194" i="31"/>
  <c r="B193" i="31"/>
  <c r="C192" i="31"/>
  <c r="B192" i="31"/>
  <c r="C191" i="31"/>
  <c r="B191" i="31"/>
  <c r="C190" i="31"/>
  <c r="B190" i="31"/>
  <c r="C189" i="31"/>
  <c r="B189" i="31"/>
  <c r="C188" i="31"/>
  <c r="B188" i="31"/>
  <c r="C187" i="31"/>
  <c r="B187" i="31"/>
  <c r="C186" i="31"/>
  <c r="B186" i="31"/>
  <c r="C185" i="31"/>
  <c r="B185" i="31"/>
  <c r="C184" i="31"/>
  <c r="B184" i="31"/>
  <c r="B183" i="31"/>
  <c r="C182" i="31"/>
  <c r="B182" i="31"/>
  <c r="C181" i="31"/>
  <c r="B181" i="31"/>
  <c r="C180" i="31"/>
  <c r="B180" i="31"/>
  <c r="C179" i="31"/>
  <c r="B179" i="31"/>
  <c r="C178" i="31"/>
  <c r="B178" i="31"/>
  <c r="C177" i="31"/>
  <c r="B177" i="31"/>
  <c r="C176" i="31"/>
  <c r="B176" i="31"/>
  <c r="C175" i="31"/>
  <c r="B175" i="31"/>
  <c r="C174" i="31"/>
  <c r="B174" i="31"/>
  <c r="C173" i="31"/>
  <c r="B173" i="31"/>
  <c r="C172" i="31"/>
  <c r="B172" i="31"/>
  <c r="C171" i="31"/>
  <c r="B171" i="31"/>
  <c r="B170" i="31"/>
  <c r="B169" i="31"/>
  <c r="B168" i="31"/>
  <c r="B167" i="31"/>
  <c r="C166" i="31"/>
  <c r="B166" i="31"/>
  <c r="C165" i="31"/>
  <c r="B165" i="31"/>
  <c r="B164" i="31"/>
  <c r="B163" i="31"/>
  <c r="B162" i="31"/>
  <c r="C161" i="31"/>
  <c r="B161" i="31"/>
  <c r="C160" i="31"/>
  <c r="B160" i="31"/>
  <c r="B159" i="31"/>
  <c r="B158" i="31"/>
  <c r="B157" i="31"/>
  <c r="C156" i="31"/>
  <c r="B156" i="31"/>
  <c r="C155" i="31"/>
  <c r="B155" i="31"/>
  <c r="B154" i="31"/>
  <c r="C153" i="31"/>
  <c r="B153" i="31"/>
  <c r="B152" i="31"/>
  <c r="C151" i="31"/>
  <c r="B151" i="31"/>
  <c r="C150" i="31"/>
  <c r="B150" i="31"/>
  <c r="B149" i="31"/>
  <c r="B148" i="31"/>
  <c r="B147" i="31"/>
  <c r="B146" i="31"/>
  <c r="C145" i="31"/>
  <c r="B145" i="31"/>
  <c r="C144" i="31"/>
  <c r="B144" i="31"/>
  <c r="B143" i="31"/>
  <c r="B142" i="31"/>
  <c r="B141" i="31"/>
  <c r="B140" i="31"/>
  <c r="C139" i="31"/>
  <c r="B139" i="31"/>
  <c r="C138" i="31"/>
  <c r="B138" i="31"/>
  <c r="C137" i="31"/>
  <c r="B137" i="31"/>
  <c r="C136" i="31"/>
  <c r="B136" i="31"/>
  <c r="C135" i="31"/>
  <c r="B135" i="31"/>
  <c r="C134" i="31"/>
  <c r="B134" i="31"/>
  <c r="B133" i="31"/>
  <c r="B132" i="31"/>
  <c r="B131" i="31"/>
  <c r="B130" i="31"/>
  <c r="C129" i="31"/>
  <c r="B129" i="31"/>
  <c r="C128" i="31"/>
  <c r="B128" i="31"/>
  <c r="B127" i="31"/>
  <c r="B126" i="31"/>
  <c r="C125" i="31"/>
  <c r="B125" i="31"/>
  <c r="B124" i="31"/>
  <c r="B123" i="31"/>
  <c r="C122" i="31"/>
  <c r="B122" i="31"/>
  <c r="C121" i="31"/>
  <c r="B121" i="31"/>
  <c r="B120" i="31"/>
  <c r="C119" i="31"/>
  <c r="B119" i="31"/>
  <c r="B118" i="31"/>
  <c r="B117" i="31"/>
  <c r="B116" i="31"/>
  <c r="B115" i="31"/>
  <c r="C114" i="31"/>
  <c r="B114" i="31"/>
  <c r="C113" i="31"/>
  <c r="B113" i="31"/>
  <c r="B112" i="31"/>
  <c r="B111" i="31"/>
  <c r="C110" i="31"/>
  <c r="B110" i="31"/>
  <c r="C109" i="31"/>
  <c r="B109" i="31"/>
  <c r="C108" i="31"/>
  <c r="B108" i="31"/>
  <c r="C107" i="31"/>
  <c r="B107" i="31"/>
  <c r="B106" i="31"/>
  <c r="B105" i="31"/>
  <c r="C104" i="31"/>
  <c r="B104" i="31"/>
  <c r="B103" i="31"/>
  <c r="C102" i="31"/>
  <c r="B102" i="31"/>
  <c r="C101" i="31"/>
  <c r="B101" i="31"/>
  <c r="C100" i="31"/>
  <c r="B100" i="31"/>
  <c r="C99" i="31"/>
  <c r="B99" i="31"/>
  <c r="C98" i="31"/>
  <c r="B98" i="31"/>
  <c r="C97" i="31"/>
  <c r="B97" i="31"/>
  <c r="B96" i="31"/>
  <c r="C95" i="31"/>
  <c r="B95" i="31"/>
  <c r="B94" i="31"/>
  <c r="B93" i="31"/>
  <c r="C92" i="31"/>
  <c r="B92" i="31"/>
  <c r="C91" i="31"/>
  <c r="B91" i="31"/>
  <c r="C90" i="31"/>
  <c r="B90" i="31"/>
  <c r="C89" i="31"/>
  <c r="B89" i="31"/>
  <c r="C88" i="31"/>
  <c r="B88" i="31"/>
  <c r="C87" i="31"/>
  <c r="B87" i="31"/>
  <c r="C86" i="31"/>
  <c r="B86" i="31"/>
  <c r="C85" i="31"/>
  <c r="B85" i="31"/>
  <c r="B84" i="31"/>
  <c r="B83" i="31"/>
  <c r="B82" i="31"/>
  <c r="B81" i="31"/>
  <c r="C80" i="31"/>
  <c r="B80" i="31"/>
  <c r="C79" i="31"/>
  <c r="B79" i="31"/>
  <c r="C78" i="31"/>
  <c r="B78" i="31"/>
  <c r="C77" i="31"/>
  <c r="B77" i="31"/>
  <c r="C76" i="31"/>
  <c r="B76" i="31"/>
  <c r="C75" i="31"/>
  <c r="B75" i="31"/>
  <c r="C74" i="31"/>
  <c r="B74" i="31"/>
  <c r="B73" i="31"/>
  <c r="B72" i="31"/>
  <c r="C71" i="31"/>
  <c r="B71" i="31"/>
  <c r="C70" i="31"/>
  <c r="B70" i="31"/>
  <c r="B69" i="31"/>
  <c r="G435" i="31"/>
  <c r="B68" i="31"/>
  <c r="C67" i="31"/>
  <c r="B67" i="31"/>
  <c r="C66" i="31"/>
  <c r="B66" i="31"/>
  <c r="C65" i="31"/>
  <c r="B65" i="31"/>
  <c r="B64" i="31"/>
  <c r="C63" i="31"/>
  <c r="B63" i="31"/>
  <c r="B62" i="31"/>
  <c r="B61" i="31"/>
  <c r="B60" i="31"/>
  <c r="C59" i="31"/>
  <c r="B59" i="31"/>
  <c r="C58" i="31"/>
  <c r="B58" i="31"/>
  <c r="B57" i="31"/>
  <c r="B56" i="31"/>
  <c r="B55" i="31"/>
  <c r="B54" i="31"/>
  <c r="C53" i="31"/>
  <c r="B53" i="31"/>
  <c r="C52" i="31"/>
  <c r="B52" i="31"/>
  <c r="B51" i="31"/>
  <c r="B50" i="31"/>
  <c r="B49" i="31"/>
  <c r="B48" i="31"/>
  <c r="C47" i="31"/>
  <c r="B47" i="31"/>
  <c r="C46" i="31"/>
  <c r="B46" i="31"/>
  <c r="C45" i="31"/>
  <c r="B45" i="31"/>
  <c r="C44" i="31"/>
  <c r="B44" i="31"/>
  <c r="C43" i="31"/>
  <c r="B43" i="31"/>
  <c r="C42" i="31"/>
  <c r="B42" i="31"/>
  <c r="C41" i="31"/>
  <c r="B41" i="31"/>
  <c r="B40" i="31"/>
  <c r="B39" i="31"/>
  <c r="B38" i="31"/>
  <c r="C37" i="31"/>
  <c r="B37" i="31"/>
  <c r="C36" i="31"/>
  <c r="B36" i="31"/>
  <c r="B35" i="31"/>
  <c r="B34" i="31"/>
  <c r="B33" i="31"/>
  <c r="B32" i="31"/>
  <c r="C31" i="31"/>
  <c r="B31" i="31"/>
  <c r="C30" i="31"/>
  <c r="B30" i="31"/>
  <c r="C29" i="31"/>
  <c r="B29" i="31"/>
  <c r="C28" i="31"/>
  <c r="B28" i="31"/>
  <c r="C27" i="31"/>
  <c r="B27" i="31"/>
  <c r="C26" i="31"/>
  <c r="B26" i="31"/>
  <c r="B25" i="31"/>
  <c r="B24" i="31"/>
  <c r="C23" i="31"/>
  <c r="B23" i="31"/>
  <c r="C22" i="31"/>
  <c r="B22" i="31"/>
  <c r="C21" i="31"/>
  <c r="B21" i="31"/>
  <c r="B20" i="31"/>
  <c r="B19" i="31"/>
  <c r="B18" i="31"/>
  <c r="B17" i="31"/>
  <c r="C16" i="31"/>
  <c r="B16" i="31"/>
  <c r="B15" i="31"/>
  <c r="B14" i="31"/>
  <c r="C13" i="31"/>
  <c r="B13" i="31"/>
  <c r="C12" i="31"/>
  <c r="B12" i="31"/>
  <c r="B11" i="31"/>
  <c r="C296" i="31"/>
  <c r="C132" i="31"/>
  <c r="C83" i="31"/>
  <c r="C431" i="31" l="1"/>
  <c r="AP10" i="13"/>
  <c r="I52" i="30"/>
  <c r="J52" i="30"/>
  <c r="E14" i="32"/>
  <c r="M52" i="30"/>
  <c r="I4" i="30"/>
  <c r="J4" i="30"/>
  <c r="I5" i="30"/>
  <c r="J5" i="30"/>
  <c r="I6" i="30"/>
  <c r="J6" i="30"/>
  <c r="I7" i="30"/>
  <c r="J7" i="30"/>
  <c r="I8" i="30"/>
  <c r="J8" i="30"/>
  <c r="I9" i="30"/>
  <c r="J9" i="30"/>
  <c r="AP384" i="1"/>
  <c r="AV7" i="10"/>
  <c r="AW7" i="10"/>
  <c r="AX7" i="10"/>
  <c r="AY7" i="10"/>
  <c r="AU7" i="10"/>
  <c r="E11" i="29"/>
  <c r="AL450" i="1"/>
  <c r="AK450" i="1"/>
  <c r="AL449" i="1"/>
  <c r="AK449" i="1"/>
  <c r="AL448" i="1"/>
  <c r="AK448" i="1"/>
  <c r="AL447" i="1"/>
  <c r="AK447" i="1"/>
  <c r="AL446" i="1"/>
  <c r="AK446" i="1"/>
  <c r="AL445" i="1"/>
  <c r="AK445" i="1"/>
  <c r="E12" i="29"/>
  <c r="D60" i="11"/>
  <c r="F60" i="11"/>
  <c r="G60" i="11"/>
  <c r="AS384" i="1" l="1"/>
  <c r="AT384" i="1" s="1"/>
  <c r="AO450" i="1"/>
  <c r="C379" i="31"/>
  <c r="C413" i="31"/>
  <c r="AL451" i="1"/>
  <c r="AK451" i="1"/>
  <c r="C68" i="31"/>
  <c r="AQ228" i="1"/>
  <c r="AQ406" i="1"/>
  <c r="AQ310" i="1"/>
  <c r="AQ272" i="1"/>
  <c r="AQ252" i="1"/>
  <c r="AQ239" i="1"/>
  <c r="AQ234" i="1"/>
  <c r="AQ229" i="1"/>
  <c r="AQ227" i="1"/>
  <c r="AQ220" i="1"/>
  <c r="AQ198" i="1"/>
  <c r="AQ194" i="1"/>
  <c r="AQ163" i="1"/>
  <c r="AQ158" i="1"/>
  <c r="AQ148" i="1"/>
  <c r="AQ142" i="1"/>
  <c r="C131" i="31"/>
  <c r="C124" i="31"/>
  <c r="C123" i="31"/>
  <c r="AQ111" i="1"/>
  <c r="AQ105" i="1"/>
  <c r="AQ62" i="1"/>
  <c r="AQ56" i="1"/>
  <c r="AQ50" i="1"/>
  <c r="AQ33" i="1"/>
  <c r="AQ24" i="1"/>
  <c r="AQ19" i="1"/>
  <c r="C20" i="11"/>
  <c r="AQ25" i="1" l="1"/>
  <c r="AQ407" i="1"/>
  <c r="AQ240" i="1"/>
  <c r="AQ221" i="1"/>
  <c r="AQ169" i="1"/>
  <c r="AQ294" i="1"/>
  <c r="AQ106" i="1"/>
  <c r="AQ245" i="1"/>
  <c r="AQ345" i="1"/>
  <c r="AQ117" i="1"/>
  <c r="AQ199" i="1"/>
  <c r="C56" i="31"/>
  <c r="C103" i="31"/>
  <c r="C142" i="31"/>
  <c r="C163" i="31"/>
  <c r="C219" i="31"/>
  <c r="C246" i="31"/>
  <c r="C295" i="31"/>
  <c r="C391" i="31"/>
  <c r="C60" i="31"/>
  <c r="C105" i="31"/>
  <c r="C146" i="31"/>
  <c r="C193" i="31"/>
  <c r="C220" i="31"/>
  <c r="C247" i="31"/>
  <c r="C304" i="31"/>
  <c r="C33" i="31"/>
  <c r="C111" i="31"/>
  <c r="C194" i="31"/>
  <c r="C222" i="31"/>
  <c r="AT227" i="1"/>
  <c r="C265" i="31"/>
  <c r="C305" i="31"/>
  <c r="C38" i="31"/>
  <c r="C148" i="31"/>
  <c r="C224" i="31"/>
  <c r="C266" i="31"/>
  <c r="C325" i="31"/>
  <c r="C94" i="31"/>
  <c r="C14" i="31"/>
  <c r="C61" i="31"/>
  <c r="C18" i="31"/>
  <c r="C62" i="31"/>
  <c r="C81" i="31"/>
  <c r="C152" i="31"/>
  <c r="C203" i="31"/>
  <c r="C228" i="31"/>
  <c r="C267" i="31"/>
  <c r="C330" i="31"/>
  <c r="C34" i="31"/>
  <c r="C17" i="31"/>
  <c r="C19" i="31"/>
  <c r="C49" i="31"/>
  <c r="C24" i="31"/>
  <c r="C50" i="31"/>
  <c r="C82" i="31"/>
  <c r="C126" i="31"/>
  <c r="C157" i="31"/>
  <c r="C207" i="31"/>
  <c r="C229" i="31"/>
  <c r="C278" i="31"/>
  <c r="C389" i="31"/>
  <c r="C39" i="31"/>
  <c r="C147" i="31"/>
  <c r="C48" i="31"/>
  <c r="C198" i="31"/>
  <c r="C32" i="31"/>
  <c r="C54" i="31"/>
  <c r="C93" i="31"/>
  <c r="C130" i="31"/>
  <c r="C158" i="31"/>
  <c r="C208" i="31"/>
  <c r="C234" i="31"/>
  <c r="C282" i="31"/>
  <c r="C401" i="31"/>
  <c r="C55" i="31"/>
  <c r="C162" i="31"/>
  <c r="C215" i="31"/>
  <c r="C245" i="31"/>
  <c r="C223" i="31"/>
  <c r="AP343" i="1"/>
  <c r="C294" i="31"/>
  <c r="AO449" i="1" l="1"/>
  <c r="AS343" i="1"/>
  <c r="AT343" i="1" s="1"/>
  <c r="C423" i="31"/>
  <c r="C417" i="31"/>
  <c r="C414" i="31"/>
  <c r="C419" i="31"/>
  <c r="C424" i="31"/>
  <c r="C412" i="31"/>
  <c r="C338" i="31"/>
  <c r="AP450" i="1"/>
  <c r="AP427" i="1"/>
  <c r="AP391" i="1"/>
  <c r="AM183" i="1"/>
  <c r="C386" i="31" l="1"/>
  <c r="AS391" i="1"/>
  <c r="AT391" i="1" s="1"/>
  <c r="AS427" i="1"/>
  <c r="AT427" i="1" s="1"/>
  <c r="AP431" i="1"/>
  <c r="C422" i="31"/>
  <c r="AP407" i="1"/>
  <c r="AP288" i="1"/>
  <c r="AP154" i="1"/>
  <c r="AP159" i="1"/>
  <c r="AP195" i="1"/>
  <c r="AP221" i="1"/>
  <c r="AP284" i="1"/>
  <c r="AT407" i="1" l="1"/>
  <c r="AS407" i="1"/>
  <c r="AS431" i="1"/>
  <c r="AT431" i="1" s="1"/>
  <c r="AS221" i="1"/>
  <c r="AT221" i="1" s="1"/>
  <c r="AS195" i="1"/>
  <c r="AT195" i="1" s="1"/>
  <c r="AS284" i="1"/>
  <c r="AT284" i="1" s="1"/>
  <c r="AS159" i="1"/>
  <c r="AT159" i="1" s="1"/>
  <c r="AS154" i="1"/>
  <c r="AT154" i="1" s="1"/>
  <c r="AS288" i="1"/>
  <c r="AT288" i="1" s="1"/>
  <c r="C283" i="31"/>
  <c r="C159" i="31"/>
  <c r="C154" i="31"/>
  <c r="C402" i="31"/>
  <c r="C279" i="31"/>
  <c r="C426" i="31"/>
  <c r="C216" i="31"/>
  <c r="C195" i="31"/>
  <c r="H12" i="32"/>
  <c r="AP295" i="1"/>
  <c r="AP311" i="1"/>
  <c r="AP344" i="1"/>
  <c r="AP273" i="1"/>
  <c r="AP291" i="1"/>
  <c r="AP292" i="1"/>
  <c r="AP240" i="1"/>
  <c r="AP204" i="1"/>
  <c r="AP243" i="1"/>
  <c r="AP199" i="1"/>
  <c r="AP230" i="1"/>
  <c r="AP164" i="1"/>
  <c r="AP149" i="1"/>
  <c r="AS240" i="1" l="1"/>
  <c r="AT240" i="1" s="1"/>
  <c r="AS292" i="1"/>
  <c r="AT292" i="1" s="1"/>
  <c r="AO448" i="1"/>
  <c r="AS291" i="1"/>
  <c r="AT291" i="1" s="1"/>
  <c r="AS273" i="1"/>
  <c r="AT273" i="1" s="1"/>
  <c r="AS230" i="1"/>
  <c r="AT230" i="1" s="1"/>
  <c r="AS149" i="1"/>
  <c r="AT149" i="1" s="1"/>
  <c r="AS164" i="1"/>
  <c r="AT164" i="1" s="1"/>
  <c r="AS311" i="1"/>
  <c r="AT311" i="1" s="1"/>
  <c r="AS295" i="1"/>
  <c r="AT295" i="1" s="1"/>
  <c r="AS344" i="1"/>
  <c r="AT344" i="1" s="1"/>
  <c r="AS199" i="1"/>
  <c r="AT199" i="1" s="1"/>
  <c r="AO447" i="1"/>
  <c r="AS243" i="1"/>
  <c r="AT243" i="1" s="1"/>
  <c r="AS204" i="1"/>
  <c r="AT204" i="1" s="1"/>
  <c r="C204" i="31"/>
  <c r="C235" i="31"/>
  <c r="C286" i="31"/>
  <c r="C287" i="31"/>
  <c r="C164" i="31"/>
  <c r="C225" i="31"/>
  <c r="C199" i="31"/>
  <c r="C149" i="31"/>
  <c r="C268" i="31"/>
  <c r="C306" i="31"/>
  <c r="C238" i="31"/>
  <c r="C290" i="31"/>
  <c r="C339" i="31"/>
  <c r="AP449" i="1"/>
  <c r="AP448" i="1"/>
  <c r="AP398" i="1"/>
  <c r="AP331" i="1"/>
  <c r="AP235" i="1"/>
  <c r="AP244" i="1"/>
  <c r="AS244" i="1" l="1"/>
  <c r="AT244" i="1" s="1"/>
  <c r="AS331" i="1"/>
  <c r="AT331" i="1" s="1"/>
  <c r="AS235" i="1"/>
  <c r="AT235" i="1" s="1"/>
  <c r="AS398" i="1"/>
  <c r="AT398" i="1" s="1"/>
  <c r="C393" i="31"/>
  <c r="C230" i="31"/>
  <c r="C239" i="31"/>
  <c r="C326" i="31"/>
  <c r="AP412" i="1"/>
  <c r="AP447" i="1"/>
  <c r="AP345" i="1"/>
  <c r="AP303" i="1"/>
  <c r="AP294" i="1"/>
  <c r="AP253" i="1"/>
  <c r="AP217" i="1"/>
  <c r="AP245" i="1"/>
  <c r="AS303" i="1" l="1"/>
  <c r="AT303" i="1" s="1"/>
  <c r="AS345" i="1"/>
  <c r="AT345" i="1" s="1"/>
  <c r="AS412" i="1"/>
  <c r="AT412" i="1" s="1"/>
  <c r="AS217" i="1"/>
  <c r="AT217" i="1" s="1"/>
  <c r="AS245" i="1"/>
  <c r="AT245" i="1" s="1"/>
  <c r="AS253" i="1"/>
  <c r="AT253" i="1" s="1"/>
  <c r="AS294" i="1"/>
  <c r="AT294" i="1" s="1"/>
  <c r="C212" i="31"/>
  <c r="C289" i="31"/>
  <c r="C248" i="31"/>
  <c r="C298" i="31"/>
  <c r="C340" i="31"/>
  <c r="C240" i="31"/>
  <c r="C407" i="31"/>
  <c r="AP247" i="1"/>
  <c r="AP347" i="1"/>
  <c r="AP305" i="1"/>
  <c r="AP296" i="1"/>
  <c r="Z17" i="10"/>
  <c r="AJ17" i="10" s="1"/>
  <c r="AP112" i="1"/>
  <c r="AP73" i="1"/>
  <c r="AP69" i="1"/>
  <c r="AP118" i="1"/>
  <c r="AP25" i="1"/>
  <c r="AS25" i="1" l="1"/>
  <c r="AT25" i="1" s="1"/>
  <c r="AS118" i="1"/>
  <c r="AT118" i="1" s="1"/>
  <c r="AS247" i="1"/>
  <c r="AT247" i="1" s="1"/>
  <c r="AS69" i="1"/>
  <c r="AT69" i="1" s="1"/>
  <c r="AS73" i="1"/>
  <c r="AT73" i="1" s="1"/>
  <c r="AS305" i="1"/>
  <c r="AT305" i="1" s="1"/>
  <c r="AS347" i="1"/>
  <c r="AT347" i="1" s="1"/>
  <c r="AS112" i="1"/>
  <c r="AT112" i="1" s="1"/>
  <c r="AS296" i="1"/>
  <c r="AT296" i="1" s="1"/>
  <c r="C73" i="31"/>
  <c r="C112" i="31"/>
  <c r="C118" i="31"/>
  <c r="C69" i="31"/>
  <c r="C25" i="31"/>
  <c r="C342" i="31"/>
  <c r="C242" i="31"/>
  <c r="C291" i="31"/>
  <c r="C300" i="31"/>
  <c r="Z14" i="10"/>
  <c r="AJ14" i="10" s="1"/>
  <c r="AP350" i="1"/>
  <c r="Z13" i="10"/>
  <c r="AJ13" i="10" s="1"/>
  <c r="AP169" i="1"/>
  <c r="AP143" i="1"/>
  <c r="AP133" i="1"/>
  <c r="AP127" i="1"/>
  <c r="AP167" i="1"/>
  <c r="AP168" i="1"/>
  <c r="AP51" i="1"/>
  <c r="AP96" i="1"/>
  <c r="AP115" i="1"/>
  <c r="AP35" i="1"/>
  <c r="AP64" i="1"/>
  <c r="AP116" i="1"/>
  <c r="AP57" i="1"/>
  <c r="AP40" i="1"/>
  <c r="AP106" i="1"/>
  <c r="AP117" i="1"/>
  <c r="AP84" i="1"/>
  <c r="AP15" i="1"/>
  <c r="AP20" i="1"/>
  <c r="AB55" i="10"/>
  <c r="AB51" i="10"/>
  <c r="AB50" i="10"/>
  <c r="AB49" i="10"/>
  <c r="AB38" i="10"/>
  <c r="AS35" i="1" l="1"/>
  <c r="AT35" i="1" s="1"/>
  <c r="AS15" i="1"/>
  <c r="AT15" i="1" s="1"/>
  <c r="AS117" i="1"/>
  <c r="AT117" i="1" s="1"/>
  <c r="AS106" i="1"/>
  <c r="AT106" i="1" s="1"/>
  <c r="AO445" i="1"/>
  <c r="AS115" i="1"/>
  <c r="AT115" i="1" s="1"/>
  <c r="AS350" i="1"/>
  <c r="AT350" i="1" s="1"/>
  <c r="AS169" i="1"/>
  <c r="AT169" i="1" s="1"/>
  <c r="AS96" i="1"/>
  <c r="AT96" i="1" s="1"/>
  <c r="AS51" i="1"/>
  <c r="AT51" i="1" s="1"/>
  <c r="AS40" i="1"/>
  <c r="AT40" i="1" s="1"/>
  <c r="AS57" i="1"/>
  <c r="AT57" i="1" s="1"/>
  <c r="AS143" i="1"/>
  <c r="AT143" i="1" s="1"/>
  <c r="AS84" i="1"/>
  <c r="AT84" i="1" s="1"/>
  <c r="AS168" i="1"/>
  <c r="AT168" i="1" s="1"/>
  <c r="AO446" i="1"/>
  <c r="AS167" i="1"/>
  <c r="AT167" i="1" s="1"/>
  <c r="AS116" i="1"/>
  <c r="AT116" i="1" s="1"/>
  <c r="AS127" i="1"/>
  <c r="AT127" i="1" s="1"/>
  <c r="AS20" i="1"/>
  <c r="AT20" i="1" s="1"/>
  <c r="AS64" i="1"/>
  <c r="AT64" i="1" s="1"/>
  <c r="AS133" i="1"/>
  <c r="AT133" i="1" s="1"/>
  <c r="C64" i="31"/>
  <c r="C35" i="31"/>
  <c r="C169" i="31"/>
  <c r="C20" i="31"/>
  <c r="C117" i="31"/>
  <c r="C96" i="31"/>
  <c r="C115" i="31"/>
  <c r="C106" i="31"/>
  <c r="C51" i="31"/>
  <c r="C345" i="31"/>
  <c r="C15" i="31"/>
  <c r="C84" i="31"/>
  <c r="C40" i="31"/>
  <c r="C168" i="31"/>
  <c r="C143" i="31"/>
  <c r="C57" i="31"/>
  <c r="C133" i="31"/>
  <c r="C116" i="31"/>
  <c r="C127" i="31"/>
  <c r="C167" i="31"/>
  <c r="AP170" i="1"/>
  <c r="AP446" i="1"/>
  <c r="Z15" i="10"/>
  <c r="AJ15" i="10" s="1"/>
  <c r="AP445" i="1"/>
  <c r="AP120" i="1"/>
  <c r="AO451" i="1" l="1"/>
  <c r="AS170" i="1"/>
  <c r="AT170" i="1" s="1"/>
  <c r="Z10" i="10"/>
  <c r="AJ10" i="10" s="1"/>
  <c r="AS120" i="1"/>
  <c r="AT120" i="1" s="1"/>
  <c r="C170" i="31"/>
  <c r="C120" i="31"/>
  <c r="Z11" i="10"/>
  <c r="AJ11" i="10" s="1"/>
  <c r="AP451" i="1"/>
  <c r="Z40" i="10"/>
  <c r="AB40" i="10" s="1"/>
  <c r="AC40" i="10" s="1"/>
  <c r="AB21" i="10"/>
  <c r="G603" i="12"/>
  <c r="J603" i="12" s="1"/>
  <c r="G602" i="12"/>
  <c r="G599" i="12"/>
  <c r="J599" i="12" s="1"/>
  <c r="G598" i="12"/>
  <c r="J598" i="12" s="1"/>
  <c r="G595" i="12"/>
  <c r="J595" i="12" s="1"/>
  <c r="G579" i="12"/>
  <c r="J579" i="12" s="1"/>
  <c r="G577" i="12"/>
  <c r="J577" i="12" s="1"/>
  <c r="E574" i="12"/>
  <c r="E577" i="12"/>
  <c r="F577" i="12"/>
  <c r="E579" i="12"/>
  <c r="F581" i="12"/>
  <c r="G581" i="12"/>
  <c r="J581" i="12" s="1"/>
  <c r="E583" i="12"/>
  <c r="G583" i="12"/>
  <c r="E586" i="12"/>
  <c r="G586" i="12"/>
  <c r="J586" i="12" s="1"/>
  <c r="E628" i="12" s="1"/>
  <c r="E657" i="12" s="1"/>
  <c r="E589" i="12"/>
  <c r="E593" i="12"/>
  <c r="G593" i="12"/>
  <c r="I593" i="12"/>
  <c r="G606" i="12"/>
  <c r="I610" i="12"/>
  <c r="J593" i="12" l="1"/>
  <c r="AQ93" i="1"/>
  <c r="AQ300" i="1"/>
  <c r="AQ271" i="1"/>
  <c r="AQ152" i="1"/>
  <c r="AQ270" i="1"/>
  <c r="AQ82" i="1"/>
  <c r="AQ212" i="1"/>
  <c r="AQ162" i="1"/>
  <c r="AQ147" i="1"/>
  <c r="AQ110" i="1"/>
  <c r="AQ81" i="1"/>
  <c r="AQ54" i="1"/>
  <c r="AQ32" i="1"/>
  <c r="AQ251" i="1"/>
  <c r="AQ109" i="1"/>
  <c r="AQ250" i="1"/>
  <c r="AQ123" i="1"/>
  <c r="AQ48" i="1"/>
  <c r="AQ309" i="1"/>
  <c r="AQ140" i="1"/>
  <c r="AQ94" i="1"/>
  <c r="AQ61" i="1"/>
  <c r="AQ17" i="1"/>
  <c r="AQ224" i="1"/>
  <c r="AQ157" i="1"/>
  <c r="AQ60" i="1"/>
  <c r="AQ38" i="1"/>
  <c r="AQ299" i="1"/>
  <c r="AQ130" i="1"/>
  <c r="AQ55" i="1"/>
  <c r="AQ146" i="1"/>
  <c r="AQ49" i="1"/>
  <c r="AQ141" i="1"/>
  <c r="AQ18" i="1"/>
  <c r="AO391" i="1"/>
  <c r="AQ390" i="1"/>
  <c r="AQ396" i="1"/>
  <c r="AQ394" i="1"/>
  <c r="AO40" i="1"/>
  <c r="AO159" i="1"/>
  <c r="AO311" i="1"/>
  <c r="AO149" i="1"/>
  <c r="AO164" i="1"/>
  <c r="AO82" i="1"/>
  <c r="AO81" i="1"/>
  <c r="AO35" i="1"/>
  <c r="AO109" i="1"/>
  <c r="AO110" i="1"/>
  <c r="AO143" i="1"/>
  <c r="AO154" i="1"/>
  <c r="AO398" i="1"/>
  <c r="AO412" i="1" l="1"/>
  <c r="AO84" i="1"/>
  <c r="AQ164" i="1"/>
  <c r="AQ154" i="1"/>
  <c r="AQ149" i="1"/>
  <c r="AQ273" i="1"/>
  <c r="AQ112" i="1"/>
  <c r="AQ398" i="1"/>
  <c r="AQ391" i="1"/>
  <c r="AQ143" i="1"/>
  <c r="AQ57" i="1"/>
  <c r="AQ292" i="1"/>
  <c r="AQ35" i="1"/>
  <c r="AQ343" i="1"/>
  <c r="AQ40" i="1"/>
  <c r="AQ311" i="1"/>
  <c r="AQ159" i="1"/>
  <c r="AQ115" i="1"/>
  <c r="AQ20" i="1"/>
  <c r="AQ84" i="1"/>
  <c r="AQ253" i="1"/>
  <c r="AQ291" i="1"/>
  <c r="AQ116" i="1"/>
  <c r="AQ51" i="1"/>
  <c r="AQ243" i="1"/>
  <c r="AQ303" i="1"/>
  <c r="AQ344" i="1"/>
  <c r="AQ64" i="1"/>
  <c r="AQ167" i="1"/>
  <c r="AQ96" i="1"/>
  <c r="AO273" i="1"/>
  <c r="AO57" i="1"/>
  <c r="AO167" i="1"/>
  <c r="AO243" i="1"/>
  <c r="AO344" i="1"/>
  <c r="AO343" i="1"/>
  <c r="AO303" i="1"/>
  <c r="AO305" i="1" s="1"/>
  <c r="AO96" i="1"/>
  <c r="AO116" i="1"/>
  <c r="AO291" i="1"/>
  <c r="AO253" i="1"/>
  <c r="AO292" i="1"/>
  <c r="AO112" i="1"/>
  <c r="AO51" i="1"/>
  <c r="AO64" i="1"/>
  <c r="AO115" i="1"/>
  <c r="Z34" i="10"/>
  <c r="AB34" i="10" s="1"/>
  <c r="AC34" i="10" s="1"/>
  <c r="AB57" i="10"/>
  <c r="AB59" i="10"/>
  <c r="AB61" i="10"/>
  <c r="AQ305" i="1" l="1"/>
  <c r="AQ296" i="1"/>
  <c r="AQ347" i="1"/>
  <c r="AQ412" i="1"/>
  <c r="AQ120" i="1"/>
  <c r="AO296" i="1"/>
  <c r="AO120" i="1"/>
  <c r="AO347" i="1"/>
  <c r="AO350" i="1" s="1"/>
  <c r="AV7" i="15"/>
  <c r="AP374" i="1"/>
  <c r="AS374" i="1" s="1"/>
  <c r="AT374" i="1" s="1"/>
  <c r="AP373" i="1"/>
  <c r="AS373" i="1" s="1"/>
  <c r="AT373" i="1" s="1"/>
  <c r="AP372" i="1"/>
  <c r="AS372" i="1" s="1"/>
  <c r="AT372" i="1" s="1"/>
  <c r="AP361" i="1"/>
  <c r="AS361" i="1" s="1"/>
  <c r="AT361" i="1" s="1"/>
  <c r="AP360" i="1"/>
  <c r="AS360" i="1" s="1"/>
  <c r="AT360" i="1" s="1"/>
  <c r="AP359" i="1"/>
  <c r="AS359" i="1" s="1"/>
  <c r="AT359" i="1" s="1"/>
  <c r="AQ350" i="1" l="1"/>
  <c r="C369" i="31"/>
  <c r="C355" i="31"/>
  <c r="C368" i="31"/>
  <c r="C356" i="31"/>
  <c r="C367" i="31"/>
  <c r="AP376" i="1"/>
  <c r="C354" i="31"/>
  <c r="AP363" i="1"/>
  <c r="AS363" i="1" s="1"/>
  <c r="AT363" i="1" s="1"/>
  <c r="AN311" i="1"/>
  <c r="AS8" i="14"/>
  <c r="AT8" i="14" s="1"/>
  <c r="AS376" i="1" l="1"/>
  <c r="AT376" i="1" s="1"/>
  <c r="AB14" i="10"/>
  <c r="AC14" i="10" s="1"/>
  <c r="AB17" i="10"/>
  <c r="AC17" i="10" s="1"/>
  <c r="AB10" i="10"/>
  <c r="AC10" i="10" s="1"/>
  <c r="C371" i="31"/>
  <c r="C358" i="31"/>
  <c r="AP386" i="1"/>
  <c r="Z16" i="10"/>
  <c r="AJ16" i="10" s="1"/>
  <c r="AB16" i="10" l="1"/>
  <c r="AC16" i="10" s="1"/>
  <c r="AS386" i="1"/>
  <c r="AT386" i="1" s="1"/>
  <c r="AB15" i="10"/>
  <c r="AC15" i="10" s="1"/>
  <c r="C381" i="31"/>
  <c r="Y65" i="10"/>
  <c r="AT7" i="15" l="1"/>
  <c r="K28" i="9" l="1"/>
  <c r="AN438" i="1" l="1"/>
  <c r="G17" i="9"/>
  <c r="C30" i="11" l="1"/>
  <c r="D33" i="32" s="1"/>
  <c r="C41" i="11"/>
  <c r="C43" i="11"/>
  <c r="D38" i="32" s="1"/>
  <c r="C29" i="11"/>
  <c r="D32" i="32" s="1"/>
  <c r="C28" i="11"/>
  <c r="D31" i="32" s="1"/>
  <c r="C47" i="32" l="1"/>
  <c r="D40" i="32"/>
  <c r="D41" i="32"/>
  <c r="W43" i="10"/>
  <c r="AN427" i="1"/>
  <c r="AN450" i="1"/>
  <c r="AM450" i="1" l="1"/>
  <c r="AN431" i="1"/>
  <c r="AS281" i="1"/>
  <c r="AS280" i="1"/>
  <c r="AS279" i="1"/>
  <c r="AS278" i="1"/>
  <c r="AS277" i="1"/>
  <c r="AS276" i="1"/>
  <c r="AS275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190" i="1"/>
  <c r="AS189" i="1"/>
  <c r="AS188" i="1"/>
  <c r="AS187" i="1"/>
  <c r="AS186" i="1"/>
  <c r="AS185" i="1"/>
  <c r="AS138" i="1"/>
  <c r="AS137" i="1"/>
  <c r="AS136" i="1"/>
  <c r="AS135" i="1"/>
  <c r="AS101" i="1"/>
  <c r="AS100" i="1"/>
  <c r="AS99" i="1"/>
  <c r="AS98" i="1"/>
  <c r="AS91" i="1"/>
  <c r="AS90" i="1"/>
  <c r="AS89" i="1"/>
  <c r="AS88" i="1"/>
  <c r="AS87" i="1"/>
  <c r="AS86" i="1"/>
  <c r="AS79" i="1"/>
  <c r="AS78" i="1"/>
  <c r="AS77" i="1"/>
  <c r="AS76" i="1"/>
  <c r="AS75" i="1"/>
  <c r="AS46" i="1"/>
  <c r="AS45" i="1"/>
  <c r="AS44" i="1"/>
  <c r="AS43" i="1"/>
  <c r="AS42" i="1"/>
  <c r="AS30" i="1"/>
  <c r="AS29" i="1"/>
  <c r="AS28" i="1"/>
  <c r="AS27" i="1"/>
  <c r="Y19" i="10" l="1"/>
  <c r="AN363" i="1"/>
  <c r="AN376" i="1"/>
  <c r="AN384" i="1"/>
  <c r="AN391" i="1"/>
  <c r="AN386" i="1" l="1"/>
  <c r="AK4" i="1" l="1"/>
  <c r="AQ233" i="1" l="1"/>
  <c r="AQ213" i="1"/>
  <c r="AQ225" i="1"/>
  <c r="AQ193" i="1"/>
  <c r="AO230" i="1"/>
  <c r="AO217" i="1"/>
  <c r="AO235" i="1"/>
  <c r="AM396" i="1"/>
  <c r="AT27" i="1"/>
  <c r="AT28" i="1"/>
  <c r="AT29" i="1"/>
  <c r="AT30" i="1"/>
  <c r="AT42" i="1"/>
  <c r="AT43" i="1"/>
  <c r="AT44" i="1"/>
  <c r="AT45" i="1"/>
  <c r="AT46" i="1"/>
  <c r="AT75" i="1"/>
  <c r="AT76" i="1"/>
  <c r="AT77" i="1"/>
  <c r="AT78" i="1"/>
  <c r="AT79" i="1"/>
  <c r="AT86" i="1"/>
  <c r="AT87" i="1"/>
  <c r="AT88" i="1"/>
  <c r="AT89" i="1"/>
  <c r="AT90" i="1"/>
  <c r="AT91" i="1"/>
  <c r="AT98" i="1"/>
  <c r="AT99" i="1"/>
  <c r="AT100" i="1"/>
  <c r="AT101" i="1"/>
  <c r="AT135" i="1"/>
  <c r="AT136" i="1"/>
  <c r="AT137" i="1"/>
  <c r="AT138" i="1"/>
  <c r="AT185" i="1"/>
  <c r="AT186" i="1"/>
  <c r="AT187" i="1"/>
  <c r="AT188" i="1"/>
  <c r="AT189" i="1"/>
  <c r="AT190" i="1"/>
  <c r="AT255" i="1"/>
  <c r="AT256" i="1"/>
  <c r="AT257" i="1"/>
  <c r="AT258" i="1"/>
  <c r="AT259" i="1"/>
  <c r="AT260" i="1"/>
  <c r="AT261" i="1"/>
  <c r="AT262" i="1"/>
  <c r="AT263" i="1"/>
  <c r="AT264" i="1"/>
  <c r="AT265" i="1"/>
  <c r="AT266" i="1"/>
  <c r="AT267" i="1"/>
  <c r="AT268" i="1"/>
  <c r="AT275" i="1"/>
  <c r="AT276" i="1"/>
  <c r="AT277" i="1"/>
  <c r="AT278" i="1"/>
  <c r="AT279" i="1"/>
  <c r="AT280" i="1"/>
  <c r="AT281" i="1"/>
  <c r="AQ230" i="1" l="1"/>
  <c r="AQ217" i="1"/>
  <c r="AQ235" i="1"/>
  <c r="AQ195" i="1"/>
  <c r="AQ244" i="1"/>
  <c r="AO244" i="1"/>
  <c r="AO247" i="1" s="1"/>
  <c r="AO195" i="1"/>
  <c r="AQ247" i="1" l="1"/>
  <c r="AN3" i="1"/>
  <c r="AN2" i="1"/>
  <c r="AQ124" i="1" s="1"/>
  <c r="AO133" i="1" l="1"/>
  <c r="AQ131" i="1"/>
  <c r="AQ127" i="1"/>
  <c r="AO168" i="1"/>
  <c r="AO170" i="1" s="1"/>
  <c r="AO127" i="1"/>
  <c r="C50" i="11"/>
  <c r="D37" i="32" s="1"/>
  <c r="AB13" i="10" l="1"/>
  <c r="AC13" i="10" s="1"/>
  <c r="AQ133" i="1"/>
  <c r="AQ168" i="1"/>
  <c r="G556" i="12"/>
  <c r="J556" i="12" s="1"/>
  <c r="G555" i="12"/>
  <c r="J555" i="12" s="1"/>
  <c r="G552" i="12"/>
  <c r="J552" i="12" s="1"/>
  <c r="G551" i="12"/>
  <c r="J551" i="12" s="1"/>
  <c r="G548" i="12"/>
  <c r="J548" i="12" s="1"/>
  <c r="G546" i="12"/>
  <c r="G539" i="12"/>
  <c r="J539" i="12" s="1"/>
  <c r="E581" i="12" s="1"/>
  <c r="E610" i="12" s="1"/>
  <c r="G536" i="12"/>
  <c r="G534" i="12"/>
  <c r="J534" i="12" s="1"/>
  <c r="G530" i="12"/>
  <c r="J530" i="12" s="1"/>
  <c r="G559" i="12"/>
  <c r="I546" i="12"/>
  <c r="I563" i="12" s="1"/>
  <c r="E546" i="12"/>
  <c r="E543" i="12"/>
  <c r="E539" i="12"/>
  <c r="E536" i="12"/>
  <c r="F534" i="12"/>
  <c r="E534" i="12"/>
  <c r="F530" i="12"/>
  <c r="E530" i="12"/>
  <c r="J546" i="12" l="1"/>
  <c r="AQ170" i="1"/>
  <c r="AM131" i="1"/>
  <c r="AM124" i="1"/>
  <c r="AK2" i="1"/>
  <c r="X16" i="10"/>
  <c r="AM356" i="1"/>
  <c r="AM220" i="1"/>
  <c r="AM374" i="1"/>
  <c r="AM373" i="1"/>
  <c r="AM372" i="1"/>
  <c r="AM369" i="1"/>
  <c r="AM361" i="1"/>
  <c r="AM360" i="1"/>
  <c r="AM359" i="1"/>
  <c r="AM357" i="1" l="1"/>
  <c r="AD23" i="3"/>
  <c r="AD43" i="3"/>
  <c r="AD87" i="3"/>
  <c r="AD98" i="3"/>
  <c r="AD101" i="3"/>
  <c r="AD105" i="3"/>
  <c r="AD127" i="3"/>
  <c r="AD170" i="3"/>
  <c r="AD171" i="3" s="1"/>
  <c r="AD172" i="3" s="1"/>
  <c r="G481" i="12" s="1"/>
  <c r="AO9" i="14"/>
  <c r="AO10" i="14"/>
  <c r="AO11" i="14"/>
  <c r="AO12" i="14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AO30" i="14"/>
  <c r="AO8" i="14"/>
  <c r="AJ29" i="14"/>
  <c r="AJ13" i="14"/>
  <c r="Y34" i="10"/>
  <c r="AB11" i="10" l="1"/>
  <c r="AC11" i="10" s="1"/>
  <c r="AJ31" i="14"/>
  <c r="AJ35" i="14"/>
  <c r="AD129" i="3"/>
  <c r="AD45" i="3"/>
  <c r="AM419" i="1"/>
  <c r="AN183" i="1"/>
  <c r="AO413" i="1" s="1"/>
  <c r="AM429" i="1"/>
  <c r="AM428" i="1"/>
  <c r="AM426" i="1"/>
  <c r="AM425" i="1"/>
  <c r="AM424" i="1"/>
  <c r="AM422" i="1"/>
  <c r="AM418" i="1"/>
  <c r="AM417" i="1"/>
  <c r="AM406" i="1"/>
  <c r="AM405" i="1"/>
  <c r="AM404" i="1"/>
  <c r="AM384" i="1"/>
  <c r="AM379" i="1"/>
  <c r="AM380" i="1" s="1"/>
  <c r="AM358" i="1"/>
  <c r="AM331" i="1"/>
  <c r="AM301" i="1"/>
  <c r="AM288" i="1"/>
  <c r="AM284" i="1"/>
  <c r="AM295" i="1" s="1"/>
  <c r="AM272" i="1"/>
  <c r="AM252" i="1"/>
  <c r="AM239" i="1"/>
  <c r="AM234" i="1"/>
  <c r="AM229" i="1"/>
  <c r="AM228" i="1"/>
  <c r="AM227" i="1"/>
  <c r="AM221" i="1"/>
  <c r="AM214" i="1"/>
  <c r="AM204" i="1"/>
  <c r="AM199" i="1"/>
  <c r="AM194" i="1"/>
  <c r="AM163" i="1"/>
  <c r="AM158" i="1"/>
  <c r="AM148" i="1"/>
  <c r="AM142" i="1"/>
  <c r="AM132" i="1"/>
  <c r="AM126" i="1"/>
  <c r="AM118" i="1"/>
  <c r="AM111" i="1"/>
  <c r="AM105" i="1"/>
  <c r="AM95" i="1"/>
  <c r="AM83" i="1"/>
  <c r="AM72" i="1"/>
  <c r="AM68" i="1"/>
  <c r="AM62" i="1"/>
  <c r="AM56" i="1"/>
  <c r="AM50" i="1"/>
  <c r="AM39" i="1"/>
  <c r="AM33" i="1"/>
  <c r="AM24" i="1"/>
  <c r="AM19" i="1"/>
  <c r="Y40" i="10" l="1"/>
  <c r="AM345" i="1"/>
  <c r="AM69" i="1"/>
  <c r="AM106" i="1"/>
  <c r="AM73" i="1"/>
  <c r="AM25" i="1"/>
  <c r="AM240" i="1"/>
  <c r="AM391" i="1"/>
  <c r="AM294" i="1"/>
  <c r="AM117" i="1"/>
  <c r="AM427" i="1"/>
  <c r="AM431" i="1" s="1"/>
  <c r="AM363" i="1"/>
  <c r="AM245" i="1"/>
  <c r="AM169" i="1"/>
  <c r="AM407" i="1"/>
  <c r="X65" i="10"/>
  <c r="AQ436" i="1" l="1"/>
  <c r="AM436" i="1"/>
  <c r="AL10" i="13"/>
  <c r="AY436" i="1" l="1"/>
  <c r="AQ438" i="1"/>
  <c r="D39" i="32"/>
  <c r="C23" i="11"/>
  <c r="D19" i="32" l="1"/>
  <c r="AR7" i="15"/>
  <c r="C48" i="11"/>
  <c r="C49" i="11"/>
  <c r="D36" i="32" s="1"/>
  <c r="AO45" i="10"/>
  <c r="C25" i="11"/>
  <c r="D27" i="32" s="1"/>
  <c r="D26" i="32"/>
  <c r="D30" i="32"/>
  <c r="C26" i="11"/>
  <c r="D29" i="32" s="1"/>
  <c r="C22" i="11"/>
  <c r="C21" i="11"/>
  <c r="A21" i="28"/>
  <c r="F10" i="28"/>
  <c r="C77" i="11"/>
  <c r="AR18" i="10"/>
  <c r="G464" i="12"/>
  <c r="J464" i="12" s="1"/>
  <c r="G463" i="12"/>
  <c r="J463" i="12" s="1"/>
  <c r="D125" i="3"/>
  <c r="D124" i="3"/>
  <c r="I500" i="12"/>
  <c r="I517" i="12" s="1"/>
  <c r="L500" i="12"/>
  <c r="G467" i="12"/>
  <c r="G466" i="12"/>
  <c r="G510" i="12"/>
  <c r="J510" i="12" s="1"/>
  <c r="G509" i="12"/>
  <c r="J509" i="12" s="1"/>
  <c r="G506" i="12"/>
  <c r="J506" i="12" s="1"/>
  <c r="G505" i="12"/>
  <c r="J505" i="12" s="1"/>
  <c r="G459" i="12"/>
  <c r="J459" i="12" s="1"/>
  <c r="O459" i="12" s="1"/>
  <c r="G502" i="12"/>
  <c r="J502" i="12" s="1"/>
  <c r="G493" i="12"/>
  <c r="J493" i="12" s="1"/>
  <c r="E532" i="12" s="1"/>
  <c r="G488" i="12"/>
  <c r="J488" i="12" s="1"/>
  <c r="E527" i="12" s="1"/>
  <c r="F488" i="12"/>
  <c r="G484" i="12"/>
  <c r="J484" i="12" s="1"/>
  <c r="G513" i="12"/>
  <c r="E500" i="12"/>
  <c r="E497" i="12"/>
  <c r="E493" i="12"/>
  <c r="E490" i="12"/>
  <c r="E488" i="12"/>
  <c r="F484" i="12"/>
  <c r="E484" i="12"/>
  <c r="AE180" i="3"/>
  <c r="AE179" i="3"/>
  <c r="AE214" i="3" s="1"/>
  <c r="AH29" i="14"/>
  <c r="AH13" i="14"/>
  <c r="AO13" i="14" s="1"/>
  <c r="W12" i="10"/>
  <c r="X34" i="10"/>
  <c r="AQ26" i="14"/>
  <c r="AC121" i="3"/>
  <c r="AH450" i="1"/>
  <c r="AJ450" i="1"/>
  <c r="AI450" i="1"/>
  <c r="AF450" i="1"/>
  <c r="V12" i="10"/>
  <c r="V19" i="10"/>
  <c r="W35" i="10"/>
  <c r="E54" i="11"/>
  <c r="C54" i="11" s="1"/>
  <c r="AC172" i="3"/>
  <c r="AP7" i="15"/>
  <c r="AN32" i="15"/>
  <c r="V42" i="10" s="1"/>
  <c r="W17" i="10"/>
  <c r="O458" i="1"/>
  <c r="O459" i="1" s="1"/>
  <c r="A460" i="1"/>
  <c r="A461" i="1"/>
  <c r="A462" i="1"/>
  <c r="A463" i="1"/>
  <c r="A464" i="1"/>
  <c r="A459" i="1"/>
  <c r="AC23" i="3"/>
  <c r="AO7" i="15"/>
  <c r="AE29" i="14"/>
  <c r="AF29" i="14"/>
  <c r="AE13" i="14"/>
  <c r="AF13" i="14"/>
  <c r="C38" i="3"/>
  <c r="C120" i="3"/>
  <c r="U43" i="3"/>
  <c r="BD120" i="3"/>
  <c r="C121" i="3"/>
  <c r="AJ449" i="1"/>
  <c r="AI446" i="1"/>
  <c r="W15" i="10"/>
  <c r="AI449" i="1"/>
  <c r="AJ448" i="1"/>
  <c r="AJ446" i="1"/>
  <c r="W11" i="10"/>
  <c r="AI447" i="1"/>
  <c r="AI445" i="1"/>
  <c r="AJ445" i="1"/>
  <c r="W13" i="10"/>
  <c r="AJ447" i="1"/>
  <c r="G435" i="12"/>
  <c r="J435" i="12"/>
  <c r="AF171" i="3"/>
  <c r="AF172" i="3" s="1"/>
  <c r="AO437" i="1" s="1"/>
  <c r="AO438" i="1" s="1"/>
  <c r="AC171" i="3"/>
  <c r="AE170" i="3"/>
  <c r="AE171" i="3" s="1"/>
  <c r="AE172" i="3" s="1"/>
  <c r="G527" i="12" s="1"/>
  <c r="O436" i="12"/>
  <c r="O437" i="12"/>
  <c r="O439" i="12"/>
  <c r="O441" i="12"/>
  <c r="O443" i="12"/>
  <c r="O445" i="12"/>
  <c r="O446" i="12"/>
  <c r="O448" i="12"/>
  <c r="O449" i="12"/>
  <c r="O450" i="12"/>
  <c r="O451" i="12"/>
  <c r="O452" i="12"/>
  <c r="O453" i="12"/>
  <c r="O455" i="12"/>
  <c r="O457" i="12"/>
  <c r="O458" i="12"/>
  <c r="G456" i="12"/>
  <c r="J456" i="12" s="1"/>
  <c r="O456" i="12" s="1"/>
  <c r="E451" i="12"/>
  <c r="E450" i="12"/>
  <c r="G442" i="12"/>
  <c r="J442" i="12" s="1"/>
  <c r="F442" i="12"/>
  <c r="G438" i="12"/>
  <c r="F438" i="12"/>
  <c r="G431" i="12"/>
  <c r="J431" i="12" s="1"/>
  <c r="F431" i="12"/>
  <c r="E454" i="12"/>
  <c r="E440" i="12"/>
  <c r="E438" i="12"/>
  <c r="E431" i="12"/>
  <c r="J438" i="12"/>
  <c r="O438" i="12" s="1"/>
  <c r="AP8" i="15"/>
  <c r="AP9" i="15"/>
  <c r="AR9" i="15" s="1"/>
  <c r="AP10" i="15"/>
  <c r="AR10" i="15" s="1"/>
  <c r="AP11" i="15"/>
  <c r="AR11" i="15" s="1"/>
  <c r="AT11" i="15" s="1"/>
  <c r="AP12" i="15"/>
  <c r="AR12" i="15" s="1"/>
  <c r="AT12" i="15" s="1"/>
  <c r="AV12" i="15" s="1"/>
  <c r="AX12" i="15" s="1"/>
  <c r="AP13" i="15"/>
  <c r="AR13" i="15" s="1"/>
  <c r="AT13" i="15" s="1"/>
  <c r="AV13" i="15" s="1"/>
  <c r="AX13" i="15" s="1"/>
  <c r="AP14" i="15"/>
  <c r="AR14" i="15" s="1"/>
  <c r="AT14" i="15" s="1"/>
  <c r="AV14" i="15" s="1"/>
  <c r="AX14" i="15" s="1"/>
  <c r="AP15" i="15"/>
  <c r="AR15" i="15" s="1"/>
  <c r="AT15" i="15" s="1"/>
  <c r="AV15" i="15" s="1"/>
  <c r="AX15" i="15" s="1"/>
  <c r="AP16" i="15"/>
  <c r="AP17" i="15"/>
  <c r="AR17" i="15" s="1"/>
  <c r="AT17" i="15" s="1"/>
  <c r="AV17" i="15" s="1"/>
  <c r="AX17" i="15" s="1"/>
  <c r="AP18" i="15"/>
  <c r="AR18" i="15" s="1"/>
  <c r="AT18" i="15" s="1"/>
  <c r="AV18" i="15" s="1"/>
  <c r="AX18" i="15" s="1"/>
  <c r="AP19" i="15"/>
  <c r="AR19" i="15" s="1"/>
  <c r="AT19" i="15" s="1"/>
  <c r="AV19" i="15" s="1"/>
  <c r="AX19" i="15" s="1"/>
  <c r="AP20" i="15"/>
  <c r="AR20" i="15" s="1"/>
  <c r="AT20" i="15" s="1"/>
  <c r="AV20" i="15" s="1"/>
  <c r="AX20" i="15" s="1"/>
  <c r="AP21" i="15"/>
  <c r="AR21" i="15" s="1"/>
  <c r="AT21" i="15" s="1"/>
  <c r="AV21" i="15" s="1"/>
  <c r="AX21" i="15" s="1"/>
  <c r="AP24" i="15"/>
  <c r="AR24" i="15" s="1"/>
  <c r="AT24" i="15" s="1"/>
  <c r="AV24" i="15" s="1"/>
  <c r="AX24" i="15" s="1"/>
  <c r="AP26" i="15"/>
  <c r="AP27" i="15"/>
  <c r="AP28" i="15"/>
  <c r="AR28" i="15" s="1"/>
  <c r="AT28" i="15" s="1"/>
  <c r="AV28" i="15" s="1"/>
  <c r="AX28" i="15" s="1"/>
  <c r="AP29" i="15"/>
  <c r="AQ9" i="14"/>
  <c r="AQ10" i="14"/>
  <c r="AQ11" i="14"/>
  <c r="AQ12" i="14"/>
  <c r="AQ14" i="14"/>
  <c r="AQ15" i="14"/>
  <c r="AQ16" i="14"/>
  <c r="AQ17" i="14"/>
  <c r="AQ18" i="14"/>
  <c r="AQ20" i="14"/>
  <c r="AQ21" i="14"/>
  <c r="AQ22" i="14"/>
  <c r="AQ24" i="14"/>
  <c r="AQ25" i="14"/>
  <c r="AQ30" i="14"/>
  <c r="AQ19" i="14"/>
  <c r="AQ23" i="14"/>
  <c r="AQ27" i="14"/>
  <c r="AQ28" i="14"/>
  <c r="AD29" i="14"/>
  <c r="AD8" i="14"/>
  <c r="AQ8" i="14" s="1"/>
  <c r="W34" i="10"/>
  <c r="AD13" i="14"/>
  <c r="V2" i="13"/>
  <c r="V3" i="13"/>
  <c r="V1" i="13"/>
  <c r="G411" i="12"/>
  <c r="J411" i="12" s="1"/>
  <c r="Z29" i="14"/>
  <c r="Z13" i="14"/>
  <c r="Z35" i="14"/>
  <c r="T40" i="10" s="1"/>
  <c r="AA130" i="1"/>
  <c r="C10" i="11"/>
  <c r="H62" i="11"/>
  <c r="F62" i="11"/>
  <c r="C15" i="11"/>
  <c r="D15" i="32" s="1"/>
  <c r="C16" i="11"/>
  <c r="D16" i="32" s="1"/>
  <c r="C17" i="11"/>
  <c r="D17" i="32" s="1"/>
  <c r="C18" i="11"/>
  <c r="D18" i="32" s="1"/>
  <c r="AC152" i="3"/>
  <c r="AC151" i="3"/>
  <c r="AB36" i="3"/>
  <c r="AB35" i="3"/>
  <c r="C14" i="11"/>
  <c r="D14" i="32" s="1"/>
  <c r="V64" i="10"/>
  <c r="V47" i="10" s="1"/>
  <c r="C63" i="3"/>
  <c r="AM32" i="15"/>
  <c r="AL32" i="15"/>
  <c r="T42" i="10" s="1"/>
  <c r="AK23" i="15"/>
  <c r="AK32" i="15" s="1"/>
  <c r="J372" i="12"/>
  <c r="G371" i="12"/>
  <c r="J371" i="12" s="1"/>
  <c r="G370" i="12"/>
  <c r="T20" i="10"/>
  <c r="R35" i="1"/>
  <c r="S35" i="1" s="1"/>
  <c r="I409" i="12"/>
  <c r="I402" i="12"/>
  <c r="G386" i="12"/>
  <c r="J386" i="12" s="1"/>
  <c r="G397" i="12"/>
  <c r="J397" i="12" s="1"/>
  <c r="E442" i="12" s="1"/>
  <c r="G393" i="12"/>
  <c r="J393" i="12" s="1"/>
  <c r="E435" i="12" s="1"/>
  <c r="F397" i="12"/>
  <c r="F393" i="12"/>
  <c r="G390" i="12"/>
  <c r="J390" i="12" s="1"/>
  <c r="G356" i="12"/>
  <c r="J356" i="12" s="1"/>
  <c r="E397" i="12" s="1"/>
  <c r="F356" i="12"/>
  <c r="G352" i="12"/>
  <c r="J352" i="12" s="1"/>
  <c r="E393" i="12" s="1"/>
  <c r="F352" i="12"/>
  <c r="E379" i="12"/>
  <c r="F379" i="12"/>
  <c r="G379" i="12"/>
  <c r="J379" i="12"/>
  <c r="E340" i="12"/>
  <c r="E381" i="12" s="1"/>
  <c r="E339" i="12"/>
  <c r="E380" i="12" s="1"/>
  <c r="G349" i="12"/>
  <c r="J349" i="12" s="1"/>
  <c r="E390" i="12"/>
  <c r="BC34" i="3"/>
  <c r="BC33" i="3"/>
  <c r="BC15" i="3"/>
  <c r="BC14" i="3"/>
  <c r="AF43" i="3"/>
  <c r="AG43" i="3"/>
  <c r="AH43" i="3"/>
  <c r="AI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AA43" i="3"/>
  <c r="AE23" i="3"/>
  <c r="AF23" i="3"/>
  <c r="AG23" i="3"/>
  <c r="AH23" i="3"/>
  <c r="AI23" i="3"/>
  <c r="AJ23" i="3"/>
  <c r="AK23" i="3"/>
  <c r="AK45" i="3" s="1"/>
  <c r="AL23" i="3"/>
  <c r="AL45" i="3" s="1"/>
  <c r="AM23" i="3"/>
  <c r="AN23" i="3"/>
  <c r="AN45" i="3" s="1"/>
  <c r="AO23" i="3"/>
  <c r="AO45" i="3" s="1"/>
  <c r="AP23" i="3"/>
  <c r="AQ23" i="3"/>
  <c r="AR23" i="3"/>
  <c r="AR45" i="3" s="1"/>
  <c r="AS23" i="3"/>
  <c r="AT23" i="3"/>
  <c r="AU23" i="3"/>
  <c r="AV23" i="3"/>
  <c r="AV45" i="3" s="1"/>
  <c r="AW23" i="3"/>
  <c r="AW45" i="3" s="1"/>
  <c r="AX23" i="3"/>
  <c r="AY23" i="3"/>
  <c r="AZ23" i="3"/>
  <c r="AZ45" i="3" s="1"/>
  <c r="BA23" i="3"/>
  <c r="AA160" i="3"/>
  <c r="AJ106" i="3"/>
  <c r="V34" i="10"/>
  <c r="C337" i="12"/>
  <c r="C378" i="12" s="1"/>
  <c r="B338" i="12"/>
  <c r="B379" i="12" s="1"/>
  <c r="C338" i="12"/>
  <c r="C379" i="12"/>
  <c r="D338" i="12"/>
  <c r="D379" i="12" s="1"/>
  <c r="B339" i="12"/>
  <c r="B380" i="12" s="1"/>
  <c r="C339" i="12"/>
  <c r="C380" i="12" s="1"/>
  <c r="D339" i="12"/>
  <c r="D380" i="12" s="1"/>
  <c r="F339" i="12"/>
  <c r="F380" i="12" s="1"/>
  <c r="G339" i="12"/>
  <c r="G380" i="12"/>
  <c r="H339" i="12"/>
  <c r="H380" i="12" s="1"/>
  <c r="I339" i="12"/>
  <c r="I380" i="12" s="1"/>
  <c r="J339" i="12"/>
  <c r="J380" i="12" s="1"/>
  <c r="B340" i="12"/>
  <c r="B381" i="12" s="1"/>
  <c r="C340" i="12"/>
  <c r="C381" i="12" s="1"/>
  <c r="D340" i="12"/>
  <c r="D381" i="12" s="1"/>
  <c r="F340" i="12"/>
  <c r="F381" i="12" s="1"/>
  <c r="G340" i="12"/>
  <c r="G381" i="12"/>
  <c r="H340" i="12"/>
  <c r="H381" i="12" s="1"/>
  <c r="I340" i="12"/>
  <c r="I381" i="12" s="1"/>
  <c r="J340" i="12"/>
  <c r="J381" i="12" s="1"/>
  <c r="C336" i="12"/>
  <c r="C377" i="12" s="1"/>
  <c r="D336" i="12"/>
  <c r="D377" i="12" s="1"/>
  <c r="E336" i="12"/>
  <c r="E377" i="12" s="1"/>
  <c r="F336" i="12"/>
  <c r="F377" i="12" s="1"/>
  <c r="G336" i="12"/>
  <c r="G377" i="12" s="1"/>
  <c r="H336" i="12"/>
  <c r="H377" i="12" s="1"/>
  <c r="I336" i="12"/>
  <c r="I377" i="12" s="1"/>
  <c r="J336" i="12"/>
  <c r="J377" i="12" s="1"/>
  <c r="B336" i="12"/>
  <c r="B377" i="12"/>
  <c r="AE449" i="1"/>
  <c r="AD447" i="1"/>
  <c r="AE447" i="1"/>
  <c r="AE445" i="1"/>
  <c r="AE450" i="1"/>
  <c r="T34" i="10"/>
  <c r="AC14" i="1"/>
  <c r="AC15" i="1" s="1"/>
  <c r="AC17" i="1"/>
  <c r="AC48" i="1"/>
  <c r="AC54" i="1"/>
  <c r="AC60" i="1"/>
  <c r="AC81" i="1"/>
  <c r="AC93" i="1"/>
  <c r="AC103" i="1"/>
  <c r="AC18" i="1"/>
  <c r="AC32" i="1"/>
  <c r="AC38" i="1"/>
  <c r="AC49" i="1"/>
  <c r="AC55" i="1"/>
  <c r="AC61" i="1"/>
  <c r="Y67" i="1"/>
  <c r="Z67" i="1" s="1"/>
  <c r="AC82" i="1"/>
  <c r="AC94" i="1"/>
  <c r="AC104" i="1"/>
  <c r="AC19" i="1"/>
  <c r="AC24" i="1"/>
  <c r="AC25" i="1" s="1"/>
  <c r="AC33" i="1"/>
  <c r="AC39" i="1"/>
  <c r="AC50" i="1"/>
  <c r="AC56" i="1"/>
  <c r="AC62" i="1"/>
  <c r="AC68" i="1"/>
  <c r="AC72" i="1"/>
  <c r="AC73" i="1" s="1"/>
  <c r="AC83" i="1"/>
  <c r="AC89" i="1"/>
  <c r="AC90" i="1" s="1"/>
  <c r="X95" i="1"/>
  <c r="Y95" i="1" s="1"/>
  <c r="Z95" i="1" s="1"/>
  <c r="AA95" i="1" s="1"/>
  <c r="AC105" i="1"/>
  <c r="AC111" i="1"/>
  <c r="AC112" i="1" s="1"/>
  <c r="AC63" i="1"/>
  <c r="AC119" i="1" s="1"/>
  <c r="AC123" i="1"/>
  <c r="AC130" i="1"/>
  <c r="AC140" i="1"/>
  <c r="AC152" i="1"/>
  <c r="AC157" i="1"/>
  <c r="AC162" i="1"/>
  <c r="AC124" i="1"/>
  <c r="AC131" i="1"/>
  <c r="AC141" i="1"/>
  <c r="AC125" i="1"/>
  <c r="AC126" i="1"/>
  <c r="AC132" i="1"/>
  <c r="AC142" i="1"/>
  <c r="Y153" i="1"/>
  <c r="Y154" i="1" s="1"/>
  <c r="AC158" i="1"/>
  <c r="AC163" i="1"/>
  <c r="S12" i="10"/>
  <c r="AC225" i="1"/>
  <c r="AC233" i="1"/>
  <c r="AC227" i="1"/>
  <c r="AB228" i="1"/>
  <c r="AB230" i="1" s="1"/>
  <c r="AC229" i="1"/>
  <c r="AC234" i="1"/>
  <c r="AC239" i="1"/>
  <c r="AC240" i="1" s="1"/>
  <c r="AC226" i="1"/>
  <c r="AC246" i="1" s="1"/>
  <c r="AC224" i="1"/>
  <c r="AC243" i="1" s="1"/>
  <c r="AB447" i="1" s="1"/>
  <c r="AB257" i="1"/>
  <c r="AB258" i="1" s="1"/>
  <c r="AC258" i="1" s="1"/>
  <c r="AC261" i="1"/>
  <c r="AC262" i="1" s="1"/>
  <c r="AC252" i="1"/>
  <c r="AC266" i="1"/>
  <c r="AC267" i="1" s="1"/>
  <c r="AC272" i="1"/>
  <c r="AC287" i="1"/>
  <c r="AC288" i="1" s="1"/>
  <c r="AC283" i="1"/>
  <c r="AC284" i="1" s="1"/>
  <c r="AC295" i="1" s="1"/>
  <c r="AC250" i="1"/>
  <c r="AC270" i="1"/>
  <c r="AC251" i="1"/>
  <c r="AC271" i="1"/>
  <c r="AC299" i="1"/>
  <c r="AC316" i="1"/>
  <c r="AC324" i="1"/>
  <c r="AC300" i="1"/>
  <c r="AC317" i="1"/>
  <c r="AC325" i="1"/>
  <c r="AC301" i="1"/>
  <c r="AC318" i="1"/>
  <c r="AC326" i="1"/>
  <c r="AC330" i="1"/>
  <c r="AC331" i="1" s="1"/>
  <c r="AC335" i="1"/>
  <c r="AC336" i="1" s="1"/>
  <c r="AC355" i="1"/>
  <c r="AC357" i="1"/>
  <c r="AC358" i="1"/>
  <c r="AC368" i="1"/>
  <c r="AC379" i="1"/>
  <c r="AC380" i="1" s="1"/>
  <c r="AC382" i="1"/>
  <c r="AC384" i="1" s="1"/>
  <c r="AC390" i="1"/>
  <c r="AC391" i="1" s="1"/>
  <c r="AC394" i="1"/>
  <c r="AB396" i="1"/>
  <c r="AC396" i="1" s="1"/>
  <c r="AB438" i="1"/>
  <c r="S19" i="10" s="1"/>
  <c r="E78" i="11"/>
  <c r="AO43" i="10"/>
  <c r="D78" i="11"/>
  <c r="F78" i="11"/>
  <c r="G78" i="11"/>
  <c r="AB13" i="14"/>
  <c r="AB29" i="14"/>
  <c r="AC436" i="1"/>
  <c r="AC437" i="1"/>
  <c r="AC433" i="1"/>
  <c r="AC417" i="1"/>
  <c r="AB450" i="1" s="1"/>
  <c r="AC418" i="1"/>
  <c r="AC450" i="1" s="1"/>
  <c r="AC419" i="1"/>
  <c r="AC422" i="1"/>
  <c r="AC423" i="1"/>
  <c r="AC424" i="1"/>
  <c r="AC425" i="1"/>
  <c r="AC426" i="1"/>
  <c r="AC428" i="1"/>
  <c r="AC429" i="1"/>
  <c r="AC371" i="1"/>
  <c r="AC302" i="1"/>
  <c r="AB281" i="1"/>
  <c r="AC281" i="1" s="1"/>
  <c r="AC277" i="1"/>
  <c r="AB136" i="1"/>
  <c r="AD450" i="1"/>
  <c r="N41" i="10"/>
  <c r="S41" i="10"/>
  <c r="I370" i="12"/>
  <c r="AA155" i="3"/>
  <c r="AA424" i="1"/>
  <c r="U54" i="3"/>
  <c r="C54" i="3" s="1"/>
  <c r="W43" i="3"/>
  <c r="AJ31" i="3"/>
  <c r="AF5" i="3"/>
  <c r="AG5" i="3" s="1"/>
  <c r="AH5" i="3" s="1"/>
  <c r="AI5" i="3" s="1"/>
  <c r="AJ5" i="3" s="1"/>
  <c r="AK5" i="3" s="1"/>
  <c r="AL5" i="3" s="1"/>
  <c r="AM5" i="3" s="1"/>
  <c r="AN5" i="3" s="1"/>
  <c r="AO5" i="3" s="1"/>
  <c r="AP5" i="3" s="1"/>
  <c r="AQ5" i="3" s="1"/>
  <c r="AR5" i="3" s="1"/>
  <c r="AS5" i="3" s="1"/>
  <c r="AT5" i="3" s="1"/>
  <c r="AU5" i="3" s="1"/>
  <c r="AV5" i="3" s="1"/>
  <c r="AW5" i="3" s="1"/>
  <c r="AX5" i="3" s="1"/>
  <c r="AY5" i="3" s="1"/>
  <c r="AZ5" i="3" s="1"/>
  <c r="BA5" i="3" s="1"/>
  <c r="BB5" i="3" s="1"/>
  <c r="S34" i="10"/>
  <c r="I368" i="12"/>
  <c r="I470" i="12"/>
  <c r="I361" i="12"/>
  <c r="G319" i="12"/>
  <c r="J319" i="12" s="1"/>
  <c r="E356" i="12" s="1"/>
  <c r="G315" i="12"/>
  <c r="J315" i="12" s="1"/>
  <c r="E352" i="12" s="1"/>
  <c r="J312" i="12"/>
  <c r="E349" i="12"/>
  <c r="L309" i="12"/>
  <c r="R66" i="10"/>
  <c r="S66" i="10"/>
  <c r="S67" i="10" s="1"/>
  <c r="X13" i="13"/>
  <c r="X15" i="13" s="1"/>
  <c r="Z6" i="13" s="1"/>
  <c r="AA123" i="1"/>
  <c r="AA68" i="1"/>
  <c r="AB183" i="1"/>
  <c r="AA94" i="1"/>
  <c r="AA251" i="1"/>
  <c r="AB358" i="1"/>
  <c r="W153" i="1"/>
  <c r="AA153" i="1" s="1"/>
  <c r="AB153" i="1" s="1"/>
  <c r="AB154" i="1" s="1"/>
  <c r="AB371" i="1"/>
  <c r="AB357" i="1"/>
  <c r="AA54" i="1"/>
  <c r="AA60" i="1"/>
  <c r="AA81" i="1"/>
  <c r="AA103" i="1"/>
  <c r="AA18" i="1"/>
  <c r="AA49" i="1"/>
  <c r="AA55" i="1"/>
  <c r="AA14" i="1"/>
  <c r="AA15" i="1" s="1"/>
  <c r="AA17" i="1"/>
  <c r="AA48" i="1"/>
  <c r="AA93" i="1"/>
  <c r="AA32" i="1"/>
  <c r="AA33" i="1"/>
  <c r="AA38" i="1"/>
  <c r="AA61" i="1"/>
  <c r="AA82" i="1"/>
  <c r="X104" i="1"/>
  <c r="X106" i="1" s="1"/>
  <c r="AA19" i="1"/>
  <c r="AA24" i="1"/>
  <c r="AA25" i="1" s="1"/>
  <c r="AA39" i="1"/>
  <c r="AA50" i="1"/>
  <c r="AA56" i="1"/>
  <c r="Z62" i="1"/>
  <c r="Z64" i="1" s="1"/>
  <c r="AA72" i="1"/>
  <c r="AA73" i="1" s="1"/>
  <c r="AA83" i="1"/>
  <c r="AA89" i="1"/>
  <c r="AA90" i="1" s="1"/>
  <c r="AA105" i="1"/>
  <c r="AA111" i="1"/>
  <c r="AA112" i="1" s="1"/>
  <c r="AA63" i="1"/>
  <c r="AA119" i="1" s="1"/>
  <c r="AA157" i="1"/>
  <c r="AA162" i="1"/>
  <c r="AA140" i="1"/>
  <c r="AA152" i="1"/>
  <c r="AA124" i="1"/>
  <c r="AA131" i="1"/>
  <c r="AA141" i="1"/>
  <c r="AA125" i="1"/>
  <c r="AA126" i="1"/>
  <c r="AA132" i="1"/>
  <c r="AA142" i="1"/>
  <c r="AA158" i="1"/>
  <c r="AA163" i="1"/>
  <c r="AA225" i="1"/>
  <c r="AA233" i="1"/>
  <c r="AA227" i="1"/>
  <c r="Z228" i="1"/>
  <c r="Z230" i="1" s="1"/>
  <c r="AA229" i="1"/>
  <c r="AA234" i="1"/>
  <c r="AA239" i="1"/>
  <c r="AA240" i="1" s="1"/>
  <c r="AA226" i="1"/>
  <c r="AA246" i="1" s="1"/>
  <c r="AA224" i="1"/>
  <c r="AA243" i="1" s="1"/>
  <c r="Z447" i="1" s="1"/>
  <c r="Z257" i="1"/>
  <c r="AA261" i="1"/>
  <c r="AA262" i="1" s="1"/>
  <c r="AA252" i="1"/>
  <c r="AA266" i="1"/>
  <c r="AA267" i="1" s="1"/>
  <c r="AA272" i="1"/>
  <c r="AA287" i="1"/>
  <c r="AA288" i="1" s="1"/>
  <c r="AA283" i="1"/>
  <c r="AA284" i="1" s="1"/>
  <c r="AA295" i="1" s="1"/>
  <c r="AA250" i="1"/>
  <c r="AA270" i="1"/>
  <c r="AA271" i="1"/>
  <c r="AA299" i="1"/>
  <c r="AA325" i="1"/>
  <c r="AA316" i="1"/>
  <c r="AA324" i="1"/>
  <c r="AA300" i="1"/>
  <c r="AA317" i="1"/>
  <c r="AA301" i="1"/>
  <c r="AA318" i="1"/>
  <c r="AA326" i="1"/>
  <c r="AA330" i="1"/>
  <c r="AA331" i="1" s="1"/>
  <c r="AA335" i="1"/>
  <c r="AA336" i="1" s="1"/>
  <c r="AA390" i="1"/>
  <c r="AA391" i="1" s="1"/>
  <c r="AA394" i="1"/>
  <c r="AA396" i="1"/>
  <c r="AA397" i="1"/>
  <c r="AA417" i="1"/>
  <c r="Z450" i="1" s="1"/>
  <c r="AA418" i="1"/>
  <c r="AA450" i="1" s="1"/>
  <c r="AB427" i="1"/>
  <c r="AB431" i="1" s="1"/>
  <c r="AA419" i="1"/>
  <c r="Z427" i="1"/>
  <c r="AA427" i="1" s="1"/>
  <c r="AA428" i="1"/>
  <c r="AA429" i="1"/>
  <c r="Z433" i="1"/>
  <c r="AA433" i="1" s="1"/>
  <c r="AA438" i="1"/>
  <c r="AA426" i="1"/>
  <c r="AA425" i="1"/>
  <c r="AA422" i="1"/>
  <c r="AA382" i="1"/>
  <c r="AA384" i="1" s="1"/>
  <c r="AA379" i="1"/>
  <c r="AA380" i="1" s="1"/>
  <c r="AA368" i="1"/>
  <c r="AA371" i="1"/>
  <c r="AA357" i="1"/>
  <c r="AA355" i="1"/>
  <c r="AB336" i="1"/>
  <c r="AA302" i="1"/>
  <c r="Z281" i="1"/>
  <c r="AA281" i="1" s="1"/>
  <c r="AA277" i="1"/>
  <c r="Z136" i="1"/>
  <c r="AB76" i="1"/>
  <c r="AB78" i="1" s="1"/>
  <c r="AC78" i="1" s="1"/>
  <c r="Z76" i="1"/>
  <c r="Z78" i="1" s="1"/>
  <c r="AA78" i="1" s="1"/>
  <c r="AB43" i="1"/>
  <c r="AB44" i="1"/>
  <c r="Z43" i="1"/>
  <c r="Z44" i="1"/>
  <c r="AC29" i="1"/>
  <c r="AA29" i="1"/>
  <c r="AB87" i="1"/>
  <c r="AB115" i="1" s="1"/>
  <c r="AB88" i="1"/>
  <c r="AB119" i="1"/>
  <c r="AB167" i="1"/>
  <c r="AB168" i="1"/>
  <c r="AB244" i="1"/>
  <c r="AB246" i="1"/>
  <c r="AB243" i="1"/>
  <c r="AB291" i="1"/>
  <c r="AB292" i="1"/>
  <c r="AB276" i="1"/>
  <c r="AB284" i="1"/>
  <c r="AB295" i="1" s="1"/>
  <c r="AB343" i="1"/>
  <c r="AB334" i="1"/>
  <c r="AB344" i="1" s="1"/>
  <c r="AB345" i="1"/>
  <c r="AB380" i="1"/>
  <c r="AB384" i="1"/>
  <c r="AB391" i="1"/>
  <c r="AB339" i="1"/>
  <c r="AB340" i="1" s="1"/>
  <c r="AB331" i="1"/>
  <c r="AB327" i="1"/>
  <c r="AB321" i="1"/>
  <c r="AB303" i="1"/>
  <c r="AB305" i="1" s="1"/>
  <c r="AB288" i="1"/>
  <c r="AB273" i="1"/>
  <c r="AB267" i="1"/>
  <c r="AB262" i="1"/>
  <c r="AB253" i="1"/>
  <c r="AB240" i="1"/>
  <c r="AB235" i="1"/>
  <c r="AB164" i="1"/>
  <c r="AB159" i="1"/>
  <c r="AB143" i="1"/>
  <c r="AB133" i="1"/>
  <c r="AB127" i="1"/>
  <c r="AB112" i="1"/>
  <c r="AB106" i="1"/>
  <c r="AB84" i="1"/>
  <c r="AB73" i="1"/>
  <c r="AB64" i="1"/>
  <c r="AB57" i="1"/>
  <c r="AB51" i="1"/>
  <c r="AB40" i="1"/>
  <c r="AB35" i="1"/>
  <c r="AB29" i="1"/>
  <c r="AB25" i="1"/>
  <c r="AB23" i="1"/>
  <c r="AB20" i="1"/>
  <c r="AB15" i="1"/>
  <c r="Y168" i="1"/>
  <c r="Y446" i="1" s="1"/>
  <c r="Y244" i="1"/>
  <c r="Y447" i="1" s="1"/>
  <c r="Y292" i="1"/>
  <c r="Y448" i="1" s="1"/>
  <c r="Y344" i="1"/>
  <c r="Y449" i="1" s="1"/>
  <c r="Y450" i="1"/>
  <c r="W18" i="1"/>
  <c r="W32" i="1"/>
  <c r="W38" i="1"/>
  <c r="W49" i="1"/>
  <c r="W55" i="1"/>
  <c r="W61" i="1"/>
  <c r="W67" i="1"/>
  <c r="W82" i="1"/>
  <c r="W84" i="1" s="1"/>
  <c r="W94" i="1"/>
  <c r="V104" i="1"/>
  <c r="W104" i="1" s="1"/>
  <c r="W124" i="1"/>
  <c r="W131" i="1"/>
  <c r="W141" i="1"/>
  <c r="W244" i="1"/>
  <c r="W447" i="1" s="1"/>
  <c r="W251" i="1"/>
  <c r="W271" i="1"/>
  <c r="W300" i="1"/>
  <c r="W317" i="1"/>
  <c r="W325" i="1"/>
  <c r="W418" i="1"/>
  <c r="W450" i="1" s="1"/>
  <c r="R43" i="1"/>
  <c r="P104" i="1"/>
  <c r="Q104" i="1" s="1"/>
  <c r="Q116" i="1" s="1"/>
  <c r="Q445" i="1" s="1"/>
  <c r="R131" i="1"/>
  <c r="R141" i="1"/>
  <c r="R244" i="1"/>
  <c r="S447" i="1" s="1"/>
  <c r="R292" i="1"/>
  <c r="S448" i="1" s="1"/>
  <c r="R344" i="1"/>
  <c r="S449" i="1" s="1"/>
  <c r="S450" i="1"/>
  <c r="P103" i="1"/>
  <c r="Q103" i="1" s="1"/>
  <c r="R130" i="1"/>
  <c r="R140" i="1"/>
  <c r="R243" i="1"/>
  <c r="R447" i="1" s="1"/>
  <c r="R291" i="1"/>
  <c r="R448" i="1" s="1"/>
  <c r="R343" i="1"/>
  <c r="R449" i="1" s="1"/>
  <c r="R450" i="1"/>
  <c r="Y115" i="1"/>
  <c r="X445" i="1" s="1"/>
  <c r="Y167" i="1"/>
  <c r="X446" i="1" s="1"/>
  <c r="Y243" i="1"/>
  <c r="X447" i="1" s="1"/>
  <c r="Y291" i="1"/>
  <c r="X448" i="1" s="1"/>
  <c r="Y343" i="1"/>
  <c r="X449" i="1" s="1"/>
  <c r="X450" i="1"/>
  <c r="W17" i="1"/>
  <c r="W48" i="1"/>
  <c r="W54" i="1"/>
  <c r="W60" i="1"/>
  <c r="V62" i="1"/>
  <c r="W62" i="1" s="1"/>
  <c r="W93" i="1"/>
  <c r="W103" i="1"/>
  <c r="W123" i="1"/>
  <c r="W130" i="1"/>
  <c r="W140" i="1"/>
  <c r="W152" i="1"/>
  <c r="W157" i="1"/>
  <c r="W162" i="1"/>
  <c r="W224" i="1"/>
  <c r="W243" i="1" s="1"/>
  <c r="V447" i="1" s="1"/>
  <c r="W250" i="1"/>
  <c r="W270" i="1"/>
  <c r="W299" i="1"/>
  <c r="W316" i="1"/>
  <c r="W324" i="1"/>
  <c r="W417" i="1"/>
  <c r="V450" i="1" s="1"/>
  <c r="Y436" i="1"/>
  <c r="Z436" i="1" s="1"/>
  <c r="Z438" i="1" s="1"/>
  <c r="Y183" i="1"/>
  <c r="X467" i="1" s="1"/>
  <c r="Z391" i="1"/>
  <c r="Z398" i="1"/>
  <c r="Z87" i="1"/>
  <c r="Z88" i="1"/>
  <c r="Z119" i="1"/>
  <c r="Z167" i="1"/>
  <c r="Z168" i="1"/>
  <c r="Z244" i="1"/>
  <c r="Z246" i="1"/>
  <c r="Z243" i="1"/>
  <c r="Z291" i="1"/>
  <c r="Z292" i="1"/>
  <c r="Z276" i="1"/>
  <c r="Z284" i="1"/>
  <c r="Z295" i="1" s="1"/>
  <c r="Z343" i="1"/>
  <c r="Z334" i="1"/>
  <c r="Z344" i="1" s="1"/>
  <c r="Z345" i="1"/>
  <c r="Z371" i="1"/>
  <c r="Y437" i="1"/>
  <c r="Y433" i="1"/>
  <c r="Y427" i="1"/>
  <c r="Y431" i="1" s="1"/>
  <c r="Y261" i="1"/>
  <c r="Y262" i="1" s="1"/>
  <c r="AA358" i="1"/>
  <c r="Z380" i="1"/>
  <c r="Y62" i="1"/>
  <c r="Y68" i="1"/>
  <c r="Y119" i="1"/>
  <c r="Y132" i="1"/>
  <c r="Y133" i="1" s="1"/>
  <c r="Y245" i="1"/>
  <c r="Y246" i="1"/>
  <c r="X258" i="1"/>
  <c r="Y258" i="1" s="1"/>
  <c r="Y294" i="1"/>
  <c r="Y284" i="1"/>
  <c r="Y295" i="1" s="1"/>
  <c r="Y345" i="1"/>
  <c r="Y355" i="1"/>
  <c r="Y357" i="1"/>
  <c r="Y368" i="1"/>
  <c r="X380" i="1"/>
  <c r="Y380" i="1" s="1"/>
  <c r="Y382" i="1"/>
  <c r="Y384" i="1" s="1"/>
  <c r="Y391" i="1"/>
  <c r="Y398" i="1"/>
  <c r="Y336" i="1"/>
  <c r="Y331" i="1"/>
  <c r="Y327" i="1"/>
  <c r="Y321" i="1"/>
  <c r="Y302" i="1"/>
  <c r="Y303" i="1" s="1"/>
  <c r="Y305" i="1" s="1"/>
  <c r="X281" i="1"/>
  <c r="Y281" i="1" s="1"/>
  <c r="Y288" i="1"/>
  <c r="Y277" i="1"/>
  <c r="Y273" i="1"/>
  <c r="Y267" i="1"/>
  <c r="Y253" i="1"/>
  <c r="Y240" i="1"/>
  <c r="Y235" i="1"/>
  <c r="Y230" i="1"/>
  <c r="Y164" i="1"/>
  <c r="Y159" i="1"/>
  <c r="Y143" i="1"/>
  <c r="X137" i="1"/>
  <c r="Y137" i="1" s="1"/>
  <c r="Y127" i="1"/>
  <c r="Y112" i="1"/>
  <c r="Y90" i="1"/>
  <c r="Y84" i="1"/>
  <c r="X78" i="1"/>
  <c r="Y78" i="1" s="1"/>
  <c r="Y73" i="1"/>
  <c r="Y57" i="1"/>
  <c r="Y51" i="1"/>
  <c r="X43" i="1"/>
  <c r="X44" i="1"/>
  <c r="Y40" i="1"/>
  <c r="Y35" i="1"/>
  <c r="Y29" i="1"/>
  <c r="Y25" i="1"/>
  <c r="Y20" i="1"/>
  <c r="Z23" i="1"/>
  <c r="Z339" i="1"/>
  <c r="Z340" i="1" s="1"/>
  <c r="Z357" i="1"/>
  <c r="Z358" i="1"/>
  <c r="X357" i="1"/>
  <c r="X438" i="1"/>
  <c r="X427" i="1"/>
  <c r="X431" i="1" s="1"/>
  <c r="X115" i="1"/>
  <c r="X33" i="1"/>
  <c r="X119" i="1"/>
  <c r="X167" i="1"/>
  <c r="X168" i="1"/>
  <c r="X153" i="1"/>
  <c r="X169" i="1" s="1"/>
  <c r="X183" i="1"/>
  <c r="X244" i="1"/>
  <c r="X228" i="1"/>
  <c r="X230" i="1" s="1"/>
  <c r="X246" i="1"/>
  <c r="X243" i="1"/>
  <c r="X291" i="1"/>
  <c r="X292" i="1"/>
  <c r="X294" i="1"/>
  <c r="X284" i="1"/>
  <c r="X295" i="1" s="1"/>
  <c r="X343" i="1"/>
  <c r="X344" i="1"/>
  <c r="X345" i="1"/>
  <c r="X384" i="1"/>
  <c r="X391" i="1"/>
  <c r="X398" i="1"/>
  <c r="X340" i="1"/>
  <c r="X336" i="1"/>
  <c r="X331" i="1"/>
  <c r="X327" i="1"/>
  <c r="X321" i="1"/>
  <c r="X303" i="1"/>
  <c r="X305" i="1" s="1"/>
  <c r="X288" i="1"/>
  <c r="X273" i="1"/>
  <c r="X267" i="1"/>
  <c r="X262" i="1"/>
  <c r="X253" i="1"/>
  <c r="X240" i="1"/>
  <c r="X235" i="1"/>
  <c r="X164" i="1"/>
  <c r="X159" i="1"/>
  <c r="X143" i="1"/>
  <c r="X133" i="1"/>
  <c r="X127" i="1"/>
  <c r="X112" i="1"/>
  <c r="X90" i="1"/>
  <c r="X84" i="1"/>
  <c r="X73" i="1"/>
  <c r="X69" i="1"/>
  <c r="X64" i="1"/>
  <c r="X57" i="1"/>
  <c r="X51" i="1"/>
  <c r="X40" i="1"/>
  <c r="X29" i="1"/>
  <c r="X25" i="1"/>
  <c r="X20" i="1"/>
  <c r="Y15" i="1"/>
  <c r="X15" i="1"/>
  <c r="W33" i="1"/>
  <c r="V183" i="1"/>
  <c r="W183" i="1" s="1"/>
  <c r="Z384" i="1"/>
  <c r="W390" i="1"/>
  <c r="W391" i="1" s="1"/>
  <c r="W436" i="1"/>
  <c r="W437" i="1"/>
  <c r="W419" i="1"/>
  <c r="W335" i="1"/>
  <c r="W336" i="1" s="1"/>
  <c r="W330" i="1"/>
  <c r="W331" i="1" s="1"/>
  <c r="W326" i="1"/>
  <c r="W318" i="1"/>
  <c r="W301" i="1"/>
  <c r="W287" i="1"/>
  <c r="W288" i="1" s="1"/>
  <c r="W283" i="1"/>
  <c r="W284" i="1" s="1"/>
  <c r="W295" i="1" s="1"/>
  <c r="W272" i="1"/>
  <c r="W266" i="1"/>
  <c r="W267" i="1" s="1"/>
  <c r="W261" i="1"/>
  <c r="W262" i="1" s="1"/>
  <c r="W252" i="1"/>
  <c r="W229" i="1"/>
  <c r="W227" i="1"/>
  <c r="W226" i="1"/>
  <c r="W246" i="1" s="1"/>
  <c r="W239" i="1"/>
  <c r="W240" i="1" s="1"/>
  <c r="W163" i="1"/>
  <c r="W158" i="1"/>
  <c r="W142" i="1"/>
  <c r="W132" i="1"/>
  <c r="W126" i="1"/>
  <c r="W111" i="1"/>
  <c r="W112" i="1" s="1"/>
  <c r="W105" i="1"/>
  <c r="W89" i="1"/>
  <c r="W90" i="1" s="1"/>
  <c r="W72" i="1"/>
  <c r="W73" i="1" s="1"/>
  <c r="W68" i="1"/>
  <c r="W56" i="1"/>
  <c r="W50" i="1"/>
  <c r="W39" i="1"/>
  <c r="W24" i="1"/>
  <c r="W25" i="1" s="1"/>
  <c r="W19" i="1"/>
  <c r="V95" i="1"/>
  <c r="W95" i="1" s="1"/>
  <c r="W119" i="1"/>
  <c r="W125" i="1"/>
  <c r="V258" i="1"/>
  <c r="V293" i="1" s="1"/>
  <c r="W395" i="1"/>
  <c r="W397" i="1"/>
  <c r="W422" i="1"/>
  <c r="W423" i="1"/>
  <c r="W424" i="1"/>
  <c r="W425" i="1"/>
  <c r="W426" i="1"/>
  <c r="W428" i="1"/>
  <c r="W429" i="1"/>
  <c r="W382" i="1"/>
  <c r="W384" i="1" s="1"/>
  <c r="V380" i="1"/>
  <c r="W380" i="1" s="1"/>
  <c r="W368" i="1"/>
  <c r="W357" i="1"/>
  <c r="W355" i="1"/>
  <c r="W302" i="1"/>
  <c r="V281" i="1"/>
  <c r="W281" i="1" s="1"/>
  <c r="W277" i="1"/>
  <c r="W235" i="1"/>
  <c r="V137" i="1"/>
  <c r="W137" i="1" s="1"/>
  <c r="V78" i="1"/>
  <c r="W78" i="1" s="1"/>
  <c r="V43" i="1"/>
  <c r="V44" i="1"/>
  <c r="W29" i="1"/>
  <c r="Z336" i="1"/>
  <c r="Z331" i="1"/>
  <c r="Z327" i="1"/>
  <c r="Z321" i="1"/>
  <c r="Z303" i="1"/>
  <c r="Z305" i="1" s="1"/>
  <c r="Z288" i="1"/>
  <c r="Z273" i="1"/>
  <c r="Z267" i="1"/>
  <c r="Z262" i="1"/>
  <c r="Z253" i="1"/>
  <c r="Z240" i="1"/>
  <c r="Z235" i="1"/>
  <c r="Z164" i="1"/>
  <c r="Z159" i="1"/>
  <c r="Z143" i="1"/>
  <c r="Z133" i="1"/>
  <c r="Z127" i="1"/>
  <c r="Z112" i="1"/>
  <c r="Z84" i="1"/>
  <c r="Z73" i="1"/>
  <c r="Z57" i="1"/>
  <c r="Z51" i="1"/>
  <c r="Z40" i="1"/>
  <c r="Z35" i="1"/>
  <c r="Z29" i="1"/>
  <c r="Z25" i="1"/>
  <c r="Z20" i="1"/>
  <c r="Z15" i="1"/>
  <c r="V244" i="1"/>
  <c r="V228" i="1"/>
  <c r="V245" i="1" s="1"/>
  <c r="V246" i="1"/>
  <c r="V243" i="1"/>
  <c r="V357" i="1"/>
  <c r="V153" i="1"/>
  <c r="S436" i="1"/>
  <c r="S438" i="1" s="1"/>
  <c r="R183" i="1"/>
  <c r="S183" i="1" s="1"/>
  <c r="AO31" i="10" s="1"/>
  <c r="V115" i="1"/>
  <c r="V167" i="1"/>
  <c r="V291" i="1"/>
  <c r="V343" i="1"/>
  <c r="V168" i="1"/>
  <c r="V292" i="1"/>
  <c r="V344" i="1"/>
  <c r="Q167" i="1"/>
  <c r="P446" i="1" s="1"/>
  <c r="Q243" i="1"/>
  <c r="P447" i="1" s="1"/>
  <c r="Q291" i="1"/>
  <c r="P448" i="1" s="1"/>
  <c r="Q343" i="1"/>
  <c r="P449" i="1" s="1"/>
  <c r="P450" i="1"/>
  <c r="V112" i="1"/>
  <c r="R112" i="1"/>
  <c r="S112" i="1" s="1"/>
  <c r="R95" i="1"/>
  <c r="R96" i="1" s="1"/>
  <c r="S96" i="1" s="1"/>
  <c r="V90" i="1"/>
  <c r="R90" i="1"/>
  <c r="S90" i="1" s="1"/>
  <c r="R83" i="1"/>
  <c r="R84" i="1" s="1"/>
  <c r="S84" i="1" s="1"/>
  <c r="V84" i="1"/>
  <c r="R78" i="1"/>
  <c r="S78" i="1" s="1"/>
  <c r="V73" i="1"/>
  <c r="R73" i="1"/>
  <c r="S73" i="1" s="1"/>
  <c r="V69" i="1"/>
  <c r="R69" i="1"/>
  <c r="S69" i="1" s="1"/>
  <c r="R62" i="1"/>
  <c r="R64" i="1" s="1"/>
  <c r="S64" i="1" s="1"/>
  <c r="V57" i="1"/>
  <c r="R57" i="1"/>
  <c r="S57" i="1" s="1"/>
  <c r="V51" i="1"/>
  <c r="R51" i="1"/>
  <c r="S51" i="1" s="1"/>
  <c r="R44" i="1"/>
  <c r="V40" i="1"/>
  <c r="R40" i="1"/>
  <c r="S40" i="1" s="1"/>
  <c r="V35" i="1"/>
  <c r="S29" i="1"/>
  <c r="V25" i="1"/>
  <c r="R25" i="1"/>
  <c r="S25" i="1" s="1"/>
  <c r="V20" i="1"/>
  <c r="R20" i="1"/>
  <c r="S20" i="1" s="1"/>
  <c r="R301" i="1"/>
  <c r="P287" i="1"/>
  <c r="Q287" i="1" s="1"/>
  <c r="R132" i="1"/>
  <c r="V391" i="1"/>
  <c r="R436" i="1"/>
  <c r="R438" i="1" s="1"/>
  <c r="V438" i="1"/>
  <c r="V427" i="1"/>
  <c r="V431" i="1" s="1"/>
  <c r="V294" i="1"/>
  <c r="V284" i="1"/>
  <c r="V295" i="1" s="1"/>
  <c r="V345" i="1"/>
  <c r="V384" i="1"/>
  <c r="V398" i="1"/>
  <c r="V340" i="1"/>
  <c r="V336" i="1"/>
  <c r="V331" i="1"/>
  <c r="V327" i="1"/>
  <c r="V321" i="1"/>
  <c r="V303" i="1"/>
  <c r="V305" i="1" s="1"/>
  <c r="V288" i="1"/>
  <c r="V273" i="1"/>
  <c r="V267" i="1"/>
  <c r="V262" i="1"/>
  <c r="V253" i="1"/>
  <c r="V240" i="1"/>
  <c r="V235" i="1"/>
  <c r="V164" i="1"/>
  <c r="V159" i="1"/>
  <c r="V143" i="1"/>
  <c r="V133" i="1"/>
  <c r="V127" i="1"/>
  <c r="V29" i="1"/>
  <c r="W15" i="1"/>
  <c r="V15" i="1"/>
  <c r="S423" i="1"/>
  <c r="S425" i="1"/>
  <c r="S426" i="1"/>
  <c r="S433" i="1"/>
  <c r="AO33" i="10" s="1"/>
  <c r="R368" i="1"/>
  <c r="R376" i="1" s="1"/>
  <c r="S376" i="1" s="1"/>
  <c r="R380" i="1"/>
  <c r="S380" i="1" s="1"/>
  <c r="R384" i="1"/>
  <c r="S384" i="1" s="1"/>
  <c r="R119" i="1"/>
  <c r="S167" i="1"/>
  <c r="S168" i="1"/>
  <c r="S169" i="1"/>
  <c r="R153" i="1"/>
  <c r="R245" i="1"/>
  <c r="R246" i="1"/>
  <c r="R258" i="1"/>
  <c r="R293" i="1" s="1"/>
  <c r="R284" i="1"/>
  <c r="R295" i="1" s="1"/>
  <c r="S343" i="1"/>
  <c r="S344" i="1"/>
  <c r="S345" i="1"/>
  <c r="R391" i="1"/>
  <c r="S391" i="1" s="1"/>
  <c r="AO39" i="10" s="1"/>
  <c r="R398" i="1"/>
  <c r="S398" i="1" s="1"/>
  <c r="R336" i="1"/>
  <c r="S336" i="1" s="1"/>
  <c r="R331" i="1"/>
  <c r="S331" i="1" s="1"/>
  <c r="R327" i="1"/>
  <c r="S327" i="1" s="1"/>
  <c r="R321" i="1"/>
  <c r="S321" i="1" s="1"/>
  <c r="AO29" i="10" s="1"/>
  <c r="S303" i="1"/>
  <c r="S288" i="1"/>
  <c r="S277" i="1"/>
  <c r="R273" i="1"/>
  <c r="S273" i="1" s="1"/>
  <c r="R267" i="1"/>
  <c r="S267" i="1" s="1"/>
  <c r="R262" i="1"/>
  <c r="S262" i="1" s="1"/>
  <c r="R253" i="1"/>
  <c r="S253" i="1" s="1"/>
  <c r="R240" i="1"/>
  <c r="S240" i="1" s="1"/>
  <c r="R235" i="1"/>
  <c r="S235" i="1" s="1"/>
  <c r="AO28" i="10" s="1"/>
  <c r="R230" i="1"/>
  <c r="S230" i="1" s="1"/>
  <c r="R164" i="1"/>
  <c r="S164" i="1" s="1"/>
  <c r="R159" i="1"/>
  <c r="S159" i="1" s="1"/>
  <c r="R137" i="1"/>
  <c r="S137" i="1" s="1"/>
  <c r="AO23" i="10" s="1"/>
  <c r="R127" i="1"/>
  <c r="S127" i="1" s="1"/>
  <c r="AO21" i="10" s="1"/>
  <c r="R433" i="1"/>
  <c r="Q64" i="1"/>
  <c r="Q68" i="1"/>
  <c r="Q69" i="1" s="1"/>
  <c r="Q124" i="1"/>
  <c r="Q168" i="1" s="1"/>
  <c r="Q446" i="1" s="1"/>
  <c r="Q183" i="1"/>
  <c r="AP31" i="10" s="1"/>
  <c r="O227" i="1"/>
  <c r="O226" i="1"/>
  <c r="O246" i="1" s="1"/>
  <c r="Q344" i="1"/>
  <c r="Q449" i="1" s="1"/>
  <c r="Q354" i="1"/>
  <c r="Q355" i="1"/>
  <c r="Q384" i="1"/>
  <c r="Q433" i="1"/>
  <c r="AP33" i="10" s="1"/>
  <c r="O425" i="1"/>
  <c r="P425" i="1" s="1"/>
  <c r="Q425" i="1" s="1"/>
  <c r="O428" i="1"/>
  <c r="P428" i="1" s="1"/>
  <c r="O429" i="1"/>
  <c r="P429" i="1" s="1"/>
  <c r="Q429" i="1" s="1"/>
  <c r="R429" i="1" s="1"/>
  <c r="Q436" i="1"/>
  <c r="Q394" i="1"/>
  <c r="AP36" i="10" s="1"/>
  <c r="Q396" i="1"/>
  <c r="AP37" i="10" s="1"/>
  <c r="Q303" i="1"/>
  <c r="Q305" i="1" s="1"/>
  <c r="Q235" i="1"/>
  <c r="AP28" i="10" s="1"/>
  <c r="P43" i="1"/>
  <c r="P44" i="1"/>
  <c r="P68" i="1"/>
  <c r="P69" i="1" s="1"/>
  <c r="R29" i="1"/>
  <c r="O115" i="1"/>
  <c r="N445" i="1" s="1"/>
  <c r="O167" i="1"/>
  <c r="N446" i="1" s="1"/>
  <c r="O243" i="1"/>
  <c r="N447" i="1" s="1"/>
  <c r="O250" i="1"/>
  <c r="O291" i="1" s="1"/>
  <c r="N448" i="1" s="1"/>
  <c r="O251" i="1"/>
  <c r="O292" i="1" s="1"/>
  <c r="O448" i="1" s="1"/>
  <c r="O252" i="1"/>
  <c r="O343" i="1"/>
  <c r="N449" i="1" s="1"/>
  <c r="O417" i="1"/>
  <c r="N450" i="1" s="1"/>
  <c r="R340" i="1"/>
  <c r="Q368" i="1"/>
  <c r="Q367" i="1"/>
  <c r="Q390" i="1"/>
  <c r="Q391" i="1" s="1"/>
  <c r="AP39" i="10" s="1"/>
  <c r="Q437" i="1"/>
  <c r="Q126" i="1"/>
  <c r="Q169" i="1" s="1"/>
  <c r="Q380" i="1"/>
  <c r="P438" i="1"/>
  <c r="P137" i="1"/>
  <c r="Q137" i="1" s="1"/>
  <c r="AP23" i="10" s="1"/>
  <c r="Q336" i="1"/>
  <c r="Q331" i="1"/>
  <c r="Q327" i="1"/>
  <c r="Q321" i="1"/>
  <c r="AP29" i="10" s="1"/>
  <c r="Q284" i="1"/>
  <c r="Q295" i="1" s="1"/>
  <c r="R281" i="1"/>
  <c r="S281" i="1" s="1"/>
  <c r="P281" i="1"/>
  <c r="Q281" i="1" s="1"/>
  <c r="Q277" i="1"/>
  <c r="P258" i="1"/>
  <c r="Q258" i="1" s="1"/>
  <c r="Q293" i="1" s="1"/>
  <c r="O258" i="1"/>
  <c r="O261" i="1"/>
  <c r="O262" i="1" s="1"/>
  <c r="N258" i="1"/>
  <c r="N293" i="1" s="1"/>
  <c r="Q267" i="1"/>
  <c r="Q253" i="1"/>
  <c r="Q225" i="1"/>
  <c r="AP25" i="10" s="1"/>
  <c r="Q95" i="1"/>
  <c r="Q96" i="1" s="1"/>
  <c r="Q84" i="1"/>
  <c r="Q57" i="1"/>
  <c r="Q51" i="1"/>
  <c r="P40" i="1"/>
  <c r="Q40" i="1" s="1"/>
  <c r="Q35" i="1"/>
  <c r="Q29" i="1"/>
  <c r="Q25" i="1"/>
  <c r="Q20" i="1"/>
  <c r="M104" i="1"/>
  <c r="N104" i="1" s="1"/>
  <c r="Q159" i="1"/>
  <c r="Q143" i="1"/>
  <c r="Q112" i="1"/>
  <c r="P112" i="1"/>
  <c r="P90" i="1"/>
  <c r="P78" i="1"/>
  <c r="Q78" i="1" s="1"/>
  <c r="Q73" i="1"/>
  <c r="P51" i="1"/>
  <c r="R15" i="1"/>
  <c r="S15" i="1"/>
  <c r="P398" i="1"/>
  <c r="P391" i="1"/>
  <c r="P119" i="1"/>
  <c r="P243" i="1"/>
  <c r="P225" i="1"/>
  <c r="P244" i="1" s="1"/>
  <c r="O244" i="1"/>
  <c r="O447" i="1" s="1"/>
  <c r="P291" i="1"/>
  <c r="P292" i="1"/>
  <c r="P284" i="1"/>
  <c r="P295" i="1" s="1"/>
  <c r="Q345" i="1"/>
  <c r="P343" i="1"/>
  <c r="P344" i="1"/>
  <c r="P345" i="1"/>
  <c r="P363" i="1"/>
  <c r="P376" i="1"/>
  <c r="P380" i="1"/>
  <c r="P384" i="1"/>
  <c r="P29" i="1"/>
  <c r="N427" i="1"/>
  <c r="N431" i="1" s="1"/>
  <c r="P168" i="1"/>
  <c r="P153" i="1"/>
  <c r="P167" i="1"/>
  <c r="P235" i="1"/>
  <c r="P303" i="1"/>
  <c r="P305" i="1" s="1"/>
  <c r="O116" i="1"/>
  <c r="O445" i="1" s="1"/>
  <c r="O117" i="1"/>
  <c r="O119" i="1"/>
  <c r="O124" i="1"/>
  <c r="O127" i="1" s="1"/>
  <c r="O169" i="1"/>
  <c r="O183" i="1"/>
  <c r="N467" i="1" s="1"/>
  <c r="O284" i="1"/>
  <c r="O295" i="1" s="1"/>
  <c r="O317" i="1"/>
  <c r="O344" i="1" s="1"/>
  <c r="O318" i="1"/>
  <c r="O345" i="1" s="1"/>
  <c r="O363" i="1"/>
  <c r="O376" i="1"/>
  <c r="O380" i="1"/>
  <c r="O384" i="1"/>
  <c r="O391" i="1"/>
  <c r="O398" i="1"/>
  <c r="O436" i="1"/>
  <c r="O437" i="1"/>
  <c r="O433" i="1"/>
  <c r="P321" i="1"/>
  <c r="O235" i="1"/>
  <c r="O137" i="1"/>
  <c r="O133" i="1"/>
  <c r="P133" i="1"/>
  <c r="P127" i="1"/>
  <c r="O423" i="1"/>
  <c r="P423" i="1" s="1"/>
  <c r="Q423" i="1" s="1"/>
  <c r="O426" i="1"/>
  <c r="P426" i="1" s="1"/>
  <c r="Q426" i="1" s="1"/>
  <c r="O422" i="1"/>
  <c r="P422" i="1" s="1"/>
  <c r="Q422" i="1" s="1"/>
  <c r="N183" i="1"/>
  <c r="P331" i="1"/>
  <c r="N167" i="1"/>
  <c r="N168" i="1"/>
  <c r="N153" i="1"/>
  <c r="N169" i="1" s="1"/>
  <c r="N115" i="1"/>
  <c r="N95" i="1"/>
  <c r="N96" i="1" s="1"/>
  <c r="M340" i="1"/>
  <c r="N340" i="1"/>
  <c r="O340" i="1"/>
  <c r="P340" i="1"/>
  <c r="Q340" i="1" s="1"/>
  <c r="L340" i="1"/>
  <c r="P336" i="1"/>
  <c r="P327" i="1"/>
  <c r="P273" i="1"/>
  <c r="Q273" i="1"/>
  <c r="P267" i="1"/>
  <c r="P262" i="1"/>
  <c r="Q262" i="1"/>
  <c r="P240" i="1"/>
  <c r="Q240" i="1"/>
  <c r="P253" i="1"/>
  <c r="P143" i="1"/>
  <c r="P164" i="1"/>
  <c r="Q164" i="1"/>
  <c r="P159" i="1"/>
  <c r="Q154" i="1"/>
  <c r="Q133" i="1"/>
  <c r="AP22" i="10" s="1"/>
  <c r="P96" i="1"/>
  <c r="Q90" i="1"/>
  <c r="P84" i="1"/>
  <c r="P73" i="1"/>
  <c r="P64" i="1"/>
  <c r="P57" i="1"/>
  <c r="P35" i="1"/>
  <c r="P25" i="1"/>
  <c r="P15" i="1"/>
  <c r="Q15" i="1"/>
  <c r="Q292" i="1"/>
  <c r="Q448" i="1" s="1"/>
  <c r="Q450" i="1"/>
  <c r="O418" i="1"/>
  <c r="M88" i="1"/>
  <c r="M90" i="1" s="1"/>
  <c r="M110" i="1"/>
  <c r="M112" i="1" s="1"/>
  <c r="M244" i="1"/>
  <c r="M168" i="1"/>
  <c r="M292" i="1"/>
  <c r="M344" i="1"/>
  <c r="O419" i="1"/>
  <c r="O424" i="1"/>
  <c r="O336" i="1"/>
  <c r="O331" i="1"/>
  <c r="O327" i="1"/>
  <c r="O303" i="1"/>
  <c r="O305" i="1" s="1"/>
  <c r="O288" i="1"/>
  <c r="O281" i="1"/>
  <c r="O277" i="1"/>
  <c r="O273" i="1"/>
  <c r="O267" i="1"/>
  <c r="O240" i="1"/>
  <c r="O164" i="1"/>
  <c r="O159" i="1"/>
  <c r="O154" i="1"/>
  <c r="O143" i="1"/>
  <c r="O112" i="1"/>
  <c r="O106" i="1"/>
  <c r="O96" i="1"/>
  <c r="O90" i="1"/>
  <c r="O84" i="1"/>
  <c r="O73" i="1"/>
  <c r="O69" i="1"/>
  <c r="O64" i="1"/>
  <c r="O57" i="1"/>
  <c r="O51" i="1"/>
  <c r="O40" i="1"/>
  <c r="O35" i="1"/>
  <c r="O29" i="1"/>
  <c r="O25" i="1"/>
  <c r="O15" i="1"/>
  <c r="L228" i="1"/>
  <c r="L230" i="1" s="1"/>
  <c r="N438" i="1"/>
  <c r="M438" i="1"/>
  <c r="K19" i="10" s="1"/>
  <c r="M423" i="1"/>
  <c r="M427" i="1" s="1"/>
  <c r="M431" i="1" s="1"/>
  <c r="M81" i="1"/>
  <c r="M117" i="1"/>
  <c r="M119" i="1"/>
  <c r="M167" i="1"/>
  <c r="M446" i="1" s="1"/>
  <c r="M169" i="1"/>
  <c r="M243" i="1"/>
  <c r="M447" i="1" s="1"/>
  <c r="M245" i="1"/>
  <c r="M246" i="1"/>
  <c r="M291" i="1"/>
  <c r="M448" i="1" s="1"/>
  <c r="M258" i="1"/>
  <c r="M293" i="1" s="1"/>
  <c r="M294" i="1"/>
  <c r="M284" i="1"/>
  <c r="M295" i="1" s="1"/>
  <c r="M343" i="1"/>
  <c r="M449" i="1" s="1"/>
  <c r="M345" i="1"/>
  <c r="M363" i="1"/>
  <c r="M376" i="1"/>
  <c r="M380" i="1"/>
  <c r="M384" i="1"/>
  <c r="M398" i="1"/>
  <c r="M412" i="1" s="1"/>
  <c r="K17" i="10" s="1"/>
  <c r="M391" i="1"/>
  <c r="M336" i="1"/>
  <c r="M331" i="1"/>
  <c r="M327" i="1"/>
  <c r="M321" i="1"/>
  <c r="M303" i="1"/>
  <c r="M305" i="1" s="1"/>
  <c r="M288" i="1"/>
  <c r="M281" i="1"/>
  <c r="M277" i="1"/>
  <c r="M273" i="1"/>
  <c r="M267" i="1"/>
  <c r="M262" i="1"/>
  <c r="M253" i="1"/>
  <c r="M240" i="1"/>
  <c r="M235" i="1"/>
  <c r="M230" i="1"/>
  <c r="M164" i="1"/>
  <c r="M159" i="1"/>
  <c r="M154" i="1"/>
  <c r="M143" i="1"/>
  <c r="M137" i="1"/>
  <c r="M133" i="1"/>
  <c r="M127" i="1"/>
  <c r="M96" i="1"/>
  <c r="M73" i="1"/>
  <c r="M69" i="1"/>
  <c r="M64" i="1"/>
  <c r="M57" i="1"/>
  <c r="M51" i="1"/>
  <c r="M40" i="1"/>
  <c r="M35" i="1"/>
  <c r="M29" i="1"/>
  <c r="M25" i="1"/>
  <c r="O20" i="1"/>
  <c r="M20" i="1"/>
  <c r="N64" i="1"/>
  <c r="M15" i="1"/>
  <c r="N20" i="1"/>
  <c r="N398" i="1"/>
  <c r="N391" i="1"/>
  <c r="N227" i="1"/>
  <c r="N230" i="1" s="1"/>
  <c r="N243" i="1"/>
  <c r="N244" i="1"/>
  <c r="N246" i="1"/>
  <c r="N303" i="1"/>
  <c r="N305" i="1" s="1"/>
  <c r="N376" i="1"/>
  <c r="N294" i="1"/>
  <c r="N345" i="1"/>
  <c r="N119" i="1"/>
  <c r="L119" i="1"/>
  <c r="L64" i="1"/>
  <c r="N292" i="1"/>
  <c r="N291" i="1"/>
  <c r="N235" i="1"/>
  <c r="N133" i="1"/>
  <c r="N29" i="1"/>
  <c r="N15" i="1"/>
  <c r="L246" i="1"/>
  <c r="L183" i="1"/>
  <c r="J12" i="10" s="1"/>
  <c r="L126" i="1"/>
  <c r="L169" i="1" s="1"/>
  <c r="N284" i="1"/>
  <c r="N295" i="1" s="1"/>
  <c r="L117" i="1"/>
  <c r="L116" i="1"/>
  <c r="L455" i="1" s="1"/>
  <c r="L167" i="1"/>
  <c r="L446" i="1" s="1"/>
  <c r="L168" i="1"/>
  <c r="L244" i="1"/>
  <c r="L243" i="1"/>
  <c r="L447" i="1" s="1"/>
  <c r="L291" i="1"/>
  <c r="L448" i="1" s="1"/>
  <c r="L294" i="1"/>
  <c r="L284" i="1"/>
  <c r="L295" i="1" s="1"/>
  <c r="L265" i="1"/>
  <c r="L258" i="1"/>
  <c r="L293" i="1" s="1"/>
  <c r="L343" i="1"/>
  <c r="L344" i="1"/>
  <c r="L345" i="1"/>
  <c r="L376" i="1"/>
  <c r="L384" i="1"/>
  <c r="L398" i="1"/>
  <c r="L391" i="1"/>
  <c r="L410" i="1"/>
  <c r="N384" i="1"/>
  <c r="N380" i="1"/>
  <c r="N363" i="1"/>
  <c r="N343" i="1"/>
  <c r="N344" i="1"/>
  <c r="N336" i="1"/>
  <c r="N331" i="1"/>
  <c r="N327" i="1"/>
  <c r="N321" i="1"/>
  <c r="N288" i="1"/>
  <c r="N281" i="1"/>
  <c r="N277" i="1"/>
  <c r="N273" i="1"/>
  <c r="N267" i="1"/>
  <c r="N262" i="1"/>
  <c r="N253" i="1"/>
  <c r="N240" i="1"/>
  <c r="N164" i="1"/>
  <c r="N159" i="1"/>
  <c r="N143" i="1"/>
  <c r="N137" i="1"/>
  <c r="N127" i="1"/>
  <c r="N112" i="1"/>
  <c r="N73" i="1"/>
  <c r="N69" i="1"/>
  <c r="N57" i="1"/>
  <c r="N51" i="1"/>
  <c r="N40" i="1"/>
  <c r="N35" i="1"/>
  <c r="N25" i="1"/>
  <c r="N84" i="1"/>
  <c r="L436" i="1"/>
  <c r="L438" i="1" s="1"/>
  <c r="J19" i="10" s="1"/>
  <c r="L456" i="1"/>
  <c r="M450" i="1"/>
  <c r="J258" i="1"/>
  <c r="J293" i="1" s="1"/>
  <c r="J291" i="1"/>
  <c r="J448" i="1" s="1"/>
  <c r="J292" i="1"/>
  <c r="J294" i="1"/>
  <c r="J284" i="1"/>
  <c r="J295" i="1" s="1"/>
  <c r="M456" i="1"/>
  <c r="M78" i="1"/>
  <c r="J183" i="1"/>
  <c r="I12" i="10" s="1"/>
  <c r="K117" i="1"/>
  <c r="J117" i="1"/>
  <c r="L25" i="1"/>
  <c r="L133" i="1"/>
  <c r="J133" i="1"/>
  <c r="J168" i="1"/>
  <c r="J169" i="1"/>
  <c r="J167" i="1"/>
  <c r="J446" i="1" s="1"/>
  <c r="L235" i="1"/>
  <c r="L253" i="1"/>
  <c r="L321" i="1"/>
  <c r="L40" i="1"/>
  <c r="L277" i="1"/>
  <c r="L159" i="1"/>
  <c r="L69" i="1"/>
  <c r="L363" i="1"/>
  <c r="L380" i="1"/>
  <c r="I394" i="1"/>
  <c r="I398" i="1" s="1"/>
  <c r="I142" i="1"/>
  <c r="I126" i="1"/>
  <c r="I68" i="1"/>
  <c r="I363" i="1"/>
  <c r="I96" i="1"/>
  <c r="I17" i="1"/>
  <c r="I54" i="1"/>
  <c r="I81" i="1"/>
  <c r="I84" i="1" s="1"/>
  <c r="I261" i="1"/>
  <c r="I293" i="1" s="1"/>
  <c r="I140" i="1"/>
  <c r="I18" i="1"/>
  <c r="I55" i="1"/>
  <c r="I61" i="1"/>
  <c r="I64" i="1" s="1"/>
  <c r="I67" i="1"/>
  <c r="I331" i="1"/>
  <c r="I321" i="1"/>
  <c r="I181" i="1"/>
  <c r="I176" i="1"/>
  <c r="I173" i="1"/>
  <c r="I174" i="1"/>
  <c r="I175" i="1"/>
  <c r="I177" i="1"/>
  <c r="I178" i="1"/>
  <c r="I179" i="1"/>
  <c r="I130" i="1"/>
  <c r="I133" i="1" s="1"/>
  <c r="I123" i="1"/>
  <c r="I127" i="1" s="1"/>
  <c r="I56" i="1"/>
  <c r="I33" i="1"/>
  <c r="I35" i="1" s="1"/>
  <c r="I29" i="1"/>
  <c r="J438" i="1"/>
  <c r="I19" i="10" s="1"/>
  <c r="J116" i="1"/>
  <c r="J115" i="1"/>
  <c r="J445" i="1" s="1"/>
  <c r="J243" i="1"/>
  <c r="J447" i="1" s="1"/>
  <c r="J244" i="1"/>
  <c r="J245" i="1"/>
  <c r="J344" i="1"/>
  <c r="J345" i="1"/>
  <c r="J343" i="1"/>
  <c r="J449" i="1" s="1"/>
  <c r="J346" i="1"/>
  <c r="J348" i="1"/>
  <c r="J349" i="1"/>
  <c r="L336" i="1"/>
  <c r="L288" i="1"/>
  <c r="L281" i="1"/>
  <c r="L331" i="1"/>
  <c r="L327" i="1"/>
  <c r="L303" i="1"/>
  <c r="L305" i="1" s="1"/>
  <c r="K295" i="1"/>
  <c r="L273" i="1"/>
  <c r="L262" i="1"/>
  <c r="L240" i="1"/>
  <c r="L164" i="1"/>
  <c r="L154" i="1"/>
  <c r="L143" i="1"/>
  <c r="L137" i="1"/>
  <c r="L112" i="1"/>
  <c r="L106" i="1"/>
  <c r="L96" i="1"/>
  <c r="L90" i="1"/>
  <c r="L84" i="1"/>
  <c r="L78" i="1"/>
  <c r="L73" i="1"/>
  <c r="J64" i="1"/>
  <c r="L57" i="1"/>
  <c r="L51" i="1"/>
  <c r="L35" i="1"/>
  <c r="L29" i="1"/>
  <c r="L20" i="1"/>
  <c r="L422" i="1"/>
  <c r="L427" i="1" s="1"/>
  <c r="L431" i="1" s="1"/>
  <c r="L14" i="1"/>
  <c r="L115" i="1" s="1"/>
  <c r="K451" i="1"/>
  <c r="L450" i="1"/>
  <c r="K438" i="1"/>
  <c r="K431" i="1"/>
  <c r="K412" i="1"/>
  <c r="K347" i="1"/>
  <c r="K291" i="1"/>
  <c r="K296" i="1" s="1"/>
  <c r="K292" i="1"/>
  <c r="K293" i="1"/>
  <c r="K294" i="1"/>
  <c r="K243" i="1"/>
  <c r="K244" i="1"/>
  <c r="K115" i="1"/>
  <c r="K120" i="1" s="1"/>
  <c r="K116" i="1"/>
  <c r="J40" i="1"/>
  <c r="J20" i="1"/>
  <c r="J450" i="1"/>
  <c r="H115" i="1"/>
  <c r="G445" i="1" s="1"/>
  <c r="H167" i="1"/>
  <c r="G446" i="1" s="1"/>
  <c r="H243" i="1"/>
  <c r="G447" i="1" s="1"/>
  <c r="H291" i="1"/>
  <c r="G448" i="1" s="1"/>
  <c r="H343" i="1"/>
  <c r="G449" i="1" s="1"/>
  <c r="G450" i="1"/>
  <c r="H116" i="1"/>
  <c r="H445" i="1" s="1"/>
  <c r="H168" i="1"/>
  <c r="H446" i="1" s="1"/>
  <c r="H244" i="1"/>
  <c r="H447" i="1" s="1"/>
  <c r="H292" i="1"/>
  <c r="H344" i="1"/>
  <c r="H449" i="1" s="1"/>
  <c r="H450" i="1"/>
  <c r="J431" i="1"/>
  <c r="J303" i="1"/>
  <c r="J305" i="1" s="1"/>
  <c r="G419" i="1"/>
  <c r="G431" i="1" s="1"/>
  <c r="F384" i="1"/>
  <c r="F380" i="1"/>
  <c r="F376" i="1"/>
  <c r="F363" i="1"/>
  <c r="G384" i="1"/>
  <c r="G380" i="1"/>
  <c r="G376" i="1"/>
  <c r="G363" i="1"/>
  <c r="G318" i="1"/>
  <c r="G321" i="1" s="1"/>
  <c r="G295" i="1"/>
  <c r="G142" i="1"/>
  <c r="G143" i="1" s="1"/>
  <c r="G132" i="1"/>
  <c r="G133" i="1" s="1"/>
  <c r="G126" i="1"/>
  <c r="G127" i="1" s="1"/>
  <c r="G68" i="1"/>
  <c r="G69" i="1" s="1"/>
  <c r="G24" i="1"/>
  <c r="H183" i="1"/>
  <c r="AW183" i="1" s="1"/>
  <c r="J376" i="1"/>
  <c r="J380" i="1"/>
  <c r="J363" i="1"/>
  <c r="I376" i="1"/>
  <c r="I380" i="1"/>
  <c r="I384" i="1"/>
  <c r="J384" i="1"/>
  <c r="J391" i="1"/>
  <c r="J398" i="1"/>
  <c r="J410" i="1"/>
  <c r="H303" i="1"/>
  <c r="H305" i="1" s="1"/>
  <c r="AU431" i="1"/>
  <c r="G9" i="6" s="1"/>
  <c r="G32" i="6" s="1"/>
  <c r="AU363" i="1"/>
  <c r="AU331" i="1"/>
  <c r="J331" i="1"/>
  <c r="AU189" i="1"/>
  <c r="AU154" i="1"/>
  <c r="H438" i="1"/>
  <c r="H431" i="1"/>
  <c r="I438" i="1"/>
  <c r="F438" i="1"/>
  <c r="E438" i="1"/>
  <c r="D438" i="1"/>
  <c r="C438" i="1"/>
  <c r="AU398" i="1"/>
  <c r="H398" i="1"/>
  <c r="G398" i="1"/>
  <c r="G391" i="1"/>
  <c r="G410" i="1"/>
  <c r="F398" i="1"/>
  <c r="E398" i="1"/>
  <c r="D398" i="1"/>
  <c r="C398" i="1"/>
  <c r="AU391" i="1"/>
  <c r="I391" i="1"/>
  <c r="I410" i="1"/>
  <c r="H391" i="1"/>
  <c r="F391" i="1"/>
  <c r="F410" i="1"/>
  <c r="AU376" i="1"/>
  <c r="AU380" i="1"/>
  <c r="H380" i="1"/>
  <c r="AU384" i="1"/>
  <c r="H376" i="1"/>
  <c r="E376" i="1"/>
  <c r="D376" i="1"/>
  <c r="D380" i="1"/>
  <c r="D363" i="1"/>
  <c r="D384" i="1"/>
  <c r="H363" i="1"/>
  <c r="E363" i="1"/>
  <c r="E380" i="1"/>
  <c r="E384" i="1"/>
  <c r="I340" i="1"/>
  <c r="AU336" i="1"/>
  <c r="I336" i="1"/>
  <c r="H336" i="1"/>
  <c r="G336" i="1"/>
  <c r="F336" i="1"/>
  <c r="E336" i="1"/>
  <c r="C336" i="1"/>
  <c r="D336" i="1"/>
  <c r="AU327" i="1"/>
  <c r="J327" i="1"/>
  <c r="I327" i="1"/>
  <c r="H327" i="1"/>
  <c r="G327" i="1"/>
  <c r="F327" i="1"/>
  <c r="E327" i="1"/>
  <c r="D327" i="1"/>
  <c r="C326" i="1"/>
  <c r="C327" i="1" s="1"/>
  <c r="AU321" i="1"/>
  <c r="H321" i="1"/>
  <c r="J321" i="1"/>
  <c r="F321" i="1"/>
  <c r="E321" i="1"/>
  <c r="D321" i="1"/>
  <c r="C321" i="1"/>
  <c r="I303" i="1"/>
  <c r="I305" i="1" s="1"/>
  <c r="G303" i="1"/>
  <c r="G305" i="1" s="1"/>
  <c r="AU284" i="1"/>
  <c r="H284" i="1"/>
  <c r="I284" i="1"/>
  <c r="G284" i="1"/>
  <c r="F284" i="1"/>
  <c r="E284" i="1"/>
  <c r="D284" i="1"/>
  <c r="C284" i="1"/>
  <c r="AU277" i="1"/>
  <c r="H277" i="1"/>
  <c r="J277" i="1"/>
  <c r="I277" i="1"/>
  <c r="G277" i="1"/>
  <c r="F277" i="1"/>
  <c r="E277" i="1"/>
  <c r="D277" i="1"/>
  <c r="C277" i="1"/>
  <c r="AU267" i="1"/>
  <c r="I267" i="1"/>
  <c r="H267" i="1"/>
  <c r="G267" i="1"/>
  <c r="F267" i="1"/>
  <c r="E267" i="1"/>
  <c r="D267" i="1"/>
  <c r="C267" i="1"/>
  <c r="AU262" i="1"/>
  <c r="H262" i="1"/>
  <c r="J262" i="1"/>
  <c r="G262" i="1"/>
  <c r="F262" i="1"/>
  <c r="E262" i="1"/>
  <c r="D262" i="1"/>
  <c r="AU253" i="1"/>
  <c r="H253" i="1"/>
  <c r="J253" i="1"/>
  <c r="I253" i="1"/>
  <c r="G253" i="1"/>
  <c r="F253" i="1"/>
  <c r="E253" i="1"/>
  <c r="D253" i="1"/>
  <c r="C253" i="1"/>
  <c r="I235" i="1"/>
  <c r="I189" i="1"/>
  <c r="I230" i="1"/>
  <c r="H189" i="1"/>
  <c r="AX189" i="1" s="1"/>
  <c r="G189" i="1"/>
  <c r="F189" i="1"/>
  <c r="E189" i="1"/>
  <c r="D189" i="1"/>
  <c r="I168" i="1"/>
  <c r="H169" i="1"/>
  <c r="G167" i="1"/>
  <c r="G168" i="1"/>
  <c r="F167" i="1"/>
  <c r="F168" i="1"/>
  <c r="F169" i="1"/>
  <c r="E167" i="1"/>
  <c r="E168" i="1"/>
  <c r="E169" i="1"/>
  <c r="D167" i="1"/>
  <c r="D168" i="1"/>
  <c r="D132" i="1"/>
  <c r="D169" i="1" s="1"/>
  <c r="C167" i="1"/>
  <c r="C168" i="1"/>
  <c r="C132" i="1"/>
  <c r="C169" i="1" s="1"/>
  <c r="AU167" i="1"/>
  <c r="AU168" i="1"/>
  <c r="AU169" i="1"/>
  <c r="C159" i="1"/>
  <c r="C164" i="1"/>
  <c r="AU164" i="1"/>
  <c r="J164" i="1"/>
  <c r="I164" i="1"/>
  <c r="H164" i="1"/>
  <c r="G164" i="1"/>
  <c r="F164" i="1"/>
  <c r="E164" i="1"/>
  <c r="D164" i="1"/>
  <c r="AU159" i="1"/>
  <c r="J159" i="1"/>
  <c r="I159" i="1"/>
  <c r="H159" i="1"/>
  <c r="G159" i="1"/>
  <c r="F159" i="1"/>
  <c r="E159" i="1"/>
  <c r="D159" i="1"/>
  <c r="AU137" i="1"/>
  <c r="H137" i="1"/>
  <c r="J137" i="1"/>
  <c r="I137" i="1"/>
  <c r="G137" i="1"/>
  <c r="F137" i="1"/>
  <c r="E137" i="1"/>
  <c r="D137" i="1"/>
  <c r="H133" i="1"/>
  <c r="AU133" i="1"/>
  <c r="F133" i="1"/>
  <c r="E133" i="1"/>
  <c r="AU127" i="1"/>
  <c r="H127" i="1"/>
  <c r="E127" i="1"/>
  <c r="D127" i="1"/>
  <c r="C127" i="1"/>
  <c r="J127" i="1"/>
  <c r="F127" i="1"/>
  <c r="AU115" i="1"/>
  <c r="AU116" i="1"/>
  <c r="AU117" i="1"/>
  <c r="H117" i="1"/>
  <c r="G115" i="1"/>
  <c r="G116" i="1"/>
  <c r="F115" i="1"/>
  <c r="F116" i="1"/>
  <c r="F117" i="1"/>
  <c r="AU112" i="1"/>
  <c r="H112" i="1"/>
  <c r="J112" i="1"/>
  <c r="I112" i="1"/>
  <c r="G112" i="1"/>
  <c r="F112" i="1"/>
  <c r="E112" i="1"/>
  <c r="D112" i="1"/>
  <c r="I106" i="1"/>
  <c r="H106" i="1"/>
  <c r="G106" i="1"/>
  <c r="F106" i="1"/>
  <c r="E106" i="1"/>
  <c r="D106" i="1"/>
  <c r="C106" i="1"/>
  <c r="H100" i="1"/>
  <c r="AX99" i="1"/>
  <c r="AU100" i="1"/>
  <c r="I100" i="1"/>
  <c r="G100" i="1"/>
  <c r="F100" i="1"/>
  <c r="AU96" i="1"/>
  <c r="H96" i="1"/>
  <c r="G96" i="1"/>
  <c r="F96" i="1"/>
  <c r="E96" i="1"/>
  <c r="D96" i="1"/>
  <c r="AU90" i="1"/>
  <c r="H90" i="1"/>
  <c r="I90" i="1"/>
  <c r="G90" i="1"/>
  <c r="F90" i="1"/>
  <c r="E90" i="1"/>
  <c r="D90" i="1"/>
  <c r="J84" i="1"/>
  <c r="H84" i="1"/>
  <c r="G84" i="1"/>
  <c r="F84" i="1"/>
  <c r="E84" i="1"/>
  <c r="D84" i="1"/>
  <c r="C84" i="1"/>
  <c r="AU84" i="1"/>
  <c r="AU78" i="1"/>
  <c r="H78" i="1"/>
  <c r="I78" i="1"/>
  <c r="G78" i="1"/>
  <c r="F78" i="1"/>
  <c r="E78" i="1"/>
  <c r="D78" i="1"/>
  <c r="J69" i="1"/>
  <c r="H69" i="1"/>
  <c r="F69" i="1"/>
  <c r="E69" i="1"/>
  <c r="D69" i="1"/>
  <c r="C69" i="1"/>
  <c r="AU69" i="1"/>
  <c r="AU64" i="1"/>
  <c r="H64" i="1"/>
  <c r="G64" i="1"/>
  <c r="F64" i="1"/>
  <c r="E64" i="1"/>
  <c r="D64" i="1"/>
  <c r="AU57" i="1"/>
  <c r="H57" i="1"/>
  <c r="J57" i="1"/>
  <c r="G57" i="1"/>
  <c r="F57" i="1"/>
  <c r="E57" i="1"/>
  <c r="D57" i="1"/>
  <c r="AU51" i="1"/>
  <c r="J51" i="1"/>
  <c r="I51" i="1"/>
  <c r="H51" i="1"/>
  <c r="G51" i="1"/>
  <c r="F51" i="1"/>
  <c r="E51" i="1"/>
  <c r="D50" i="1"/>
  <c r="D51" i="1" s="1"/>
  <c r="D19" i="1"/>
  <c r="D20" i="1" s="1"/>
  <c r="D115" i="1"/>
  <c r="D116" i="1"/>
  <c r="I45" i="1"/>
  <c r="H45" i="1"/>
  <c r="AX45" i="1" s="1"/>
  <c r="G45" i="1"/>
  <c r="F45" i="1"/>
  <c r="E45" i="1"/>
  <c r="D45" i="1"/>
  <c r="C45" i="1"/>
  <c r="AU40" i="1"/>
  <c r="I40" i="1"/>
  <c r="H40" i="1"/>
  <c r="G40" i="1"/>
  <c r="F40" i="1"/>
  <c r="E40" i="1"/>
  <c r="D40" i="1"/>
  <c r="C40" i="1"/>
  <c r="AU35" i="1"/>
  <c r="H35" i="1"/>
  <c r="G35" i="1"/>
  <c r="F35" i="1"/>
  <c r="E35" i="1"/>
  <c r="D35" i="1"/>
  <c r="J29" i="1"/>
  <c r="H29" i="1"/>
  <c r="G29" i="1"/>
  <c r="F29" i="1"/>
  <c r="E29" i="1"/>
  <c r="AU25" i="1"/>
  <c r="J25" i="1"/>
  <c r="I25" i="1"/>
  <c r="H25" i="1"/>
  <c r="F25" i="1"/>
  <c r="AU20" i="1"/>
  <c r="H20" i="1"/>
  <c r="G20" i="1"/>
  <c r="F20" i="1"/>
  <c r="E20" i="1"/>
  <c r="AU438" i="1"/>
  <c r="D10" i="6" s="1"/>
  <c r="C10" i="6" s="1"/>
  <c r="AU243" i="1"/>
  <c r="AU244" i="1"/>
  <c r="AU245" i="1"/>
  <c r="H245" i="1"/>
  <c r="AU291" i="1"/>
  <c r="AU292" i="1"/>
  <c r="AU293" i="1"/>
  <c r="AU294" i="1"/>
  <c r="AU295" i="1"/>
  <c r="H293" i="1"/>
  <c r="AU343" i="1"/>
  <c r="AU344" i="1"/>
  <c r="AU345" i="1"/>
  <c r="AU346" i="1"/>
  <c r="H346" i="1"/>
  <c r="AX346" i="1" s="1"/>
  <c r="AU348" i="1"/>
  <c r="AU349" i="1"/>
  <c r="H349" i="1"/>
  <c r="AU410" i="1"/>
  <c r="AW437" i="1"/>
  <c r="AX437" i="1" s="1"/>
  <c r="AW436" i="1"/>
  <c r="AX436" i="1" s="1"/>
  <c r="AW433" i="1"/>
  <c r="AX433" i="1" s="1"/>
  <c r="AW429" i="1"/>
  <c r="AX429" i="1" s="1"/>
  <c r="AW428" i="1"/>
  <c r="AX428" i="1" s="1"/>
  <c r="AX426" i="1"/>
  <c r="AW426" i="1"/>
  <c r="AW424" i="1"/>
  <c r="AX424" i="1" s="1"/>
  <c r="AW422" i="1"/>
  <c r="AX422" i="1" s="1"/>
  <c r="AX421" i="1"/>
  <c r="AW421" i="1"/>
  <c r="AX420" i="1"/>
  <c r="AW420" i="1"/>
  <c r="AW419" i="1"/>
  <c r="AX419" i="1" s="1"/>
  <c r="AW418" i="1"/>
  <c r="AX418" i="1" s="1"/>
  <c r="AW417" i="1"/>
  <c r="AX417" i="1" s="1"/>
  <c r="I431" i="1"/>
  <c r="AW430" i="1"/>
  <c r="G183" i="1"/>
  <c r="G243" i="1"/>
  <c r="G244" i="1"/>
  <c r="G245" i="1"/>
  <c r="G291" i="1"/>
  <c r="G292" i="1"/>
  <c r="G293" i="1"/>
  <c r="G294" i="1"/>
  <c r="G343" i="1"/>
  <c r="G344" i="1"/>
  <c r="G346" i="1"/>
  <c r="G348" i="1"/>
  <c r="G349" i="1"/>
  <c r="I243" i="1"/>
  <c r="I244" i="1"/>
  <c r="I291" i="1"/>
  <c r="I292" i="1"/>
  <c r="I294" i="1"/>
  <c r="I295" i="1"/>
  <c r="I343" i="1"/>
  <c r="I344" i="1"/>
  <c r="I345" i="1"/>
  <c r="I346" i="1"/>
  <c r="I348" i="1"/>
  <c r="I349" i="1"/>
  <c r="H384" i="1"/>
  <c r="B340" i="1"/>
  <c r="G340" i="1"/>
  <c r="G331" i="1"/>
  <c r="H348" i="1"/>
  <c r="AX348" i="1" s="1"/>
  <c r="H345" i="1"/>
  <c r="H294" i="1"/>
  <c r="H295" i="1"/>
  <c r="H410" i="1"/>
  <c r="AX410" i="1" s="1"/>
  <c r="AX409" i="1"/>
  <c r="AW409" i="1"/>
  <c r="AW397" i="1"/>
  <c r="AX397" i="1" s="1"/>
  <c r="AW396" i="1"/>
  <c r="AX396" i="1" s="1"/>
  <c r="AW394" i="1"/>
  <c r="AX394" i="1" s="1"/>
  <c r="AW390" i="1"/>
  <c r="AX390" i="1" s="1"/>
  <c r="AX389" i="1"/>
  <c r="AW389" i="1"/>
  <c r="AW382" i="1"/>
  <c r="AX382" i="1" s="1"/>
  <c r="AW379" i="1"/>
  <c r="AX379" i="1" s="1"/>
  <c r="AW368" i="1"/>
  <c r="AX368" i="1" s="1"/>
  <c r="AW367" i="1"/>
  <c r="AX367" i="1" s="1"/>
  <c r="AX366" i="1"/>
  <c r="AW366" i="1"/>
  <c r="AW355" i="1"/>
  <c r="AX355" i="1" s="1"/>
  <c r="AW354" i="1"/>
  <c r="AX354" i="1" s="1"/>
  <c r="AX353" i="1"/>
  <c r="H340" i="1"/>
  <c r="AX340" i="1" s="1"/>
  <c r="AU340" i="1"/>
  <c r="AX339" i="1"/>
  <c r="AW339" i="1"/>
  <c r="AW335" i="1"/>
  <c r="AX335" i="1" s="1"/>
  <c r="AX334" i="1"/>
  <c r="AW334" i="1"/>
  <c r="H331" i="1"/>
  <c r="AW330" i="1"/>
  <c r="AX330" i="1" s="1"/>
  <c r="AW326" i="1"/>
  <c r="AX326" i="1" s="1"/>
  <c r="AW325" i="1"/>
  <c r="AX325" i="1" s="1"/>
  <c r="AW324" i="1"/>
  <c r="AX324" i="1" s="1"/>
  <c r="AX320" i="1"/>
  <c r="AW320" i="1"/>
  <c r="AX319" i="1"/>
  <c r="AW319" i="1"/>
  <c r="AW318" i="1"/>
  <c r="AX318" i="1" s="1"/>
  <c r="AW317" i="1"/>
  <c r="AX317" i="1" s="1"/>
  <c r="AW316" i="1"/>
  <c r="AX316" i="1" s="1"/>
  <c r="AU305" i="1"/>
  <c r="AX304" i="1"/>
  <c r="AW304" i="1"/>
  <c r="AX302" i="1"/>
  <c r="AW302" i="1"/>
  <c r="AW301" i="1"/>
  <c r="AX301" i="1" s="1"/>
  <c r="AW300" i="1"/>
  <c r="AX300" i="1" s="1"/>
  <c r="AW299" i="1"/>
  <c r="AX299" i="1" s="1"/>
  <c r="J340" i="1"/>
  <c r="I288" i="1"/>
  <c r="I281" i="1"/>
  <c r="I273" i="1"/>
  <c r="D294" i="1"/>
  <c r="D293" i="1"/>
  <c r="D291" i="1"/>
  <c r="D292" i="1"/>
  <c r="D295" i="1"/>
  <c r="B294" i="1"/>
  <c r="B291" i="1"/>
  <c r="B292" i="1"/>
  <c r="B293" i="1"/>
  <c r="B295" i="1"/>
  <c r="C272" i="1"/>
  <c r="C294" i="1" s="1"/>
  <c r="C293" i="1"/>
  <c r="C292" i="1"/>
  <c r="C291" i="1"/>
  <c r="C295" i="1"/>
  <c r="G288" i="1"/>
  <c r="G281" i="1"/>
  <c r="G273" i="1"/>
  <c r="G240" i="1"/>
  <c r="G235" i="1"/>
  <c r="G230" i="1"/>
  <c r="I154" i="1"/>
  <c r="G154" i="1"/>
  <c r="B169" i="1"/>
  <c r="B167" i="1"/>
  <c r="B168" i="1"/>
  <c r="B116" i="1"/>
  <c r="C116" i="1"/>
  <c r="G73" i="1"/>
  <c r="I73" i="1"/>
  <c r="AW19" i="1"/>
  <c r="AX19" i="1" s="1"/>
  <c r="AW18" i="1"/>
  <c r="AX18" i="1" s="1"/>
  <c r="AW17" i="1"/>
  <c r="AX17" i="1" s="1"/>
  <c r="AW24" i="1"/>
  <c r="AX24" i="1" s="1"/>
  <c r="AX23" i="1"/>
  <c r="AW23" i="1"/>
  <c r="AU29" i="1"/>
  <c r="AW28" i="1"/>
  <c r="AX28" i="1" s="1"/>
  <c r="AW33" i="1"/>
  <c r="AX33" i="1" s="1"/>
  <c r="AW32" i="1"/>
  <c r="AX32" i="1" s="1"/>
  <c r="AW39" i="1"/>
  <c r="AX39" i="1" s="1"/>
  <c r="AW38" i="1"/>
  <c r="AX38" i="1" s="1"/>
  <c r="AU45" i="1"/>
  <c r="AX44" i="1"/>
  <c r="AW44" i="1"/>
  <c r="AX43" i="1"/>
  <c r="AW43" i="1"/>
  <c r="AW48" i="1"/>
  <c r="AX48" i="1" s="1"/>
  <c r="AW50" i="1"/>
  <c r="AX50" i="1" s="1"/>
  <c r="AW49" i="1"/>
  <c r="AX49" i="1" s="1"/>
  <c r="AW56" i="1"/>
  <c r="AX56" i="1" s="1"/>
  <c r="AW55" i="1"/>
  <c r="AX55" i="1" s="1"/>
  <c r="AW54" i="1"/>
  <c r="AX54" i="1" s="1"/>
  <c r="AW62" i="1"/>
  <c r="AX62" i="1" s="1"/>
  <c r="AW61" i="1"/>
  <c r="AX61" i="1" s="1"/>
  <c r="AW60" i="1"/>
  <c r="AX60" i="1" s="1"/>
  <c r="AW68" i="1"/>
  <c r="AX68" i="1" s="1"/>
  <c r="AW67" i="1"/>
  <c r="AX67" i="1" s="1"/>
  <c r="AU73" i="1"/>
  <c r="H73" i="1"/>
  <c r="AW72" i="1"/>
  <c r="AX72" i="1" s="1"/>
  <c r="AW77" i="1"/>
  <c r="AX77" i="1" s="1"/>
  <c r="AW83" i="1"/>
  <c r="AX83" i="1" s="1"/>
  <c r="AW82" i="1"/>
  <c r="AX82" i="1" s="1"/>
  <c r="AW81" i="1"/>
  <c r="AX81" i="1" s="1"/>
  <c r="AW89" i="1"/>
  <c r="AX89" i="1" s="1"/>
  <c r="AX88" i="1"/>
  <c r="AW88" i="1"/>
  <c r="AW87" i="1"/>
  <c r="AX87" i="1" s="1"/>
  <c r="AX95" i="1"/>
  <c r="AW95" i="1"/>
  <c r="AX94" i="1"/>
  <c r="AW94" i="1"/>
  <c r="AW93" i="1"/>
  <c r="AX93" i="1" s="1"/>
  <c r="AW99" i="1"/>
  <c r="AU106" i="1"/>
  <c r="AW105" i="1"/>
  <c r="AX105" i="1" s="1"/>
  <c r="AW104" i="1"/>
  <c r="AX104" i="1" s="1"/>
  <c r="AW103" i="1"/>
  <c r="AX103" i="1" s="1"/>
  <c r="AW111" i="1"/>
  <c r="AX111" i="1" s="1"/>
  <c r="AW110" i="1"/>
  <c r="AX110" i="1" s="1"/>
  <c r="AW124" i="1"/>
  <c r="AX124" i="1" s="1"/>
  <c r="AW123" i="1"/>
  <c r="AX123" i="1" s="1"/>
  <c r="AW126" i="1"/>
  <c r="AX126" i="1" s="1"/>
  <c r="AW132" i="1"/>
  <c r="AX132" i="1" s="1"/>
  <c r="AW131" i="1"/>
  <c r="AX131" i="1" s="1"/>
  <c r="AW130" i="1"/>
  <c r="AX130" i="1" s="1"/>
  <c r="AW136" i="1"/>
  <c r="AX136" i="1" s="1"/>
  <c r="AU143" i="1"/>
  <c r="H143" i="1"/>
  <c r="AW142" i="1"/>
  <c r="AX142" i="1" s="1"/>
  <c r="AW141" i="1"/>
  <c r="AX141" i="1" s="1"/>
  <c r="AW140" i="1"/>
  <c r="AX140" i="1" s="1"/>
  <c r="H154" i="1"/>
  <c r="AW153" i="1"/>
  <c r="AX153" i="1" s="1"/>
  <c r="AW152" i="1"/>
  <c r="AX152" i="1" s="1"/>
  <c r="AW158" i="1"/>
  <c r="AX158" i="1" s="1"/>
  <c r="AW157" i="1"/>
  <c r="AX157" i="1" s="1"/>
  <c r="AW163" i="1"/>
  <c r="AX163" i="1" s="1"/>
  <c r="AW162" i="1"/>
  <c r="AX162" i="1" s="1"/>
  <c r="AX182" i="1"/>
  <c r="AW182" i="1"/>
  <c r="AX181" i="1"/>
  <c r="AW181" i="1"/>
  <c r="AW180" i="1"/>
  <c r="AX180" i="1" s="1"/>
  <c r="AW179" i="1"/>
  <c r="AX179" i="1" s="1"/>
  <c r="AW178" i="1"/>
  <c r="AX178" i="1" s="1"/>
  <c r="AW177" i="1"/>
  <c r="AX177" i="1" s="1"/>
  <c r="AW176" i="1"/>
  <c r="AX176" i="1" s="1"/>
  <c r="AW175" i="1"/>
  <c r="AX175" i="1" s="1"/>
  <c r="AW174" i="1"/>
  <c r="AX174" i="1" s="1"/>
  <c r="AW173" i="1"/>
  <c r="AX173" i="1" s="1"/>
  <c r="AX188" i="1"/>
  <c r="AW188" i="1"/>
  <c r="AX187" i="1"/>
  <c r="AW187" i="1"/>
  <c r="AX186" i="1"/>
  <c r="AW186" i="1"/>
  <c r="AX185" i="1"/>
  <c r="AW185" i="1"/>
  <c r="AU230" i="1"/>
  <c r="H230" i="1"/>
  <c r="AW228" i="1"/>
  <c r="AX228" i="1" s="1"/>
  <c r="AW225" i="1"/>
  <c r="AX225" i="1" s="1"/>
  <c r="AW224" i="1"/>
  <c r="AX224" i="1" s="1"/>
  <c r="AU235" i="1"/>
  <c r="H235" i="1"/>
  <c r="AW234" i="1"/>
  <c r="AX234" i="1" s="1"/>
  <c r="AW233" i="1"/>
  <c r="AX233" i="1" s="1"/>
  <c r="AU240" i="1"/>
  <c r="H240" i="1"/>
  <c r="AW239" i="1"/>
  <c r="AX239" i="1" s="1"/>
  <c r="AW252" i="1"/>
  <c r="AX252" i="1" s="1"/>
  <c r="AW251" i="1"/>
  <c r="AX251" i="1" s="1"/>
  <c r="AW250" i="1"/>
  <c r="AX250" i="1" s="1"/>
  <c r="AW261" i="1"/>
  <c r="AX261" i="1" s="1"/>
  <c r="AW266" i="1"/>
  <c r="AX266" i="1" s="1"/>
  <c r="AU273" i="1"/>
  <c r="H273" i="1"/>
  <c r="AW272" i="1"/>
  <c r="AX272" i="1" s="1"/>
  <c r="AW271" i="1"/>
  <c r="AX271" i="1" s="1"/>
  <c r="AW270" i="1"/>
  <c r="AX270" i="1" s="1"/>
  <c r="AW276" i="1"/>
  <c r="AX276" i="1" s="1"/>
  <c r="AU281" i="1"/>
  <c r="H281" i="1"/>
  <c r="AW280" i="1"/>
  <c r="AX280" i="1" s="1"/>
  <c r="AW283" i="1"/>
  <c r="AX283" i="1" s="1"/>
  <c r="AU288" i="1"/>
  <c r="H288" i="1"/>
  <c r="AW287" i="1"/>
  <c r="AX287" i="1" s="1"/>
  <c r="F291" i="1"/>
  <c r="F292" i="1"/>
  <c r="F293" i="1"/>
  <c r="F294" i="1"/>
  <c r="F295" i="1"/>
  <c r="J73" i="1"/>
  <c r="J143" i="1"/>
  <c r="J154" i="1"/>
  <c r="J230" i="1"/>
  <c r="J235" i="1"/>
  <c r="J240" i="1"/>
  <c r="J273" i="1"/>
  <c r="J281" i="1"/>
  <c r="J288" i="1"/>
  <c r="E294" i="1"/>
  <c r="E293" i="1"/>
  <c r="E291" i="1"/>
  <c r="E292" i="1"/>
  <c r="E295" i="1"/>
  <c r="E117" i="1"/>
  <c r="E116" i="1"/>
  <c r="B20" i="1"/>
  <c r="B25" i="1"/>
  <c r="B29" i="1"/>
  <c r="B35" i="1"/>
  <c r="B40" i="1"/>
  <c r="B45" i="1"/>
  <c r="B51" i="1"/>
  <c r="B57" i="1"/>
  <c r="B64" i="1"/>
  <c r="B69" i="1"/>
  <c r="B73" i="1"/>
  <c r="B78" i="1"/>
  <c r="B84" i="1"/>
  <c r="B90" i="1"/>
  <c r="B96" i="1"/>
  <c r="B100" i="1"/>
  <c r="B106" i="1"/>
  <c r="B112" i="1"/>
  <c r="B115" i="1"/>
  <c r="B117" i="1"/>
  <c r="B127" i="1"/>
  <c r="B133" i="1"/>
  <c r="B137" i="1"/>
  <c r="B143" i="1"/>
  <c r="B154" i="1"/>
  <c r="B159" i="1"/>
  <c r="B164" i="1"/>
  <c r="B183" i="1"/>
  <c r="B189" i="1"/>
  <c r="B230" i="1"/>
  <c r="B235" i="1"/>
  <c r="B240" i="1"/>
  <c r="B243" i="1"/>
  <c r="B244" i="1"/>
  <c r="B245" i="1"/>
  <c r="B343" i="1"/>
  <c r="B344" i="1"/>
  <c r="B345" i="1"/>
  <c r="B346" i="1"/>
  <c r="B348" i="1"/>
  <c r="B349" i="1"/>
  <c r="B376" i="1"/>
  <c r="B380" i="1"/>
  <c r="B363" i="1"/>
  <c r="B384" i="1"/>
  <c r="B391" i="1"/>
  <c r="B398" i="1"/>
  <c r="B410" i="1"/>
  <c r="B253" i="1"/>
  <c r="B262" i="1"/>
  <c r="B267" i="1"/>
  <c r="B273" i="1"/>
  <c r="B277" i="1"/>
  <c r="B281" i="1"/>
  <c r="B284" i="1"/>
  <c r="B288" i="1"/>
  <c r="B303" i="1"/>
  <c r="B305" i="1" s="1"/>
  <c r="B321" i="1"/>
  <c r="B327" i="1"/>
  <c r="B331" i="1"/>
  <c r="B336" i="1"/>
  <c r="B431" i="1"/>
  <c r="B438" i="1"/>
  <c r="D243" i="1"/>
  <c r="D244" i="1"/>
  <c r="D245" i="1"/>
  <c r="D343" i="1"/>
  <c r="D344" i="1"/>
  <c r="D345" i="1"/>
  <c r="D346" i="1"/>
  <c r="D348" i="1"/>
  <c r="D349" i="1"/>
  <c r="C115" i="1"/>
  <c r="C243" i="1"/>
  <c r="C244" i="1"/>
  <c r="C245" i="1"/>
  <c r="C343" i="1"/>
  <c r="C344" i="1"/>
  <c r="F431" i="1"/>
  <c r="E431" i="1"/>
  <c r="D431" i="1"/>
  <c r="C419" i="1"/>
  <c r="C431" i="1" s="1"/>
  <c r="AX430" i="1"/>
  <c r="F243" i="1"/>
  <c r="F244" i="1"/>
  <c r="F245" i="1"/>
  <c r="F343" i="1"/>
  <c r="F344" i="1"/>
  <c r="F345" i="1"/>
  <c r="F346" i="1"/>
  <c r="F348" i="1"/>
  <c r="F349" i="1"/>
  <c r="E115" i="1"/>
  <c r="E243" i="1"/>
  <c r="E244" i="1"/>
  <c r="E245" i="1"/>
  <c r="E343" i="1"/>
  <c r="E344" i="1"/>
  <c r="E345" i="1"/>
  <c r="E346" i="1"/>
  <c r="E348" i="1"/>
  <c r="E349" i="1"/>
  <c r="E391" i="1"/>
  <c r="E410" i="1"/>
  <c r="D391" i="1"/>
  <c r="D410" i="1"/>
  <c r="C19" i="1"/>
  <c r="C20" i="1" s="1"/>
  <c r="C24" i="1"/>
  <c r="C25" i="1" s="1"/>
  <c r="C183" i="1"/>
  <c r="C301" i="1"/>
  <c r="C303" i="1" s="1"/>
  <c r="C305" i="1" s="1"/>
  <c r="C330" i="1"/>
  <c r="C331" i="1" s="1"/>
  <c r="C346" i="1"/>
  <c r="C348" i="1"/>
  <c r="C349" i="1"/>
  <c r="C376" i="1"/>
  <c r="C380" i="1"/>
  <c r="C363" i="1"/>
  <c r="C384" i="1"/>
  <c r="C391" i="1"/>
  <c r="C410" i="1"/>
  <c r="AX342" i="1"/>
  <c r="F340" i="1"/>
  <c r="E340" i="1"/>
  <c r="D340" i="1"/>
  <c r="C340" i="1"/>
  <c r="F331" i="1"/>
  <c r="E331" i="1"/>
  <c r="D331" i="1"/>
  <c r="F303" i="1"/>
  <c r="F305" i="1" s="1"/>
  <c r="E303" i="1"/>
  <c r="E305" i="1" s="1"/>
  <c r="D303" i="1"/>
  <c r="D305" i="1" s="1"/>
  <c r="F288" i="1"/>
  <c r="E288" i="1"/>
  <c r="D288" i="1"/>
  <c r="C288" i="1"/>
  <c r="AX285" i="1"/>
  <c r="F281" i="1"/>
  <c r="E281" i="1"/>
  <c r="D281" i="1"/>
  <c r="C281" i="1"/>
  <c r="F273" i="1"/>
  <c r="E273" i="1"/>
  <c r="D273" i="1"/>
  <c r="AX265" i="1"/>
  <c r="C262" i="1"/>
  <c r="AX242" i="1"/>
  <c r="F240" i="1"/>
  <c r="E240" i="1"/>
  <c r="D240" i="1"/>
  <c r="C240" i="1"/>
  <c r="AX238" i="1"/>
  <c r="F235" i="1"/>
  <c r="E235" i="1"/>
  <c r="D235" i="1"/>
  <c r="C235" i="1"/>
  <c r="AX232" i="1"/>
  <c r="AX231" i="1"/>
  <c r="F230" i="1"/>
  <c r="E230" i="1"/>
  <c r="D230" i="1"/>
  <c r="C230" i="1"/>
  <c r="C189" i="1"/>
  <c r="AX184" i="1"/>
  <c r="F154" i="1"/>
  <c r="E154" i="1"/>
  <c r="D154" i="1"/>
  <c r="C154" i="1"/>
  <c r="F143" i="1"/>
  <c r="E143" i="1"/>
  <c r="D143" i="1"/>
  <c r="C143" i="1"/>
  <c r="C137" i="1"/>
  <c r="C112" i="1"/>
  <c r="E100" i="1"/>
  <c r="D100" i="1"/>
  <c r="C100" i="1"/>
  <c r="C96" i="1"/>
  <c r="C90" i="1"/>
  <c r="C78" i="1"/>
  <c r="AX76" i="1"/>
  <c r="F73" i="1"/>
  <c r="E73" i="1"/>
  <c r="D73" i="1"/>
  <c r="C73" i="1"/>
  <c r="AX71" i="1"/>
  <c r="C64" i="1"/>
  <c r="C57" i="1"/>
  <c r="C51" i="1"/>
  <c r="C35" i="1"/>
  <c r="D29" i="1"/>
  <c r="C29" i="1"/>
  <c r="E25" i="1"/>
  <c r="D25" i="1"/>
  <c r="I240" i="1"/>
  <c r="I245" i="1"/>
  <c r="P20" i="1"/>
  <c r="R427" i="1"/>
  <c r="F319" i="12"/>
  <c r="F315" i="12"/>
  <c r="J306" i="12"/>
  <c r="J311" i="12"/>
  <c r="J328" i="12"/>
  <c r="I332" i="12"/>
  <c r="J281" i="12"/>
  <c r="E312" i="12" s="1"/>
  <c r="G284" i="12"/>
  <c r="J284" i="12" s="1"/>
  <c r="E315" i="12" s="1"/>
  <c r="G288" i="12"/>
  <c r="J288" i="12" s="1"/>
  <c r="E319" i="12" s="1"/>
  <c r="J297" i="12"/>
  <c r="E328" i="12" s="1"/>
  <c r="I301" i="12"/>
  <c r="G266" i="12"/>
  <c r="J266" i="12" s="1"/>
  <c r="E297" i="12" s="1"/>
  <c r="G257" i="12"/>
  <c r="J257" i="12" s="1"/>
  <c r="E288" i="12" s="1"/>
  <c r="J250" i="12"/>
  <c r="E281" i="12" s="1"/>
  <c r="G253" i="12"/>
  <c r="J253" i="12" s="1"/>
  <c r="E284" i="12" s="1"/>
  <c r="F288" i="12"/>
  <c r="F284" i="12"/>
  <c r="J275" i="12"/>
  <c r="J280" i="12"/>
  <c r="F257" i="12"/>
  <c r="F253" i="12"/>
  <c r="J244" i="12"/>
  <c r="J249" i="12"/>
  <c r="I270" i="12"/>
  <c r="E270" i="12"/>
  <c r="E239" i="12"/>
  <c r="G226" i="12"/>
  <c r="J226" i="12" s="1"/>
  <c r="F226" i="12"/>
  <c r="G222" i="12"/>
  <c r="J222" i="12" s="1"/>
  <c r="I239" i="12"/>
  <c r="J213" i="12"/>
  <c r="J218" i="12"/>
  <c r="J219" i="12"/>
  <c r="J235" i="12"/>
  <c r="G188" i="12"/>
  <c r="J188" i="12" s="1"/>
  <c r="G193" i="12"/>
  <c r="J193" i="12" s="1"/>
  <c r="G195" i="12"/>
  <c r="J195" i="12" s="1"/>
  <c r="I188" i="12"/>
  <c r="I208" i="12" s="1"/>
  <c r="J182" i="12"/>
  <c r="J185" i="12"/>
  <c r="J187" i="12"/>
  <c r="J191" i="12"/>
  <c r="J197" i="12"/>
  <c r="J200" i="12"/>
  <c r="J204" i="12"/>
  <c r="J207" i="12"/>
  <c r="F208" i="12"/>
  <c r="G177" i="12"/>
  <c r="I177" i="12"/>
  <c r="J176" i="12"/>
  <c r="J169" i="12"/>
  <c r="J166" i="12"/>
  <c r="J154" i="12"/>
  <c r="J173" i="12"/>
  <c r="J164" i="12"/>
  <c r="J162" i="12"/>
  <c r="J160" i="12"/>
  <c r="J157" i="12"/>
  <c r="J130" i="12"/>
  <c r="J151" i="12"/>
  <c r="J156" i="12"/>
  <c r="F177" i="12"/>
  <c r="J125" i="12"/>
  <c r="J129" i="12"/>
  <c r="I146" i="12"/>
  <c r="H146" i="12"/>
  <c r="G146" i="12"/>
  <c r="F146" i="12"/>
  <c r="J99" i="12"/>
  <c r="J103" i="12"/>
  <c r="J113" i="12"/>
  <c r="J115" i="12"/>
  <c r="J117" i="12"/>
  <c r="G120" i="12"/>
  <c r="F120" i="12"/>
  <c r="I120" i="12"/>
  <c r="H120" i="12"/>
  <c r="I94" i="12"/>
  <c r="H94" i="12"/>
  <c r="G94" i="12"/>
  <c r="F94" i="12"/>
  <c r="J91" i="12"/>
  <c r="J89" i="12"/>
  <c r="J87" i="12"/>
  <c r="J77" i="12"/>
  <c r="J73" i="12"/>
  <c r="J52" i="12"/>
  <c r="J57" i="12"/>
  <c r="J61" i="12"/>
  <c r="J63" i="12"/>
  <c r="J65" i="12"/>
  <c r="J67" i="12"/>
  <c r="J49" i="12"/>
  <c r="J53" i="12"/>
  <c r="I68" i="12"/>
  <c r="H68" i="12"/>
  <c r="G68" i="12"/>
  <c r="F68" i="12"/>
  <c r="E68" i="12"/>
  <c r="J29" i="12"/>
  <c r="J27" i="12"/>
  <c r="J22" i="12"/>
  <c r="J17" i="12"/>
  <c r="J20" i="12"/>
  <c r="J21" i="12"/>
  <c r="J25" i="12"/>
  <c r="J31" i="12"/>
  <c r="J33" i="12"/>
  <c r="J35" i="12"/>
  <c r="I36" i="12"/>
  <c r="H36" i="12"/>
  <c r="G36" i="12"/>
  <c r="F36" i="12"/>
  <c r="E36" i="12"/>
  <c r="J8" i="13"/>
  <c r="J13" i="13" s="1"/>
  <c r="J15" i="13" s="1"/>
  <c r="L9" i="13"/>
  <c r="L20" i="13"/>
  <c r="Z105" i="3"/>
  <c r="AC370" i="1" s="1"/>
  <c r="Z96" i="3"/>
  <c r="AC369" i="1" s="1"/>
  <c r="Z97" i="3"/>
  <c r="F345" i="12" s="1"/>
  <c r="G309" i="12"/>
  <c r="J309" i="12" s="1"/>
  <c r="E345" i="12" s="1"/>
  <c r="Z98" i="3"/>
  <c r="F358" i="12" s="1"/>
  <c r="Z101" i="3"/>
  <c r="Z56" i="3"/>
  <c r="AB356" i="1" s="1"/>
  <c r="Y96" i="3"/>
  <c r="Y97" i="3"/>
  <c r="Y98" i="3"/>
  <c r="G290" i="12" s="1"/>
  <c r="J290" i="12" s="1"/>
  <c r="E321" i="12" s="1"/>
  <c r="Y101" i="3"/>
  <c r="Y105" i="3"/>
  <c r="F317" i="12" s="1"/>
  <c r="Y56" i="3"/>
  <c r="Y87" i="3"/>
  <c r="V103" i="3"/>
  <c r="F222" i="12" s="1"/>
  <c r="V104" i="3"/>
  <c r="V105" i="3"/>
  <c r="F224" i="12"/>
  <c r="V96" i="3"/>
  <c r="V97" i="3"/>
  <c r="F216" i="12" s="1"/>
  <c r="V98" i="3"/>
  <c r="V99" i="3"/>
  <c r="V100" i="3"/>
  <c r="V101" i="3"/>
  <c r="F238" i="12"/>
  <c r="X56" i="3"/>
  <c r="Y356" i="1" s="1"/>
  <c r="W104" i="3"/>
  <c r="W105" i="3"/>
  <c r="G224" i="12" s="1"/>
  <c r="J224" i="12" s="1"/>
  <c r="W96" i="3"/>
  <c r="W97" i="3"/>
  <c r="F247" i="12" s="1"/>
  <c r="W98" i="3"/>
  <c r="W99" i="3"/>
  <c r="W101" i="3"/>
  <c r="F269" i="12" s="1"/>
  <c r="W56" i="3"/>
  <c r="W356" i="1" s="1"/>
  <c r="X101" i="3"/>
  <c r="X96" i="3"/>
  <c r="X98" i="3"/>
  <c r="G259" i="12" s="1"/>
  <c r="J259" i="12" s="1"/>
  <c r="E290" i="12" s="1"/>
  <c r="X105" i="3"/>
  <c r="G255" i="12" s="1"/>
  <c r="J255" i="12" s="1"/>
  <c r="E286" i="12" s="1"/>
  <c r="X97" i="3"/>
  <c r="V56" i="3"/>
  <c r="X99" i="3"/>
  <c r="C106" i="3"/>
  <c r="AA105" i="3"/>
  <c r="AB105" i="3"/>
  <c r="AC105" i="3"/>
  <c r="G440" i="12" s="1"/>
  <c r="G486" i="12"/>
  <c r="J486" i="12" s="1"/>
  <c r="AE105" i="3"/>
  <c r="C66" i="3"/>
  <c r="C65" i="3"/>
  <c r="C64" i="3"/>
  <c r="G500" i="12"/>
  <c r="J500" i="12" s="1"/>
  <c r="E542" i="12" s="1"/>
  <c r="AC101" i="3"/>
  <c r="G454" i="12" s="1"/>
  <c r="J454" i="12" s="1"/>
  <c r="AB101" i="3"/>
  <c r="G409" i="12" s="1"/>
  <c r="J409" i="12" s="1"/>
  <c r="AA101" i="3"/>
  <c r="U101" i="3"/>
  <c r="U100" i="3"/>
  <c r="C100" i="3" s="1"/>
  <c r="U99" i="3"/>
  <c r="AC98" i="3"/>
  <c r="G444" i="12" s="1"/>
  <c r="J444" i="12" s="1"/>
  <c r="AB98" i="3"/>
  <c r="AA98" i="3"/>
  <c r="F399" i="12" s="1"/>
  <c r="U98" i="3"/>
  <c r="AA97" i="3"/>
  <c r="F386" i="12" s="1"/>
  <c r="U97" i="3"/>
  <c r="AC96" i="3"/>
  <c r="G447" i="12" s="1"/>
  <c r="J447" i="12" s="1"/>
  <c r="O447" i="12" s="1"/>
  <c r="AB96" i="3"/>
  <c r="F447" i="12" s="1"/>
  <c r="AA96" i="3"/>
  <c r="U96" i="3"/>
  <c r="C96" i="3"/>
  <c r="AB56" i="3"/>
  <c r="AA56" i="3"/>
  <c r="AA87" i="3" s="1"/>
  <c r="U56" i="3"/>
  <c r="C60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J52" i="3"/>
  <c r="J87" i="3" s="1"/>
  <c r="N87" i="3"/>
  <c r="N129" i="3" s="1"/>
  <c r="R87" i="3"/>
  <c r="AA23" i="3"/>
  <c r="AC43" i="3"/>
  <c r="AE43" i="3"/>
  <c r="C12" i="3"/>
  <c r="F87" i="3"/>
  <c r="G87" i="3"/>
  <c r="H87" i="3"/>
  <c r="I52" i="3"/>
  <c r="I87" i="3" s="1"/>
  <c r="K87" i="3"/>
  <c r="L87" i="3"/>
  <c r="M87" i="3"/>
  <c r="O87" i="3"/>
  <c r="P87" i="3"/>
  <c r="Q87" i="3"/>
  <c r="S87" i="3"/>
  <c r="T87" i="3"/>
  <c r="AE87" i="3"/>
  <c r="C90" i="3"/>
  <c r="C91" i="3"/>
  <c r="C92" i="3"/>
  <c r="C94" i="3"/>
  <c r="C50" i="3"/>
  <c r="C51" i="3"/>
  <c r="C53" i="3"/>
  <c r="F23" i="3"/>
  <c r="G23" i="3"/>
  <c r="G43" i="3"/>
  <c r="H23" i="3"/>
  <c r="H43" i="3"/>
  <c r="I23" i="3"/>
  <c r="I43" i="3"/>
  <c r="J23" i="3"/>
  <c r="J43" i="3"/>
  <c r="K23" i="3"/>
  <c r="K43" i="3"/>
  <c r="L23" i="3"/>
  <c r="L43" i="3"/>
  <c r="M23" i="3"/>
  <c r="N23" i="3"/>
  <c r="N43" i="3"/>
  <c r="O23" i="3"/>
  <c r="O43" i="3"/>
  <c r="P23" i="3"/>
  <c r="P43" i="3"/>
  <c r="Q23" i="3"/>
  <c r="Q43" i="3"/>
  <c r="R23" i="3"/>
  <c r="S23" i="3"/>
  <c r="S43" i="3"/>
  <c r="T23" i="3"/>
  <c r="U23" i="3"/>
  <c r="V23" i="3"/>
  <c r="V43" i="3"/>
  <c r="W23" i="3"/>
  <c r="X23" i="3"/>
  <c r="X43" i="3"/>
  <c r="Y23" i="3"/>
  <c r="Z23" i="3"/>
  <c r="AB23" i="3"/>
  <c r="F43" i="3"/>
  <c r="M43" i="3"/>
  <c r="R43" i="3"/>
  <c r="T43" i="3"/>
  <c r="Y43" i="3"/>
  <c r="Z43" i="3"/>
  <c r="C26" i="3"/>
  <c r="C28" i="3"/>
  <c r="C29" i="3"/>
  <c r="C8" i="3"/>
  <c r="C10" i="3"/>
  <c r="C11" i="3"/>
  <c r="C93" i="3"/>
  <c r="H28" i="17"/>
  <c r="H16" i="17"/>
  <c r="B16" i="17"/>
  <c r="B21" i="17"/>
  <c r="H18" i="17"/>
  <c r="B16" i="9"/>
  <c r="B21" i="9" s="1"/>
  <c r="F7" i="8"/>
  <c r="F6" i="8"/>
  <c r="F5" i="8"/>
  <c r="E28" i="7"/>
  <c r="E10" i="7"/>
  <c r="E17" i="7"/>
  <c r="E18" i="7"/>
  <c r="Q62" i="10"/>
  <c r="Q58" i="10"/>
  <c r="O34" i="10"/>
  <c r="O37" i="10" s="1"/>
  <c r="O52" i="10" s="1"/>
  <c r="N34" i="10"/>
  <c r="M34" i="10"/>
  <c r="M47" i="10"/>
  <c r="M66" i="10" s="1"/>
  <c r="M67" i="10" s="1"/>
  <c r="AP27" i="10"/>
  <c r="AO37" i="10"/>
  <c r="AO36" i="10"/>
  <c r="AO27" i="10"/>
  <c r="AO26" i="10"/>
  <c r="AO25" i="10"/>
  <c r="L47" i="10"/>
  <c r="L66" i="10" s="1"/>
  <c r="L67" i="10" s="1"/>
  <c r="L34" i="10"/>
  <c r="L18" i="10"/>
  <c r="L22" i="10" s="1"/>
  <c r="AO18" i="10"/>
  <c r="AP18" i="10"/>
  <c r="AO13" i="10"/>
  <c r="AP13" i="10"/>
  <c r="K60" i="10"/>
  <c r="K12" i="10"/>
  <c r="K34" i="10"/>
  <c r="K65" i="10"/>
  <c r="K66" i="10"/>
  <c r="J66" i="10"/>
  <c r="J67" i="10" s="1"/>
  <c r="J34" i="10"/>
  <c r="I34" i="10"/>
  <c r="H18" i="10"/>
  <c r="H20" i="10"/>
  <c r="H34" i="10"/>
  <c r="G18" i="10"/>
  <c r="G22" i="10" s="1"/>
  <c r="G34" i="10"/>
  <c r="G48" i="10"/>
  <c r="G53" i="10" s="1"/>
  <c r="F28" i="10"/>
  <c r="F34" i="10" s="1"/>
  <c r="F37" i="10" s="1"/>
  <c r="F48" i="10"/>
  <c r="F53" i="10" s="1"/>
  <c r="E17" i="10"/>
  <c r="E18" i="10" s="1"/>
  <c r="E22" i="10" s="1"/>
  <c r="E34" i="10"/>
  <c r="E48" i="10"/>
  <c r="E53" i="10" s="1"/>
  <c r="D18" i="10"/>
  <c r="D22" i="10" s="1"/>
  <c r="D34" i="10"/>
  <c r="D48" i="10"/>
  <c r="D53" i="10" s="1"/>
  <c r="C18" i="10"/>
  <c r="C22" i="10" s="1"/>
  <c r="C34" i="10"/>
  <c r="C48" i="10"/>
  <c r="C53" i="10" s="1"/>
  <c r="B18" i="10"/>
  <c r="B22" i="10" s="1"/>
  <c r="B34" i="10"/>
  <c r="B48" i="10"/>
  <c r="B53" i="10" s="1"/>
  <c r="F18" i="10"/>
  <c r="N66" i="10"/>
  <c r="N67" i="10" s="1"/>
  <c r="AH8" i="15"/>
  <c r="AH9" i="15"/>
  <c r="AJ9" i="15"/>
  <c r="AH10" i="15"/>
  <c r="AH11" i="15"/>
  <c r="AI11" i="15"/>
  <c r="AJ11" i="15"/>
  <c r="AH12" i="15"/>
  <c r="AJ12" i="15" s="1"/>
  <c r="AH13" i="15"/>
  <c r="AH14" i="15"/>
  <c r="AH15" i="15"/>
  <c r="AH16" i="15"/>
  <c r="AJ16" i="15" s="1"/>
  <c r="AH17" i="15"/>
  <c r="AJ17" i="15" s="1"/>
  <c r="AI17" i="15"/>
  <c r="AH18" i="15"/>
  <c r="AH19" i="15"/>
  <c r="AI19" i="15" s="1"/>
  <c r="AH20" i="15"/>
  <c r="AH21" i="15"/>
  <c r="AI21" i="15" s="1"/>
  <c r="AJ21" i="15"/>
  <c r="AH24" i="15"/>
  <c r="AJ24" i="15" s="1"/>
  <c r="AH27" i="15"/>
  <c r="AI27" i="15"/>
  <c r="AC32" i="15"/>
  <c r="O42" i="10" s="1"/>
  <c r="X32" i="15"/>
  <c r="M42" i="10" s="1"/>
  <c r="V32" i="15"/>
  <c r="T17" i="15"/>
  <c r="T32" i="15" s="1"/>
  <c r="K42" i="10" s="1"/>
  <c r="P32" i="15"/>
  <c r="I42" i="10" s="1"/>
  <c r="AA32" i="15"/>
  <c r="N42" i="10" s="1"/>
  <c r="AI28" i="15"/>
  <c r="AI26" i="15"/>
  <c r="AI25" i="15"/>
  <c r="AI23" i="15"/>
  <c r="AI22" i="15"/>
  <c r="AI8" i="15"/>
  <c r="AI7" i="15"/>
  <c r="AH29" i="15"/>
  <c r="AJ29" i="15" s="1"/>
  <c r="AF32" i="15"/>
  <c r="Y32" i="15"/>
  <c r="AE32" i="15"/>
  <c r="AG32" i="15"/>
  <c r="AD32" i="15"/>
  <c r="Z32" i="15"/>
  <c r="AB32" i="15"/>
  <c r="U32" i="15"/>
  <c r="W32" i="15"/>
  <c r="R17" i="15"/>
  <c r="R32" i="15" s="1"/>
  <c r="S32" i="15"/>
  <c r="Q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B32" i="15"/>
  <c r="H13" i="16"/>
  <c r="I26" i="16" s="1"/>
  <c r="H25" i="16"/>
  <c r="H27" i="16" s="1"/>
  <c r="G40" i="16" s="1"/>
  <c r="G46" i="16"/>
  <c r="G14" i="16"/>
  <c r="B13" i="16"/>
  <c r="B18" i="16"/>
  <c r="G7" i="4"/>
  <c r="I13" i="4" s="1"/>
  <c r="G19" i="4"/>
  <c r="H25" i="4"/>
  <c r="D15" i="4"/>
  <c r="B13" i="4"/>
  <c r="B18" i="4"/>
  <c r="G25" i="4"/>
  <c r="F22" i="2"/>
  <c r="F28" i="2" s="1"/>
  <c r="F23" i="2"/>
  <c r="F24" i="2"/>
  <c r="F7" i="2"/>
  <c r="F6" i="2"/>
  <c r="F5" i="2"/>
  <c r="F32" i="6"/>
  <c r="F40" i="6"/>
  <c r="E32" i="6"/>
  <c r="E41" i="6" s="1"/>
  <c r="E40" i="6"/>
  <c r="G40" i="6"/>
  <c r="G44" i="6"/>
  <c r="D12" i="6"/>
  <c r="C12" i="6" s="1"/>
  <c r="C7" i="6"/>
  <c r="C11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D40" i="6"/>
  <c r="C39" i="6"/>
  <c r="C38" i="6"/>
  <c r="C37" i="6"/>
  <c r="C36" i="6"/>
  <c r="E28" i="5"/>
  <c r="E10" i="5"/>
  <c r="E18" i="5"/>
  <c r="P13" i="14"/>
  <c r="P22" i="14"/>
  <c r="P29" i="14" s="1"/>
  <c r="L8" i="14"/>
  <c r="L13" i="14" s="1"/>
  <c r="L19" i="14"/>
  <c r="L29" i="14" s="1"/>
  <c r="J13" i="14"/>
  <c r="J29" i="14"/>
  <c r="H13" i="14"/>
  <c r="H35" i="14" s="1"/>
  <c r="K40" i="10" s="1"/>
  <c r="H20" i="14"/>
  <c r="H29" i="14"/>
  <c r="F13" i="14"/>
  <c r="F21" i="14"/>
  <c r="F29" i="14" s="1"/>
  <c r="D13" i="14"/>
  <c r="D29" i="14"/>
  <c r="B13" i="14"/>
  <c r="B29" i="14"/>
  <c r="N8" i="14"/>
  <c r="N13" i="14" s="1"/>
  <c r="N29" i="14"/>
  <c r="X13" i="14"/>
  <c r="V13" i="14"/>
  <c r="T13" i="14"/>
  <c r="R13" i="14"/>
  <c r="R19" i="14"/>
  <c r="AI9" i="15"/>
  <c r="E17" i="5"/>
  <c r="W87" i="3"/>
  <c r="AJ30" i="3"/>
  <c r="AJ8" i="15"/>
  <c r="AA356" i="1"/>
  <c r="G82" i="11"/>
  <c r="T47" i="10"/>
  <c r="T66" i="10" s="1"/>
  <c r="T67" i="10" s="1"/>
  <c r="I373" i="12"/>
  <c r="F255" i="12"/>
  <c r="G321" i="12"/>
  <c r="J321" i="12" s="1"/>
  <c r="E358" i="12" s="1"/>
  <c r="R355" i="1"/>
  <c r="R363" i="1" s="1"/>
  <c r="F259" i="12"/>
  <c r="AI467" i="1"/>
  <c r="AI468" i="1"/>
  <c r="Z370" i="1"/>
  <c r="G286" i="12"/>
  <c r="J286" i="12" s="1"/>
  <c r="E317" i="12" s="1"/>
  <c r="F290" i="12"/>
  <c r="AJ104" i="3"/>
  <c r="F309" i="12"/>
  <c r="Y370" i="1"/>
  <c r="C104" i="3"/>
  <c r="Z356" i="1"/>
  <c r="F286" i="12"/>
  <c r="I418" i="12"/>
  <c r="AC153" i="3"/>
  <c r="AJ27" i="15"/>
  <c r="I29" i="17"/>
  <c r="D12" i="17" s="1"/>
  <c r="D16" i="17" s="1"/>
  <c r="D21" i="17" s="1"/>
  <c r="G34" i="17" s="1"/>
  <c r="G395" i="12"/>
  <c r="J395" i="12" s="1"/>
  <c r="F440" i="12"/>
  <c r="G293" i="12"/>
  <c r="J293" i="12" s="1"/>
  <c r="E324" i="12" s="1"/>
  <c r="O168" i="1"/>
  <c r="O446" i="1" s="1"/>
  <c r="T12" i="10"/>
  <c r="AI24" i="15"/>
  <c r="G317" i="12"/>
  <c r="J317" i="12" s="1"/>
  <c r="E354" i="12" s="1"/>
  <c r="AJ14" i="15"/>
  <c r="AI14" i="15"/>
  <c r="G402" i="12"/>
  <c r="J402" i="12" s="1"/>
  <c r="E447" i="12" s="1"/>
  <c r="AB87" i="3"/>
  <c r="G358" i="12"/>
  <c r="J358" i="12" s="1"/>
  <c r="E399" i="12" s="1"/>
  <c r="V370" i="1"/>
  <c r="AJ103" i="3"/>
  <c r="F324" i="12"/>
  <c r="R22" i="14"/>
  <c r="T22" i="14" s="1"/>
  <c r="D15" i="16"/>
  <c r="G32" i="16"/>
  <c r="AJ13" i="15"/>
  <c r="AI13" i="15"/>
  <c r="F409" i="12"/>
  <c r="F395" i="12"/>
  <c r="G354" i="12"/>
  <c r="J354" i="12" s="1"/>
  <c r="C162" i="3"/>
  <c r="C163" i="3" s="1"/>
  <c r="AB35" i="14"/>
  <c r="AB31" i="14"/>
  <c r="AD446" i="1"/>
  <c r="Y64" i="1"/>
  <c r="AD448" i="1"/>
  <c r="T13" i="10"/>
  <c r="U13" i="10" s="1"/>
  <c r="AD449" i="1"/>
  <c r="AE446" i="1"/>
  <c r="T10" i="10"/>
  <c r="AE448" i="1"/>
  <c r="AD445" i="1"/>
  <c r="T19" i="10"/>
  <c r="AH445" i="1"/>
  <c r="AF448" i="1"/>
  <c r="AF449" i="1"/>
  <c r="AH449" i="1"/>
  <c r="AF447" i="1"/>
  <c r="AH448" i="1"/>
  <c r="AH446" i="1"/>
  <c r="W19" i="10"/>
  <c r="J416" i="12"/>
  <c r="L416" i="12" s="1"/>
  <c r="M416" i="12" s="1"/>
  <c r="AF87" i="3"/>
  <c r="AF127" i="3"/>
  <c r="AH447" i="1"/>
  <c r="V11" i="10"/>
  <c r="AZ11" i="10" s="1"/>
  <c r="BA11" i="10" s="1"/>
  <c r="AF446" i="1"/>
  <c r="W47" i="10"/>
  <c r="W66" i="10" s="1"/>
  <c r="W67" i="10" s="1"/>
  <c r="V17" i="10"/>
  <c r="AZ17" i="10" s="1"/>
  <c r="BA17" i="10" s="1"/>
  <c r="AG127" i="3"/>
  <c r="AG87" i="3"/>
  <c r="V16" i="10"/>
  <c r="AZ16" i="10" s="1"/>
  <c r="BA16" i="10" s="1"/>
  <c r="AH127" i="3"/>
  <c r="AH87" i="3"/>
  <c r="AO3" i="10"/>
  <c r="AI87" i="3"/>
  <c r="AI127" i="3"/>
  <c r="AJ87" i="3"/>
  <c r="AK87" i="3"/>
  <c r="AK127" i="3"/>
  <c r="AL127" i="3"/>
  <c r="AL87" i="3"/>
  <c r="AM87" i="3"/>
  <c r="AM127" i="3"/>
  <c r="AN127" i="3"/>
  <c r="AN87" i="3"/>
  <c r="AO87" i="3"/>
  <c r="AO127" i="3"/>
  <c r="AP87" i="3"/>
  <c r="AP127" i="3"/>
  <c r="AQ127" i="3"/>
  <c r="AQ87" i="3"/>
  <c r="AR127" i="3"/>
  <c r="AR87" i="3"/>
  <c r="AS87" i="3"/>
  <c r="AS127" i="3"/>
  <c r="AT87" i="3"/>
  <c r="AT127" i="3"/>
  <c r="AU127" i="3"/>
  <c r="AU87" i="3"/>
  <c r="AV127" i="3"/>
  <c r="AV87" i="3"/>
  <c r="AW87" i="3"/>
  <c r="AW127" i="3"/>
  <c r="AX127" i="3"/>
  <c r="AX87" i="3"/>
  <c r="AY87" i="3"/>
  <c r="AZ127" i="3"/>
  <c r="AY127" i="3"/>
  <c r="AZ87" i="3"/>
  <c r="BA127" i="3"/>
  <c r="BA129" i="3" s="1"/>
  <c r="AC87" i="3"/>
  <c r="D46" i="32" l="1"/>
  <c r="C60" i="11"/>
  <c r="AQ13" i="10"/>
  <c r="AR13" i="10" s="1"/>
  <c r="D35" i="32"/>
  <c r="D34" i="32"/>
  <c r="D43" i="32"/>
  <c r="D42" i="32"/>
  <c r="D28" i="32"/>
  <c r="D49" i="32"/>
  <c r="D23" i="32"/>
  <c r="D22" i="32"/>
  <c r="D20" i="32"/>
  <c r="D48" i="32"/>
  <c r="D45" i="32"/>
  <c r="D24" i="32"/>
  <c r="D47" i="32"/>
  <c r="D44" i="32"/>
  <c r="D25" i="32"/>
  <c r="L37" i="10"/>
  <c r="L52" i="10" s="1"/>
  <c r="D9" i="4"/>
  <c r="D13" i="4" s="1"/>
  <c r="D18" i="4" s="1"/>
  <c r="G31" i="4" s="1"/>
  <c r="I26" i="4"/>
  <c r="W127" i="3"/>
  <c r="AE127" i="3"/>
  <c r="G532" i="12"/>
  <c r="J532" i="12" s="1"/>
  <c r="AM370" i="1"/>
  <c r="AM376" i="1" s="1"/>
  <c r="AM386" i="1" s="1"/>
  <c r="Y16" i="10" s="1"/>
  <c r="AI45" i="3"/>
  <c r="G345" i="12"/>
  <c r="J345" i="12" s="1"/>
  <c r="E386" i="12" s="1"/>
  <c r="AA370" i="1"/>
  <c r="Z127" i="3"/>
  <c r="F493" i="12"/>
  <c r="F633" i="12"/>
  <c r="F586" i="12"/>
  <c r="F539" i="12"/>
  <c r="F500" i="12"/>
  <c r="F640" i="12"/>
  <c r="F593" i="12"/>
  <c r="F546" i="12"/>
  <c r="F354" i="12"/>
  <c r="J146" i="12"/>
  <c r="R20" i="13" s="1"/>
  <c r="AG45" i="3"/>
  <c r="F231" i="12"/>
  <c r="V356" i="1"/>
  <c r="V363" i="1" s="1"/>
  <c r="X356" i="1"/>
  <c r="X363" i="1" s="1"/>
  <c r="AO12" i="10"/>
  <c r="D9" i="16"/>
  <c r="D13" i="16" s="1"/>
  <c r="D18" i="16" s="1"/>
  <c r="G31" i="16" s="1"/>
  <c r="C103" i="3"/>
  <c r="G231" i="12"/>
  <c r="J231" i="12" s="1"/>
  <c r="H31" i="14"/>
  <c r="F11" i="2"/>
  <c r="F490" i="12"/>
  <c r="F517" i="12" s="1"/>
  <c r="F630" i="12"/>
  <c r="F583" i="12"/>
  <c r="F536" i="12"/>
  <c r="F486" i="12"/>
  <c r="F626" i="12"/>
  <c r="F579" i="12"/>
  <c r="F610" i="12" s="1"/>
  <c r="F532" i="12"/>
  <c r="F563" i="12" s="1"/>
  <c r="G262" i="12"/>
  <c r="J262" i="12" s="1"/>
  <c r="E293" i="12" s="1"/>
  <c r="J68" i="12"/>
  <c r="G41" i="6"/>
  <c r="F262" i="12"/>
  <c r="P226" i="1"/>
  <c r="Q226" i="1" s="1"/>
  <c r="X370" i="1"/>
  <c r="AB370" i="1"/>
  <c r="G208" i="12"/>
  <c r="V87" i="3"/>
  <c r="H15" i="4"/>
  <c r="H27" i="4" s="1"/>
  <c r="X87" i="3"/>
  <c r="N117" i="1"/>
  <c r="P116" i="1"/>
  <c r="V45" i="3"/>
  <c r="L45" i="3"/>
  <c r="P129" i="3"/>
  <c r="AF45" i="3"/>
  <c r="O129" i="3"/>
  <c r="AS45" i="3"/>
  <c r="M129" i="3"/>
  <c r="C44" i="3"/>
  <c r="S45" i="3"/>
  <c r="AJ43" i="3"/>
  <c r="AJ45" i="3" s="1"/>
  <c r="U45" i="3"/>
  <c r="G129" i="3"/>
  <c r="I129" i="3"/>
  <c r="D10" i="32"/>
  <c r="AC235" i="1"/>
  <c r="AA154" i="1"/>
  <c r="W35" i="1"/>
  <c r="M106" i="1"/>
  <c r="I69" i="1"/>
  <c r="AC57" i="1"/>
  <c r="AU19" i="10"/>
  <c r="W291" i="1"/>
  <c r="V448" i="1" s="1"/>
  <c r="AV12" i="10"/>
  <c r="AV11" i="10"/>
  <c r="S73" i="10"/>
  <c r="Z245" i="1"/>
  <c r="Z247" i="1" s="1"/>
  <c r="AU12" i="10"/>
  <c r="O230" i="1"/>
  <c r="R143" i="1"/>
  <c r="S143" i="1" s="1"/>
  <c r="R168" i="1"/>
  <c r="S446" i="1" s="1"/>
  <c r="AV17" i="10"/>
  <c r="AV19" i="10"/>
  <c r="L245" i="1"/>
  <c r="L247" i="1" s="1"/>
  <c r="J13" i="10" s="1"/>
  <c r="AA228" i="1"/>
  <c r="AA230" i="1" s="1"/>
  <c r="P115" i="1"/>
  <c r="I57" i="1"/>
  <c r="AO47" i="10"/>
  <c r="AO42" i="10"/>
  <c r="G574" i="12"/>
  <c r="AF211" i="3"/>
  <c r="AF214" i="3" s="1"/>
  <c r="E20" i="7"/>
  <c r="P31" i="14"/>
  <c r="P35" i="14"/>
  <c r="O40" i="10" s="1"/>
  <c r="O48" i="10" s="1"/>
  <c r="O53" i="10" s="1"/>
  <c r="B31" i="14"/>
  <c r="L35" i="14"/>
  <c r="Z31" i="14"/>
  <c r="R29" i="14"/>
  <c r="R31" i="14" s="1"/>
  <c r="F31" i="14"/>
  <c r="F35" i="14"/>
  <c r="J40" i="10" s="1"/>
  <c r="J48" i="10" s="1"/>
  <c r="J53" i="10" s="1"/>
  <c r="V22" i="14"/>
  <c r="T29" i="14"/>
  <c r="AH31" i="14"/>
  <c r="AO31" i="14" s="1"/>
  <c r="AO29" i="14"/>
  <c r="AQ29" i="14" s="1"/>
  <c r="B35" i="14"/>
  <c r="H40" i="10" s="1"/>
  <c r="H48" i="10" s="1"/>
  <c r="H53" i="10" s="1"/>
  <c r="AD31" i="14"/>
  <c r="K67" i="10"/>
  <c r="L6" i="13"/>
  <c r="L8" i="13" s="1"/>
  <c r="J19" i="13"/>
  <c r="AV11" i="15"/>
  <c r="AT32" i="15"/>
  <c r="Y42" i="10" s="1"/>
  <c r="AR32" i="15"/>
  <c r="V117" i="1"/>
  <c r="AB398" i="1"/>
  <c r="AB412" i="1" s="1"/>
  <c r="N245" i="1"/>
  <c r="N247" i="1" s="1"/>
  <c r="I262" i="1"/>
  <c r="Z183" i="1"/>
  <c r="W363" i="1"/>
  <c r="W398" i="1"/>
  <c r="W412" i="1" s="1"/>
  <c r="AW189" i="1"/>
  <c r="V96" i="1"/>
  <c r="R167" i="1"/>
  <c r="R446" i="1" s="1"/>
  <c r="X96" i="1"/>
  <c r="AB363" i="1"/>
  <c r="O321" i="1"/>
  <c r="Q117" i="1"/>
  <c r="D117" i="1"/>
  <c r="D120" i="1" s="1"/>
  <c r="C133" i="1"/>
  <c r="D133" i="1"/>
  <c r="I143" i="1"/>
  <c r="I169" i="1"/>
  <c r="G345" i="1"/>
  <c r="G347" i="1" s="1"/>
  <c r="G350" i="1" s="1"/>
  <c r="AX183" i="1"/>
  <c r="AW29" i="1"/>
  <c r="AX29" i="1" s="1"/>
  <c r="AW291" i="1"/>
  <c r="AX291" i="1" s="1"/>
  <c r="I117" i="1"/>
  <c r="I116" i="1"/>
  <c r="I115" i="1"/>
  <c r="R133" i="1"/>
  <c r="S133" i="1" s="1"/>
  <c r="AO22" i="10" s="1"/>
  <c r="AQ22" i="10" s="1"/>
  <c r="AR22" i="10" s="1"/>
  <c r="C273" i="1"/>
  <c r="C117" i="1"/>
  <c r="C120" i="1" s="1"/>
  <c r="I20" i="1"/>
  <c r="C345" i="1"/>
  <c r="C347" i="1" s="1"/>
  <c r="C350" i="1" s="1"/>
  <c r="V64" i="1"/>
  <c r="N456" i="1"/>
  <c r="G169" i="1"/>
  <c r="G170" i="1" s="1"/>
  <c r="I167" i="1"/>
  <c r="Q244" i="1"/>
  <c r="Q447" i="1" s="1"/>
  <c r="Q451" i="1" s="1"/>
  <c r="O293" i="1"/>
  <c r="AA62" i="1"/>
  <c r="AA117" i="1" s="1"/>
  <c r="V116" i="1"/>
  <c r="L127" i="1"/>
  <c r="E20" i="5"/>
  <c r="H22" i="10"/>
  <c r="H37" i="10" s="1"/>
  <c r="H52" i="10" s="1"/>
  <c r="AI12" i="15"/>
  <c r="AJ19" i="15"/>
  <c r="T48" i="10"/>
  <c r="T53" i="10" s="1"/>
  <c r="AI16" i="15"/>
  <c r="AB294" i="1"/>
  <c r="X412" i="1"/>
  <c r="Y247" i="1"/>
  <c r="AC438" i="1"/>
  <c r="AC291" i="1"/>
  <c r="AB448" i="1" s="1"/>
  <c r="P106" i="1"/>
  <c r="AC35" i="1"/>
  <c r="AB45" i="1"/>
  <c r="AA344" i="1"/>
  <c r="AA449" i="1" s="1"/>
  <c r="W303" i="1"/>
  <c r="W305" i="1" s="1"/>
  <c r="V106" i="1"/>
  <c r="E563" i="12"/>
  <c r="AX129" i="3"/>
  <c r="AT129" i="3"/>
  <c r="G45" i="3"/>
  <c r="AC45" i="3"/>
  <c r="AZ129" i="3"/>
  <c r="AK129" i="3"/>
  <c r="Z45" i="3"/>
  <c r="Y45" i="3"/>
  <c r="H45" i="3"/>
  <c r="K129" i="3"/>
  <c r="J370" i="12"/>
  <c r="BA45" i="3"/>
  <c r="AX45" i="3"/>
  <c r="AY45" i="3"/>
  <c r="Y363" i="1"/>
  <c r="AF129" i="3"/>
  <c r="T129" i="3"/>
  <c r="W129" i="3"/>
  <c r="AB43" i="3"/>
  <c r="AB45" i="3" s="1"/>
  <c r="AU129" i="3"/>
  <c r="Z363" i="1"/>
  <c r="X45" i="3"/>
  <c r="P45" i="3"/>
  <c r="N45" i="3"/>
  <c r="S129" i="3"/>
  <c r="H129" i="3"/>
  <c r="F129" i="3"/>
  <c r="AE129" i="3"/>
  <c r="AC376" i="1"/>
  <c r="AM437" i="1"/>
  <c r="AR129" i="3"/>
  <c r="AN129" i="3"/>
  <c r="W45" i="3"/>
  <c r="Q45" i="3"/>
  <c r="O427" i="1"/>
  <c r="O431" i="1" s="1"/>
  <c r="M12" i="10"/>
  <c r="W154" i="1"/>
  <c r="R45" i="1"/>
  <c r="S45" i="1" s="1"/>
  <c r="AQ31" i="10"/>
  <c r="AR31" i="10" s="1"/>
  <c r="W133" i="1"/>
  <c r="Y169" i="1"/>
  <c r="Y170" i="1" s="1"/>
  <c r="AW284" i="1"/>
  <c r="AX284" i="1" s="1"/>
  <c r="AW398" i="1"/>
  <c r="AX398" i="1" s="1"/>
  <c r="Q363" i="1"/>
  <c r="AB293" i="1"/>
  <c r="Y293" i="1"/>
  <c r="Y296" i="1" s="1"/>
  <c r="AA253" i="1"/>
  <c r="V45" i="1"/>
  <c r="W45" i="1" s="1"/>
  <c r="S284" i="1"/>
  <c r="AC153" i="1"/>
  <c r="AC154" i="1" s="1"/>
  <c r="Z153" i="1"/>
  <c r="Z154" i="1" s="1"/>
  <c r="N462" i="1"/>
  <c r="AW167" i="1"/>
  <c r="AX167" i="1" s="1"/>
  <c r="AC398" i="1"/>
  <c r="AC412" i="1" s="1"/>
  <c r="S17" i="10" s="1"/>
  <c r="N412" i="1"/>
  <c r="Y412" i="1"/>
  <c r="Z412" i="1"/>
  <c r="N386" i="1"/>
  <c r="AA40" i="1"/>
  <c r="AA321" i="1"/>
  <c r="AA343" i="1"/>
  <c r="Z449" i="1" s="1"/>
  <c r="AA292" i="1"/>
  <c r="AA448" i="1" s="1"/>
  <c r="AA127" i="1"/>
  <c r="AA84" i="1"/>
  <c r="AW340" i="1"/>
  <c r="AW376" i="1"/>
  <c r="AX376" i="1" s="1"/>
  <c r="AW281" i="1"/>
  <c r="AX281" i="1" s="1"/>
  <c r="AW25" i="1"/>
  <c r="AX25" i="1" s="1"/>
  <c r="AW57" i="1"/>
  <c r="AX57" i="1" s="1"/>
  <c r="AW69" i="1"/>
  <c r="AX69" i="1" s="1"/>
  <c r="AW78" i="1"/>
  <c r="AX78" i="1" s="1"/>
  <c r="I412" i="1"/>
  <c r="AW431" i="1"/>
  <c r="AX431" i="1" s="1"/>
  <c r="Q376" i="1"/>
  <c r="X347" i="1"/>
  <c r="X350" i="1" s="1"/>
  <c r="AA398" i="1"/>
  <c r="AA412" i="1" s="1"/>
  <c r="AA291" i="1"/>
  <c r="Z448" i="1" s="1"/>
  <c r="AA35" i="1"/>
  <c r="AC64" i="1"/>
  <c r="J412" i="1"/>
  <c r="I17" i="10" s="1"/>
  <c r="AW90" i="1"/>
  <c r="AX90" i="1" s="1"/>
  <c r="AW159" i="1"/>
  <c r="AX159" i="1" s="1"/>
  <c r="AW168" i="1"/>
  <c r="AX168" i="1" s="1"/>
  <c r="W164" i="1"/>
  <c r="AO32" i="10"/>
  <c r="N19" i="10"/>
  <c r="R247" i="1"/>
  <c r="S247" i="1" s="1"/>
  <c r="N13" i="10" s="1"/>
  <c r="AA327" i="1"/>
  <c r="S258" i="1"/>
  <c r="AW303" i="1"/>
  <c r="AX303" i="1" s="1"/>
  <c r="M170" i="1"/>
  <c r="K11" i="10" s="1"/>
  <c r="Y69" i="1"/>
  <c r="V230" i="1"/>
  <c r="AC228" i="1"/>
  <c r="AC230" i="1" s="1"/>
  <c r="AW344" i="1"/>
  <c r="AX344" i="1" s="1"/>
  <c r="AW294" i="1"/>
  <c r="AX294" i="1" s="1"/>
  <c r="AW96" i="1"/>
  <c r="AX96" i="1" s="1"/>
  <c r="AW106" i="1"/>
  <c r="AX106" i="1" s="1"/>
  <c r="AW262" i="1"/>
  <c r="AX262" i="1" s="1"/>
  <c r="F412" i="1"/>
  <c r="AW331" i="1"/>
  <c r="AX331" i="1" s="1"/>
  <c r="K247" i="1"/>
  <c r="L412" i="1"/>
  <c r="J17" i="10" s="1"/>
  <c r="M386" i="1"/>
  <c r="K16" i="10" s="1"/>
  <c r="M247" i="1"/>
  <c r="K13" i="10" s="1"/>
  <c r="P412" i="1"/>
  <c r="Q438" i="1"/>
  <c r="AP32" i="10" s="1"/>
  <c r="V247" i="1"/>
  <c r="W438" i="1"/>
  <c r="W343" i="1"/>
  <c r="V449" i="1" s="1"/>
  <c r="W51" i="1"/>
  <c r="W327" i="1"/>
  <c r="W292" i="1"/>
  <c r="W448" i="1" s="1"/>
  <c r="W40" i="1"/>
  <c r="AA294" i="1"/>
  <c r="AA235" i="1"/>
  <c r="AA51" i="1"/>
  <c r="AC327" i="1"/>
  <c r="AC253" i="1"/>
  <c r="AC20" i="1"/>
  <c r="AW45" i="1"/>
  <c r="AW40" i="1"/>
  <c r="AX40" i="1" s="1"/>
  <c r="AW116" i="1"/>
  <c r="AX116" i="1" s="1"/>
  <c r="AW321" i="1"/>
  <c r="AX321" i="1" s="1"/>
  <c r="AW336" i="1"/>
  <c r="AX336" i="1" s="1"/>
  <c r="AW295" i="1"/>
  <c r="AX295" i="1" s="1"/>
  <c r="AA303" i="1"/>
  <c r="AA305" i="1" s="1"/>
  <c r="AA143" i="1"/>
  <c r="AC427" i="1"/>
  <c r="AC431" i="1" s="1"/>
  <c r="AW240" i="1"/>
  <c r="AX240" i="1" s="1"/>
  <c r="AW410" i="1"/>
  <c r="AW245" i="1"/>
  <c r="AX245" i="1" s="1"/>
  <c r="AW35" i="1"/>
  <c r="AX35" i="1" s="1"/>
  <c r="AW51" i="1"/>
  <c r="AX51" i="1" s="1"/>
  <c r="AW64" i="1"/>
  <c r="AX64" i="1" s="1"/>
  <c r="AW112" i="1"/>
  <c r="AX112" i="1" s="1"/>
  <c r="AW253" i="1"/>
  <c r="AX253" i="1" s="1"/>
  <c r="AW380" i="1"/>
  <c r="AX380" i="1" s="1"/>
  <c r="AW391" i="1"/>
  <c r="AX391" i="1" s="1"/>
  <c r="G412" i="1"/>
  <c r="AU412" i="1"/>
  <c r="AW363" i="1"/>
  <c r="AX363" i="1" s="1"/>
  <c r="K386" i="1"/>
  <c r="J347" i="1"/>
  <c r="J350" i="1" s="1"/>
  <c r="I15" i="10" s="1"/>
  <c r="AC303" i="1"/>
  <c r="AC305" i="1" s="1"/>
  <c r="Y117" i="1"/>
  <c r="AW235" i="1"/>
  <c r="AX235" i="1" s="1"/>
  <c r="AW305" i="1"/>
  <c r="AX305" i="1" s="1"/>
  <c r="N12" i="10"/>
  <c r="AC343" i="1"/>
  <c r="AB449" i="1" s="1"/>
  <c r="AC345" i="1"/>
  <c r="AQ39" i="10"/>
  <c r="AR39" i="10" s="1"/>
  <c r="O463" i="1"/>
  <c r="D296" i="1"/>
  <c r="H386" i="1"/>
  <c r="Y347" i="1"/>
  <c r="Y350" i="1" s="1"/>
  <c r="AW438" i="1"/>
  <c r="AX438" i="1" s="1"/>
  <c r="Y96" i="1"/>
  <c r="Z96" i="1"/>
  <c r="D8" i="6"/>
  <c r="C8" i="6" s="1"/>
  <c r="C33" i="6" s="1"/>
  <c r="H412" i="1"/>
  <c r="AA345" i="1"/>
  <c r="AW115" i="1"/>
  <c r="AX115" i="1" s="1"/>
  <c r="W344" i="1"/>
  <c r="W449" i="1" s="1"/>
  <c r="W230" i="1"/>
  <c r="R412" i="1"/>
  <c r="Q398" i="1"/>
  <c r="Q412" i="1" s="1"/>
  <c r="M17" i="10" s="1"/>
  <c r="P288" i="1"/>
  <c r="P294" i="1"/>
  <c r="AW346" i="1"/>
  <c r="W253" i="1"/>
  <c r="AW288" i="1"/>
  <c r="AX288" i="1" s="1"/>
  <c r="AW327" i="1"/>
  <c r="AX327" i="1" s="1"/>
  <c r="J247" i="1"/>
  <c r="I13" i="10" s="1"/>
  <c r="AA159" i="1"/>
  <c r="AW384" i="1"/>
  <c r="AX384" i="1" s="1"/>
  <c r="X293" i="1"/>
  <c r="X296" i="1" s="1"/>
  <c r="X116" i="1"/>
  <c r="AA273" i="1"/>
  <c r="W345" i="1"/>
  <c r="I386" i="1"/>
  <c r="AW348" i="1"/>
  <c r="Q347" i="1"/>
  <c r="Q350" i="1" s="1"/>
  <c r="M15" i="10" s="1"/>
  <c r="E412" i="1"/>
  <c r="C247" i="1"/>
  <c r="B412" i="1"/>
  <c r="H347" i="1"/>
  <c r="H350" i="1" s="1"/>
  <c r="G247" i="1"/>
  <c r="P347" i="1"/>
  <c r="P350" i="1" s="1"/>
  <c r="S427" i="1"/>
  <c r="S431" i="1" s="1"/>
  <c r="W106" i="1"/>
  <c r="O461" i="1"/>
  <c r="O464" i="1"/>
  <c r="AU347" i="1"/>
  <c r="AU350" i="1" s="1"/>
  <c r="AW345" i="1"/>
  <c r="AX345" i="1" s="1"/>
  <c r="B386" i="1"/>
  <c r="AW273" i="1"/>
  <c r="AX273" i="1" s="1"/>
  <c r="AW230" i="1"/>
  <c r="AX230" i="1" s="1"/>
  <c r="W96" i="1"/>
  <c r="AA57" i="1"/>
  <c r="H170" i="1"/>
  <c r="W169" i="1"/>
  <c r="W57" i="1"/>
  <c r="AA244" i="1"/>
  <c r="AA447" i="1" s="1"/>
  <c r="AA169" i="1"/>
  <c r="AA168" i="1"/>
  <c r="AA446" i="1" s="1"/>
  <c r="AA164" i="1"/>
  <c r="AC159" i="1"/>
  <c r="AC84" i="1"/>
  <c r="P458" i="1"/>
  <c r="Q458" i="1" s="1"/>
  <c r="R458" i="1" s="1"/>
  <c r="R462" i="1" s="1"/>
  <c r="C412" i="1"/>
  <c r="E347" i="1"/>
  <c r="E350" i="1" s="1"/>
  <c r="D247" i="1"/>
  <c r="B247" i="1"/>
  <c r="AC164" i="1"/>
  <c r="O460" i="1"/>
  <c r="D412" i="1"/>
  <c r="E247" i="1"/>
  <c r="F247" i="1"/>
  <c r="I347" i="1"/>
  <c r="I350" i="1" s="1"/>
  <c r="AW133" i="1"/>
  <c r="AX133" i="1" s="1"/>
  <c r="AW137" i="1"/>
  <c r="AX137" i="1" s="1"/>
  <c r="AW169" i="1"/>
  <c r="AX169" i="1" s="1"/>
  <c r="R431" i="1"/>
  <c r="W427" i="1"/>
  <c r="W431" i="1" s="1"/>
  <c r="W116" i="1"/>
  <c r="W445" i="1" s="1"/>
  <c r="AC106" i="1"/>
  <c r="N296" i="1"/>
  <c r="S412" i="1"/>
  <c r="N17" i="10" s="1"/>
  <c r="AB347" i="1"/>
  <c r="AB350" i="1" s="1"/>
  <c r="AC293" i="1"/>
  <c r="D347" i="1"/>
  <c r="D350" i="1" s="1"/>
  <c r="B347" i="1"/>
  <c r="B350" i="1" s="1"/>
  <c r="B296" i="1"/>
  <c r="H296" i="1"/>
  <c r="AU296" i="1"/>
  <c r="O386" i="1"/>
  <c r="AB90" i="1"/>
  <c r="O462" i="1"/>
  <c r="AQ37" i="10"/>
  <c r="AR37" i="10" s="1"/>
  <c r="F347" i="1"/>
  <c r="F350" i="1" s="1"/>
  <c r="E296" i="1"/>
  <c r="F296" i="1"/>
  <c r="I296" i="1"/>
  <c r="G296" i="1"/>
  <c r="E386" i="1"/>
  <c r="AU386" i="1"/>
  <c r="J386" i="1"/>
  <c r="I16" i="10" s="1"/>
  <c r="G386" i="1"/>
  <c r="W117" i="1"/>
  <c r="W273" i="1"/>
  <c r="AC168" i="1"/>
  <c r="AC446" i="1" s="1"/>
  <c r="AW127" i="1"/>
  <c r="AX127" i="1" s="1"/>
  <c r="E170" i="1"/>
  <c r="O170" i="1"/>
  <c r="N460" i="1"/>
  <c r="N170" i="1"/>
  <c r="Q127" i="1"/>
  <c r="AP21" i="10" s="1"/>
  <c r="AQ21" i="10" s="1"/>
  <c r="AR21" i="10" s="1"/>
  <c r="Q170" i="1"/>
  <c r="M11" i="10" s="1"/>
  <c r="AU446" i="1"/>
  <c r="L170" i="1"/>
  <c r="J11" i="10" s="1"/>
  <c r="W168" i="1"/>
  <c r="W446" i="1" s="1"/>
  <c r="O438" i="1"/>
  <c r="N468" i="1" s="1"/>
  <c r="AS468" i="1" s="1"/>
  <c r="AT468" i="1" s="1"/>
  <c r="G43" i="6"/>
  <c r="G45" i="6" s="1"/>
  <c r="C9" i="6"/>
  <c r="Z431" i="1"/>
  <c r="AA431" i="1"/>
  <c r="V412" i="1"/>
  <c r="D386" i="1"/>
  <c r="P386" i="1"/>
  <c r="F386" i="1"/>
  <c r="G451" i="1"/>
  <c r="AW343" i="1"/>
  <c r="AX343" i="1" s="1"/>
  <c r="AW293" i="1"/>
  <c r="AX293" i="1" s="1"/>
  <c r="AC294" i="1"/>
  <c r="W258" i="1"/>
  <c r="W293" i="1" s="1"/>
  <c r="P293" i="1"/>
  <c r="AW292" i="1"/>
  <c r="AX292" i="1" s="1"/>
  <c r="W294" i="1"/>
  <c r="AW277" i="1"/>
  <c r="AX277" i="1" s="1"/>
  <c r="H247" i="1"/>
  <c r="I247" i="1"/>
  <c r="AQ27" i="10"/>
  <c r="AR27" i="10" s="1"/>
  <c r="AB245" i="1"/>
  <c r="AB247" i="1" s="1"/>
  <c r="AW244" i="1"/>
  <c r="AX244" i="1" s="1"/>
  <c r="AC143" i="1"/>
  <c r="AC167" i="1"/>
  <c r="AB446" i="1" s="1"/>
  <c r="AA167" i="1"/>
  <c r="Z446" i="1" s="1"/>
  <c r="C170" i="1"/>
  <c r="N154" i="1"/>
  <c r="W127" i="1"/>
  <c r="AW154" i="1"/>
  <c r="AX154" i="1" s="1"/>
  <c r="J170" i="1"/>
  <c r="I11" i="10" s="1"/>
  <c r="AA133" i="1"/>
  <c r="W143" i="1"/>
  <c r="AC127" i="1"/>
  <c r="X154" i="1"/>
  <c r="AQ18" i="10"/>
  <c r="AW73" i="1"/>
  <c r="AX73" i="1" s="1"/>
  <c r="AW84" i="1"/>
  <c r="AX84" i="1" s="1"/>
  <c r="W69" i="1"/>
  <c r="Y104" i="1"/>
  <c r="Y106" i="1" s="1"/>
  <c r="M116" i="1"/>
  <c r="M455" i="1" s="1"/>
  <c r="N88" i="1"/>
  <c r="N90" i="1" s="1"/>
  <c r="AA115" i="1"/>
  <c r="Z445" i="1" s="1"/>
  <c r="AA20" i="1"/>
  <c r="W20" i="1"/>
  <c r="AW20" i="1"/>
  <c r="AX20" i="1" s="1"/>
  <c r="H120" i="1"/>
  <c r="E120" i="1"/>
  <c r="J120" i="1"/>
  <c r="I10" i="10" s="1"/>
  <c r="AW117" i="1"/>
  <c r="AX117" i="1" s="1"/>
  <c r="O120" i="1"/>
  <c r="AP17" i="10" s="1"/>
  <c r="N454" i="1"/>
  <c r="L454" i="1"/>
  <c r="L120" i="1"/>
  <c r="J10" i="10" s="1"/>
  <c r="L445" i="1"/>
  <c r="X451" i="1"/>
  <c r="B120" i="1"/>
  <c r="J120" i="12"/>
  <c r="P20" i="13" s="1"/>
  <c r="J177" i="12"/>
  <c r="T20" i="13" s="1"/>
  <c r="J210" i="12"/>
  <c r="AA363" i="1"/>
  <c r="AW129" i="3"/>
  <c r="AS129" i="3"/>
  <c r="AP129" i="3"/>
  <c r="AL129" i="3"/>
  <c r="AG129" i="3"/>
  <c r="AG214" i="3" s="1"/>
  <c r="M45" i="3"/>
  <c r="O45" i="3"/>
  <c r="J129" i="3"/>
  <c r="Q129" i="3"/>
  <c r="AA45" i="3"/>
  <c r="AP45" i="3"/>
  <c r="AJ105" i="3"/>
  <c r="O444" i="12"/>
  <c r="R129" i="3"/>
  <c r="F270" i="12"/>
  <c r="E486" i="12"/>
  <c r="AY129" i="3"/>
  <c r="AV129" i="3"/>
  <c r="AQ129" i="3"/>
  <c r="AO129" i="3"/>
  <c r="AM129" i="3"/>
  <c r="T45" i="3"/>
  <c r="R45" i="3"/>
  <c r="K45" i="3"/>
  <c r="I45" i="3"/>
  <c r="AJ100" i="3"/>
  <c r="O454" i="12"/>
  <c r="E496" i="12"/>
  <c r="E395" i="12"/>
  <c r="J440" i="12"/>
  <c r="O440" i="12" s="1"/>
  <c r="C87" i="3"/>
  <c r="AA127" i="3"/>
  <c r="AA129" i="3" s="1"/>
  <c r="G238" i="12"/>
  <c r="J238" i="12" s="1"/>
  <c r="C105" i="3"/>
  <c r="C52" i="3"/>
  <c r="F293" i="12"/>
  <c r="L129" i="3"/>
  <c r="U87" i="3"/>
  <c r="V369" i="1"/>
  <c r="V376" i="1" s="1"/>
  <c r="AT45" i="3"/>
  <c r="AC127" i="3"/>
  <c r="AC129" i="3" s="1"/>
  <c r="G399" i="12"/>
  <c r="F45" i="3"/>
  <c r="U127" i="3"/>
  <c r="AI129" i="3"/>
  <c r="AH129" i="3"/>
  <c r="G368" i="12"/>
  <c r="J368" i="12" s="1"/>
  <c r="E409" i="12" s="1"/>
  <c r="W370" i="1"/>
  <c r="F402" i="12"/>
  <c r="F418" i="12" s="1"/>
  <c r="F444" i="12"/>
  <c r="G216" i="12"/>
  <c r="J216" i="12" s="1"/>
  <c r="AB127" i="3"/>
  <c r="AB129" i="3" s="1"/>
  <c r="G361" i="12"/>
  <c r="J45" i="3"/>
  <c r="F454" i="12"/>
  <c r="AU45" i="3"/>
  <c r="AQ45" i="3"/>
  <c r="AH45" i="3"/>
  <c r="AX349" i="1"/>
  <c r="AW349" i="1"/>
  <c r="O245" i="1"/>
  <c r="O247" i="1" s="1"/>
  <c r="P227" i="1"/>
  <c r="P245" i="1" s="1"/>
  <c r="AE451" i="1"/>
  <c r="N461" i="1"/>
  <c r="R154" i="1"/>
  <c r="S154" i="1" s="1"/>
  <c r="R169" i="1"/>
  <c r="AC40" i="1"/>
  <c r="AQ36" i="10"/>
  <c r="AR36" i="10" s="1"/>
  <c r="F120" i="1"/>
  <c r="AU120" i="1"/>
  <c r="AU170" i="1"/>
  <c r="D170" i="1"/>
  <c r="F170" i="1"/>
  <c r="N347" i="1"/>
  <c r="N350" i="1" s="1"/>
  <c r="L386" i="1"/>
  <c r="J16" i="10" s="1"/>
  <c r="AC321" i="1"/>
  <c r="AC344" i="1"/>
  <c r="AQ25" i="10"/>
  <c r="AR25" i="10" s="1"/>
  <c r="M296" i="1"/>
  <c r="K14" i="10" s="1"/>
  <c r="W159" i="1"/>
  <c r="AC133" i="1"/>
  <c r="X245" i="1"/>
  <c r="X247" i="1" s="1"/>
  <c r="B170" i="1"/>
  <c r="C296" i="1"/>
  <c r="O412" i="1"/>
  <c r="X170" i="1"/>
  <c r="Y438" i="1"/>
  <c r="X468" i="1" s="1"/>
  <c r="AU468" i="1" s="1"/>
  <c r="AM233" i="1"/>
  <c r="AM225" i="1"/>
  <c r="AM213" i="1"/>
  <c r="AM193" i="1"/>
  <c r="AM299" i="1"/>
  <c r="AM271" i="1"/>
  <c r="AM250" i="1"/>
  <c r="AM162" i="1"/>
  <c r="AM146" i="1"/>
  <c r="AM110" i="1"/>
  <c r="AM94" i="1"/>
  <c r="AM81" i="1"/>
  <c r="AM61" i="1"/>
  <c r="AM54" i="1"/>
  <c r="AM17" i="1"/>
  <c r="AM270" i="1"/>
  <c r="AM224" i="1"/>
  <c r="AM152" i="1"/>
  <c r="AM123" i="1"/>
  <c r="AM109" i="1"/>
  <c r="AM93" i="1"/>
  <c r="AM60" i="1"/>
  <c r="AM18" i="1"/>
  <c r="AM212" i="1"/>
  <c r="AM141" i="1"/>
  <c r="AM130" i="1"/>
  <c r="AM49" i="1"/>
  <c r="AM32" i="1"/>
  <c r="AM38" i="1"/>
  <c r="AM300" i="1"/>
  <c r="AM251" i="1"/>
  <c r="AM157" i="1"/>
  <c r="AM147" i="1"/>
  <c r="AM140" i="1"/>
  <c r="AM82" i="1"/>
  <c r="AM55" i="1"/>
  <c r="AM48" i="1"/>
  <c r="AM394" i="1"/>
  <c r="AM433" i="1"/>
  <c r="B37" i="10"/>
  <c r="B52" i="10" s="1"/>
  <c r="E37" i="10"/>
  <c r="E54" i="10" s="1"/>
  <c r="AT446" i="1"/>
  <c r="AU447" i="1"/>
  <c r="AT449" i="1"/>
  <c r="AU448" i="1"/>
  <c r="W10" i="10"/>
  <c r="Q106" i="1"/>
  <c r="R103" i="1"/>
  <c r="Q115" i="1"/>
  <c r="R386" i="1"/>
  <c r="S363" i="1"/>
  <c r="S386" i="1" s="1"/>
  <c r="J451" i="1"/>
  <c r="N451" i="1"/>
  <c r="J296" i="1"/>
  <c r="V347" i="1"/>
  <c r="V350" i="1" s="1"/>
  <c r="V296" i="1"/>
  <c r="T14" i="10"/>
  <c r="U14" i="10" s="1"/>
  <c r="R104" i="1"/>
  <c r="R116" i="1" s="1"/>
  <c r="S445" i="1" s="1"/>
  <c r="M347" i="1"/>
  <c r="M350" i="1" s="1"/>
  <c r="K15" i="10" s="1"/>
  <c r="AQ23" i="10"/>
  <c r="AR23" i="10" s="1"/>
  <c r="AQ28" i="10"/>
  <c r="AR28" i="10" s="1"/>
  <c r="AQ33" i="10"/>
  <c r="AR33" i="10" s="1"/>
  <c r="S65" i="1"/>
  <c r="AC244" i="1"/>
  <c r="AJ451" i="1"/>
  <c r="C386" i="1"/>
  <c r="AQ29" i="10"/>
  <c r="AR29" i="10" s="1"/>
  <c r="V15" i="10"/>
  <c r="AZ15" i="10" s="1"/>
  <c r="BA15" i="10" s="1"/>
  <c r="AH451" i="1"/>
  <c r="AH452" i="1" s="1"/>
  <c r="F228" i="12"/>
  <c r="F239" i="12" s="1"/>
  <c r="X369" i="1"/>
  <c r="X376" i="1" s="1"/>
  <c r="V127" i="3"/>
  <c r="Y369" i="1"/>
  <c r="Y376" i="1" s="1"/>
  <c r="T15" i="10"/>
  <c r="U15" i="10" s="1"/>
  <c r="AF445" i="1"/>
  <c r="AT445" i="1" s="1"/>
  <c r="N35" i="14"/>
  <c r="N40" i="10" s="1"/>
  <c r="N48" i="10" s="1"/>
  <c r="N53" i="10" s="1"/>
  <c r="N31" i="14"/>
  <c r="D31" i="14"/>
  <c r="D35" i="14"/>
  <c r="I40" i="10" s="1"/>
  <c r="I48" i="10" s="1"/>
  <c r="I53" i="10" s="1"/>
  <c r="J31" i="14"/>
  <c r="AP11" i="10" s="1"/>
  <c r="J35" i="14"/>
  <c r="L40" i="10" s="1"/>
  <c r="AJ10" i="15"/>
  <c r="AH32" i="15"/>
  <c r="AI10" i="15"/>
  <c r="V13" i="10"/>
  <c r="V14" i="10"/>
  <c r="AZ14" i="10" s="1"/>
  <c r="BA14" i="10" s="1"/>
  <c r="AU449" i="1"/>
  <c r="AD451" i="1"/>
  <c r="L31" i="14"/>
  <c r="C23" i="3"/>
  <c r="AE45" i="3"/>
  <c r="C40" i="6"/>
  <c r="C44" i="6" s="1"/>
  <c r="F41" i="6"/>
  <c r="T16" i="10"/>
  <c r="AU16" i="10" s="1"/>
  <c r="T17" i="10"/>
  <c r="AU17" i="10" s="1"/>
  <c r="AT447" i="1"/>
  <c r="G300" i="12"/>
  <c r="J300" i="12" s="1"/>
  <c r="E331" i="12" s="1"/>
  <c r="F331" i="12"/>
  <c r="Y127" i="3"/>
  <c r="Y129" i="3" s="1"/>
  <c r="AW243" i="1"/>
  <c r="AX243" i="1" s="1"/>
  <c r="AU247" i="1"/>
  <c r="AX100" i="1"/>
  <c r="AW100" i="1"/>
  <c r="AW164" i="1"/>
  <c r="AX164" i="1" s="1"/>
  <c r="AW267" i="1"/>
  <c r="AX267" i="1" s="1"/>
  <c r="G25" i="1"/>
  <c r="G117" i="1"/>
  <c r="G120" i="1" s="1"/>
  <c r="H448" i="1"/>
  <c r="H451" i="1" s="1"/>
  <c r="O450" i="1"/>
  <c r="N464" i="1" s="1"/>
  <c r="Q294" i="1"/>
  <c r="Q296" i="1" s="1"/>
  <c r="M14" i="10" s="1"/>
  <c r="R287" i="1"/>
  <c r="Q288" i="1"/>
  <c r="AC115" i="1"/>
  <c r="AB445" i="1" s="1"/>
  <c r="AC51" i="1"/>
  <c r="K48" i="10"/>
  <c r="K53" i="10" s="1"/>
  <c r="L42" i="10"/>
  <c r="AP12" i="10"/>
  <c r="AQ12" i="10" s="1"/>
  <c r="AR12" i="10" s="1"/>
  <c r="AJ18" i="15"/>
  <c r="AI18" i="15"/>
  <c r="AI15" i="15"/>
  <c r="AJ15" i="15"/>
  <c r="G269" i="12"/>
  <c r="J269" i="12" s="1"/>
  <c r="E300" i="12" s="1"/>
  <c r="X127" i="3"/>
  <c r="X129" i="3" s="1"/>
  <c r="F300" i="12"/>
  <c r="C101" i="3"/>
  <c r="Z8" i="13"/>
  <c r="Z13" i="13" s="1"/>
  <c r="Z15" i="13" s="1"/>
  <c r="J36" i="12"/>
  <c r="J20" i="13" s="1"/>
  <c r="J208" i="12"/>
  <c r="V20" i="13" s="1"/>
  <c r="AW143" i="1"/>
  <c r="AX143" i="1" s="1"/>
  <c r="L267" i="1"/>
  <c r="L292" i="1"/>
  <c r="L296" i="1" s="1"/>
  <c r="J14" i="10" s="1"/>
  <c r="M84" i="1"/>
  <c r="M115" i="1"/>
  <c r="Z115" i="1"/>
  <c r="Z90" i="1"/>
  <c r="W321" i="1"/>
  <c r="W167" i="1"/>
  <c r="W115" i="1"/>
  <c r="W64" i="1"/>
  <c r="AC273" i="1"/>
  <c r="AC292" i="1"/>
  <c r="AF31" i="14"/>
  <c r="AQ31" i="14" s="1"/>
  <c r="AF35" i="14"/>
  <c r="AQ13" i="14"/>
  <c r="G278" i="12"/>
  <c r="AA369" i="1"/>
  <c r="AA376" i="1" s="1"/>
  <c r="Z369" i="1"/>
  <c r="Z376" i="1" s="1"/>
  <c r="L449" i="1"/>
  <c r="L347" i="1"/>
  <c r="L350" i="1" s="1"/>
  <c r="J15" i="10" s="1"/>
  <c r="O449" i="1"/>
  <c r="N463" i="1" s="1"/>
  <c r="O347" i="1"/>
  <c r="O350" i="1" s="1"/>
  <c r="O294" i="1"/>
  <c r="O253" i="1"/>
  <c r="Q428" i="1"/>
  <c r="Q431" i="1" s="1"/>
  <c r="P431" i="1"/>
  <c r="V169" i="1"/>
  <c r="V170" i="1" s="1"/>
  <c r="V154" i="1"/>
  <c r="W245" i="1"/>
  <c r="W247" i="1" s="1"/>
  <c r="AJ20" i="15"/>
  <c r="AI20" i="15"/>
  <c r="H30" i="17"/>
  <c r="F278" i="12"/>
  <c r="G247" i="12"/>
  <c r="G228" i="12"/>
  <c r="J228" i="12" s="1"/>
  <c r="W369" i="1"/>
  <c r="G331" i="12"/>
  <c r="J331" i="12" s="1"/>
  <c r="E368" i="12" s="1"/>
  <c r="F368" i="12"/>
  <c r="AB369" i="1"/>
  <c r="AB376" i="1" s="1"/>
  <c r="J94" i="12"/>
  <c r="N20" i="13" s="1"/>
  <c r="I183" i="1"/>
  <c r="N459" i="1"/>
  <c r="R345" i="1"/>
  <c r="R347" i="1" s="1"/>
  <c r="R303" i="1"/>
  <c r="R305" i="1" s="1"/>
  <c r="S305" i="1" s="1"/>
  <c r="R117" i="1"/>
  <c r="O442" i="12"/>
  <c r="E481" i="12"/>
  <c r="F321" i="12"/>
  <c r="AJ101" i="3"/>
  <c r="Z87" i="3"/>
  <c r="Z129" i="3" s="1"/>
  <c r="AC356" i="1"/>
  <c r="AC363" i="1" s="1"/>
  <c r="F361" i="12"/>
  <c r="G324" i="12"/>
  <c r="AC155" i="3"/>
  <c r="AP32" i="15"/>
  <c r="W42" i="10" s="1"/>
  <c r="AE31" i="14"/>
  <c r="AE35" i="14"/>
  <c r="G460" i="12"/>
  <c r="D37" i="10"/>
  <c r="D54" i="10" s="1"/>
  <c r="G37" i="10"/>
  <c r="G52" i="10" s="1"/>
  <c r="G490" i="12"/>
  <c r="J490" i="12" s="1"/>
  <c r="P117" i="1"/>
  <c r="AI448" i="1"/>
  <c r="AT448" i="1" s="1"/>
  <c r="W14" i="10"/>
  <c r="C37" i="10"/>
  <c r="C52" i="10" s="1"/>
  <c r="X42" i="10"/>
  <c r="Z347" i="1"/>
  <c r="Z350" i="1" s="1"/>
  <c r="AH35" i="14"/>
  <c r="X45" i="1"/>
  <c r="Y45" i="1" s="1"/>
  <c r="AM45" i="3"/>
  <c r="AD35" i="14"/>
  <c r="AT450" i="1"/>
  <c r="O435" i="12"/>
  <c r="F79" i="11"/>
  <c r="AA46" i="10" s="1"/>
  <c r="N106" i="1"/>
  <c r="Z294" i="1"/>
  <c r="Z258" i="1"/>
  <c r="P154" i="1"/>
  <c r="P169" i="1"/>
  <c r="P170" i="1" s="1"/>
  <c r="Z137" i="1"/>
  <c r="AA137" i="1" s="1"/>
  <c r="AB137" i="1"/>
  <c r="AC137" i="1" s="1"/>
  <c r="AB169" i="1"/>
  <c r="AB170" i="1" s="1"/>
  <c r="AA67" i="1"/>
  <c r="Z69" i="1"/>
  <c r="X35" i="1"/>
  <c r="X117" i="1"/>
  <c r="Z45" i="1"/>
  <c r="AA45" i="1" s="1"/>
  <c r="Z117" i="1"/>
  <c r="T11" i="10"/>
  <c r="U11" i="10" s="1"/>
  <c r="AU11" i="10" s="1"/>
  <c r="P45" i="1"/>
  <c r="Q45" i="1" s="1"/>
  <c r="AA96" i="1"/>
  <c r="AB95" i="1"/>
  <c r="F52" i="10"/>
  <c r="F54" i="10"/>
  <c r="V66" i="10"/>
  <c r="V67" i="10" s="1"/>
  <c r="X12" i="10"/>
  <c r="AW12" i="10" s="1"/>
  <c r="E79" i="11"/>
  <c r="C78" i="11"/>
  <c r="F11" i="8"/>
  <c r="AU467" i="1"/>
  <c r="AS467" i="1"/>
  <c r="AT467" i="1" s="1"/>
  <c r="P246" i="1" l="1"/>
  <c r="P247" i="1" s="1"/>
  <c r="AX16" i="10"/>
  <c r="AY16" i="10"/>
  <c r="G40" i="4"/>
  <c r="G46" i="4" s="1"/>
  <c r="G32" i="4"/>
  <c r="F657" i="12"/>
  <c r="AB46" i="10"/>
  <c r="AC46" i="10" s="1"/>
  <c r="J26" i="13"/>
  <c r="J30" i="13" s="1"/>
  <c r="I56" i="10" s="1"/>
  <c r="L13" i="13"/>
  <c r="L15" i="13" s="1"/>
  <c r="V129" i="3"/>
  <c r="AX11" i="15"/>
  <c r="AV32" i="15"/>
  <c r="Z42" i="10" s="1"/>
  <c r="AU13" i="10"/>
  <c r="AZ13" i="10"/>
  <c r="BA13" i="10" s="1"/>
  <c r="C43" i="3"/>
  <c r="C46" i="3" s="1"/>
  <c r="B54" i="10"/>
  <c r="B58" i="10" s="1"/>
  <c r="F301" i="12"/>
  <c r="AA45" i="10"/>
  <c r="P120" i="1"/>
  <c r="AO17" i="10" s="1"/>
  <c r="AQ17" i="10" s="1"/>
  <c r="AR17" i="10" s="1"/>
  <c r="S451" i="1"/>
  <c r="S452" i="1" s="1"/>
  <c r="AA245" i="1"/>
  <c r="AA247" i="1" s="1"/>
  <c r="AU14" i="10"/>
  <c r="AU15" i="10"/>
  <c r="AV15" i="10"/>
  <c r="AV13" i="10"/>
  <c r="AV14" i="10"/>
  <c r="G610" i="12"/>
  <c r="AP438" i="1"/>
  <c r="Z47" i="10"/>
  <c r="E52" i="10"/>
  <c r="R35" i="14"/>
  <c r="X40" i="10"/>
  <c r="AO35" i="14"/>
  <c r="T35" i="14"/>
  <c r="T31" i="14"/>
  <c r="H54" i="10"/>
  <c r="H58" i="10" s="1"/>
  <c r="V29" i="14"/>
  <c r="X22" i="14"/>
  <c r="X29" i="14" s="1"/>
  <c r="V120" i="1"/>
  <c r="Q120" i="1"/>
  <c r="M10" i="10" s="1"/>
  <c r="X386" i="1"/>
  <c r="R170" i="1"/>
  <c r="S170" i="1" s="1"/>
  <c r="N11" i="10" s="1"/>
  <c r="AB296" i="1"/>
  <c r="AA64" i="1"/>
  <c r="I170" i="1"/>
  <c r="N116" i="1"/>
  <c r="N455" i="1" s="1"/>
  <c r="I120" i="1"/>
  <c r="AB386" i="1"/>
  <c r="D52" i="10"/>
  <c r="O296" i="1"/>
  <c r="O413" i="1" s="1"/>
  <c r="AP40" i="10" s="1"/>
  <c r="Y386" i="1"/>
  <c r="C54" i="10"/>
  <c r="C58" i="10" s="1"/>
  <c r="O54" i="10"/>
  <c r="O62" i="10" s="1"/>
  <c r="AM235" i="1"/>
  <c r="AM159" i="1"/>
  <c r="AM344" i="1"/>
  <c r="AM154" i="1"/>
  <c r="AM35" i="1"/>
  <c r="AM164" i="1"/>
  <c r="AM40" i="1"/>
  <c r="V386" i="1"/>
  <c r="AJ127" i="3"/>
  <c r="AJ129" i="3" s="1"/>
  <c r="AC386" i="1"/>
  <c r="S16" i="10" s="1"/>
  <c r="J527" i="12"/>
  <c r="G563" i="12"/>
  <c r="Z386" i="1"/>
  <c r="C45" i="3"/>
  <c r="R461" i="1"/>
  <c r="AC245" i="1"/>
  <c r="AC247" i="1" s="1"/>
  <c r="S13" i="10" s="1"/>
  <c r="Q386" i="1"/>
  <c r="AP35" i="10" s="1"/>
  <c r="AC169" i="1"/>
  <c r="AC170" i="1" s="1"/>
  <c r="S11" i="10" s="1"/>
  <c r="Z169" i="1"/>
  <c r="Z170" i="1" s="1"/>
  <c r="AW412" i="1"/>
  <c r="AX412" i="1" s="1"/>
  <c r="AQ32" i="10"/>
  <c r="AR32" i="10" s="1"/>
  <c r="AA347" i="1"/>
  <c r="AA350" i="1" s="1"/>
  <c r="Q459" i="1"/>
  <c r="AW247" i="1"/>
  <c r="AX247" i="1" s="1"/>
  <c r="P461" i="1"/>
  <c r="C43" i="6"/>
  <c r="C45" i="6" s="1"/>
  <c r="X120" i="1"/>
  <c r="AA170" i="1"/>
  <c r="Q461" i="1"/>
  <c r="AA386" i="1"/>
  <c r="M19" i="10"/>
  <c r="K413" i="1"/>
  <c r="D32" i="6"/>
  <c r="D41" i="6" s="1"/>
  <c r="C41" i="6" s="1"/>
  <c r="AW170" i="1"/>
  <c r="AX170" i="1" s="1"/>
  <c r="P296" i="1"/>
  <c r="AW386" i="1"/>
  <c r="AX386" i="1" s="1"/>
  <c r="W347" i="1"/>
  <c r="W350" i="1" s="1"/>
  <c r="W451" i="1"/>
  <c r="W452" i="1" s="1"/>
  <c r="Q460" i="1"/>
  <c r="Q462" i="1"/>
  <c r="R463" i="1"/>
  <c r="AW347" i="1"/>
  <c r="AX347" i="1" s="1"/>
  <c r="P460" i="1"/>
  <c r="R464" i="1"/>
  <c r="R460" i="1"/>
  <c r="P463" i="1"/>
  <c r="P464" i="1"/>
  <c r="AW350" i="1"/>
  <c r="AX350" i="1" s="1"/>
  <c r="Q464" i="1"/>
  <c r="Q463" i="1"/>
  <c r="S458" i="1"/>
  <c r="S460" i="1" s="1"/>
  <c r="P230" i="1"/>
  <c r="Q227" i="1"/>
  <c r="Q245" i="1" s="1"/>
  <c r="Z451" i="1"/>
  <c r="Z452" i="1" s="1"/>
  <c r="P462" i="1"/>
  <c r="O466" i="1"/>
  <c r="G413" i="1"/>
  <c r="C413" i="1"/>
  <c r="W296" i="1"/>
  <c r="AW296" i="1"/>
  <c r="AX296" i="1" s="1"/>
  <c r="H413" i="1"/>
  <c r="E413" i="1"/>
  <c r="H452" i="1"/>
  <c r="AB451" i="1"/>
  <c r="AD452" i="1" s="1"/>
  <c r="B413" i="1"/>
  <c r="F413" i="1"/>
  <c r="Z104" i="1"/>
  <c r="Y116" i="1"/>
  <c r="L451" i="1"/>
  <c r="L452" i="1" s="1"/>
  <c r="D413" i="1"/>
  <c r="P445" i="1"/>
  <c r="P451" i="1" s="1"/>
  <c r="AW120" i="1"/>
  <c r="AX120" i="1" s="1"/>
  <c r="AU413" i="1"/>
  <c r="Y47" i="10"/>
  <c r="AM230" i="1"/>
  <c r="E517" i="12"/>
  <c r="AM143" i="1"/>
  <c r="AM64" i="1"/>
  <c r="AM133" i="1"/>
  <c r="C128" i="3"/>
  <c r="F373" i="12"/>
  <c r="W376" i="1"/>
  <c r="W386" i="1" s="1"/>
  <c r="G239" i="12"/>
  <c r="F470" i="12"/>
  <c r="F332" i="12"/>
  <c r="J361" i="12"/>
  <c r="G373" i="12"/>
  <c r="G418" i="12"/>
  <c r="J399" i="12"/>
  <c r="U129" i="3"/>
  <c r="C130" i="3" s="1"/>
  <c r="AM57" i="1"/>
  <c r="AM243" i="1"/>
  <c r="AM217" i="1"/>
  <c r="AC449" i="1"/>
  <c r="AC347" i="1"/>
  <c r="AC350" i="1" s="1"/>
  <c r="S15" i="10" s="1"/>
  <c r="AM51" i="1"/>
  <c r="AM96" i="1"/>
  <c r="AM149" i="1"/>
  <c r="AM303" i="1"/>
  <c r="AM343" i="1"/>
  <c r="AM168" i="1"/>
  <c r="AM112" i="1"/>
  <c r="AM273" i="1"/>
  <c r="AM84" i="1"/>
  <c r="AM195" i="1"/>
  <c r="AM244" i="1"/>
  <c r="AM398" i="1"/>
  <c r="AM292" i="1"/>
  <c r="AM116" i="1"/>
  <c r="AM127" i="1"/>
  <c r="AM167" i="1"/>
  <c r="AM115" i="1"/>
  <c r="AM20" i="1"/>
  <c r="AM291" i="1"/>
  <c r="AM253" i="1"/>
  <c r="L48" i="10"/>
  <c r="L54" i="10" s="1"/>
  <c r="AP14" i="10"/>
  <c r="G54" i="10"/>
  <c r="G58" i="10" s="1"/>
  <c r="AI451" i="1"/>
  <c r="J18" i="10"/>
  <c r="J22" i="10" s="1"/>
  <c r="J37" i="10" s="1"/>
  <c r="J52" i="10" s="1"/>
  <c r="I14" i="10"/>
  <c r="I18" i="10" s="1"/>
  <c r="I22" i="10" s="1"/>
  <c r="I37" i="10" s="1"/>
  <c r="J413" i="1"/>
  <c r="T18" i="10"/>
  <c r="T22" i="10" s="1"/>
  <c r="T37" i="10" s="1"/>
  <c r="T54" i="10" s="1"/>
  <c r="T62" i="10" s="1"/>
  <c r="AC62" i="10" s="1"/>
  <c r="AC447" i="1"/>
  <c r="R115" i="1"/>
  <c r="R445" i="1" s="1"/>
  <c r="R451" i="1" s="1"/>
  <c r="T452" i="1" s="1"/>
  <c r="R106" i="1"/>
  <c r="S106" i="1" s="1"/>
  <c r="N16" i="10"/>
  <c r="AO35" i="10"/>
  <c r="R350" i="1"/>
  <c r="S347" i="1"/>
  <c r="S350" i="1" s="1"/>
  <c r="N15" i="10" s="1"/>
  <c r="G43" i="17"/>
  <c r="G49" i="17" s="1"/>
  <c r="G35" i="17"/>
  <c r="R294" i="1"/>
  <c r="R296" i="1" s="1"/>
  <c r="S296" i="1" s="1"/>
  <c r="N14" i="10" s="1"/>
  <c r="R288" i="1"/>
  <c r="AO11" i="10"/>
  <c r="M40" i="10"/>
  <c r="M48" i="10" s="1"/>
  <c r="M53" i="10" s="1"/>
  <c r="N466" i="1"/>
  <c r="AC296" i="1"/>
  <c r="S14" i="10" s="1"/>
  <c r="AC448" i="1"/>
  <c r="V446" i="1"/>
  <c r="W170" i="1"/>
  <c r="Q246" i="1"/>
  <c r="J239" i="12"/>
  <c r="O451" i="1"/>
  <c r="AI32" i="15"/>
  <c r="J481" i="12"/>
  <c r="J517" i="12" s="1"/>
  <c r="AL20" i="13" s="1"/>
  <c r="G517" i="12"/>
  <c r="J247" i="12"/>
  <c r="G270" i="12"/>
  <c r="V10" i="10"/>
  <c r="V445" i="1"/>
  <c r="W120" i="1"/>
  <c r="Z19" i="13"/>
  <c r="AB6" i="13"/>
  <c r="J324" i="12"/>
  <c r="G332" i="12"/>
  <c r="J278" i="12"/>
  <c r="G301" i="12"/>
  <c r="M445" i="1"/>
  <c r="M451" i="1" s="1"/>
  <c r="M120" i="1"/>
  <c r="M454" i="1"/>
  <c r="N6" i="13"/>
  <c r="L19" i="13"/>
  <c r="L26" i="13" s="1"/>
  <c r="L30" i="13" s="1"/>
  <c r="J56" i="10" s="1"/>
  <c r="V40" i="10"/>
  <c r="V48" i="10" s="1"/>
  <c r="V53" i="10" s="1"/>
  <c r="J460" i="12"/>
  <c r="O460" i="12" s="1"/>
  <c r="G470" i="12"/>
  <c r="W40" i="10"/>
  <c r="AQ35" i="14"/>
  <c r="AJ32" i="15"/>
  <c r="S42" i="10" s="1"/>
  <c r="L413" i="1"/>
  <c r="AU445" i="1"/>
  <c r="AF451" i="1"/>
  <c r="Z293" i="1"/>
  <c r="Z296" i="1" s="1"/>
  <c r="AA258" i="1"/>
  <c r="AA293" i="1" s="1"/>
  <c r="AA296" i="1" s="1"/>
  <c r="AB96" i="1"/>
  <c r="AB117" i="1"/>
  <c r="AC95" i="1"/>
  <c r="AB67" i="1"/>
  <c r="AA69" i="1"/>
  <c r="C82" i="11"/>
  <c r="D58" i="10"/>
  <c r="D62" i="10"/>
  <c r="E62" i="10"/>
  <c r="E58" i="10"/>
  <c r="F58" i="10"/>
  <c r="F62" i="10"/>
  <c r="H18" i="9"/>
  <c r="H30" i="9" s="1"/>
  <c r="X47" i="10"/>
  <c r="G81" i="11"/>
  <c r="G83" i="11" s="1"/>
  <c r="C12" i="11"/>
  <c r="G62" i="11"/>
  <c r="X17" i="10"/>
  <c r="AW17" i="10" s="1"/>
  <c r="D12" i="32" l="1"/>
  <c r="D64" i="11"/>
  <c r="G79" i="11"/>
  <c r="C62" i="10"/>
  <c r="B62" i="10"/>
  <c r="AB45" i="10"/>
  <c r="AC45" i="10" s="1"/>
  <c r="AA47" i="10"/>
  <c r="AB47" i="10" s="1"/>
  <c r="AC47" i="10" s="1"/>
  <c r="AU10" i="10"/>
  <c r="AZ10" i="10"/>
  <c r="BA10" i="10" s="1"/>
  <c r="AV10" i="10"/>
  <c r="C127" i="3"/>
  <c r="C129" i="3" s="1"/>
  <c r="H62" i="10"/>
  <c r="Z66" i="10"/>
  <c r="C433" i="31"/>
  <c r="U452" i="1"/>
  <c r="X413" i="1"/>
  <c r="Z19" i="10"/>
  <c r="J610" i="12"/>
  <c r="I413" i="1"/>
  <c r="X35" i="14"/>
  <c r="S40" i="10" s="1"/>
  <c r="S48" i="10" s="1"/>
  <c r="S53" i="10" s="1"/>
  <c r="X31" i="14"/>
  <c r="V31" i="14"/>
  <c r="V35" i="14"/>
  <c r="G62" i="10"/>
  <c r="V413" i="1"/>
  <c r="M16" i="10"/>
  <c r="N120" i="1"/>
  <c r="N413" i="1" s="1"/>
  <c r="AO51" i="10"/>
  <c r="L62" i="10"/>
  <c r="L53" i="10"/>
  <c r="AQ35" i="10"/>
  <c r="AR35" i="10" s="1"/>
  <c r="J563" i="12"/>
  <c r="K563" i="12" s="1"/>
  <c r="AM412" i="1"/>
  <c r="AM347" i="1"/>
  <c r="AM305" i="1"/>
  <c r="AP26" i="10"/>
  <c r="AQ26" i="10" s="1"/>
  <c r="AR26" i="10" s="1"/>
  <c r="Q230" i="1"/>
  <c r="P413" i="1"/>
  <c r="C32" i="6"/>
  <c r="C34" i="6" s="1"/>
  <c r="S459" i="1"/>
  <c r="S461" i="1"/>
  <c r="AB452" i="1"/>
  <c r="Q466" i="1"/>
  <c r="S464" i="1"/>
  <c r="S462" i="1"/>
  <c r="T458" i="1"/>
  <c r="T464" i="1" s="1"/>
  <c r="S463" i="1"/>
  <c r="P459" i="1"/>
  <c r="P466" i="1" s="1"/>
  <c r="AM247" i="1"/>
  <c r="AW413" i="1"/>
  <c r="AX413" i="1" s="1"/>
  <c r="Y445" i="1"/>
  <c r="Y451" i="1" s="1"/>
  <c r="Y452" i="1" s="1"/>
  <c r="Y120" i="1"/>
  <c r="Y413" i="1" s="1"/>
  <c r="Z106" i="1"/>
  <c r="AA104" i="1"/>
  <c r="Z116" i="1"/>
  <c r="Z120" i="1" s="1"/>
  <c r="Z413" i="1" s="1"/>
  <c r="O415" i="1"/>
  <c r="J54" i="10"/>
  <c r="J58" i="10" s="1"/>
  <c r="R459" i="1"/>
  <c r="R466" i="1" s="1"/>
  <c r="Y66" i="10"/>
  <c r="Y67" i="10" s="1"/>
  <c r="AM170" i="1"/>
  <c r="E444" i="12"/>
  <c r="E470" i="12" s="1"/>
  <c r="J418" i="12"/>
  <c r="AH20" i="13" s="1"/>
  <c r="E402" i="12"/>
  <c r="E418" i="12" s="1"/>
  <c r="L373" i="12"/>
  <c r="M373" i="12" s="1"/>
  <c r="J373" i="12"/>
  <c r="AF20" i="13" s="1"/>
  <c r="R120" i="1"/>
  <c r="S120" i="1" s="1"/>
  <c r="S413" i="1" s="1"/>
  <c r="AO40" i="10" s="1"/>
  <c r="AQ40" i="10" s="1"/>
  <c r="AR40" i="10" s="1"/>
  <c r="AM120" i="1"/>
  <c r="AM296" i="1"/>
  <c r="W413" i="1"/>
  <c r="I52" i="10"/>
  <c r="I54" i="10"/>
  <c r="T52" i="10"/>
  <c r="N8" i="13"/>
  <c r="N13" i="13" s="1"/>
  <c r="N15" i="13" s="1"/>
  <c r="E309" i="12"/>
  <c r="E332" i="12" s="1"/>
  <c r="J301" i="12"/>
  <c r="AB20" i="13" s="1"/>
  <c r="AQ11" i="10"/>
  <c r="AO14" i="10"/>
  <c r="R452" i="1"/>
  <c r="P452" i="1"/>
  <c r="E278" i="12"/>
  <c r="E301" i="12" s="1"/>
  <c r="J270" i="12"/>
  <c r="Z20" i="13" s="1"/>
  <c r="Z26" i="13" s="1"/>
  <c r="Z30" i="13" s="1"/>
  <c r="Q247" i="1"/>
  <c r="AT451" i="1"/>
  <c r="O452" i="1" s="1"/>
  <c r="AF452" i="1"/>
  <c r="K10" i="10"/>
  <c r="K18" i="10" s="1"/>
  <c r="K22" i="10" s="1"/>
  <c r="K37" i="10" s="1"/>
  <c r="M413" i="1"/>
  <c r="V451" i="1"/>
  <c r="S70" i="10"/>
  <c r="V18" i="10"/>
  <c r="Q452" i="1"/>
  <c r="W48" i="10"/>
  <c r="W53" i="10" s="1"/>
  <c r="M452" i="1"/>
  <c r="N452" i="1"/>
  <c r="E361" i="12"/>
  <c r="E373" i="12" s="1"/>
  <c r="J332" i="12"/>
  <c r="AD20" i="13" s="1"/>
  <c r="AB8" i="13"/>
  <c r="AB13" i="13"/>
  <c r="AB15" i="13" s="1"/>
  <c r="X11" i="10"/>
  <c r="AW11" i="10" s="1"/>
  <c r="AB69" i="1"/>
  <c r="AC67" i="1"/>
  <c r="AB116" i="1"/>
  <c r="AB120" i="1" s="1"/>
  <c r="AB413" i="1" s="1"/>
  <c r="AC117" i="1"/>
  <c r="AC96" i="1"/>
  <c r="I16" i="9"/>
  <c r="D12" i="9" s="1"/>
  <c r="D16" i="9" s="1"/>
  <c r="D21" i="9" s="1"/>
  <c r="X66" i="10"/>
  <c r="X67" i="10" s="1"/>
  <c r="G43" i="9"/>
  <c r="G49" i="9" s="1"/>
  <c r="G35" i="9"/>
  <c r="X10" i="10"/>
  <c r="AW10" i="10" s="1"/>
  <c r="X13" i="10"/>
  <c r="AW13" i="10" s="1"/>
  <c r="X14" i="10"/>
  <c r="AW14" i="10" s="1"/>
  <c r="AA66" i="10" l="1"/>
  <c r="AY19" i="10"/>
  <c r="AA43" i="10"/>
  <c r="V22" i="10"/>
  <c r="V37" i="10" s="1"/>
  <c r="V52" i="10" s="1"/>
  <c r="AU18" i="10"/>
  <c r="N610" i="12"/>
  <c r="AP20" i="13"/>
  <c r="K610" i="12"/>
  <c r="Z48" i="10"/>
  <c r="AN20" i="13"/>
  <c r="AM350" i="1"/>
  <c r="AM413" i="1" s="1"/>
  <c r="U458" i="1"/>
  <c r="U461" i="1" s="1"/>
  <c r="S466" i="1"/>
  <c r="T463" i="1"/>
  <c r="T460" i="1"/>
  <c r="T462" i="1"/>
  <c r="T459" i="1"/>
  <c r="T461" i="1"/>
  <c r="J62" i="10"/>
  <c r="AP51" i="10"/>
  <c r="AA106" i="1"/>
  <c r="AA116" i="1"/>
  <c r="N10" i="10"/>
  <c r="N18" i="10" s="1"/>
  <c r="N22" i="10" s="1"/>
  <c r="N37" i="10" s="1"/>
  <c r="N52" i="10" s="1"/>
  <c r="X48" i="10"/>
  <c r="R413" i="1"/>
  <c r="I62" i="10"/>
  <c r="I58" i="10"/>
  <c r="N19" i="13"/>
  <c r="N26" i="13" s="1"/>
  <c r="N30" i="13" s="1"/>
  <c r="K56" i="10" s="1"/>
  <c r="P6" i="13"/>
  <c r="W16" i="10"/>
  <c r="AR11" i="10"/>
  <c r="AQ14" i="10"/>
  <c r="AR14" i="10" s="1"/>
  <c r="AD6" i="13"/>
  <c r="AB19" i="13"/>
  <c r="AB26" i="13" s="1"/>
  <c r="AB30" i="13" s="1"/>
  <c r="K52" i="10"/>
  <c r="K54" i="10"/>
  <c r="J467" i="12"/>
  <c r="J470" i="12" s="1"/>
  <c r="V452" i="1"/>
  <c r="X452" i="1"/>
  <c r="M13" i="10"/>
  <c r="M18" i="10" s="1"/>
  <c r="M22" i="10" s="1"/>
  <c r="M37" i="10" s="1"/>
  <c r="Q413" i="1"/>
  <c r="AC116" i="1"/>
  <c r="AC69" i="1"/>
  <c r="G34" i="9"/>
  <c r="G38" i="9" s="1"/>
  <c r="X15" i="10"/>
  <c r="AW15" i="10" s="1"/>
  <c r="AB43" i="10" l="1"/>
  <c r="AC43" i="10" s="1"/>
  <c r="Z53" i="10"/>
  <c r="V54" i="10"/>
  <c r="AU54" i="10" s="1"/>
  <c r="AV16" i="10"/>
  <c r="AW16" i="10"/>
  <c r="U463" i="1"/>
  <c r="U459" i="1"/>
  <c r="V458" i="1"/>
  <c r="V461" i="1" s="1"/>
  <c r="U464" i="1"/>
  <c r="U462" i="1"/>
  <c r="U460" i="1"/>
  <c r="X53" i="10"/>
  <c r="T466" i="1"/>
  <c r="Y48" i="10"/>
  <c r="AA445" i="1"/>
  <c r="AA451" i="1" s="1"/>
  <c r="AA452" i="1" s="1"/>
  <c r="AA120" i="1"/>
  <c r="AA413" i="1" s="1"/>
  <c r="N54" i="10"/>
  <c r="N62" i="10" s="1"/>
  <c r="AM438" i="1"/>
  <c r="X19" i="10"/>
  <c r="AJ20" i="13"/>
  <c r="M469" i="12"/>
  <c r="K470" i="12"/>
  <c r="AD8" i="13"/>
  <c r="AD13" i="13" s="1"/>
  <c r="AD15" i="13" s="1"/>
  <c r="W18" i="10"/>
  <c r="P8" i="13"/>
  <c r="P13" i="13" s="1"/>
  <c r="P15" i="13" s="1"/>
  <c r="M52" i="10"/>
  <c r="M54" i="10"/>
  <c r="K58" i="10"/>
  <c r="K62" i="10"/>
  <c r="AC120" i="1"/>
  <c r="AC445" i="1"/>
  <c r="V62" i="10" l="1"/>
  <c r="AW19" i="10"/>
  <c r="AX19" i="10"/>
  <c r="W22" i="10"/>
  <c r="W37" i="10" s="1"/>
  <c r="W52" i="10" s="1"/>
  <c r="AV18" i="10"/>
  <c r="V462" i="1"/>
  <c r="V463" i="1"/>
  <c r="V464" i="1"/>
  <c r="U466" i="1"/>
  <c r="V459" i="1"/>
  <c r="W458" i="1"/>
  <c r="W462" i="1" s="1"/>
  <c r="V460" i="1"/>
  <c r="Y53" i="10"/>
  <c r="AB53" i="10" s="1"/>
  <c r="AC53" i="10" s="1"/>
  <c r="P19" i="13"/>
  <c r="P26" i="13" s="1"/>
  <c r="P30" i="13" s="1"/>
  <c r="L56" i="10" s="1"/>
  <c r="L58" i="10" s="1"/>
  <c r="R6" i="13"/>
  <c r="M62" i="10"/>
  <c r="AF6" i="13"/>
  <c r="AD19" i="13"/>
  <c r="AD26" i="13" s="1"/>
  <c r="AD30" i="13" s="1"/>
  <c r="AC451" i="1"/>
  <c r="S10" i="10"/>
  <c r="S18" i="10" s="1"/>
  <c r="S22" i="10" s="1"/>
  <c r="S37" i="10" s="1"/>
  <c r="AC413" i="1"/>
  <c r="W464" i="1" l="1"/>
  <c r="W54" i="10"/>
  <c r="AV54" i="10" s="1"/>
  <c r="W461" i="1"/>
  <c r="W460" i="1"/>
  <c r="W463" i="1"/>
  <c r="X458" i="1"/>
  <c r="X464" i="1" s="1"/>
  <c r="W459" i="1"/>
  <c r="V466" i="1"/>
  <c r="R8" i="13"/>
  <c r="R13" i="13" s="1"/>
  <c r="R15" i="13" s="1"/>
  <c r="AF8" i="13"/>
  <c r="AF13" i="13" s="1"/>
  <c r="AF15" i="13" s="1"/>
  <c r="S54" i="10"/>
  <c r="S52" i="10"/>
  <c r="AE452" i="1"/>
  <c r="AC452" i="1"/>
  <c r="X18" i="10"/>
  <c r="AW18" i="10" s="1"/>
  <c r="W62" i="10" l="1"/>
  <c r="X459" i="1"/>
  <c r="X460" i="1"/>
  <c r="Y458" i="1"/>
  <c r="Z458" i="1" s="1"/>
  <c r="X461" i="1"/>
  <c r="X462" i="1"/>
  <c r="X463" i="1"/>
  <c r="W466" i="1"/>
  <c r="R19" i="13"/>
  <c r="R26" i="13" s="1"/>
  <c r="R30" i="13" s="1"/>
  <c r="M56" i="10" s="1"/>
  <c r="T6" i="13"/>
  <c r="AH6" i="13"/>
  <c r="AF19" i="13"/>
  <c r="AF26" i="13" s="1"/>
  <c r="AF30" i="13" s="1"/>
  <c r="T56" i="10" s="1"/>
  <c r="T58" i="10" s="1"/>
  <c r="AC58" i="10" s="1"/>
  <c r="S58" i="10"/>
  <c r="S62" i="10"/>
  <c r="X22" i="10"/>
  <c r="Y464" i="1" l="1"/>
  <c r="Y463" i="1"/>
  <c r="Y462" i="1"/>
  <c r="X466" i="1"/>
  <c r="Y460" i="1"/>
  <c r="Y461" i="1"/>
  <c r="Y459" i="1"/>
  <c r="X37" i="10"/>
  <c r="AH8" i="13"/>
  <c r="AH13" i="13" s="1"/>
  <c r="AH15" i="13" s="1"/>
  <c r="AA458" i="1"/>
  <c r="Z461" i="1"/>
  <c r="Z464" i="1"/>
  <c r="Z462" i="1"/>
  <c r="Z460" i="1"/>
  <c r="Z463" i="1"/>
  <c r="Z459" i="1"/>
  <c r="T8" i="13"/>
  <c r="T13" i="13" s="1"/>
  <c r="T15" i="13" s="1"/>
  <c r="AP50" i="10"/>
  <c r="M58" i="10"/>
  <c r="AP52" i="10" s="1"/>
  <c r="Y466" i="1" l="1"/>
  <c r="X54" i="10"/>
  <c r="X52" i="10"/>
  <c r="V6" i="13"/>
  <c r="T19" i="13"/>
  <c r="T26" i="13" s="1"/>
  <c r="T30" i="13" s="1"/>
  <c r="N56" i="10" s="1"/>
  <c r="AB458" i="1"/>
  <c r="AA461" i="1"/>
  <c r="AA460" i="1"/>
  <c r="AA462" i="1"/>
  <c r="AA463" i="1"/>
  <c r="AA464" i="1"/>
  <c r="AA459" i="1"/>
  <c r="Z466" i="1"/>
  <c r="AJ6" i="13"/>
  <c r="AH19" i="13"/>
  <c r="AH26" i="13" s="1"/>
  <c r="AH30" i="13" s="1"/>
  <c r="V56" i="10" s="1"/>
  <c r="V58" i="10" s="1"/>
  <c r="X62" i="10" l="1"/>
  <c r="AW54" i="10"/>
  <c r="AJ8" i="13"/>
  <c r="AJ13" i="13" s="1"/>
  <c r="AJ15" i="13" s="1"/>
  <c r="AC458" i="1"/>
  <c r="AB461" i="1"/>
  <c r="AB464" i="1"/>
  <c r="AB462" i="1"/>
  <c r="AB460" i="1"/>
  <c r="AB463" i="1"/>
  <c r="AB459" i="1"/>
  <c r="AO50" i="10"/>
  <c r="N58" i="10"/>
  <c r="AO52" i="10" s="1"/>
  <c r="AA466" i="1"/>
  <c r="V8" i="13"/>
  <c r="V13" i="13" s="1"/>
  <c r="V15" i="13" s="1"/>
  <c r="V19" i="13" s="1"/>
  <c r="V26" i="13" s="1"/>
  <c r="V30" i="13" s="1"/>
  <c r="O56" i="10" s="1"/>
  <c r="O58" i="10" s="1"/>
  <c r="AL6" i="13" l="1"/>
  <c r="AJ19" i="13"/>
  <c r="AJ26" i="13" s="1"/>
  <c r="AJ30" i="13" s="1"/>
  <c r="W56" i="10" s="1"/>
  <c r="AC460" i="1"/>
  <c r="AC459" i="1"/>
  <c r="AC463" i="1"/>
  <c r="AC461" i="1"/>
  <c r="AC462" i="1"/>
  <c r="AC464" i="1"/>
  <c r="AD458" i="1"/>
  <c r="AR50" i="10"/>
  <c r="AQ50" i="10"/>
  <c r="AB466" i="1"/>
  <c r="W58" i="10" l="1"/>
  <c r="AC466" i="1"/>
  <c r="AE458" i="1"/>
  <c r="AD461" i="1"/>
  <c r="AD464" i="1"/>
  <c r="AD460" i="1"/>
  <c r="AD459" i="1"/>
  <c r="AD463" i="1"/>
  <c r="AD462" i="1"/>
  <c r="AL8" i="13"/>
  <c r="AL13" i="13" s="1"/>
  <c r="AL15" i="13" s="1"/>
  <c r="AN6" i="13" s="1"/>
  <c r="AL19" i="13" l="1"/>
  <c r="AL26" i="13" s="1"/>
  <c r="AL30" i="13" s="1"/>
  <c r="X56" i="10" s="1"/>
  <c r="AN8" i="13"/>
  <c r="AN13" i="13" s="1"/>
  <c r="AN15" i="13" s="1"/>
  <c r="AD466" i="1"/>
  <c r="AE459" i="1"/>
  <c r="AE463" i="1"/>
  <c r="AE464" i="1"/>
  <c r="AE462" i="1"/>
  <c r="AE460" i="1"/>
  <c r="AE461" i="1"/>
  <c r="AF458" i="1"/>
  <c r="AP6" i="13" l="1"/>
  <c r="AN19" i="13"/>
  <c r="X58" i="10"/>
  <c r="AE466" i="1"/>
  <c r="AH458" i="1"/>
  <c r="AF464" i="1"/>
  <c r="AF460" i="1"/>
  <c r="AF463" i="1"/>
  <c r="AF461" i="1"/>
  <c r="AF462" i="1"/>
  <c r="AF459" i="1"/>
  <c r="AP8" i="13" l="1"/>
  <c r="AP13" i="13"/>
  <c r="AN26" i="13"/>
  <c r="AF466" i="1"/>
  <c r="AH459" i="1"/>
  <c r="AH463" i="1"/>
  <c r="AI458" i="1"/>
  <c r="AH462" i="1"/>
  <c r="AH460" i="1"/>
  <c r="AH461" i="1"/>
  <c r="AH464" i="1"/>
  <c r="AP15" i="13" l="1"/>
  <c r="AN30" i="13"/>
  <c r="Y56" i="10" s="1"/>
  <c r="AI464" i="1"/>
  <c r="AS464" i="1" s="1"/>
  <c r="AI462" i="1"/>
  <c r="AS462" i="1" s="1"/>
  <c r="AI459" i="1"/>
  <c r="AI460" i="1"/>
  <c r="AS460" i="1" s="1"/>
  <c r="AI461" i="1"/>
  <c r="AS461" i="1" s="1"/>
  <c r="AI463" i="1"/>
  <c r="AS463" i="1" s="1"/>
  <c r="AH466" i="1"/>
  <c r="AP19" i="13" l="1"/>
  <c r="AP26" i="13" s="1"/>
  <c r="AP30" i="13" s="1"/>
  <c r="Z56" i="10" s="1"/>
  <c r="AR6" i="13"/>
  <c r="AI466" i="1"/>
  <c r="AS459" i="1"/>
  <c r="AR8" i="13" l="1"/>
  <c r="AR13" i="13"/>
  <c r="AR15" i="13" s="1"/>
  <c r="AR19" i="13" s="1"/>
  <c r="AR26" i="13" s="1"/>
  <c r="AR30" i="13" s="1"/>
  <c r="AS466" i="1"/>
  <c r="AT466" i="1" s="1"/>
  <c r="AU466" i="1"/>
  <c r="AA56" i="10" l="1"/>
  <c r="AB56" i="10" s="1"/>
  <c r="AC56" i="10" s="1"/>
  <c r="AN407" i="1"/>
  <c r="AN221" i="1" l="1"/>
  <c r="AP183" i="1" l="1"/>
  <c r="AS183" i="1" l="1"/>
  <c r="AT183" i="1" s="1"/>
  <c r="AQ183" i="1"/>
  <c r="C183" i="31"/>
  <c r="Z12" i="10"/>
  <c r="AP413" i="1"/>
  <c r="AN344" i="1"/>
  <c r="AN343" i="1"/>
  <c r="Y12" i="10"/>
  <c r="AX12" i="10" s="1"/>
  <c r="AN284" i="1"/>
  <c r="AN40" i="1"/>
  <c r="AN149" i="1"/>
  <c r="AN106" i="1"/>
  <c r="AN73" i="1"/>
  <c r="AN51" i="1"/>
  <c r="AN240" i="1"/>
  <c r="AN235" i="1"/>
  <c r="AN288" i="1"/>
  <c r="AN217" i="1"/>
  <c r="AN243" i="1"/>
  <c r="AN164" i="1"/>
  <c r="AN168" i="1"/>
  <c r="AN291" i="1"/>
  <c r="AN154" i="1"/>
  <c r="AN167" i="1"/>
  <c r="AN127" i="1"/>
  <c r="AN57" i="1"/>
  <c r="AN303" i="1"/>
  <c r="AN292" i="1"/>
  <c r="AN199" i="1"/>
  <c r="AN159" i="1"/>
  <c r="AN96" i="1"/>
  <c r="AN64" i="1"/>
  <c r="AN345" i="1"/>
  <c r="AN245" i="1"/>
  <c r="AN195" i="1"/>
  <c r="AN273" i="1"/>
  <c r="AN230" i="1"/>
  <c r="AN133" i="1"/>
  <c r="AN244" i="1"/>
  <c r="AN398" i="1"/>
  <c r="AN112" i="1"/>
  <c r="AN253" i="1"/>
  <c r="AN294" i="1"/>
  <c r="AS413" i="1" l="1"/>
  <c r="AT413" i="1" s="1"/>
  <c r="AZ12" i="10"/>
  <c r="BA12" i="10" s="1"/>
  <c r="AU21" i="10"/>
  <c r="AV21" i="10" s="1"/>
  <c r="AB12" i="10"/>
  <c r="AC12" i="10" s="1"/>
  <c r="AQ413" i="1"/>
  <c r="AM449" i="1"/>
  <c r="AM447" i="1"/>
  <c r="AM446" i="1"/>
  <c r="AY12" i="10"/>
  <c r="C408" i="31"/>
  <c r="AN449" i="1"/>
  <c r="AN447" i="1"/>
  <c r="AN448" i="1"/>
  <c r="AM448" i="1"/>
  <c r="AN446" i="1"/>
  <c r="AN169" i="1"/>
  <c r="AN69" i="1"/>
  <c r="AN412" i="1"/>
  <c r="AN118" i="1"/>
  <c r="AN116" i="1"/>
  <c r="AN305" i="1"/>
  <c r="AN84" i="1"/>
  <c r="AN295" i="1"/>
  <c r="AN331" i="1"/>
  <c r="AN143" i="1"/>
  <c r="AN25" i="1"/>
  <c r="AN347" i="1"/>
  <c r="AN247" i="1"/>
  <c r="AN35" i="1"/>
  <c r="AN117" i="1"/>
  <c r="AN20" i="1"/>
  <c r="AN115" i="1"/>
  <c r="E11" i="32" l="1"/>
  <c r="Y17" i="10"/>
  <c r="AX17" i="10" s="1"/>
  <c r="AM445" i="1"/>
  <c r="AM451" i="1" s="1"/>
  <c r="AN445" i="1"/>
  <c r="AN451" i="1" s="1"/>
  <c r="AN170" i="1"/>
  <c r="AN296" i="1"/>
  <c r="Y13" i="10"/>
  <c r="AN120" i="1"/>
  <c r="AN350" i="1"/>
  <c r="C11" i="11" l="1"/>
  <c r="AY17" i="10"/>
  <c r="Y11" i="10"/>
  <c r="Y14" i="10"/>
  <c r="AX14" i="10" s="1"/>
  <c r="AX13" i="10"/>
  <c r="AY13" i="10"/>
  <c r="AN413" i="1"/>
  <c r="Y15" i="10"/>
  <c r="Y10" i="10"/>
  <c r="D11" i="32" l="1"/>
  <c r="AY11" i="10"/>
  <c r="AY14" i="10"/>
  <c r="AX11" i="10"/>
  <c r="AX10" i="10"/>
  <c r="AX15" i="10"/>
  <c r="AY15" i="10"/>
  <c r="Y18" i="10"/>
  <c r="AX18" i="10" s="1"/>
  <c r="Y22" i="10" l="1"/>
  <c r="Y37" i="10" l="1"/>
  <c r="Y52" i="10" s="1"/>
  <c r="Y54" i="10" l="1"/>
  <c r="AX54" i="10" l="1"/>
  <c r="Y62" i="10"/>
  <c r="Y58" i="10"/>
  <c r="AY10" i="10"/>
  <c r="Z18" i="10"/>
  <c r="Z22" i="10" l="1"/>
  <c r="AY18" i="10"/>
  <c r="Z37" i="10" l="1"/>
  <c r="Z54" i="10" l="1"/>
  <c r="Z52" i="10"/>
  <c r="AB54" i="10" l="1"/>
  <c r="AC54" i="10" s="1"/>
  <c r="AY54" i="10"/>
  <c r="Z62" i="10"/>
  <c r="Z58" i="10"/>
  <c r="AB52" i="10"/>
  <c r="AC52" i="10" s="1"/>
  <c r="AA42" i="10"/>
  <c r="AA48" i="10" l="1"/>
  <c r="AB42" i="10"/>
  <c r="AC42" i="10" s="1"/>
  <c r="AB48" i="10" l="1"/>
  <c r="AC48" i="10" s="1"/>
  <c r="AA53" i="10"/>
  <c r="AR436" i="1"/>
  <c r="AZ436" i="1" l="1"/>
  <c r="G436" i="29" s="1"/>
  <c r="AS436" i="1"/>
  <c r="AT436" i="1"/>
  <c r="AR438" i="1"/>
  <c r="AZ459" i="1" l="1"/>
  <c r="AA19" i="10"/>
  <c r="AH19" i="10" s="1"/>
  <c r="D13" i="11"/>
  <c r="AS438" i="1"/>
  <c r="AI19" i="10" l="1"/>
  <c r="C13" i="11"/>
  <c r="C63" i="11" s="1"/>
  <c r="E13" i="32"/>
  <c r="D62" i="11"/>
  <c r="C62" i="11" s="1"/>
  <c r="AB19" i="10"/>
  <c r="AC19" i="10" s="1"/>
  <c r="AZ19" i="10"/>
  <c r="BA19" i="10" s="1"/>
  <c r="C64" i="11" l="1"/>
  <c r="AL19" i="10"/>
  <c r="AJ19" i="10"/>
  <c r="D79" i="11"/>
  <c r="C79" i="11" s="1"/>
  <c r="D13" i="32"/>
  <c r="C81" i="11"/>
  <c r="C83" i="11" s="1"/>
  <c r="AA20" i="10" l="1"/>
  <c r="AB20" i="10" l="1"/>
  <c r="AC20" i="10" s="1"/>
  <c r="G283" i="29" l="1"/>
  <c r="G253" i="29"/>
  <c r="G347" i="29"/>
  <c r="G432" i="29"/>
  <c r="G416" i="29"/>
  <c r="G389" i="29"/>
  <c r="G409" i="29"/>
  <c r="G297" i="29"/>
  <c r="G221" i="29"/>
  <c r="G270" i="29"/>
  <c r="G282" i="29"/>
  <c r="G240" i="29"/>
  <c r="G414" i="29"/>
  <c r="G244" i="29"/>
  <c r="G392" i="29"/>
  <c r="G278" i="29"/>
  <c r="G234" i="29"/>
  <c r="G288" i="29"/>
  <c r="G313" i="29"/>
  <c r="G294" i="29"/>
  <c r="G224" i="29"/>
  <c r="G312" i="29"/>
  <c r="G267" i="29"/>
  <c r="G423" i="29"/>
  <c r="G346" i="29"/>
  <c r="G302" i="29"/>
  <c r="G345" i="29"/>
  <c r="G245" i="29"/>
  <c r="G178" i="29"/>
  <c r="G433" i="29"/>
  <c r="G258" i="29"/>
  <c r="G434" i="29"/>
  <c r="G421" i="29"/>
  <c r="G320" i="29"/>
  <c r="G422" i="29"/>
  <c r="G377" i="29"/>
  <c r="G175" i="29"/>
  <c r="G191" i="29"/>
  <c r="G378" i="29"/>
  <c r="G286" i="29"/>
  <c r="G232" i="29"/>
  <c r="G311" i="29"/>
  <c r="G277" i="29"/>
  <c r="G271" i="29"/>
  <c r="G299" i="29"/>
  <c r="G222" i="29"/>
  <c r="G399" i="29"/>
  <c r="G431" i="29"/>
  <c r="G174" i="29"/>
  <c r="G230" i="29"/>
  <c r="G172" i="29"/>
  <c r="G229" i="29"/>
  <c r="G411" i="29"/>
  <c r="G372" i="29"/>
  <c r="G310" i="29"/>
  <c r="G287" i="29"/>
  <c r="G336" i="29"/>
  <c r="G397" i="29"/>
  <c r="G438" i="29"/>
  <c r="G300" i="29"/>
  <c r="G255" i="29"/>
  <c r="G212" i="29"/>
  <c r="G323" i="29"/>
  <c r="G202" i="29"/>
  <c r="G199" i="29"/>
  <c r="G337" i="29"/>
  <c r="G308" i="29"/>
  <c r="G386" i="29"/>
  <c r="G256" i="29"/>
  <c r="G405" i="29"/>
  <c r="G424" i="29"/>
  <c r="G195" i="29"/>
  <c r="G318" i="29"/>
  <c r="G393" i="29"/>
  <c r="G263" i="29"/>
  <c r="G291" i="29"/>
  <c r="G197" i="29"/>
  <c r="G403" i="29"/>
  <c r="G400" i="29"/>
  <c r="G404" i="29"/>
  <c r="G295" i="29"/>
  <c r="G373" i="29"/>
  <c r="G332" i="29"/>
  <c r="G235" i="29"/>
  <c r="G324" i="29"/>
  <c r="G360" i="29"/>
  <c r="G284" i="29"/>
  <c r="G353" i="29"/>
  <c r="G233" i="29"/>
  <c r="G333" i="29"/>
  <c r="G368" i="29"/>
  <c r="G406" i="29"/>
  <c r="G317" i="29"/>
  <c r="G217" i="29"/>
  <c r="G186" i="29"/>
  <c r="G216" i="29"/>
  <c r="G407" i="29"/>
  <c r="G355" i="29"/>
  <c r="G342" i="29"/>
  <c r="G292" i="29"/>
  <c r="G171" i="29"/>
  <c r="G189" i="29"/>
  <c r="G350" i="29"/>
  <c r="G359" i="29"/>
  <c r="G196" i="29"/>
  <c r="G387" i="29"/>
  <c r="G382" i="29"/>
  <c r="G374" i="29"/>
  <c r="G415" i="29"/>
  <c r="G269" i="29"/>
  <c r="G188" i="29"/>
  <c r="G275" i="29"/>
  <c r="G192" i="29"/>
  <c r="G265" i="29"/>
  <c r="G352" i="29"/>
  <c r="G223" i="29"/>
  <c r="G348" i="29"/>
  <c r="G173" i="29"/>
  <c r="G246" i="29"/>
  <c r="G228" i="29"/>
  <c r="G272" i="29"/>
  <c r="G290" i="29"/>
  <c r="G330" i="29"/>
  <c r="G316" i="29"/>
  <c r="G182" i="29"/>
  <c r="G268" i="29"/>
  <c r="G254" i="29"/>
  <c r="G326" i="29"/>
  <c r="G426" i="29"/>
  <c r="G383" i="29"/>
  <c r="G225" i="29"/>
  <c r="G365" i="29"/>
  <c r="G435" i="29"/>
  <c r="G343" i="29"/>
  <c r="G184" i="29"/>
  <c r="G358" i="29"/>
  <c r="G379" i="29"/>
  <c r="G236" i="29"/>
  <c r="G322" i="29"/>
  <c r="G427" i="29"/>
  <c r="G219" i="29"/>
  <c r="G335" i="29"/>
  <c r="G349" i="29"/>
  <c r="G264" i="29"/>
  <c r="G357" i="29"/>
  <c r="G247" i="29"/>
  <c r="G419" i="29"/>
  <c r="G285" i="29"/>
  <c r="G262" i="29"/>
  <c r="G257" i="29"/>
  <c r="G428" i="29"/>
  <c r="G327" i="29"/>
  <c r="G340" i="29"/>
  <c r="G371" i="29"/>
  <c r="G261" i="29"/>
  <c r="G370" i="29"/>
  <c r="G250" i="29"/>
  <c r="G309" i="29"/>
  <c r="G369" i="29"/>
  <c r="G329" i="29"/>
  <c r="G334" i="29"/>
  <c r="G339" i="29"/>
  <c r="G325" i="29"/>
  <c r="G187" i="29"/>
  <c r="G413" i="29"/>
  <c r="G276" i="29"/>
  <c r="G249" i="29"/>
  <c r="G279" i="29"/>
  <c r="G259" i="29"/>
  <c r="G204" i="29"/>
  <c r="G361" i="29"/>
  <c r="G266" i="29"/>
  <c r="G344" i="29"/>
  <c r="G341" i="29"/>
  <c r="G274" i="29"/>
  <c r="G203" i="29"/>
  <c r="G328" i="29"/>
  <c r="G430" i="29"/>
  <c r="G273" i="29"/>
  <c r="G306" i="29"/>
  <c r="G237" i="29"/>
  <c r="G338" i="29"/>
  <c r="G298" i="29"/>
  <c r="G366" i="29"/>
  <c r="G362" i="29"/>
  <c r="G364" i="29"/>
  <c r="G226" i="29"/>
  <c r="G408" i="29"/>
  <c r="G385" i="29"/>
  <c r="G307" i="29"/>
  <c r="G305" i="29"/>
  <c r="G201" i="29"/>
  <c r="G231" i="29"/>
  <c r="G281" i="29"/>
  <c r="G293" i="29"/>
  <c r="G429" i="29"/>
  <c r="G395" i="29"/>
  <c r="G384" i="29"/>
  <c r="G315" i="29"/>
  <c r="G248" i="29"/>
  <c r="G303" i="29"/>
  <c r="G218" i="29"/>
  <c r="G396" i="29"/>
  <c r="G375" i="29"/>
  <c r="G394" i="29"/>
  <c r="G319" i="29"/>
  <c r="G381" i="29"/>
  <c r="G418" i="29"/>
  <c r="G190" i="29"/>
  <c r="G242" i="29"/>
  <c r="G205" i="29"/>
  <c r="G176" i="29"/>
  <c r="G179" i="29"/>
  <c r="G289" i="29"/>
  <c r="G181" i="29"/>
  <c r="G402" i="29"/>
  <c r="G314" i="29"/>
  <c r="G238" i="29"/>
  <c r="G200" i="29"/>
  <c r="G241" i="29"/>
  <c r="G185" i="29"/>
  <c r="G398" i="29"/>
  <c r="G260" i="29"/>
  <c r="G280" i="29"/>
  <c r="G354" i="29"/>
  <c r="G388" i="29"/>
  <c r="G425" i="29"/>
  <c r="G177" i="29"/>
  <c r="G227" i="29"/>
  <c r="G304" i="29"/>
  <c r="G363" i="29"/>
  <c r="G193" i="29"/>
  <c r="G420" i="29"/>
  <c r="G356" i="29"/>
  <c r="G331" i="29"/>
  <c r="G180" i="29"/>
  <c r="G321" i="29"/>
  <c r="G243" i="29"/>
  <c r="G296" i="29"/>
  <c r="G437" i="29"/>
  <c r="G351" i="29"/>
  <c r="G390" i="29"/>
  <c r="G380" i="29"/>
  <c r="G367" i="29"/>
  <c r="G215" i="29"/>
  <c r="AB18" i="10" l="1"/>
  <c r="AC18" i="10" s="1"/>
  <c r="AI18" i="10"/>
  <c r="AJ18" i="10" s="1"/>
  <c r="AZ18" i="10"/>
  <c r="BA18" i="10" s="1"/>
  <c r="AA22" i="10"/>
  <c r="AB22" i="10" l="1"/>
  <c r="AC22" i="10" s="1"/>
  <c r="AA37" i="10"/>
  <c r="AB37" i="10" l="1"/>
  <c r="AC37" i="10" s="1"/>
  <c r="AA54" i="10"/>
  <c r="AA58" i="10" s="1"/>
  <c r="AA52" i="10"/>
  <c r="AE58" i="10" l="1"/>
  <c r="AF58" i="10" s="1"/>
  <c r="AG58" i="10" s="1"/>
  <c r="AH12" i="10" s="1"/>
  <c r="AT58" i="10"/>
  <c r="AI12" i="10" l="1"/>
  <c r="AH57" i="10"/>
  <c r="AH58" i="10" s="1"/>
  <c r="AI58" i="10" s="1"/>
  <c r="AL12" i="10" l="1"/>
  <c r="AL57" i="10" s="1"/>
  <c r="AJ12" i="10"/>
</calcChain>
</file>

<file path=xl/connections.xml><?xml version="1.0" encoding="utf-8"?>
<connections xmlns="http://schemas.openxmlformats.org/spreadsheetml/2006/main">
  <connection id="1" keepAlive="1" name="Query - DETAIL BUDGET LINE ITEMS" description="Connection to the 'DETAIL BUDGET LINE ITEMS' query in the workbook." type="5" refreshedVersion="0" background="1">
    <dbPr connection="Provider=Microsoft.Mashup.OleDb.1;Data Source=$Workbook$;Location=DETAIL BUDGET LINE ITEMS;Extended Properties=&quot;&quot;" command="SELECT * FROM [DETAIL BUDGET LINE ITEMS]"/>
  </connection>
  <connection id="2" keepAlive="1" name="Query - DETAIL BUDGET LINE ITEMS (2)" description="Connection to the 'DETAIL BUDGET LINE ITEMS (2)' query in the workbook." type="5" refreshedVersion="0" background="1">
    <dbPr connection="Provider=Microsoft.Mashup.OleDb.1;Data Source=$Workbook$;Location=DETAIL BUDGET LINE ITEMS (2);Extended Properties=&quot;&quot;" command="SELECT * FROM [DETAIL BUDGET LINE ITEMS (2)]"/>
  </connection>
</connections>
</file>

<file path=xl/sharedStrings.xml><?xml version="1.0" encoding="utf-8"?>
<sst xmlns="http://schemas.openxmlformats.org/spreadsheetml/2006/main" count="8553" uniqueCount="2540">
  <si>
    <t>FY-2010-final</t>
  </si>
  <si>
    <t>OK, revote for</t>
  </si>
  <si>
    <t>second cruiser</t>
  </si>
  <si>
    <t>$99 vote:</t>
  </si>
  <si>
    <t>Needs vote</t>
  </si>
  <si>
    <t>Same</t>
  </si>
  <si>
    <t>Memorandum: Current certified Free Cash:</t>
  </si>
  <si>
    <t xml:space="preserve">     a.  Cost appropriated in the enterprise fund</t>
  </si>
  <si>
    <t>PROOF</t>
  </si>
  <si>
    <t xml:space="preserve">F.    FISCAL YEAR LEVY CEILING </t>
  </si>
  <si>
    <t>Gasoline/Diesel:</t>
  </si>
  <si>
    <t>FY10 NEDSV</t>
  </si>
  <si>
    <t>Budgetary Model 0:</t>
  </si>
  <si>
    <t>FY-2012</t>
    <phoneticPr fontId="39" type="noConversion"/>
  </si>
  <si>
    <t>FY-2013</t>
    <phoneticPr fontId="39" type="noConversion"/>
  </si>
  <si>
    <t>Pension</t>
  </si>
  <si>
    <t>Projected 2013</t>
    <phoneticPr fontId="39" type="noConversion"/>
  </si>
  <si>
    <t>FY-2008</t>
  </si>
  <si>
    <t>FY-2009</t>
  </si>
  <si>
    <t>Projected 2008</t>
  </si>
  <si>
    <t>Projected 2011</t>
  </si>
  <si>
    <t>FY-2011</t>
  </si>
  <si>
    <t>Indirect cost $110,116, don't know details</t>
    <phoneticPr fontId="39" type="noConversion"/>
  </si>
  <si>
    <t>Review</t>
  </si>
  <si>
    <t>Reimbursements</t>
  </si>
  <si>
    <t>FY08NEDS</t>
  </si>
  <si>
    <t>FY07GDSEXP</t>
  </si>
  <si>
    <t>check:</t>
  </si>
  <si>
    <t>FY12NEDS</t>
  </si>
  <si>
    <t>A1.  ADD AMENDED NEW GROWTH</t>
  </si>
  <si>
    <t>D.    ADD OVERRIDE(s)</t>
  </si>
  <si>
    <t>E.    FISCAL YEAR SUBTOTAL</t>
  </si>
  <si>
    <t>FY12GDSEXP</t>
    <phoneticPr fontId="39" type="noConversion"/>
  </si>
  <si>
    <t>FY13DSEXC</t>
    <phoneticPr fontId="39" type="noConversion"/>
  </si>
  <si>
    <t>GENERAL LONG-TERM DEBT</t>
  </si>
  <si>
    <t xml:space="preserve">   Total Revenues</t>
  </si>
  <si>
    <t xml:space="preserve">          Other DEBT SERVICE PRIN &amp; INT </t>
  </si>
  <si>
    <r>
      <t xml:space="preserve">       </t>
    </r>
    <r>
      <rPr>
        <i/>
        <sz val="8"/>
        <rFont val="Arial"/>
        <family val="2"/>
      </rPr>
      <t>Other : Retained Earnings ATM Sp. Arts.</t>
    </r>
  </si>
  <si>
    <t>NB: Numbers from Nina,</t>
  </si>
  <si>
    <t>OF FUNDING: PLANNING PURPOSES</t>
  </si>
  <si>
    <t>2. School Transportation Programs Ch. 71, 71A, 71B and 74</t>
  </si>
  <si>
    <t>FY09 NEDSV</t>
  </si>
  <si>
    <t>Projected 2010</t>
  </si>
  <si>
    <t>CAPITAL EQUIP.</t>
  </si>
  <si>
    <t xml:space="preserve"> DIESEL &amp; GASOLINE</t>
  </si>
  <si>
    <t xml:space="preserve">  (To Recap, Sch. B, col (e)</t>
  </si>
  <si>
    <t>a</t>
  </si>
  <si>
    <t>To Recap Summary IIA</t>
    <phoneticPr fontId="39" type="noConversion"/>
  </si>
  <si>
    <t>FISCAL 17</t>
    <phoneticPr fontId="39" type="noConversion"/>
  </si>
  <si>
    <t>Bridges/Roads:</t>
  </si>
  <si>
    <t>Exclusive of Water Dep't articles</t>
  </si>
  <si>
    <t>All Dep'ts</t>
  </si>
  <si>
    <t>BUDGET FISCAL YEAR 20011</t>
  </si>
  <si>
    <t>BUDGET FISCAL YEAR 2011</t>
  </si>
  <si>
    <t>APPROVED</t>
  </si>
  <si>
    <t>(date)</t>
  </si>
  <si>
    <t>2010 BUDGET</t>
  </si>
  <si>
    <t>C.  TOTAL ESTIMATED RECEIPTS</t>
  </si>
  <si>
    <t>FISCAL 06</t>
  </si>
  <si>
    <t>SALARY</t>
  </si>
  <si>
    <t>Replace &amp; Repair 2 Bridges</t>
  </si>
  <si>
    <t>EST.</t>
    <phoneticPr fontId="39" type="noConversion"/>
  </si>
  <si>
    <t>5-YR ROLLING AVG</t>
  </si>
  <si>
    <t>C.  CAPITAL EXCLUSIONS(S)</t>
  </si>
  <si>
    <t>ATM Art's</t>
  </si>
  <si>
    <t xml:space="preserve"> Difference</t>
  </si>
  <si>
    <t>ACTUAL</t>
    <phoneticPr fontId="39" type="noConversion"/>
  </si>
  <si>
    <t>FY-2014</t>
    <phoneticPr fontId="39" type="noConversion"/>
  </si>
  <si>
    <t>Police:</t>
  </si>
  <si>
    <t>Fire:</t>
  </si>
  <si>
    <t>Ambulance contract</t>
  </si>
  <si>
    <t>Sub-Total:  All General Government</t>
  </si>
  <si>
    <t>FY-10 App.</t>
  </si>
  <si>
    <t>Budgetary increases FY-10 to FY-11</t>
  </si>
  <si>
    <t>Pension liability</t>
  </si>
  <si>
    <t>10.  Exemptions:  Elderly Ch. 59, s5 cl 41, 41B, 41C</t>
  </si>
  <si>
    <t>FY-2010</t>
  </si>
  <si>
    <t>FY09GDSEXP</t>
  </si>
  <si>
    <t>FY10DSEXC</t>
  </si>
  <si>
    <t>DISCLAIMER: THIS DOCUMENT IS A "WORK-IN-PROGRESS'. IT HAS BEEN PREPARED FOR AND IS INTENDED</t>
  </si>
  <si>
    <t>1.  7/1/07 FREE CASH CERTIFICATION</t>
  </si>
  <si>
    <t>Net delta:</t>
  </si>
  <si>
    <t>D.  OTHER ADJUSTMENT</t>
  </si>
  <si>
    <t>E.  WATER/SEWER</t>
  </si>
  <si>
    <t xml:space="preserve"> CONTRACT SERVICES</t>
  </si>
  <si>
    <t>A.  LEVY LIMIT FROM 1 ABOVE</t>
  </si>
  <si>
    <t>B.  DEBT EXCLUSION(S)(PREVIOUSLY APPROVED)</t>
  </si>
  <si>
    <t>BUDGET FISCALYEAR 2008 FIN COM RECOMMENDED</t>
  </si>
  <si>
    <t>2.  TO CALCULATE THE MAXIMUM ALLOWABLE LEVY</t>
  </si>
  <si>
    <t xml:space="preserve">    ( WATER SHARE 1.57M) </t>
  </si>
  <si>
    <t xml:space="preserve">    WATER MAIN 8/11/94</t>
  </si>
  <si>
    <t xml:space="preserve">     PW BLDG WATER SHARE 03/01/01</t>
  </si>
  <si>
    <t xml:space="preserve">          OTHER ATM WARRANT ARTICLES</t>
  </si>
  <si>
    <t xml:space="preserve">   SALE OF LOTS</t>
  </si>
  <si>
    <t>LONG-TERM DEBT INTEREST</t>
  </si>
  <si>
    <t xml:space="preserve">   LIFE/MEDICAL/MEDICARE</t>
  </si>
  <si>
    <t>Elementary:</t>
  </si>
  <si>
    <t>Masconomet (Op. Budget):</t>
  </si>
  <si>
    <t>North Shore Voc. Ed:</t>
  </si>
  <si>
    <t>IT IS NOT TO BE CONSIDERED AS A RECOMMENDATION OF THE FINANCE COMMITTEE.</t>
  </si>
  <si>
    <t xml:space="preserve">BUDGET FISCAL YEAR 2006 TO </t>
  </si>
  <si>
    <t>CERTIFICATION  of NOTES</t>
  </si>
  <si>
    <t xml:space="preserve">        </t>
  </si>
  <si>
    <t>GENERAL GOV'T:  SUB-TOTAL</t>
  </si>
  <si>
    <t>$ difference</t>
  </si>
  <si>
    <t>% Diff.</t>
  </si>
  <si>
    <t xml:space="preserve">  Receipts:</t>
  </si>
  <si>
    <t>State (Local aid):</t>
  </si>
  <si>
    <t>Local Receipts</t>
  </si>
  <si>
    <t>FY10NEDS</t>
  </si>
  <si>
    <t>Total income:</t>
  </si>
  <si>
    <t>Appropriations:</t>
  </si>
  <si>
    <t>% Increase</t>
  </si>
  <si>
    <t>Budgets as a whole:</t>
  </si>
  <si>
    <t>Gen'l Gov't</t>
  </si>
  <si>
    <t>GASPE audit:</t>
  </si>
  <si>
    <t>ANNUAL ESSEX NORTH SHORE AG/Tech SCH DIST ASSM.</t>
    <phoneticPr fontId="39" type="noConversion"/>
  </si>
  <si>
    <t>ANNUAL MASCONOMET REGIONAL SCH. DIST. ASSMT</t>
    <phoneticPr fontId="39" type="noConversion"/>
  </si>
  <si>
    <t>Estim'd Receipts</t>
  </si>
  <si>
    <t>Act. Receipts</t>
  </si>
  <si>
    <t>Other</t>
  </si>
  <si>
    <t>FY-2011 Est.</t>
  </si>
  <si>
    <t>ATM 2009</t>
  </si>
  <si>
    <t>A. Unrestricted gen'l gov't assistance</t>
  </si>
  <si>
    <t>10.5. Exemptions - lump-sum</t>
  </si>
  <si>
    <t>FY14GDSEXP</t>
    <phoneticPr fontId="39" type="noConversion"/>
  </si>
  <si>
    <t>FY15DSEXC</t>
    <phoneticPr fontId="39" type="noConversion"/>
  </si>
  <si>
    <t>G.  MAXIMUM ALLOWABLE LEVY</t>
  </si>
  <si>
    <t>FY13NEDS</t>
    <phoneticPr fontId="39" type="noConversion"/>
  </si>
  <si>
    <t>Police-res.</t>
  </si>
  <si>
    <t>Appropriated in the Enterprise Funds</t>
  </si>
  <si>
    <t>School bldg assist</t>
  </si>
  <si>
    <t xml:space="preserve">Total Sources of Funding for Costs </t>
  </si>
  <si>
    <t>FY08DSEXC</t>
  </si>
  <si>
    <t>FY07 NEDSV</t>
  </si>
  <si>
    <t>FY-06 actual</t>
  </si>
  <si>
    <t xml:space="preserve">     FIRE TRUCK 2010</t>
  </si>
  <si>
    <t xml:space="preserve">  DEBT INSURANCE</t>
  </si>
  <si>
    <t xml:space="preserve">   S.T. PRINC. PAY-DOWN</t>
  </si>
  <si>
    <t xml:space="preserve">   WATER ENTERPRISE</t>
  </si>
  <si>
    <t xml:space="preserve">To Schedule B, Col. (e) </t>
  </si>
  <si>
    <t>Sub-Total:  All Education Items</t>
  </si>
  <si>
    <t>ACTUAL</t>
    <phoneticPr fontId="39" type="noConversion"/>
  </si>
  <si>
    <t>was</t>
    <phoneticPr fontId="39" type="noConversion"/>
  </si>
  <si>
    <t>655066.07-357064.85</t>
    <phoneticPr fontId="39" type="noConversion"/>
  </si>
  <si>
    <t xml:space="preserve">     b.  Taxation </t>
  </si>
  <si>
    <t xml:space="preserve">     a.  Revenue and available funds</t>
  </si>
  <si>
    <t>B.    ADD (A &amp; A1) X 2.5%</t>
  </si>
  <si>
    <t>=</t>
  </si>
  <si>
    <t>(e)</t>
  </si>
  <si>
    <t xml:space="preserve">   TRUST FUNDS</t>
  </si>
  <si>
    <t>PARK AND CEMETERY</t>
  </si>
  <si>
    <t>+</t>
  </si>
  <si>
    <t>SALARIES AND WAGES</t>
  </si>
  <si>
    <t xml:space="preserve">   GENERAL GOVERNMENT</t>
  </si>
  <si>
    <t>CULTURE AND RECREATION</t>
  </si>
  <si>
    <t>LIBRARY</t>
  </si>
  <si>
    <t xml:space="preserve">   BOOKS</t>
  </si>
  <si>
    <t xml:space="preserve">   SUB-TOTAL</t>
  </si>
  <si>
    <t>VTD</t>
  </si>
  <si>
    <t>$</t>
  </si>
  <si>
    <t>%</t>
  </si>
  <si>
    <t>FIN COM</t>
  </si>
  <si>
    <t xml:space="preserve">DIFFERENCE </t>
  </si>
  <si>
    <t xml:space="preserve"> </t>
  </si>
  <si>
    <t xml:space="preserve">  (Must equal total part 2a)</t>
  </si>
  <si>
    <t>Snow and Ice:</t>
  </si>
  <si>
    <t xml:space="preserve">FY-09 </t>
  </si>
  <si>
    <t>VOTED</t>
  </si>
  <si>
    <t>SCHEDULE A-3:  REVOLVING FUNDS CH. 44 S53E 1/2</t>
  </si>
  <si>
    <t>DATE OF VOTE</t>
  </si>
  <si>
    <t>ART. 4TH: WATER DEP'T (ENTERPRISE)</t>
  </si>
  <si>
    <t>WAGES, NON-UNION</t>
  </si>
  <si>
    <t>WAGES, UNION:</t>
  </si>
  <si>
    <t>estimates based on refi.</t>
  </si>
  <si>
    <t xml:space="preserve">   LIAB./ACC./WORKM'S COMP., S.BONDS</t>
  </si>
  <si>
    <t xml:space="preserve">   CAPITAL  (LEASES)</t>
  </si>
  <si>
    <t xml:space="preserve">   ROADS &amp; BRIDGES</t>
  </si>
  <si>
    <t xml:space="preserve">   SUPPLIES, SERVICES</t>
  </si>
  <si>
    <t>Request</t>
  </si>
  <si>
    <t>Budget</t>
  </si>
  <si>
    <t>FISCAL 10</t>
  </si>
  <si>
    <t>FIN COM EST.</t>
  </si>
  <si>
    <t>FY14 NEDSV</t>
    <phoneticPr fontId="39" type="noConversion"/>
  </si>
  <si>
    <t xml:space="preserve">     c.  Free Cash</t>
  </si>
  <si>
    <t xml:space="preserve">     d.  Non-Enterprise Available Funds</t>
  </si>
  <si>
    <t>11. State Owned Lands</t>
  </si>
  <si>
    <t>Sub-Total:  Education and Alll General Government</t>
  </si>
  <si>
    <t>Indirect costs</t>
  </si>
  <si>
    <t>Minimum Free Cash Position:</t>
  </si>
  <si>
    <t>FISCAL 11</t>
  </si>
  <si>
    <t xml:space="preserve">     WATER MAINS 2010</t>
  </si>
  <si>
    <t>Check</t>
  </si>
  <si>
    <t>FY-07 actual</t>
  </si>
  <si>
    <t>Projected 2012</t>
  </si>
  <si>
    <t>FY-2012</t>
  </si>
  <si>
    <t>Projected 2014</t>
    <phoneticPr fontId="39" type="noConversion"/>
  </si>
  <si>
    <t>FY15NEDS</t>
    <phoneticPr fontId="39" type="noConversion"/>
  </si>
  <si>
    <t>FY2010</t>
  </si>
  <si>
    <t>CEMETERY REVOLVING FUND</t>
  </si>
  <si>
    <t>CONSERVATION COMMISSION REVOLVING FUND</t>
  </si>
  <si>
    <t>OK 03/25/06</t>
  </si>
  <si>
    <t>A.  EDUCATION</t>
  </si>
  <si>
    <t>Distributions and Reimbursements:</t>
  </si>
  <si>
    <t>FISCAL 12</t>
  </si>
  <si>
    <t>*b</t>
  </si>
  <si>
    <t>B.  DEBT EXCLUSION(S)(YET TO BE APPROVED)</t>
  </si>
  <si>
    <t>TOTAL LONG -TERM DEBT PRINCIPAL</t>
  </si>
  <si>
    <t>Other reductions</t>
  </si>
  <si>
    <t>SCHEDULE A-2, PAGE 2</t>
  </si>
  <si>
    <t xml:space="preserve">          TOTAL ARTICLE 3RD</t>
  </si>
  <si>
    <t xml:space="preserve">          DEBT SERVICE</t>
  </si>
  <si>
    <t>Public Works:</t>
  </si>
  <si>
    <t>Highway Dep't gen'l op.</t>
  </si>
  <si>
    <t>Park &amp; Cemetery:</t>
  </si>
  <si>
    <t>Education:</t>
  </si>
  <si>
    <t xml:space="preserve">          GENERAL GOVERNMENT</t>
  </si>
  <si>
    <t>2.  Total Cost Appropriated</t>
  </si>
  <si>
    <t>AMOUNT</t>
  </si>
  <si>
    <t>FY2008</t>
  </si>
  <si>
    <t>LONG -TERM DEBT PRINCIPAL</t>
  </si>
  <si>
    <t xml:space="preserve">    MUNICIPAL PURPOSE OF ' 87</t>
  </si>
  <si>
    <t>VETERANS BENEFITS</t>
  </si>
  <si>
    <t>SNOW AND ICE</t>
  </si>
  <si>
    <t>STREET LIGHTS</t>
  </si>
  <si>
    <t>PUBLIC WKS &amp; FACIL: SUB-TOTAL</t>
  </si>
  <si>
    <t>HUMAN SERVICES</t>
  </si>
  <si>
    <t>HUMAN SERVICES:  SUB-TOTAL</t>
  </si>
  <si>
    <t xml:space="preserve">          MASCONOMET REGIONAL SCHOOL</t>
  </si>
  <si>
    <t xml:space="preserve">   VET. BNFTS</t>
  </si>
  <si>
    <t>SOLDIERS &amp; SAILORS GRAVES</t>
  </si>
  <si>
    <t>SUBTOTAL:    HUMAN SERVICES</t>
  </si>
  <si>
    <t xml:space="preserve">   TOWN MAPPING/SCHOOL REMODEL</t>
  </si>
  <si>
    <t xml:space="preserve">   FIRE PUMPER [3.85%]</t>
  </si>
  <si>
    <t>Insurance (Health):</t>
  </si>
  <si>
    <t>Total Art. III:</t>
  </si>
  <si>
    <t>ATM Articles:</t>
  </si>
  <si>
    <t>Reserve fund:</t>
  </si>
  <si>
    <t xml:space="preserve"> Uncontrolled items:</t>
  </si>
  <si>
    <t>Debt service:</t>
  </si>
  <si>
    <t>Insurance (Liability):</t>
  </si>
  <si>
    <t>FY-2014</t>
  </si>
  <si>
    <t>FY-2015</t>
    <phoneticPr fontId="39" type="noConversion"/>
  </si>
  <si>
    <t>1.  Enterprise Revenues &amp; Available Funds</t>
  </si>
  <si>
    <t xml:space="preserve">          Salaries and wages</t>
  </si>
  <si>
    <t xml:space="preserve">      User Charges</t>
  </si>
  <si>
    <t xml:space="preserve">          Expenses</t>
  </si>
  <si>
    <t xml:space="preserve">           3.  FINAL COURT JUDGMENTS</t>
  </si>
  <si>
    <t xml:space="preserve">OTHER </t>
  </si>
  <si>
    <t>VET'S BENEFITS</t>
  </si>
  <si>
    <t xml:space="preserve">       FISCAL YEAR LEVY LIMIT</t>
  </si>
  <si>
    <t xml:space="preserve"> ADMIN. EXPENDITURES</t>
  </si>
  <si>
    <t xml:space="preserve">   </t>
  </si>
  <si>
    <t>MOSQUITO CONTROL</t>
  </si>
  <si>
    <t>Res. Police</t>
  </si>
  <si>
    <t>BUDGET FISCAL YEAR Projection</t>
  </si>
  <si>
    <t>TOTAL SALARIES (EX'T WATER DEP'T):</t>
  </si>
  <si>
    <t>14.  DEPARTMENTAL REVENUE--CEMETERIES</t>
  </si>
  <si>
    <t>A.    FISCAL LEVY LIMIT:</t>
  </si>
  <si>
    <t>FY08 NEDSV</t>
  </si>
  <si>
    <t>FY08GDSEXP</t>
  </si>
  <si>
    <t>FY09NEDS</t>
  </si>
  <si>
    <t>FY09DSEXC</t>
  </si>
  <si>
    <t>FY-08 act</t>
  </si>
  <si>
    <t>FY2009</t>
  </si>
  <si>
    <t>MINIMUM RESERVE LEVY CAPACITY TO MAINTAIN (new for FY12)</t>
  </si>
  <si>
    <t>Not sure where 10,500 belongs</t>
    <phoneticPr fontId="39" type="noConversion"/>
  </si>
  <si>
    <t>Asbury/Rowley bridge</t>
  </si>
  <si>
    <t>Police-FT</t>
  </si>
  <si>
    <t>FISCAL 14</t>
    <phoneticPr fontId="39" type="noConversion"/>
  </si>
  <si>
    <t>FISCAL 14</t>
    <phoneticPr fontId="39" type="noConversion"/>
  </si>
  <si>
    <t>FISCAL 08</t>
  </si>
  <si>
    <t>6. Police Career Incentive, Ch. 41, s.108L</t>
  </si>
  <si>
    <t xml:space="preserve">   HUMAN SERVICES</t>
  </si>
  <si>
    <t xml:space="preserve">   CULTURE &amp; RECREATION</t>
  </si>
  <si>
    <t>EXCESS LEVY CAPACITY: (UNDER) OR OVER MAX. ALL. LEVY</t>
  </si>
  <si>
    <t>(Negative represents general fund subsidy)</t>
  </si>
  <si>
    <t>1. Lottery, Beano and Charity Games</t>
  </si>
  <si>
    <t>2. Additional Assistance</t>
  </si>
  <si>
    <t>MEMO ONLY</t>
  </si>
  <si>
    <t xml:space="preserve">  </t>
  </si>
  <si>
    <t>TOTAL ESTIMATED RECEIPTS AND REVENUE:</t>
  </si>
  <si>
    <t>TOTAL TAX LEVY:</t>
  </si>
  <si>
    <t>MAXIMUM ALLOWABLE LEVY:</t>
  </si>
  <si>
    <t xml:space="preserve">   PUBLIC SAFETY</t>
  </si>
  <si>
    <t xml:space="preserve">   PUBLIC WORKS</t>
  </si>
  <si>
    <t>FY 2007 TO FY 2006</t>
  </si>
  <si>
    <t xml:space="preserve">    </t>
  </si>
  <si>
    <t>B.  GENERAL GOVERNMENT</t>
  </si>
  <si>
    <t>(d)</t>
  </si>
  <si>
    <t>TOTAL MASCO FIN COM ASSMNT</t>
  </si>
  <si>
    <t>COMPARISON OF</t>
  </si>
  <si>
    <t xml:space="preserve">  GASB-45</t>
  </si>
  <si>
    <t xml:space="preserve"> TOTAL-GASB-45</t>
  </si>
  <si>
    <t xml:space="preserve">   GASB-45</t>
  </si>
  <si>
    <t>EXPENDED</t>
  </si>
  <si>
    <t>BUDGET</t>
  </si>
  <si>
    <t xml:space="preserve">BUDGET </t>
  </si>
  <si>
    <t>RECOMM.</t>
  </si>
  <si>
    <t xml:space="preserve">       MULTIPURPOSE MARCH 2001</t>
  </si>
  <si>
    <t xml:space="preserve">    SALARY</t>
  </si>
  <si>
    <t>SELECTMEN</t>
  </si>
  <si>
    <t xml:space="preserve"> MODERATOR</t>
  </si>
  <si>
    <t>SCHEDULE DE-1</t>
  </si>
  <si>
    <t>SOLID WASTE FUND</t>
  </si>
  <si>
    <t>SELECTMEN'S SPECIAL</t>
  </si>
  <si>
    <t xml:space="preserve">   TOTAL </t>
  </si>
  <si>
    <t>DEBT EXCLUSION FORM</t>
  </si>
  <si>
    <t>DEPARTMENT</t>
  </si>
  <si>
    <t xml:space="preserve">TYPE OF </t>
  </si>
  <si>
    <t>Funds</t>
  </si>
  <si>
    <t>Enterprise Funds</t>
  </si>
  <si>
    <t>12.  Public Libraries, Ch. 78, s 19</t>
  </si>
  <si>
    <t>OF FUNDING:  BUDGET PLANNING PURPOSES</t>
  </si>
  <si>
    <t xml:space="preserve">APPROPRIATIONS AND SOURCES                                                                                                </t>
  </si>
  <si>
    <t>Total</t>
  </si>
  <si>
    <t>From Raise &amp;</t>
  </si>
  <si>
    <t>From</t>
  </si>
  <si>
    <t>From Other</t>
  </si>
  <si>
    <t>WAGES</t>
  </si>
  <si>
    <t>Library security:</t>
  </si>
  <si>
    <t>FY11GDSEXP</t>
  </si>
  <si>
    <t xml:space="preserve">      to deal with budgetary uncertainties.</t>
  </si>
  <si>
    <t>House voted:</t>
  </si>
  <si>
    <t>Subtotal ATM capital warrants:</t>
  </si>
  <si>
    <t xml:space="preserve">          Unanticipated emergencies</t>
  </si>
  <si>
    <t>FISCAL 07</t>
  </si>
  <si>
    <t>TOTAL:</t>
  </si>
  <si>
    <t>OK 3/25/06</t>
  </si>
  <si>
    <r>
      <t>T</t>
    </r>
    <r>
      <rPr>
        <b/>
        <sz val="8"/>
        <rFont val="Arial"/>
        <family val="2"/>
      </rPr>
      <t>OTAL</t>
    </r>
    <r>
      <rPr>
        <sz val="8"/>
        <rFont val="Arial"/>
        <family val="2"/>
      </rPr>
      <t>:</t>
    </r>
  </si>
  <si>
    <t>Insurance and pension projected from last year by % increases from Budget (R327, R334)</t>
  </si>
  <si>
    <t>FY10GDSEXP</t>
  </si>
  <si>
    <t>FY11NEDS</t>
  </si>
  <si>
    <t>FY11DSEXC</t>
  </si>
  <si>
    <t>SUBTOTAL DEBT SERVICE</t>
  </si>
  <si>
    <t>FY-11 Levy Limit:</t>
  </si>
  <si>
    <t>Tri-Town</t>
  </si>
  <si>
    <t>Source is Fiscal 2007 Recap Sheet</t>
  </si>
  <si>
    <t>3.  FY 2007 RECAP</t>
  </si>
  <si>
    <t>Free cash</t>
  </si>
  <si>
    <t>Approp.</t>
  </si>
  <si>
    <t>From:</t>
  </si>
  <si>
    <t>1.  CALCULATION OF THE FISCAL LEVY LIMIT</t>
  </si>
  <si>
    <t>F.  MAXIMUM ALLOWABLE LEVY</t>
  </si>
  <si>
    <t>-</t>
  </si>
  <si>
    <r>
      <t xml:space="preserve">  </t>
    </r>
    <r>
      <rPr>
        <b/>
        <u/>
        <sz val="8"/>
        <rFont val="Arial"/>
        <family val="2"/>
      </rPr>
      <t>LESS</t>
    </r>
    <r>
      <rPr>
        <sz val="8"/>
        <rFont val="Arial"/>
        <family val="2"/>
      </rPr>
      <t xml:space="preserve"> Indirect Costs.</t>
    </r>
  </si>
  <si>
    <t xml:space="preserve">FINANCE COMMITTEE PROJECTED </t>
  </si>
  <si>
    <t>SCHEDULE A-2 PAGE 1</t>
  </si>
  <si>
    <t>FINANCE COMMITTEE RECOMMENDED 2007</t>
  </si>
  <si>
    <t>3.  FISCAL 2007 RECAP</t>
  </si>
  <si>
    <t xml:space="preserve">          OTHER EXPENDITURES (PENSIONS/INSURANCE)</t>
  </si>
  <si>
    <t>proof total all town meetings</t>
  </si>
  <si>
    <t xml:space="preserve">          HUMAN SERVICES</t>
  </si>
  <si>
    <t xml:space="preserve">          CULTURE AND RECREATION</t>
  </si>
  <si>
    <t>FY2007 NET</t>
  </si>
  <si>
    <t>DIFFERENCE</t>
  </si>
  <si>
    <t>TAX RECAP</t>
  </si>
  <si>
    <t>Comments</t>
  </si>
  <si>
    <t>II.  AMOUNT TO BE RAISED:</t>
  </si>
  <si>
    <t xml:space="preserve">    A.  APPROPRIATIONS:</t>
  </si>
  <si>
    <t xml:space="preserve">         EDUCATION:  ELEMENTARY SCHOOLS</t>
  </si>
  <si>
    <t>RATE</t>
  </si>
  <si>
    <t>TERM</t>
  </si>
  <si>
    <t>HAWC</t>
  </si>
  <si>
    <t xml:space="preserve">  OTHER</t>
  </si>
  <si>
    <t>BUDGET</t>
    <phoneticPr fontId="39" type="noConversion"/>
  </si>
  <si>
    <t>APPROVED</t>
    <phoneticPr fontId="39" type="noConversion"/>
  </si>
  <si>
    <t>BOARD OF HEALTH</t>
  </si>
  <si>
    <t>LANDFILL</t>
    <phoneticPr fontId="39" type="noConversion"/>
  </si>
  <si>
    <t>FIRE EQUIPMENT</t>
    <phoneticPr fontId="39" type="noConversion"/>
  </si>
  <si>
    <t>PUBLIC WORKS &amp; FACILITIES</t>
  </si>
  <si>
    <t>TOWN ENGINEER</t>
  </si>
  <si>
    <t>GENERAL HIGHWAY</t>
  </si>
  <si>
    <t>CULTURAL COUNCIL</t>
  </si>
  <si>
    <t xml:space="preserve">    MULTIPURPOSE MUNICIPAL 03/01/01</t>
  </si>
  <si>
    <t xml:space="preserve">   MUNICIPAL PURPOSE OF '87</t>
  </si>
  <si>
    <t xml:space="preserve">   ( WATER SHARE 1.57 M)</t>
  </si>
  <si>
    <t>Elem Sch Renov &amp; Expan</t>
  </si>
  <si>
    <t>TOTAL LONG-TERM DEBT INTEREST</t>
  </si>
  <si>
    <t xml:space="preserve">      Connection Fees</t>
  </si>
  <si>
    <t xml:space="preserve">   WATER MAIN 8/11/94 </t>
  </si>
  <si>
    <t>WATER ENTERPRISE</t>
  </si>
  <si>
    <t>Actual Receipts</t>
  </si>
  <si>
    <t>Estimated Receipts</t>
  </si>
  <si>
    <t xml:space="preserve">          TOTAL:  APPROPRIATIONS</t>
  </si>
  <si>
    <t xml:space="preserve">    B.   OTHER AMOUNTS TO BE RAISED:</t>
  </si>
  <si>
    <t xml:space="preserve">           1.  AMOUNTS CERTIFIED FOR TAX TITLE PURPOSES</t>
  </si>
  <si>
    <t>Police Dep't</t>
  </si>
  <si>
    <t xml:space="preserve">   % CHANGE</t>
  </si>
  <si>
    <t>FISCAL 09</t>
  </si>
  <si>
    <t xml:space="preserve">           2.  DEBT &amp; INTEREST CHARGES NOT IN SCH. B</t>
  </si>
  <si>
    <t>7.   CHARGES FOR SERVICES--HOSPITAL</t>
  </si>
  <si>
    <t>3.   PENALTY AND INTEREST ON TAXES</t>
  </si>
  <si>
    <t>6.   CHARGES FOR SERVICES--SEWER</t>
  </si>
  <si>
    <t>8.   CHARGES FOR SERVICES--TRASH DISPOSAL</t>
  </si>
  <si>
    <t>To Recap Summary Part 3, B1, Estimated Local Receipts for appropriate Fiscal Year.</t>
  </si>
  <si>
    <t>1. Chapter 70 + charter tuition reimb</t>
    <phoneticPr fontId="39" type="noConversion"/>
  </si>
  <si>
    <t xml:space="preserve">   (Part 2)</t>
  </si>
  <si>
    <t xml:space="preserve">      less:   Prior year deficit</t>
  </si>
  <si>
    <t xml:space="preserve">      BRIDGE REPAIR 2010</t>
  </si>
  <si>
    <t xml:space="preserve">C.    ADD  NEW GROWTH  </t>
  </si>
  <si>
    <t>Projected 2009</t>
  </si>
  <si>
    <t>SOLELY FOR THE USE OF THE TOPSFIELD FINANCE COMMITTEE FOR MODELING AND PLANNING PURPOSES.</t>
  </si>
  <si>
    <t>FY-2013</t>
    <phoneticPr fontId="39" type="noConversion"/>
  </si>
  <si>
    <t>FY12 NEDSV</t>
    <phoneticPr fontId="39" type="noConversion"/>
  </si>
  <si>
    <t>4.  FY 2008 RECAP</t>
  </si>
  <si>
    <t>FY12DSEXC</t>
  </si>
  <si>
    <t>EST.</t>
  </si>
  <si>
    <t>TOTAL SCH A :  ESTIMATED LOCAL RECEIPTS</t>
  </si>
  <si>
    <t xml:space="preserve">     in the Enterprise Fund</t>
  </si>
  <si>
    <t>FY11 NEDSV</t>
  </si>
  <si>
    <t xml:space="preserve">      Revenue &amp; available funds</t>
  </si>
  <si>
    <t xml:space="preserve">          Other:  LEGAL</t>
  </si>
  <si>
    <r>
      <t xml:space="preserve">  </t>
    </r>
    <r>
      <rPr>
        <b/>
        <i/>
        <u/>
        <sz val="8"/>
        <rFont val="Arial"/>
        <family val="2"/>
      </rPr>
      <t>LESS</t>
    </r>
    <r>
      <rPr>
        <i/>
        <sz val="8"/>
        <rFont val="Arial"/>
        <family val="2"/>
      </rPr>
      <t xml:space="preserve"> Indirect Costs.</t>
    </r>
  </si>
  <si>
    <t>AMOUNT OVER/(UNDER) ALLOWABLE LEVY</t>
  </si>
  <si>
    <t xml:space="preserve">TOTAL VALUATION:  </t>
  </si>
  <si>
    <t>TAX RATE:</t>
  </si>
  <si>
    <t>3.  Calculation of the General Fund Subsidy</t>
  </si>
  <si>
    <t xml:space="preserve">     E.     TOTAL ESTIMATED RECEIPTS &amp; OTHER REV. SOURCES</t>
  </si>
  <si>
    <t>TOTAL AMOUNT TO BE RAISED</t>
  </si>
  <si>
    <t>ART. 4TH WATER DEPT:  TOTAL</t>
  </si>
  <si>
    <t>ART. 8TH NORTH SHORE VO-TECH</t>
  </si>
  <si>
    <t xml:space="preserve">ART.5TH MASCONOMET </t>
  </si>
  <si>
    <t xml:space="preserve">  SHARE OF OPER &amp; MAIN.</t>
  </si>
  <si>
    <t xml:space="preserve">  DEBT SERVICE</t>
  </si>
  <si>
    <t>APPROPRIATIONS</t>
  </si>
  <si>
    <t>AUTHORIZATIONS</t>
  </si>
  <si>
    <t>(a)</t>
  </si>
  <si>
    <t>(b)</t>
  </si>
  <si>
    <t>(c)</t>
  </si>
  <si>
    <t xml:space="preserve">       MULTIPURPOSE MARCH 2002</t>
  </si>
  <si>
    <t>CONSERVATION COMMISSION</t>
  </si>
  <si>
    <t>TOWN OF TOPSFIELD</t>
  </si>
  <si>
    <t xml:space="preserve">   PENSIONS</t>
  </si>
  <si>
    <t>MULTIPURPOSE 2011</t>
  </si>
  <si>
    <t>AUTHORIZED</t>
  </si>
  <si>
    <t>RECEIPTS</t>
  </si>
  <si>
    <t xml:space="preserve">ACTUAL </t>
  </si>
  <si>
    <t>See B-1</t>
  </si>
  <si>
    <t>CREDITED</t>
  </si>
  <si>
    <t>COMMENTS</t>
  </si>
  <si>
    <t>GENERAL GOVERNMENT</t>
  </si>
  <si>
    <t xml:space="preserve">    BUREAU OF ACCOUNTS</t>
  </si>
  <si>
    <t>BUDGET FISCAL YEAR 2007</t>
  </si>
  <si>
    <t>FY2007</t>
  </si>
  <si>
    <t xml:space="preserve"> 2/12/98</t>
  </si>
  <si>
    <t>Emerson field:</t>
  </si>
  <si>
    <t>Appropriation</t>
  </si>
  <si>
    <t>Total Tax levy:</t>
  </si>
  <si>
    <t>Variance: over-(under)</t>
  </si>
  <si>
    <t xml:space="preserve">Public Safety </t>
  </si>
  <si>
    <t xml:space="preserve">         Unanticipated emergency</t>
  </si>
  <si>
    <t>2.  Total Cost recommended</t>
  </si>
  <si>
    <t>FREE CASH CERTIFICATION &amp; APPROPRIATION</t>
  </si>
  <si>
    <t xml:space="preserve">Dep't </t>
  </si>
  <si>
    <t xml:space="preserve">     a.  FOR PARTICULAR PURPOSE</t>
  </si>
  <si>
    <t xml:space="preserve">    Veteran's benefits:</t>
  </si>
  <si>
    <t>1.  7/1/05 FREE CASH CERTIFICATION</t>
  </si>
  <si>
    <t>BUDGET FISCALYEAR 2007 FIN COM RECOMMENDED</t>
  </si>
  <si>
    <t xml:space="preserve">FINANCE COMMITTEE RECOMMENDED </t>
  </si>
  <si>
    <t>FINANCE COMMITTEE RECOMMENDED</t>
  </si>
  <si>
    <t>Prepared Oct. 3, 2009</t>
  </si>
  <si>
    <t>OK</t>
  </si>
  <si>
    <t xml:space="preserve">OK </t>
  </si>
  <si>
    <t>Draft II</t>
  </si>
  <si>
    <t>presented</t>
  </si>
  <si>
    <t xml:space="preserve">SUBTRACT FREE CASH APPROPRIATED  </t>
  </si>
  <si>
    <t>[ISSUED]</t>
  </si>
  <si>
    <t>StoC</t>
  </si>
  <si>
    <t>Truck and tank cleaning</t>
  </si>
  <si>
    <t>FY2011</t>
  </si>
  <si>
    <t>1250 GPM Combination Pumper</t>
  </si>
  <si>
    <t>proof for total stm</t>
  </si>
  <si>
    <t>TOTAL SOLID WASTE FUND</t>
  </si>
  <si>
    <t>To Recap Summary, Part IIA - STM Articles</t>
  </si>
  <si>
    <t>proof for total atm</t>
  </si>
  <si>
    <t>TOTAL WATER ENTERPRISE</t>
  </si>
  <si>
    <t>PARK REVOLVING FUND</t>
  </si>
  <si>
    <t>1.  7/1/06 FREE CASH CERTIFICATION</t>
  </si>
  <si>
    <r>
      <t xml:space="preserve">       </t>
    </r>
    <r>
      <rPr>
        <sz val="8"/>
        <rFont val="Arial"/>
        <family val="2"/>
      </rPr>
      <t>Other : Retained Earnings ATM Sp. Arts.</t>
    </r>
  </si>
  <si>
    <t>TOTALS: (ATM AND STMS)</t>
  </si>
  <si>
    <t>PRIOR YEARS BILLS</t>
  </si>
  <si>
    <t xml:space="preserve">TRANSFER OF FUNDS </t>
  </si>
  <si>
    <t>VOTED 4/7</t>
  </si>
  <si>
    <t>TOTAL STM ARTICLES</t>
  </si>
  <si>
    <t xml:space="preserve">(*)  REIMBURSEMENTS: </t>
  </si>
  <si>
    <t xml:space="preserve"> CEMETERY REVOLVING FUND</t>
  </si>
  <si>
    <t xml:space="preserve">See Recap Schedule A-3 </t>
  </si>
  <si>
    <t>CONSERVATION COMM REVOLVING FUND</t>
  </si>
  <si>
    <t>ENGINEERING &amp; LANDFILL MONITORING</t>
  </si>
  <si>
    <t xml:space="preserve">NET FIGURE </t>
  </si>
  <si>
    <t>ALSO SEE SCH A-2</t>
  </si>
  <si>
    <t>STABILIZATION FUND</t>
  </si>
  <si>
    <t xml:space="preserve">TOTAL ATM WARRANT </t>
  </si>
  <si>
    <t>LESS ART. 3 OMNIBUS BUDGET &amp; MASCO</t>
  </si>
  <si>
    <t>TOTAL OTHER ATM WARRANT ARTICLES</t>
  </si>
  <si>
    <t>CULTURAL &amp; RECREATION:  TOTAL</t>
  </si>
  <si>
    <t xml:space="preserve">          STM WARRANT ARTICLES</t>
  </si>
  <si>
    <t xml:space="preserve">MSW COLLECTION,HHW &amp; RECYCLING </t>
  </si>
  <si>
    <t>RECYCLING</t>
  </si>
  <si>
    <t>ESTIMATED</t>
  </si>
  <si>
    <t>TOTAL ENTERPRISE PRIN. &amp; INT.</t>
  </si>
  <si>
    <t>SCHEDULE A-2 - ENTERPRISE</t>
  </si>
  <si>
    <t>FY2006</t>
  </si>
  <si>
    <t>HISTORICAL COMMISSION</t>
  </si>
  <si>
    <t>TREE DEPARTMENT</t>
  </si>
  <si>
    <t>MEMORIAL DAY &amp; VETERANS DAY</t>
  </si>
  <si>
    <t xml:space="preserve">          Out-of-state travel</t>
  </si>
  <si>
    <t xml:space="preserve">    MULTIPURPOSE MUNICIPAL 03/15/02</t>
  </si>
  <si>
    <t xml:space="preserve">   TOWN MAPPING/SCHOOL REMODELING</t>
  </si>
  <si>
    <t xml:space="preserve">   FIRE PUMPER </t>
  </si>
  <si>
    <t>TOTAL GENERAL LONG-TERM DEBT</t>
  </si>
  <si>
    <t>ACTUAL</t>
  </si>
  <si>
    <t>RECAP</t>
  </si>
  <si>
    <t>1.   MOTOR VEHICLE EXCISE</t>
  </si>
  <si>
    <t>To Recap Sum. Part IIA - Other ATM War. Arts</t>
  </si>
  <si>
    <t xml:space="preserve">Free Cash expended above </t>
  </si>
  <si>
    <t>Net available Free Cash :</t>
  </si>
  <si>
    <t>Dep't</t>
  </si>
  <si>
    <t xml:space="preserve">           Specify__Prior Appropriation</t>
  </si>
  <si>
    <t>4.   PAYMENT IN LIEU OF TAXES</t>
  </si>
  <si>
    <t>13.  DEPARTMENTAL REVENUE--LIBRARIES</t>
  </si>
  <si>
    <t xml:space="preserve">          Shared Employees</t>
  </si>
  <si>
    <t xml:space="preserve">   (Part 1, col b.)</t>
  </si>
  <si>
    <t xml:space="preserve">      less:  Total Costs</t>
  </si>
  <si>
    <t xml:space="preserve">  D.  ALLOWANCE FOR ABATEM'TS &amp; EXEMP'S (OVERLAY)</t>
  </si>
  <si>
    <t xml:space="preserve">   Total Revenue and Available Funds</t>
  </si>
  <si>
    <t xml:space="preserve">           </t>
  </si>
  <si>
    <t>3. School Construction 1948, Ch. 645: 1976 Ch. 511</t>
  </si>
  <si>
    <t>8. School Lunch 1970, Ch. 871</t>
  </si>
  <si>
    <t>4.  Sources of Funding for Costs Appropriated</t>
  </si>
  <si>
    <t>16.  OTHER DEPARTMENTAL REVENUE</t>
  </si>
  <si>
    <t>17.  LICENSES AND PERMITS</t>
  </si>
  <si>
    <t>18.  SPECIAL ASSESSMENTS</t>
  </si>
  <si>
    <t>19.  FINES AND FORFEITS</t>
  </si>
  <si>
    <t>20.  INVESTMENT INCOME</t>
  </si>
  <si>
    <t>Proctor School Roof</t>
  </si>
  <si>
    <t>Q1</t>
  </si>
  <si>
    <t xml:space="preserve">          Other:  INSURANCE</t>
  </si>
  <si>
    <t xml:space="preserve">     Total costs appropriated in the general fund</t>
  </si>
  <si>
    <t>TOTAL ART 3RD OPERATING BGT</t>
  </si>
  <si>
    <t>To Recap Sch. B, Col. (b)</t>
  </si>
  <si>
    <t>proof</t>
  </si>
  <si>
    <t xml:space="preserve">   OTHER:  PUBLIC WORKS BLDG</t>
  </si>
  <si>
    <t xml:space="preserve">     B4.  REVOLVING FUNDS (SCHEDULE A-3)</t>
  </si>
  <si>
    <t xml:space="preserve">     C1.  FREE CASH FOR PARTICULAR PURPOSE</t>
  </si>
  <si>
    <t xml:space="preserve">     C2   OTHER AVAILABLE FUNDS FOR PART. PURPOSE</t>
  </si>
  <si>
    <t xml:space="preserve">                                              Total Costs</t>
  </si>
  <si>
    <t>SUMMARY OF AMTS TO BE RAISED &amp; ESTIMATED RECEIPTS</t>
  </si>
  <si>
    <t xml:space="preserve">   MAPC</t>
  </si>
  <si>
    <t xml:space="preserve">           4.  TOTAL OVERLAY DEFICITS OF PRIOR YEARS</t>
  </si>
  <si>
    <t>OPEN SPACE COMMITTEE</t>
  </si>
  <si>
    <t xml:space="preserve">   OTHER </t>
  </si>
  <si>
    <t xml:space="preserve">      TOTAL</t>
  </si>
  <si>
    <t>DE</t>
  </si>
  <si>
    <t>DE</t>
    <phoneticPr fontId="39" type="noConversion"/>
  </si>
  <si>
    <t>PARKING CLERK</t>
  </si>
  <si>
    <t>FINANCE COMMITTEE</t>
  </si>
  <si>
    <t xml:space="preserve">   WAGES</t>
  </si>
  <si>
    <t>9. Exemptions: Vets, Blind &amp; Surviving Spouse, Ch. 58, s8A &amp; Ch. 59, s5</t>
  </si>
  <si>
    <t xml:space="preserve">RECEIPTS </t>
  </si>
  <si>
    <t>TO SPEND</t>
  </si>
  <si>
    <t xml:space="preserve">    OTHER</t>
  </si>
  <si>
    <t>ESTIMATE ONLY STILL TO BE CERTIFIED</t>
  </si>
  <si>
    <t>Town Hall Renovations</t>
  </si>
  <si>
    <t xml:space="preserve">    TOTAL</t>
  </si>
  <si>
    <t>ACCOUNTANT</t>
  </si>
  <si>
    <t xml:space="preserve">   SALARIES</t>
  </si>
  <si>
    <t xml:space="preserve">From Offset </t>
  </si>
  <si>
    <t>(f)</t>
  </si>
  <si>
    <t>Authorization</t>
  </si>
  <si>
    <t>COMMENTS ON</t>
  </si>
  <si>
    <t>NO.</t>
  </si>
  <si>
    <t>This total should be same as total of REVOLVING FUNDS in Schedule B, Col. (e)</t>
  </si>
  <si>
    <t>DATE OF</t>
  </si>
  <si>
    <t>(g)</t>
  </si>
  <si>
    <t xml:space="preserve">TOWN MEETING DATES </t>
  </si>
  <si>
    <t>From Recap Summary Free Cash for Particular Purpose</t>
  </si>
  <si>
    <t xml:space="preserve">     b.  TO REDUCE TAX LEVY</t>
  </si>
  <si>
    <t>FinCom app.</t>
  </si>
  <si>
    <t>status</t>
  </si>
  <si>
    <t>2.  FREE CASH UPDATE</t>
  </si>
  <si>
    <t>TOTAL</t>
  </si>
  <si>
    <t>Total of Col. (e) to Recap, Part III, B4. PRIOR TO FY 1998</t>
  </si>
  <si>
    <t xml:space="preserve">   MISC.</t>
  </si>
  <si>
    <t>FY-2007</t>
  </si>
  <si>
    <t>CURRENT LONG TERM DEBT</t>
  </si>
  <si>
    <t>INT</t>
  </si>
  <si>
    <t>FISCAL</t>
  </si>
  <si>
    <t>PUBLIC WKS &amp; FACIL.:  SUB-TOTAL</t>
  </si>
  <si>
    <t>BUDGET FISCAL 2008</t>
  </si>
  <si>
    <t>BALANCE OF UNAPPROPRIATED FREE CASH</t>
  </si>
  <si>
    <t>Amount of Available Free Cash</t>
  </si>
  <si>
    <t>PART II</t>
  </si>
  <si>
    <t>ANNUAL NORTH SHORE REG. VOC. SCH. DIST. ASSMT.</t>
  </si>
  <si>
    <t>LEASE EMERSON FIELD</t>
  </si>
  <si>
    <t>FY-2016</t>
    <phoneticPr fontId="39" type="noConversion"/>
  </si>
  <si>
    <t>FY15 NEDSV</t>
    <phoneticPr fontId="39" type="noConversion"/>
  </si>
  <si>
    <t xml:space="preserve">  Landfill Capping</t>
  </si>
  <si>
    <t>Art. 2</t>
  </si>
  <si>
    <t>Public Works Facility</t>
  </si>
  <si>
    <t>Q4</t>
  </si>
  <si>
    <t>Art. 21</t>
  </si>
  <si>
    <t>TOTALS</t>
  </si>
  <si>
    <t>FROM THIS CERTIFICATION</t>
  </si>
  <si>
    <t>INSPECTIONAL SERVICES</t>
  </si>
  <si>
    <t>SEALER WEIGHTS &amp; MEASURE:</t>
  </si>
  <si>
    <t>ANIMAL CONTROL OFFICER</t>
  </si>
  <si>
    <t>ANIMAL INSPECTOR</t>
  </si>
  <si>
    <t>See A-3</t>
  </si>
  <si>
    <t>SOURCES OF FUNDING</t>
  </si>
  <si>
    <t>ANNUAL FINANCE COMMITTEE RESERVE FUND</t>
  </si>
  <si>
    <t xml:space="preserve">From Overlay Surplus Reserve </t>
  </si>
  <si>
    <t>ANNUAL OPERATING BUDGET</t>
  </si>
  <si>
    <t>*d</t>
  </si>
  <si>
    <t>SHORT TERM DEBT PAYDOWN FROM SBA FUNDS IN FY 2005</t>
  </si>
  <si>
    <t>Q2</t>
  </si>
  <si>
    <t>Art 18</t>
  </si>
  <si>
    <t xml:space="preserve">  Elem Sch Design</t>
  </si>
  <si>
    <t xml:space="preserve">      a.  School Building Assistance</t>
  </si>
  <si>
    <t xml:space="preserve">      b.  Water Enterprise</t>
  </si>
  <si>
    <t xml:space="preserve">      2.  Rate or Term Different Than Estimate</t>
  </si>
  <si>
    <t xml:space="preserve">FY2007 GROSS </t>
  </si>
  <si>
    <t>Reimbursements/Adjustments</t>
  </si>
  <si>
    <t xml:space="preserve"> Library Renov &amp; Expan</t>
  </si>
  <si>
    <t>Refunding bond issue</t>
  </si>
  <si>
    <t>f</t>
  </si>
  <si>
    <t>F</t>
  </si>
  <si>
    <t>COUNCIL ON AGING</t>
  </si>
  <si>
    <t xml:space="preserve">   PERPETUAL CARE TRUST FUND</t>
  </si>
  <si>
    <t xml:space="preserve">       MULTI-PURPOSE MARCH 2001</t>
  </si>
  <si>
    <t>SCHOOL STREET BUILDING</t>
  </si>
  <si>
    <t xml:space="preserve">  TOTAL</t>
  </si>
  <si>
    <t>still need to adjust for enroll</t>
    <phoneticPr fontId="39" type="noConversion"/>
  </si>
  <si>
    <t xml:space="preserve">    LONG-TERM DEBT INTEREST</t>
  </si>
  <si>
    <t xml:space="preserve">      Other Departmental Revenue</t>
  </si>
  <si>
    <t xml:space="preserve">          Capital Outlay</t>
  </si>
  <si>
    <t xml:space="preserve"> TOTAL LONG-TERM DEBT PRINCIPAL</t>
  </si>
  <si>
    <t xml:space="preserve">SCHEDULE A:  LOCAL ESTIMATED RECEIPTS </t>
  </si>
  <si>
    <t>LIBRARY</t>
    <phoneticPr fontId="39" type="noConversion"/>
  </si>
  <si>
    <t xml:space="preserve">       TOWN MAPS/ELEM. SCH RENOVA.</t>
  </si>
  <si>
    <t xml:space="preserve">       Investment Income</t>
  </si>
  <si>
    <t xml:space="preserve">     Total costs appropriated in enterprise fund</t>
  </si>
  <si>
    <t>2.   OTHER EXCISE</t>
  </si>
  <si>
    <t>5.   CHARGES OF SERVICES- -WATER</t>
  </si>
  <si>
    <t>Indirect Costs)</t>
  </si>
  <si>
    <t xml:space="preserve">          (To be transferred to enterprise)</t>
  </si>
  <si>
    <t xml:space="preserve">From Budget Worksheet  </t>
  </si>
  <si>
    <t xml:space="preserve">          Health Insurance</t>
  </si>
  <si>
    <t>9.   OTHER CHARGES FOR SERVICES</t>
  </si>
  <si>
    <t xml:space="preserve">   (To Recap Summary, Part IIB,</t>
  </si>
  <si>
    <t xml:space="preserve">    #6)</t>
  </si>
  <si>
    <t xml:space="preserve">          Pensions</t>
  </si>
  <si>
    <t>10.  FEES</t>
  </si>
  <si>
    <t>11.  RENTALS</t>
  </si>
  <si>
    <t>12.  DEPARTMENTAL REVENUE --SCHOOLS</t>
  </si>
  <si>
    <t xml:space="preserve">          Shared Facilities</t>
  </si>
  <si>
    <t>15.  DEPARTMENTAL REVENUE--RECREATION</t>
  </si>
  <si>
    <t>Receipts See A-1 or</t>
  </si>
  <si>
    <t>Revolving</t>
  </si>
  <si>
    <t xml:space="preserve">  E.   TOTAL AMOUNT TO BE RAISED:</t>
  </si>
  <si>
    <t>Borrowing</t>
  </si>
  <si>
    <t xml:space="preserve">   UNANTICIPATED EMERGENCY</t>
  </si>
  <si>
    <t>Art 2</t>
  </si>
  <si>
    <t xml:space="preserve">  Library Renov &amp; Expan</t>
  </si>
  <si>
    <t>*c</t>
  </si>
  <si>
    <t>Q 1</t>
  </si>
  <si>
    <t>EXCLUDABLE</t>
  </si>
  <si>
    <t xml:space="preserve">  This total should be same as total of ENTERPRISE fund appropriations in Schedule B, Col. (e) </t>
  </si>
  <si>
    <t>PERSONNEL BOARD</t>
  </si>
  <si>
    <t>TOWN CLERK</t>
  </si>
  <si>
    <t xml:space="preserve">               ELEMENTARY SCHOOL DESIGN</t>
  </si>
  <si>
    <t>From Budget Worksheet</t>
  </si>
  <si>
    <t>T</t>
  </si>
  <si>
    <t>*</t>
  </si>
  <si>
    <t>Meeting</t>
  </si>
  <si>
    <t>See B-2</t>
  </si>
  <si>
    <t>See A-2</t>
  </si>
  <si>
    <t>Elem Sch &amp; Town Hall Renov &amp; Expan</t>
  </si>
  <si>
    <t>FY-2015</t>
    <phoneticPr fontId="39" type="noConversion"/>
  </si>
  <si>
    <t xml:space="preserve">      A.   ESTIMATED STATE RECEIPTS </t>
  </si>
  <si>
    <t xml:space="preserve">             TOTAL</t>
  </si>
  <si>
    <t>OTHER EXPEND.:  SUB-TOTAL</t>
  </si>
  <si>
    <t>TRUST FUND CLERK</t>
  </si>
  <si>
    <t xml:space="preserve">   SALARY</t>
  </si>
  <si>
    <t>Art 14</t>
  </si>
  <si>
    <t xml:space="preserve">           5.  TOTAL CHERRY SHEET OFFSETS (CS1-ER)</t>
  </si>
  <si>
    <t xml:space="preserve">           6.  REVENUE DEFICITS</t>
  </si>
  <si>
    <t xml:space="preserve">       DEBT SERVICE</t>
  </si>
  <si>
    <t>BANK DISCLOSURE ISSUE COST</t>
  </si>
  <si>
    <t>TOWN WEBSITE/CABLE ADVISORY</t>
  </si>
  <si>
    <t xml:space="preserve">CABLE ADVISORY </t>
  </si>
  <si>
    <t>PUBLIC SAFETY:  SUB-TOTAL</t>
  </si>
  <si>
    <t>EDUCATION:   ELEMENTARY SCHS</t>
  </si>
  <si>
    <t xml:space="preserve">           7.  OFFSET RECEIPTS DEFICITS (CH.44, S53E)</t>
  </si>
  <si>
    <t xml:space="preserve">  .GENERAL ADMINISTRATION</t>
  </si>
  <si>
    <t xml:space="preserve">  .INSTRUCTIONAL SALARIES</t>
  </si>
  <si>
    <t>ASSESSORS</t>
  </si>
  <si>
    <t>(A)</t>
  </si>
  <si>
    <t>(B)</t>
  </si>
  <si>
    <t>(C)</t>
  </si>
  <si>
    <t>(D)</t>
  </si>
  <si>
    <t>(E)</t>
  </si>
  <si>
    <t>(F)</t>
  </si>
  <si>
    <t>(G)</t>
  </si>
  <si>
    <t>(H)</t>
  </si>
  <si>
    <t xml:space="preserve">      Retained Earnings Appropriated</t>
  </si>
  <si>
    <t xml:space="preserve">         TOTAL:   LINES 1 - 10</t>
  </si>
  <si>
    <t xml:space="preserve">  C.  STATE AND COUNTY ASSESSMENTS</t>
  </si>
  <si>
    <t xml:space="preserve">           9.  SNOW AND ICE DEFICIT (CH.44, S31D)</t>
  </si>
  <si>
    <t>BUDGET FISCALYEAR 2007 FIN COM PROJECTED</t>
  </si>
  <si>
    <t>SCHEDULE B-1</t>
  </si>
  <si>
    <t xml:space="preserve">        CH. 412</t>
  </si>
  <si>
    <t>DPW (TOWN'S SHARE)</t>
    <phoneticPr fontId="39" type="noConversion"/>
  </si>
  <si>
    <r>
      <t>T</t>
    </r>
    <r>
      <rPr>
        <b/>
        <i/>
        <sz val="8"/>
        <rFont val="Arial"/>
        <family val="2"/>
      </rPr>
      <t>OTAL</t>
    </r>
    <r>
      <rPr>
        <i/>
        <sz val="8"/>
        <rFont val="Arial"/>
        <family val="2"/>
      </rPr>
      <t>:</t>
    </r>
  </si>
  <si>
    <t>MULTIPURPOSE MUNIC REFUNDING 1/15/11</t>
    <phoneticPr fontId="39" type="noConversion"/>
  </si>
  <si>
    <t xml:space="preserve">  .INSTRUCTIONAL MATERIALS</t>
  </si>
  <si>
    <t xml:space="preserve"> AMOUNT</t>
  </si>
  <si>
    <t>PART I</t>
  </si>
  <si>
    <t xml:space="preserve">     ADD</t>
  </si>
  <si>
    <t>FROM THIS CERTIFICATION:</t>
  </si>
  <si>
    <t>WATER DEPT   ENTERPRISE OPERATING  BUDGET</t>
  </si>
  <si>
    <t>ANNUAL MASCONOMET REGIONAL SCH. DIST. ASSMT.</t>
  </si>
  <si>
    <t xml:space="preserve">  .FUEL AND POWER</t>
  </si>
  <si>
    <t xml:space="preserve">   SALARIES </t>
  </si>
  <si>
    <t xml:space="preserve">   WAGES </t>
  </si>
  <si>
    <t>TREASURER/COLLECTOR</t>
  </si>
  <si>
    <t>TEMP</t>
  </si>
  <si>
    <t xml:space="preserve">       TOTAL</t>
  </si>
  <si>
    <t xml:space="preserve">         AMOUNT TRANSFERED*</t>
  </si>
  <si>
    <t>ZONING BOARD OF APPEALS</t>
  </si>
  <si>
    <t>GENERAL GOVERN. :  SUB-TOTAL</t>
  </si>
  <si>
    <t>To Recap Summary IIA</t>
  </si>
  <si>
    <t>PUBLIC SAFETY</t>
  </si>
  <si>
    <t>POLICE DEPARTMENT</t>
  </si>
  <si>
    <t>SUBTRACT FREE CASH APPROPRIATED</t>
  </si>
  <si>
    <t>FISCAL 15</t>
    <phoneticPr fontId="39" type="noConversion"/>
  </si>
  <si>
    <t>FISCAL 16</t>
    <phoneticPr fontId="39" type="noConversion"/>
  </si>
  <si>
    <t>From Recap Summary Free Cash to Reduce Tax Levy</t>
  </si>
  <si>
    <t>FY15GDSEXP</t>
    <phoneticPr fontId="39" type="noConversion"/>
  </si>
  <si>
    <t>FY16DSEXC</t>
    <phoneticPr fontId="39" type="noConversion"/>
  </si>
  <si>
    <t>FY16NEDS</t>
    <phoneticPr fontId="39" type="noConversion"/>
  </si>
  <si>
    <t>Change Log:</t>
  </si>
  <si>
    <t xml:space="preserve">        ESSEX RETIREMENT</t>
  </si>
  <si>
    <t xml:space="preserve">        TOTAL</t>
  </si>
  <si>
    <t xml:space="preserve">   INSURANCE</t>
  </si>
  <si>
    <t xml:space="preserve">  UNEMPLOYMENT</t>
  </si>
  <si>
    <t>Masconomet Design  Renov/Expan</t>
  </si>
  <si>
    <t>PLANNING BOARD</t>
  </si>
  <si>
    <t>following Nina</t>
    <phoneticPr fontId="39" type="noConversion"/>
  </si>
  <si>
    <t xml:space="preserve">   SPECIAL MAINTENANCE FUND</t>
  </si>
  <si>
    <t xml:space="preserve">   DEBT SVS LONG-TERM DEBT PRIN.</t>
  </si>
  <si>
    <t xml:space="preserve">  DEBT SVS LONG-TERM DEBT INT.</t>
  </si>
  <si>
    <t xml:space="preserve">   DEBT SVS INT. FOR TEMP. LOANS</t>
  </si>
  <si>
    <t xml:space="preserve">   RESERVE FUND</t>
  </si>
  <si>
    <t xml:space="preserve">     D1   FREE CASH TO REDUCE TAX LEVY</t>
  </si>
  <si>
    <t xml:space="preserve">       MULTIPURPOSE  MARCH 2002</t>
  </si>
  <si>
    <t xml:space="preserve">  .SPECIAL NEEDS</t>
  </si>
  <si>
    <t>Proof</t>
  </si>
  <si>
    <t>CULTURE &amp; REC. : SUB-TOTAL</t>
  </si>
  <si>
    <t>DEBT SERVICE</t>
  </si>
  <si>
    <t>LONG-TERM DEBT PRINCIPAL</t>
  </si>
  <si>
    <t xml:space="preserve">      TOWN MAPS/ELEM. SCH RENOVA.     </t>
  </si>
  <si>
    <t>FISCAL 13</t>
  </si>
  <si>
    <t>(SEE BELOW)</t>
  </si>
  <si>
    <t>P</t>
  </si>
  <si>
    <t>*a</t>
  </si>
  <si>
    <t>TOWN HALL</t>
  </si>
  <si>
    <t xml:space="preserve">    MULTIPURPOSE REFUNDING 2012</t>
  </si>
  <si>
    <t xml:space="preserve">Q3 </t>
  </si>
  <si>
    <t>Art 16</t>
  </si>
  <si>
    <t xml:space="preserve"> Appropriate</t>
  </si>
  <si>
    <t>Free Cash</t>
  </si>
  <si>
    <t>Available</t>
  </si>
  <si>
    <t xml:space="preserve">      Other Enterprise Available Funds</t>
  </si>
  <si>
    <t xml:space="preserve">     b.  Costs appropriated in the general fund</t>
  </si>
  <si>
    <t>(Also referred to as</t>
  </si>
  <si>
    <t>ELEM. SCHOOLS: SUB-TOTAL</t>
  </si>
  <si>
    <t xml:space="preserve">          PUBLIC WORKS &amp; FACILITIES</t>
  </si>
  <si>
    <t xml:space="preserve">      c.  Trust Funds</t>
  </si>
  <si>
    <t xml:space="preserve">      d.   Solid Waste Funds (C&amp;D)</t>
  </si>
  <si>
    <t xml:space="preserve">      e.  DEA Self Help Grant</t>
  </si>
  <si>
    <t xml:space="preserve">(**)  ADJUSTMENTS: </t>
  </si>
  <si>
    <t xml:space="preserve">  .BLDG OPER. &amp; MAINTENANCE</t>
  </si>
  <si>
    <t xml:space="preserve">                ELEMENTARY SCHS  RENOV</t>
  </si>
  <si>
    <t>FY13 NEDSV</t>
    <phoneticPr fontId="39" type="noConversion"/>
  </si>
  <si>
    <t>FY13GDSEXP</t>
    <phoneticPr fontId="39" type="noConversion"/>
  </si>
  <si>
    <t>FY14DSEXC</t>
    <phoneticPr fontId="39" type="noConversion"/>
  </si>
  <si>
    <t>FY14NEDS</t>
    <phoneticPr fontId="39" type="noConversion"/>
  </si>
  <si>
    <t xml:space="preserve">                PROCTOR SCHOOL BOILER</t>
  </si>
  <si>
    <t xml:space="preserve">                ELEMENTARY SCHS  RENOV&amp; ADD</t>
  </si>
  <si>
    <t xml:space="preserve">                TOWN HALL REMODELLING</t>
  </si>
  <si>
    <t xml:space="preserve">EXCLUDED </t>
  </si>
  <si>
    <t>OF EXCLUSION</t>
  </si>
  <si>
    <t>NOTE/BOND</t>
  </si>
  <si>
    <t>Appropriations</t>
  </si>
  <si>
    <t>TRI-TOWN COUNCIL</t>
  </si>
  <si>
    <t>To Recap Summary, Part IIA - Other ATM War. Arts</t>
  </si>
  <si>
    <t xml:space="preserve"> SPECIAL TOWN MEETING </t>
  </si>
  <si>
    <t>FY06 NET</t>
  </si>
  <si>
    <t>FY06 GROSS</t>
  </si>
  <si>
    <t>III.  ESTIMATED RECEIPTS &amp; OTHER REVENUE SOURCES:</t>
  </si>
  <si>
    <t>DE</t>
    <phoneticPr fontId="39" type="noConversion"/>
  </si>
  <si>
    <t>TRITOWN COUNCIL ADJUSTMENT COUNSELOR</t>
  </si>
  <si>
    <t>FY-2017</t>
    <phoneticPr fontId="39" type="noConversion"/>
  </si>
  <si>
    <t>FY16 NEDSV</t>
    <phoneticPr fontId="39" type="noConversion"/>
  </si>
  <si>
    <t>FY16GDSEXP</t>
    <phoneticPr fontId="39" type="noConversion"/>
  </si>
  <si>
    <t>FY17DSEXC</t>
    <phoneticPr fontId="39" type="noConversion"/>
  </si>
  <si>
    <t>FY17NEDS</t>
    <phoneticPr fontId="39" type="noConversion"/>
  </si>
  <si>
    <t>Projected 2017</t>
    <phoneticPr fontId="39" type="noConversion"/>
  </si>
  <si>
    <t>ACTUAL</t>
    <phoneticPr fontId="39" type="noConversion"/>
  </si>
  <si>
    <t>FY-2017</t>
    <phoneticPr fontId="39" type="noConversion"/>
  </si>
  <si>
    <t>MULTIPURPOSE 2015+2016 Principal Paydown</t>
    <phoneticPr fontId="39" type="noConversion"/>
  </si>
  <si>
    <t>MULTIPURPOSE 2012</t>
    <phoneticPr fontId="39" type="noConversion"/>
  </si>
  <si>
    <t>FY2015</t>
    <phoneticPr fontId="39" type="noConversion"/>
  </si>
  <si>
    <t>Tri-town Council</t>
    <phoneticPr fontId="39" type="noConversion"/>
  </si>
  <si>
    <t>Senior Care</t>
    <phoneticPr fontId="39" type="noConversion"/>
  </si>
  <si>
    <t xml:space="preserve">    SALARIES</t>
  </si>
  <si>
    <t xml:space="preserve">    WAGES</t>
  </si>
  <si>
    <t xml:space="preserve">   SERVICES</t>
  </si>
  <si>
    <t xml:space="preserve">   OTHER</t>
  </si>
  <si>
    <t xml:space="preserve">   TOTAL</t>
  </si>
  <si>
    <t>DEBT SERVICE:  SUB-TOTAL</t>
  </si>
  <si>
    <t>OTHER EXPENDITURES</t>
  </si>
  <si>
    <t>ADJUSTMENTS</t>
  </si>
  <si>
    <t>VOTE</t>
  </si>
  <si>
    <t>PER PURPOSES</t>
  </si>
  <si>
    <t>(T/P)</t>
  </si>
  <si>
    <t xml:space="preserve">          Reserve Fund</t>
  </si>
  <si>
    <t xml:space="preserve">DATE/PURPOSE(S) </t>
  </si>
  <si>
    <t>ISSUANCE</t>
  </si>
  <si>
    <t>OR</t>
  </si>
  <si>
    <t xml:space="preserve">           8.  AUTHORIZED DEFERRAL OF TEACHERS' PAY</t>
  </si>
  <si>
    <t>FIRE DEPARTMENT</t>
  </si>
  <si>
    <t>AMBULANCE SERVICE</t>
  </si>
  <si>
    <t xml:space="preserve">         10.  OTHER</t>
  </si>
  <si>
    <t xml:space="preserve">  Total of Col (b) Total Revenue and Available Funds to Recap Summary, Part III, B3.</t>
  </si>
  <si>
    <t xml:space="preserve">     B1.  ESTIMATED LOCAL RECEIPTS (SCHEDULE A)</t>
  </si>
  <si>
    <t xml:space="preserve">     B3.  ENTERPRISE FUNDS (SCHEDULE A-2)</t>
  </si>
  <si>
    <t>ART.</t>
  </si>
  <si>
    <t>of Each</t>
  </si>
  <si>
    <t>(Tax Levy)</t>
  </si>
  <si>
    <t>22.  MISCELLANEOUS RECURRING</t>
    <phoneticPr fontId="39" type="noConversion"/>
  </si>
  <si>
    <t>23.  MISCELLANEOUS NON RECURRING</t>
    <phoneticPr fontId="39" type="noConversion"/>
  </si>
  <si>
    <t>21.  MEDICAID REIMBURSEMENT (insert 11/2014)</t>
    <phoneticPr fontId="39" type="noConversion"/>
  </si>
  <si>
    <t>Multipurpose Municipal FY15 Paydown</t>
    <phoneticPr fontId="39" type="noConversion"/>
  </si>
  <si>
    <t>MULTIPURPOSE 2015</t>
    <phoneticPr fontId="39" type="noConversion"/>
  </si>
  <si>
    <t>INTEREST FOR TEMPORARY LOANS</t>
  </si>
  <si>
    <t>f. Adjustments as result of new debt issue applicable portion of premium</t>
  </si>
  <si>
    <t>EXCLUDED</t>
  </si>
  <si>
    <t>DEBT</t>
  </si>
  <si>
    <t>(*)</t>
  </si>
  <si>
    <t>REIMBURSEMENTS/</t>
  </si>
  <si>
    <t>FY13 numbers from Nina</t>
    <phoneticPr fontId="39" type="noConversion"/>
  </si>
  <si>
    <t>PERM</t>
  </si>
  <si>
    <t>SERVICE</t>
  </si>
  <si>
    <t>(**)</t>
  </si>
  <si>
    <t xml:space="preserve">      1. Prior Year's Interest Not Included</t>
  </si>
  <si>
    <t>BALLOT VOTE</t>
  </si>
  <si>
    <t xml:space="preserve">ORIGINAL </t>
  </si>
  <si>
    <t>1/12/2016, 1/25/16</t>
    <phoneticPr fontId="39" type="noConversion"/>
  </si>
  <si>
    <t>2017</t>
  </si>
  <si>
    <t>FY-2018</t>
  </si>
  <si>
    <t>BUDGET FISCAL 2018</t>
  </si>
  <si>
    <t>Source is Fiscal 2017 Recap Sheet</t>
  </si>
  <si>
    <t>3.  FY 2016 RECAP</t>
  </si>
  <si>
    <t>4.  FY 2017 RECAP</t>
  </si>
  <si>
    <t>FY17 NEDSV</t>
  </si>
  <si>
    <t>FY17GDSEXP</t>
  </si>
  <si>
    <t>FY18DSEXC</t>
  </si>
  <si>
    <t>FY18NEDS</t>
  </si>
  <si>
    <t>Projected 2018</t>
  </si>
  <si>
    <t>Debt schedue for Masco is a hard number …where is the schedule?</t>
  </si>
  <si>
    <t>why the adjusment of 9K +1,931</t>
  </si>
  <si>
    <t>where is the pumper?  I left it off.</t>
  </si>
  <si>
    <t>FISCAL 18</t>
  </si>
  <si>
    <t>277K just to hold space</t>
  </si>
  <si>
    <t>WATER MAINS IPSWICH RD 2010 1/15/11</t>
  </si>
  <si>
    <t>Town Hall Building project</t>
  </si>
  <si>
    <t>"Memo FY18 Lib Loan Subsidy"  This is the last year, 64,000</t>
  </si>
  <si>
    <t>Approved</t>
  </si>
  <si>
    <t>Mass DOT Contracts - Authorization to spend for Chapter 90 Projects</t>
  </si>
  <si>
    <t>RESERVE</t>
  </si>
  <si>
    <t xml:space="preserve">STORM WATER </t>
  </si>
  <si>
    <t>Remodel Interest</t>
  </si>
  <si>
    <t>Authorization to Transfer Balances</t>
  </si>
  <si>
    <t>FY17 NET</t>
  </si>
  <si>
    <t>FY17 GROSS</t>
  </si>
  <si>
    <t xml:space="preserve">FY18 GROSS </t>
  </si>
  <si>
    <t>FY18 NET</t>
  </si>
  <si>
    <t>Last Payment 2018</t>
  </si>
  <si>
    <r>
      <t xml:space="preserve">   </t>
    </r>
    <r>
      <rPr>
        <b/>
        <sz val="10"/>
        <rFont val="Arial"/>
        <family val="2"/>
      </rPr>
      <t>CAPITAL (LEASES)</t>
    </r>
  </si>
  <si>
    <r>
      <t xml:space="preserve">   </t>
    </r>
    <r>
      <rPr>
        <b/>
        <sz val="10"/>
        <rFont val="Arial"/>
        <family val="2"/>
      </rPr>
      <t>TOTAL</t>
    </r>
  </si>
  <si>
    <t>no change</t>
  </si>
  <si>
    <t>Ins</t>
  </si>
  <si>
    <t>elem</t>
  </si>
  <si>
    <t>masco</t>
  </si>
  <si>
    <t>voc tech</t>
  </si>
  <si>
    <t>FIRE RESCUE VEHICLE</t>
  </si>
  <si>
    <t>TOWN HALL ENVELOP</t>
  </si>
  <si>
    <t>FIRE LADDER TRUCK</t>
  </si>
  <si>
    <t>CATCH BASIN CLEANER</t>
  </si>
  <si>
    <t>PROCTOR / STEWARD PAINTING</t>
  </si>
  <si>
    <t>SCHOOL SIDEWALKS</t>
  </si>
  <si>
    <t>SCHOOL ROOF STUDY</t>
  </si>
  <si>
    <t>HVAC PLANNING</t>
  </si>
  <si>
    <t>TOWN HALL DESIGN/REMODELING</t>
  </si>
  <si>
    <t>Town Hall BAN</t>
  </si>
  <si>
    <t>School Roofs</t>
  </si>
  <si>
    <t>SUM</t>
  </si>
  <si>
    <t>WATER MAINS (WASHINGTON ST) 2019</t>
  </si>
  <si>
    <t>WATER TREATMENT PLANT PLANNING 2019</t>
  </si>
  <si>
    <t>FY-2019</t>
  </si>
  <si>
    <t>FY18 NEDSV</t>
  </si>
  <si>
    <t>FY19DSEXC</t>
  </si>
  <si>
    <t>FY19NEDS</t>
  </si>
  <si>
    <t>Debt and Interest for 9 items</t>
  </si>
  <si>
    <t>BAN</t>
  </si>
  <si>
    <t>Town Hall</t>
  </si>
  <si>
    <t>School Roof</t>
  </si>
  <si>
    <t>FY18GDSEXP</t>
  </si>
  <si>
    <t>RESERVE FUNDS</t>
  </si>
  <si>
    <t>SALARY RESERVE</t>
  </si>
  <si>
    <t>Donibristle Farm</t>
  </si>
  <si>
    <t>MULTIPURPOSE 2018</t>
  </si>
  <si>
    <t>Non Union</t>
  </si>
  <si>
    <t xml:space="preserve"> Union</t>
  </si>
  <si>
    <t>FY2019</t>
  </si>
  <si>
    <t>Masconomet</t>
  </si>
  <si>
    <t>NO RAISE</t>
  </si>
  <si>
    <t>FY18 w/</t>
  </si>
  <si>
    <t>dept  cat</t>
  </si>
  <si>
    <r>
      <t xml:space="preserve"> </t>
    </r>
    <r>
      <rPr>
        <sz val="7"/>
        <rFont val="Arial"/>
        <family val="2"/>
      </rPr>
      <t>.TRANSPORTATION REGULAR</t>
    </r>
  </si>
  <si>
    <t>changes</t>
  </si>
  <si>
    <t>Estimate</t>
  </si>
  <si>
    <t>FY19</t>
  </si>
  <si>
    <t>EST</t>
  </si>
  <si>
    <t>Town Hall BAN  II</t>
  </si>
  <si>
    <t>MULTIPURPOSE MUNIC REFUNDING 2012</t>
  </si>
  <si>
    <t>FISCAL19</t>
  </si>
  <si>
    <t>FISCAL 19</t>
  </si>
  <si>
    <t>total</t>
  </si>
  <si>
    <t>MULITPURPOSE FY 2017</t>
  </si>
  <si>
    <t>MULTIPURPOSE MUNICIPAL 2017</t>
  </si>
  <si>
    <t>BAN (150 days in FY19)</t>
  </si>
  <si>
    <t>BAN (359 days in FY19)</t>
  </si>
  <si>
    <t>Capitalization Stabilization Fund</t>
  </si>
  <si>
    <t>cable/peg, Conservation, Solid Waste, red of fut excludable debt</t>
  </si>
  <si>
    <t>LANDFILL</t>
  </si>
  <si>
    <t>Notes</t>
  </si>
  <si>
    <t xml:space="preserve">          PUBLIC SAFETY</t>
  </si>
  <si>
    <t>NOTES: Budget comparisons adjusted to compensate for excluded</t>
  </si>
  <si>
    <t>OPERATING  BUDGET</t>
  </si>
  <si>
    <t>FY2020</t>
  </si>
  <si>
    <t>Actual</t>
  </si>
  <si>
    <t xml:space="preserve">EST </t>
  </si>
  <si>
    <t>MULTIPURPOSE 2020</t>
  </si>
  <si>
    <t>removed $233  from column I</t>
  </si>
  <si>
    <t xml:space="preserve">Masconomet Debt </t>
  </si>
  <si>
    <t>Principal</t>
  </si>
  <si>
    <t>Interest</t>
  </si>
  <si>
    <t>SBAB Reimbursement</t>
  </si>
  <si>
    <t xml:space="preserve">Town Hall </t>
  </si>
  <si>
    <t>FY19 NEDSV</t>
  </si>
  <si>
    <t>FY19GDSEXP</t>
  </si>
  <si>
    <t>FY20DSEXC</t>
  </si>
  <si>
    <t>FY20NEDS</t>
  </si>
  <si>
    <t>FY19 NET</t>
  </si>
  <si>
    <t>FY19 GROSS</t>
  </si>
  <si>
    <t xml:space="preserve">FY20 GROSS </t>
  </si>
  <si>
    <t>FY20 NET</t>
  </si>
  <si>
    <t>Masconomet Topsfield Share</t>
  </si>
  <si>
    <t>Town Hall  FY20</t>
  </si>
  <si>
    <t>School Roof FY20</t>
  </si>
  <si>
    <t>BAN (EST)</t>
  </si>
  <si>
    <t>FY-2020</t>
  </si>
  <si>
    <t xml:space="preserve"> 500K Donibristle DE/override</t>
  </si>
  <si>
    <t>MULTIPURPOSE 2019</t>
  </si>
  <si>
    <t>Fincom</t>
  </si>
  <si>
    <t>WATER PLANT</t>
  </si>
  <si>
    <t>TRANSFERS TO FUNDS</t>
  </si>
  <si>
    <t xml:space="preserve"> COMPENSATED ABSENSES</t>
  </si>
  <si>
    <t xml:space="preserve"> POLICE/FIRE INDEMNITY</t>
  </si>
  <si>
    <t>FISCAL20</t>
  </si>
  <si>
    <t>10 yr CAGR</t>
  </si>
  <si>
    <t>5 yr CAGR</t>
  </si>
  <si>
    <t>TOTAL Town Salary &amp; wages</t>
  </si>
  <si>
    <t>Elementary Schools</t>
  </si>
  <si>
    <t>Maconomet Stabilization Fund</t>
  </si>
  <si>
    <t>FIN.COM PROJECTED 2020</t>
  </si>
  <si>
    <t>POLICE SUV CRUISER</t>
  </si>
  <si>
    <t>WATER SYSTEM IMPROVEMENTS</t>
  </si>
  <si>
    <t>WATER METER READING SYSTEM UPGRADES</t>
  </si>
  <si>
    <t>NORTH STREET EXPLORATORY DRILLING</t>
  </si>
  <si>
    <t>HIGHWAY FRONT END LOADER</t>
  </si>
  <si>
    <t>TOWN HALL WORK STATIONS</t>
  </si>
  <si>
    <t>FIRE RESCUE VEHICLE REPLACEMENT</t>
  </si>
  <si>
    <t>ELEMENTARY SCHOOLS SURVEILLANCE &amp; SECURITY SYSTEMS</t>
  </si>
  <si>
    <t>REVOLVING FUNDS: PUBLIC HALL REVOLVING FUND</t>
  </si>
  <si>
    <t xml:space="preserve">OTHER POST EMPLOYMENT BENEFITS </t>
  </si>
  <si>
    <t>GRANT AUTHORIZATION FOR TOWN PROJECTS</t>
  </si>
  <si>
    <t>POLICE CHIEF SEARCH PROCESS &amp; ASSESSMENT CENTER</t>
  </si>
  <si>
    <t xml:space="preserve">REVOKE SOLID WASTE ENTERPRISE FUND </t>
  </si>
  <si>
    <t xml:space="preserve">RESCIND PRIOR YEAR BOND AUTHORIZATION  </t>
  </si>
  <si>
    <t>ROAD REPAIRS TO PROSPECT STREET AND RIVER ROAD</t>
  </si>
  <si>
    <t>PEG Access</t>
  </si>
  <si>
    <t>FY 20/19</t>
  </si>
  <si>
    <t xml:space="preserve">Multipurpose 2019 </t>
  </si>
  <si>
    <t>Total Town Hall &amp; School Roofs BAN</t>
  </si>
  <si>
    <t>FY2021</t>
  </si>
  <si>
    <t>FY-2021</t>
  </si>
  <si>
    <t xml:space="preserve">     MUNI BOND November 21, 2019</t>
  </si>
  <si>
    <t>SCHOOL ROOF</t>
  </si>
  <si>
    <t>MUNI BOND November 21, 2019</t>
  </si>
  <si>
    <t>Water Treatment Plant</t>
  </si>
  <si>
    <t>Water Mains Project</t>
  </si>
  <si>
    <t>WATER TREATMENT (Mar-May 2019)</t>
  </si>
  <si>
    <t>Water Treatment Plant Nov 2019</t>
  </si>
  <si>
    <t>Water Mains Project Nov 2019</t>
  </si>
  <si>
    <t>MULTIPUPRPOSE 2020</t>
  </si>
  <si>
    <t>FY20 GROSS</t>
  </si>
  <si>
    <t xml:space="preserve">FY21 GROSS </t>
  </si>
  <si>
    <t>FY21 NET</t>
  </si>
  <si>
    <t>FY20 NEDSV</t>
  </si>
  <si>
    <t>FY21DSEXC</t>
  </si>
  <si>
    <t>FY21NEDS</t>
  </si>
  <si>
    <t>Projected 2021</t>
  </si>
  <si>
    <t>Projected 2019</t>
  </si>
  <si>
    <t>Multipurpose 2020</t>
  </si>
  <si>
    <t>Town Hall Remodelling</t>
  </si>
  <si>
    <t>NEW CAPITAL</t>
  </si>
  <si>
    <t>ANNUAL ESSEX NORTH SHORE AG/Tech SCH DIST ASSM.</t>
  </si>
  <si>
    <t>Tri-town Council</t>
  </si>
  <si>
    <t>Senior Care</t>
  </si>
  <si>
    <t>TOWN FACILITIES REPAIR AND MAINTENANCE FUND</t>
  </si>
  <si>
    <t>ELEMENTARY SCHOOLS END-USER TECHNOLOGY</t>
  </si>
  <si>
    <t>Security Cameras</t>
  </si>
  <si>
    <t>LIBRARY MAINTENANCE &amp; ROOFING REPAIRS</t>
  </si>
  <si>
    <t>General Stabilization</t>
  </si>
  <si>
    <t>FY 2020</t>
  </si>
  <si>
    <t>Masco and Elementary increases</t>
  </si>
  <si>
    <t>General Stabilization Fund</t>
  </si>
  <si>
    <t>Capital Stabilization Fund</t>
  </si>
  <si>
    <t>Other Post Employment Benefits ("OPEB Trust Fund")</t>
  </si>
  <si>
    <t>A1. OVERLAY SURPLUS for ALLOWANCE FOR ABATEMENT</t>
  </si>
  <si>
    <t xml:space="preserve">Short Term Interest BAN </t>
  </si>
  <si>
    <t>FY2022</t>
  </si>
  <si>
    <t>FY-2022</t>
  </si>
  <si>
    <t>Pol wag</t>
  </si>
  <si>
    <t>Fire wag</t>
  </si>
  <si>
    <t>Local Recpt</t>
  </si>
  <si>
    <t>State Recpt</t>
  </si>
  <si>
    <t>FY22DSEXC</t>
  </si>
  <si>
    <t>FY22NEDS</t>
  </si>
  <si>
    <t>FY21 NEDSV</t>
  </si>
  <si>
    <t>FY21GDSEXP</t>
  </si>
  <si>
    <t>General Stabilization fund is 25,000    vs 225,000</t>
  </si>
  <si>
    <t>New capital 300,000</t>
  </si>
  <si>
    <t>Free cash starts at 1.6M  ends at 0.75M</t>
  </si>
  <si>
    <t>Uncompensated absences are still Warrant articles</t>
  </si>
  <si>
    <t>Salary reserve is 50,000 vs 85,000</t>
  </si>
  <si>
    <t>Overlay surpluss is 0   vs 100,000</t>
  </si>
  <si>
    <t>or new line items FY vs FY budget categories.</t>
  </si>
  <si>
    <t>FY2018</t>
  </si>
  <si>
    <t>FY22 NET</t>
  </si>
  <si>
    <t xml:space="preserve">FY22 GROSS </t>
  </si>
  <si>
    <t>FY21 GROSS</t>
  </si>
  <si>
    <t>DPW (TOWN'S SHARE)</t>
  </si>
  <si>
    <t>FIRE EQUIPMENT</t>
  </si>
  <si>
    <t>FY21</t>
  </si>
  <si>
    <t>FY22</t>
  </si>
  <si>
    <t>24.  SRO reimb Masco, Fire permit, Flu clinic</t>
  </si>
  <si>
    <t>RECREATION</t>
  </si>
  <si>
    <t>FY2023</t>
  </si>
  <si>
    <t>25 Ambulance Insurance collections</t>
  </si>
  <si>
    <t>FY-2023</t>
  </si>
  <si>
    <t>PRJ. 2023+/- 2022</t>
  </si>
  <si>
    <t>1 Elementary school budget</t>
  </si>
  <si>
    <t>line items shifted in and out of Hwy.</t>
  </si>
  <si>
    <t>$1 lower than omni</t>
  </si>
  <si>
    <t>Facilities repair</t>
  </si>
  <si>
    <t>begin capital here</t>
  </si>
  <si>
    <t>Public works dump truck</t>
  </si>
  <si>
    <t>Codification of bylaws</t>
  </si>
  <si>
    <t>Vote</t>
  </si>
  <si>
    <t>Date</t>
  </si>
  <si>
    <t>BASE</t>
  </si>
  <si>
    <t>OVER</t>
  </si>
  <si>
    <t xml:space="preserve"> Budget</t>
  </si>
  <si>
    <t>Blank = "Budget"</t>
  </si>
  <si>
    <t>Blank =</t>
  </si>
  <si>
    <t/>
  </si>
  <si>
    <t>ANNUAL MASCONOMET REGIONAL SCH. DIST. ASSMT</t>
  </si>
  <si>
    <t>ELEMENTARY</t>
  </si>
  <si>
    <t>MASCO</t>
  </si>
  <si>
    <t>WATER</t>
  </si>
  <si>
    <t>FILTER</t>
  </si>
  <si>
    <t>Hide</t>
  </si>
  <si>
    <t>Mh Index</t>
  </si>
  <si>
    <t>x</t>
  </si>
  <si>
    <t>Index</t>
  </si>
  <si>
    <t>7-0</t>
  </si>
  <si>
    <t>Consultant for master plan</t>
  </si>
  <si>
    <t>FY-2024</t>
  </si>
  <si>
    <t>FY22 NEDSV</t>
  </si>
  <si>
    <t>FY22GDSEXP</t>
  </si>
  <si>
    <t>FY23DSEXC</t>
  </si>
  <si>
    <t>FY23NEDS</t>
  </si>
  <si>
    <t>FY23 NEDSV</t>
  </si>
  <si>
    <t>FY23GDSEXP</t>
  </si>
  <si>
    <t>FY24DSEXC</t>
  </si>
  <si>
    <t>FY24NEDS</t>
  </si>
  <si>
    <t>FY2024</t>
  </si>
  <si>
    <t>TRASH</t>
  </si>
  <si>
    <t xml:space="preserve">FREE CASH TO OFFSET THE TAX RATE  </t>
  </si>
  <si>
    <t>off</t>
  </si>
  <si>
    <t>FY24 NET</t>
  </si>
  <si>
    <t>Subtotal function</t>
  </si>
  <si>
    <t>GAS DISTRUTION</t>
  </si>
  <si>
    <t>OTHER</t>
  </si>
  <si>
    <t>FY 2024 TO FY 2023</t>
  </si>
  <si>
    <t>non GASB</t>
  </si>
  <si>
    <t>Changes</t>
  </si>
  <si>
    <r>
      <rPr>
        <b/>
        <sz val="10"/>
        <rFont val="Times New Roman"/>
        <family val="1"/>
      </rPr>
      <t>Oct '14</t>
    </r>
  </si>
  <si>
    <r>
      <rPr>
        <b/>
        <sz val="10"/>
        <rFont val="Times New Roman"/>
        <family val="1"/>
      </rPr>
      <t>Oct '15</t>
    </r>
  </si>
  <si>
    <r>
      <rPr>
        <b/>
        <sz val="10"/>
        <rFont val="Times New Roman"/>
        <family val="1"/>
      </rPr>
      <t>Oct '16</t>
    </r>
  </si>
  <si>
    <r>
      <rPr>
        <b/>
        <sz val="10"/>
        <rFont val="Times New Roman"/>
        <family val="1"/>
      </rPr>
      <t>Oct '17</t>
    </r>
  </si>
  <si>
    <r>
      <rPr>
        <b/>
        <sz val="10"/>
        <rFont val="Times New Roman"/>
        <family val="1"/>
      </rPr>
      <t>Oct '18</t>
    </r>
  </si>
  <si>
    <r>
      <rPr>
        <b/>
        <sz val="10"/>
        <rFont val="Times New Roman"/>
        <family val="1"/>
      </rPr>
      <t>Oct '19</t>
    </r>
  </si>
  <si>
    <r>
      <rPr>
        <b/>
        <sz val="10"/>
        <rFont val="Times New Roman"/>
        <family val="1"/>
      </rPr>
      <t>Oct '20</t>
    </r>
  </si>
  <si>
    <r>
      <rPr>
        <b/>
        <sz val="10"/>
        <rFont val="Times New Roman"/>
        <family val="1"/>
      </rPr>
      <t>Oct '21</t>
    </r>
  </si>
  <si>
    <r>
      <rPr>
        <b/>
        <sz val="10"/>
        <rFont val="Times New Roman"/>
        <family val="1"/>
      </rPr>
      <t>Oct '22**</t>
    </r>
  </si>
  <si>
    <r>
      <rPr>
        <sz val="10"/>
        <rFont val="Times New Roman"/>
        <family val="1"/>
      </rPr>
      <t>Boxford</t>
    </r>
  </si>
  <si>
    <r>
      <rPr>
        <sz val="10"/>
        <rFont val="Times New Roman"/>
        <family val="1"/>
      </rPr>
      <t>Middleton</t>
    </r>
  </si>
  <si>
    <r>
      <rPr>
        <sz val="10"/>
        <rFont val="Times New Roman"/>
        <family val="1"/>
      </rPr>
      <t>Topsfield</t>
    </r>
  </si>
  <si>
    <r>
      <rPr>
        <sz val="10"/>
        <rFont val="Times New Roman"/>
        <family val="1"/>
      </rPr>
      <t>Total</t>
    </r>
  </si>
  <si>
    <t>October Resident Enrollments</t>
  </si>
  <si>
    <t>Oct'12</t>
  </si>
  <si>
    <t>Oct '13</t>
  </si>
  <si>
    <t>FY24</t>
  </si>
  <si>
    <t>Fiscal Year</t>
  </si>
  <si>
    <t>Count Date</t>
  </si>
  <si>
    <r>
      <rPr>
        <b/>
        <sz val="10"/>
        <rFont val="Times New Roman"/>
        <family val="1"/>
      </rPr>
      <t>Town</t>
    </r>
  </si>
  <si>
    <r>
      <rPr>
        <b/>
        <sz val="10"/>
        <rFont val="Times New Roman"/>
        <family val="1"/>
      </rPr>
      <t>FY14</t>
    </r>
  </si>
  <si>
    <r>
      <rPr>
        <b/>
        <sz val="10"/>
        <rFont val="Times New Roman"/>
        <family val="1"/>
      </rPr>
      <t>FY15</t>
    </r>
  </si>
  <si>
    <r>
      <rPr>
        <b/>
        <sz val="10"/>
        <rFont val="Times New Roman"/>
        <family val="1"/>
      </rPr>
      <t>FY16</t>
    </r>
  </si>
  <si>
    <r>
      <rPr>
        <b/>
        <sz val="10"/>
        <rFont val="Times New Roman"/>
        <family val="1"/>
      </rPr>
      <t>FY17</t>
    </r>
  </si>
  <si>
    <r>
      <rPr>
        <b/>
        <sz val="10"/>
        <rFont val="Times New Roman"/>
        <family val="1"/>
      </rPr>
      <t>FY18</t>
    </r>
  </si>
  <si>
    <r>
      <rPr>
        <b/>
        <sz val="10"/>
        <rFont val="Times New Roman"/>
        <family val="1"/>
      </rPr>
      <t>FY19</t>
    </r>
  </si>
  <si>
    <r>
      <rPr>
        <b/>
        <sz val="10"/>
        <rFont val="Times New Roman"/>
        <family val="1"/>
      </rPr>
      <t>FY20</t>
    </r>
  </si>
  <si>
    <r>
      <rPr>
        <b/>
        <sz val="10"/>
        <rFont val="Times New Roman"/>
        <family val="1"/>
      </rPr>
      <t>FY21</t>
    </r>
  </si>
  <si>
    <r>
      <rPr>
        <b/>
        <sz val="10"/>
        <rFont val="Times New Roman"/>
        <family val="1"/>
      </rPr>
      <t>FY22</t>
    </r>
  </si>
  <si>
    <r>
      <rPr>
        <b/>
        <sz val="10"/>
        <rFont val="Times New Roman"/>
        <family val="1"/>
      </rPr>
      <t>FY23</t>
    </r>
  </si>
  <si>
    <r>
      <rPr>
        <b/>
        <sz val="10"/>
        <rFont val="Times New Roman"/>
        <family val="1"/>
      </rPr>
      <t>FY23***</t>
    </r>
  </si>
  <si>
    <r>
      <rPr>
        <sz val="10"/>
        <rFont val="Times New Roman"/>
        <family val="1"/>
      </rPr>
      <t>Boxford</t>
    </r>
  </si>
  <si>
    <r>
      <rPr>
        <sz val="10"/>
        <rFont val="Times New Roman"/>
        <family val="1"/>
      </rPr>
      <t>Middleton</t>
    </r>
  </si>
  <si>
    <r>
      <rPr>
        <sz val="10"/>
        <rFont val="Times New Roman"/>
        <family val="1"/>
      </rPr>
      <t>Topsfield</t>
    </r>
  </si>
  <si>
    <t>Topsfield Calculation</t>
  </si>
  <si>
    <t>FY20</t>
  </si>
  <si>
    <t>FY23</t>
  </si>
  <si>
    <t>Operating Assessment</t>
  </si>
  <si>
    <t>Debt Assessment</t>
  </si>
  <si>
    <t>Masco Population change</t>
  </si>
  <si>
    <t>Topsfield Population Change</t>
  </si>
  <si>
    <t>Operating budget/pupil</t>
  </si>
  <si>
    <t>Police Cruisers</t>
  </si>
  <si>
    <t>Radios</t>
  </si>
  <si>
    <t>ambulance</t>
  </si>
  <si>
    <t>Storage Tank</t>
  </si>
  <si>
    <t>Water Meter</t>
  </si>
  <si>
    <t>Perkins pump station</t>
  </si>
  <si>
    <t>Playground</t>
  </si>
  <si>
    <t>Masco Turf fields</t>
  </si>
  <si>
    <t>Transfers</t>
  </si>
  <si>
    <t>include?</t>
  </si>
  <si>
    <t>Assessor 5 year recertification</t>
  </si>
  <si>
    <t>no</t>
  </si>
  <si>
    <t>G</t>
  </si>
  <si>
    <t>A</t>
  </si>
  <si>
    <t>Masco</t>
  </si>
  <si>
    <t>fy23</t>
  </si>
  <si>
    <t>New G.</t>
  </si>
  <si>
    <t>B</t>
  </si>
  <si>
    <t>C</t>
  </si>
  <si>
    <t>D</t>
  </si>
  <si>
    <t>E</t>
  </si>
  <si>
    <t>H</t>
  </si>
  <si>
    <t>Tops</t>
  </si>
  <si>
    <t>FY18</t>
  </si>
  <si>
    <t>OB Target</t>
  </si>
  <si>
    <t>OB Mod</t>
  </si>
  <si>
    <t>LEVEL FUNDED BUDGET</t>
  </si>
  <si>
    <t>INCREASE / DECREASES</t>
  </si>
  <si>
    <t>PROPOSED DEPT BUDGET</t>
  </si>
  <si>
    <t>% Change</t>
  </si>
  <si>
    <t>BOS / TA BUDGET</t>
  </si>
  <si>
    <t>BUDGET NOTES</t>
  </si>
  <si>
    <t>APPROPRIATION</t>
  </si>
  <si>
    <t>EXPENSES</t>
  </si>
  <si>
    <t>TA / SEL BUDGET</t>
  </si>
  <si>
    <t>EXPENSES
YTD 12/31/22</t>
  </si>
  <si>
    <t>MH Filters</t>
  </si>
  <si>
    <t>Prune?</t>
  </si>
  <si>
    <t xml:space="preserve">Optimize </t>
  </si>
  <si>
    <t>Over Budget</t>
  </si>
  <si>
    <t>satus 22</t>
  </si>
  <si>
    <t>calc 2022</t>
  </si>
  <si>
    <t>calc 2021</t>
  </si>
  <si>
    <t>calc 2020</t>
  </si>
  <si>
    <t>Calc 2019</t>
  </si>
  <si>
    <t>FY24 savings</t>
  </si>
  <si>
    <t>FINALIZED @ ATM</t>
  </si>
  <si>
    <t>TITLE</t>
  </si>
  <si>
    <t>MODERATOR</t>
  </si>
  <si>
    <t xml:space="preserve">     </t>
  </si>
  <si>
    <t>STIPEND</t>
  </si>
  <si>
    <t>LEVEL FUNDED</t>
  </si>
  <si>
    <t>Line</t>
  </si>
  <si>
    <t>not spent</t>
  </si>
  <si>
    <t xml:space="preserve">MODERATOR SALARY &amp; WAGES:  </t>
  </si>
  <si>
    <t>subtotal</t>
  </si>
  <si>
    <t xml:space="preserve">TOTAL MODERATOR:  </t>
  </si>
  <si>
    <t>dept total</t>
  </si>
  <si>
    <t>SELECT BOARD DEPARTMENT</t>
  </si>
  <si>
    <t xml:space="preserve">SEL SAL SELECT BOARD </t>
  </si>
  <si>
    <t xml:space="preserve">SEL SAL TOWN ADMINISTRATOR            </t>
  </si>
  <si>
    <t>KELLIE HEBERT NEW CONTRACT FY17-18-19</t>
  </si>
  <si>
    <t>Individual Employment Contract (EXPIRES 6/30/19)</t>
  </si>
  <si>
    <t>3 yr Contract Expires 06/30/19; Currently under negotiations</t>
  </si>
  <si>
    <t>Contractual - Town Adminstrator dated 12/9/19 - 6/30/22</t>
  </si>
  <si>
    <t>Existing contract 12/9/19 - 6/30/22; Contract signed 2/28/22</t>
  </si>
  <si>
    <t>SEL SAL PURCHASING &amp; PROJECT COORD</t>
  </si>
  <si>
    <t>Requesting change from Hourly to Salaried; FY19 Gr7/Step6</t>
  </si>
  <si>
    <t xml:space="preserve"> Personnel By-Laws - FY20 Grade 7 / Step 7 </t>
  </si>
  <si>
    <t xml:space="preserve"> Personnel By-Laws - FY22 Grade 7 / Step 8 </t>
  </si>
  <si>
    <r>
      <t xml:space="preserve"> Personnel By-Laws-FY23 G7/S8 (40hrs); </t>
    </r>
    <r>
      <rPr>
        <sz val="8"/>
        <color theme="1"/>
        <rFont val="Calibri"/>
        <family val="2"/>
        <scheme val="minor"/>
      </rPr>
      <t>Name Change</t>
    </r>
  </si>
  <si>
    <t xml:space="preserve">SEL SAL LONGEVITY                     </t>
  </si>
  <si>
    <t>Line item moved with change from Hourly to Salaried Employee</t>
  </si>
  <si>
    <t>Individual Retirement</t>
  </si>
  <si>
    <t>Cut</t>
  </si>
  <si>
    <t xml:space="preserve">SEL CAR ALLOWANCE                 </t>
  </si>
  <si>
    <t>CONTRACTUAL PER CONTRACT FY17-18-19</t>
  </si>
  <si>
    <t>SEL SAL SEVERANCE</t>
  </si>
  <si>
    <t>small sub</t>
  </si>
  <si>
    <t xml:space="preserve">SEL WAGE TA EXEC SECRETARY       </t>
  </si>
  <si>
    <t>DONNA RICH</t>
  </si>
  <si>
    <t>Requesting to change position from Hourly to Salaried</t>
  </si>
  <si>
    <t xml:space="preserve">SEL WAGE EXEC ASST           </t>
  </si>
  <si>
    <t>SUE WINSLOW</t>
  </si>
  <si>
    <t>Personnel By-Laws - FY19 NEW EMPLOYEE Grade 6 / Step 9</t>
  </si>
  <si>
    <t xml:space="preserve"> Personnel By-Laws - FY20 Grade 6 / Step 10 </t>
  </si>
  <si>
    <t xml:space="preserve"> Personnel By-Laws - FY22 Grade 6 / Step 11</t>
  </si>
  <si>
    <t>Personnel By-Laws - FY23 Grade 6 / Step 11 (40 hours)</t>
  </si>
  <si>
    <t>cut?</t>
  </si>
  <si>
    <t>SEL DIGITAL COMMUNICATION COORD</t>
  </si>
  <si>
    <r>
      <t xml:space="preserve">FY23 G6/S9 (5hrs SEL/3hrs PEG); </t>
    </r>
    <r>
      <rPr>
        <sz val="8"/>
        <color rgb="FFFF0000"/>
        <rFont val="Calibri"/>
        <family val="2"/>
        <scheme val="minor"/>
      </rPr>
      <t>Requesting add'l $8,413</t>
    </r>
  </si>
  <si>
    <t>override</t>
  </si>
  <si>
    <t>not appriated</t>
  </si>
  <si>
    <t>SEL WAGE MINUTES SECRETARY</t>
  </si>
  <si>
    <t>Requesting $2,125</t>
  </si>
  <si>
    <t xml:space="preserve"> Personnel By-Laws - FY22 G3 / S11;   REQUESTING ADD'L $1,081</t>
  </si>
  <si>
    <r>
      <t xml:space="preserve">Personnel By-Laws - FY23 G3/S11; </t>
    </r>
    <r>
      <rPr>
        <sz val="8"/>
        <color rgb="FFFF0000"/>
        <rFont val="Calibri"/>
        <family val="2"/>
        <scheme val="minor"/>
      </rPr>
      <t>Requesting add'l $552</t>
    </r>
  </si>
  <si>
    <t>SEL WAGE PBD/ZBD ADMINISTRATIVE ASST</t>
  </si>
  <si>
    <t>cut</t>
  </si>
  <si>
    <t>SEL WAGE WEBSITE STIPEND</t>
  </si>
  <si>
    <t xml:space="preserve">SEL WAGE OVERTIME                </t>
  </si>
  <si>
    <t xml:space="preserve">SEL WAGE LONGEVITY                     </t>
  </si>
  <si>
    <t>SELECT BOARD SALARY &amp; WAGES:</t>
  </si>
  <si>
    <t>EXPENSE</t>
  </si>
  <si>
    <t>SEL TRAVEL/TRAINING/CONF</t>
  </si>
  <si>
    <t xml:space="preserve">SEL TELE / COMMUNICATIONS                     </t>
  </si>
  <si>
    <t>MOVED TO TOWN HALL BUDGET</t>
  </si>
  <si>
    <t xml:space="preserve">SEL ANNL WAR/TWN RPT   </t>
  </si>
  <si>
    <t>Re-align of accounts; net = 0</t>
  </si>
  <si>
    <t xml:space="preserve">SEL POSTAGE                       </t>
  </si>
  <si>
    <t xml:space="preserve">SEL ADVERTISING                   </t>
  </si>
  <si>
    <t>SEL MISCELLANEOUS EXPENSE</t>
  </si>
  <si>
    <t xml:space="preserve">SEL PUBLICATIONS                  </t>
  </si>
  <si>
    <t xml:space="preserve">SEL DUES, PUB &amp; MMBRSHPS                       </t>
  </si>
  <si>
    <t>SELECT BOARD EXPENSES:</t>
  </si>
  <si>
    <t xml:space="preserve">TOTAL SELECT BOARD DEPARTMENT:  </t>
  </si>
  <si>
    <t>SELECT BOARD SPECIAL</t>
  </si>
  <si>
    <t xml:space="preserve">SSP  LEGAL SERVICES                                                     </t>
  </si>
  <si>
    <t xml:space="preserve">Requesting increase of $10,000; FCM APPROVED $5000 </t>
  </si>
  <si>
    <t xml:space="preserve">SSP  PROF SRVS - VARIOUS                                                       </t>
  </si>
  <si>
    <t>xxxxx</t>
  </si>
  <si>
    <t xml:space="preserve">SSP  PROF SRVS - ECONOMIC DEVELOP SRVS                                       </t>
  </si>
  <si>
    <r>
      <rPr>
        <strike/>
        <sz val="8"/>
        <color rgb="FFFF0000"/>
        <rFont val="Calibri"/>
        <family val="2"/>
        <scheme val="minor"/>
      </rPr>
      <t>Requesting add'l 10,000</t>
    </r>
    <r>
      <rPr>
        <sz val="8"/>
        <color rgb="FFFF0000"/>
        <rFont val="Calibri"/>
        <family val="2"/>
        <scheme val="minor"/>
      </rPr>
      <t xml:space="preserve">; </t>
    </r>
    <r>
      <rPr>
        <sz val="8"/>
        <rFont val="Calibri"/>
        <family val="2"/>
        <scheme val="minor"/>
      </rPr>
      <t>Request Withdrawn</t>
    </r>
  </si>
  <si>
    <t>SSP  TRAVEL/TRAINING/CONF</t>
  </si>
  <si>
    <t>LEVEL FUNDED DEPARTMENT</t>
  </si>
  <si>
    <t xml:space="preserve">SSP  PRKG CLK CONTRACTED SRVS </t>
  </si>
  <si>
    <t xml:space="preserve">SSP  UNFUNDED COMMITTEES           </t>
  </si>
  <si>
    <t>SPECIAL SELECT BOARD EXPENSES</t>
  </si>
  <si>
    <t xml:space="preserve">TOTAL SELECT BOARD SPECIAL:  </t>
  </si>
  <si>
    <t xml:space="preserve">FINANCE COMMITTEE:  </t>
  </si>
  <si>
    <t xml:space="preserve">FCM  WAGE MINUTE TAKER         </t>
  </si>
  <si>
    <t>JEN DAVIS FY18-G3/S7 based on 72hrs</t>
  </si>
  <si>
    <t>Based on 2 hr/wk 36 wks/yr; FY19 Gr 3 / Step 8</t>
  </si>
  <si>
    <t xml:space="preserve"> Personnel By-Laws - FY20 Grade 3 / Step 9 </t>
  </si>
  <si>
    <t xml:space="preserve"> Personnel By-Laws - FY22 Grade 3 / Step 10</t>
  </si>
  <si>
    <t xml:space="preserve"> Personnel By-Laws - FY23 Grade 3 / Step 10</t>
  </si>
  <si>
    <t xml:space="preserve">FINANCE COMMITTEE SALARY &amp; WAGES:  </t>
  </si>
  <si>
    <t xml:space="preserve">FCM  PRINTING                      </t>
  </si>
  <si>
    <t xml:space="preserve">FCM  ADVERTISING                   </t>
  </si>
  <si>
    <t xml:space="preserve">FCM  DUES, PUBL &amp; MMBRSHPS                          </t>
  </si>
  <si>
    <t xml:space="preserve">FCM  MISC EXPENSE                 </t>
  </si>
  <si>
    <t>FINANCE COMMITTEE EXPENSES:</t>
  </si>
  <si>
    <t>RESERVE FUND</t>
  </si>
  <si>
    <t>increase</t>
  </si>
  <si>
    <t xml:space="preserve">TOTAL FINANCE COMMITTEE:  </t>
  </si>
  <si>
    <t>dept total -fincomm</t>
  </si>
  <si>
    <t>ACCOUNTING DEPARTMENT</t>
  </si>
  <si>
    <t>ACT SAL TOWN ACCOUNTANT</t>
  </si>
  <si>
    <t>FY18-G10/S5</t>
  </si>
  <si>
    <t>Personnel By-Laws - FY19 Grade 10 / Step 06</t>
  </si>
  <si>
    <t xml:space="preserve"> Personnel By-Laws - FY20 Grade 10 / Step 7 </t>
  </si>
  <si>
    <t xml:space="preserve"> Personnel By-Laws - FY22 Grade 10 / Step 8</t>
  </si>
  <si>
    <t xml:space="preserve"> Personnel By-Laws - FY23 Grade 10 / Step 8 (40 hours)</t>
  </si>
  <si>
    <t>ACT SAL LONGEVITY</t>
  </si>
  <si>
    <t>prune</t>
  </si>
  <si>
    <t xml:space="preserve">ACT WAGE ASST TWN ACCT     </t>
  </si>
  <si>
    <t>FY18-G6/S4</t>
  </si>
  <si>
    <t>Personnel By-Laws - FY19 Grade 06 / Step 05</t>
  </si>
  <si>
    <t xml:space="preserve"> Personnel By-Laws - FY20 Grade 6 / Step 6 </t>
  </si>
  <si>
    <t xml:space="preserve"> Personnel By-Laws - FY22 G6 / S7;    ADD'L $9,397 INCLUDED</t>
  </si>
  <si>
    <t xml:space="preserve"> Personnel By-Laws - FY23 Grade 6 / Step 7 (40 hours)</t>
  </si>
  <si>
    <t>ACT WAGE LONGEVITY</t>
  </si>
  <si>
    <t>ACCOUNTING SALARY &amp; WAGES:</t>
  </si>
  <si>
    <t xml:space="preserve">ACT COMPUTER/PRINTER EXP                                       </t>
  </si>
  <si>
    <t xml:space="preserve">ACT AUDIT SRVS                                                                  </t>
  </si>
  <si>
    <t>CONTRACT SIGNED 7/13/15; RATE FOR FY17 YE; PAID IN FY18</t>
  </si>
  <si>
    <t>Requesting increase of $4,100; FCM APPROVED $4,100</t>
  </si>
  <si>
    <t>Last year of existing contract</t>
  </si>
  <si>
    <r>
      <rPr>
        <strike/>
        <sz val="8"/>
        <color rgb="FFFF0000"/>
        <rFont val="Calibri"/>
        <family val="2"/>
        <scheme val="minor"/>
      </rPr>
      <t>REQUESTING ADD'L $10,000</t>
    </r>
    <r>
      <rPr>
        <sz val="8"/>
        <color rgb="FFFF0000"/>
        <rFont val="Calibri"/>
        <family val="2"/>
        <scheme val="minor"/>
      </rPr>
      <t>; ADD'L $5,000 INCLUDED</t>
    </r>
  </si>
  <si>
    <t xml:space="preserve">ACT MTG/CONF/LICENSES             </t>
  </si>
  <si>
    <t>NESFOA 190, NOV 2@60, MAR 2@300, JUN 100 + 120 MTGS</t>
  </si>
  <si>
    <t xml:space="preserve">ACT POSTAGE                       </t>
  </si>
  <si>
    <t xml:space="preserve">ACT OFFICE SUPPLIES               </t>
  </si>
  <si>
    <t xml:space="preserve">ACT TRAVEL EXPENSES                       </t>
  </si>
  <si>
    <t>BASED ON ACTUAL COSTS IN FY16 &amp; FY17</t>
  </si>
  <si>
    <t xml:space="preserve">ACT DUES, PUBL &amp; MMBRSHPS                          </t>
  </si>
  <si>
    <t>FY17 RATES: EMMAAA $35, MGFOA $60, MMAAA $50 &amp; $45</t>
  </si>
  <si>
    <t>ACCOUNTING EXPENSES:</t>
  </si>
  <si>
    <t xml:space="preserve">TOTAL ACCOUNTING DEPARTMENT:  </t>
  </si>
  <si>
    <t>ASSESSOR'S DEPARTMENT</t>
  </si>
  <si>
    <t>ASR SAL ASSESSORS</t>
  </si>
  <si>
    <t>ASR SAL PRINC. ASSESSOR</t>
  </si>
  <si>
    <t>FY18-G9/S3</t>
  </si>
  <si>
    <t>Personnel By-Laws - FY19 Grade 09 / Step 04</t>
  </si>
  <si>
    <t xml:space="preserve"> Personnel By-Laws - FY20 Grade 9 / Step 5 </t>
  </si>
  <si>
    <t xml:space="preserve"> Personnel By-Laws - FY22 Grade 9 / Step 6 </t>
  </si>
  <si>
    <t xml:space="preserve"> Personnel By-Laws - FY23 Grade 9 / Step 6  (40 hours)</t>
  </si>
  <si>
    <t>ASR SAL LONGEVITY</t>
  </si>
  <si>
    <t xml:space="preserve">ASR WAGE ASST ASSESSOR            </t>
  </si>
  <si>
    <t>FY18-G6/S3</t>
  </si>
  <si>
    <t>Personnel By-Laws - FY19 Grade 06 / Step 04</t>
  </si>
  <si>
    <t xml:space="preserve"> Personnel By-Laws - FY20 Grade 6 / Step 5</t>
  </si>
  <si>
    <t xml:space="preserve"> Personnel By-Laws - FY22 Grade 6 / Step 6</t>
  </si>
  <si>
    <t xml:space="preserve"> Personnel By-Laws - FY23 Grade 6 / Step 5 (34 hours)  9/13/21</t>
  </si>
  <si>
    <t xml:space="preserve">ASR OVERTIME - ASST ASR           </t>
  </si>
  <si>
    <t>ASSESSOR SALARY &amp; WAGES:</t>
  </si>
  <si>
    <t>ASR PROF SRVS - CYCLICLE REINSPECTIONS</t>
  </si>
  <si>
    <t>Requesting $10,000</t>
  </si>
  <si>
    <t xml:space="preserve">ASR PROF SRVS - ATB / CONSULTING     </t>
  </si>
  <si>
    <t>Patriot Workplan proposal; $500 for pdf vs prop cards</t>
  </si>
  <si>
    <r>
      <rPr>
        <strike/>
        <sz val="8"/>
        <color rgb="FFFF0000"/>
        <rFont val="Calibri"/>
        <family val="2"/>
        <scheme val="minor"/>
      </rPr>
      <t>REQUESTING ADD'L $5,000</t>
    </r>
    <r>
      <rPr>
        <sz val="8"/>
        <color rgb="FFFF0000"/>
        <rFont val="Calibri"/>
        <family val="2"/>
        <scheme val="minor"/>
      </rPr>
      <t>; ADD'L $4,000 INCLUDED</t>
    </r>
  </si>
  <si>
    <t>ASR PROF SRVS - PATRIOT PROPERTIES</t>
  </si>
  <si>
    <t>MOVED FROM TWN-COMPUTER CONTRACT; Budget Impact=0</t>
  </si>
  <si>
    <t>ASR DEEDS</t>
  </si>
  <si>
    <t xml:space="preserve">ASR MAP UPDATING                  </t>
  </si>
  <si>
    <t xml:space="preserve">ASR MTG/CONF/LICENSES             </t>
  </si>
  <si>
    <t>See ASR TRAVEL EXPENSE</t>
  </si>
  <si>
    <t>ASR PHONE/COMMUNICATION</t>
  </si>
  <si>
    <t xml:space="preserve">ASR POSTAGE                       </t>
  </si>
  <si>
    <t xml:space="preserve">ASR ADVERTISING                   </t>
  </si>
  <si>
    <t xml:space="preserve">ASR OFFICE SUPPLIES               </t>
  </si>
  <si>
    <t xml:space="preserve">ASR PUBLICATIONS                  </t>
  </si>
  <si>
    <t>Reflects actual costs of M&amp;S &amp; MV reference publications</t>
  </si>
  <si>
    <t xml:space="preserve">ASR TRAVEL EXPENSES                                                        &amp; MEETINGS             </t>
  </si>
  <si>
    <t>See ASR MTG/CONF/LICENSES</t>
  </si>
  <si>
    <t xml:space="preserve">ASR DUES, PUBL &amp; MMBRSHPS </t>
  </si>
  <si>
    <t>Based on actual costs</t>
  </si>
  <si>
    <t>ASSESSOR EXPENSES:</t>
  </si>
  <si>
    <t xml:space="preserve">TOTAL ASSESSOR DEPARTMENT:  </t>
  </si>
  <si>
    <t>TREASURER / COLLECTOR DEPARTMENT</t>
  </si>
  <si>
    <t>TRS SAL TRS/COLL</t>
  </si>
  <si>
    <t>MICHALOWSKI FY18: G10/S6 40HRS</t>
  </si>
  <si>
    <t>Personnel By-Laws - FY19 Grade 10 / Step 07</t>
  </si>
  <si>
    <t xml:space="preserve">TRS SAL LONGEVITY                     </t>
  </si>
  <si>
    <t xml:space="preserve">TRS WAGE ASST TRS/COL             </t>
  </si>
  <si>
    <t>MCCARTHY FY18l G6/S3 34HRS</t>
  </si>
  <si>
    <t xml:space="preserve"> Personnel By-Laws - FY23 Grade 6 / Step 6 (34 hours)</t>
  </si>
  <si>
    <t xml:space="preserve">TRS WAGE PAYROLL COORDINATOR           </t>
  </si>
  <si>
    <t>SACCO FY18:G6/S4 34HRS</t>
  </si>
  <si>
    <t xml:space="preserve"> Personnel By-Laws - FY22 Grade 6 / Step 7</t>
  </si>
  <si>
    <t xml:space="preserve"> Personnel By-Laws - FY23 Grade 6 / Step 7 (36 hours)</t>
  </si>
  <si>
    <t>TRS WAGE LONGEVITY</t>
  </si>
  <si>
    <t>REQUESTING $750; CONTRACTUAL; FCM APPROVED $750</t>
  </si>
  <si>
    <t>TREASURER / COLLECTOR SALARY &amp; WAGES:</t>
  </si>
  <si>
    <t xml:space="preserve">TRS TAX TITLE LEGAL SRVS                                                        </t>
  </si>
  <si>
    <t>TRS COMPUTER / PRINTER</t>
  </si>
  <si>
    <t xml:space="preserve">TRS GASB 45 / OPEB              </t>
  </si>
  <si>
    <t>Actuary required every 2 years; Cont  Odyssey - Parker Elmore</t>
  </si>
  <si>
    <t>Actuarial required every 2 yrs per GASB; Budgeted on "even" yrs</t>
  </si>
  <si>
    <t>Requesting $7,650</t>
  </si>
  <si>
    <t>Funded every 2 yrs; New Schedule eff: FY22 / Approp in FY22</t>
  </si>
  <si>
    <t>Requesting add'l  $8,100</t>
  </si>
  <si>
    <t xml:space="preserve">TRS POSTAGE                       </t>
  </si>
  <si>
    <t xml:space="preserve">TRS DEPUTY COLLECTOR FEES         </t>
  </si>
  <si>
    <t xml:space="preserve">TRS CONTRACTED SRVS                                                             </t>
  </si>
  <si>
    <t xml:space="preserve">TRS OFFICE SUPPLIES               </t>
  </si>
  <si>
    <t xml:space="preserve">TRS FORMS                         </t>
  </si>
  <si>
    <t xml:space="preserve">TRS TRAVEL EXPENSES                                                        &amp; MEETINGS             </t>
  </si>
  <si>
    <t>TRS DUES, PUBL &amp; MMBRSHPS</t>
  </si>
  <si>
    <t>TRS IRS FEES &amp; PENALTIES</t>
  </si>
  <si>
    <t xml:space="preserve">TRS ABATEMENT INTEREST EXP        </t>
  </si>
  <si>
    <t xml:space="preserve">TRS BANK CHARGES                  </t>
  </si>
  <si>
    <t>TREASURER / COLLECTOR EXPENSES:</t>
  </si>
  <si>
    <t xml:space="preserve">TOTAL TREASURER / COLLECTOR:  </t>
  </si>
  <si>
    <t>TOWN HALL EXPENSE</t>
  </si>
  <si>
    <t xml:space="preserve">TWN ELECTRICITY                   </t>
  </si>
  <si>
    <t>Requesting increase of $2,472; FCM DID NOT APPROVE</t>
  </si>
  <si>
    <t xml:space="preserve">Requesting additional $5,640 </t>
  </si>
  <si>
    <r>
      <rPr>
        <strike/>
        <sz val="8"/>
        <color rgb="FFFF0000"/>
        <rFont val="Calibri"/>
        <family val="2"/>
        <scheme val="minor"/>
      </rPr>
      <t>REQUESTING ADD'L $10,000</t>
    </r>
    <r>
      <rPr>
        <sz val="8"/>
        <color rgb="FFFF0000"/>
        <rFont val="Calibri"/>
        <family val="2"/>
        <scheme val="minor"/>
      </rPr>
      <t>; ADD'L $9,000 INCLUDED</t>
    </r>
  </si>
  <si>
    <t xml:space="preserve">TWN GAS                           </t>
  </si>
  <si>
    <t>Requesting increase of $1,442.00; FCM DID NOT APPROVE</t>
  </si>
  <si>
    <t xml:space="preserve">TWN UTILITIES - TEMP TOWN HALL                           </t>
  </si>
  <si>
    <t xml:space="preserve">TWN WATER                         </t>
  </si>
  <si>
    <t xml:space="preserve">TWN REPAIRS &amp; MAINTENANCE       </t>
  </si>
  <si>
    <t>Requesting additional $13,000</t>
  </si>
  <si>
    <t>Re-align accnts</t>
  </si>
  <si>
    <t xml:space="preserve">TWN MAINTENANCE COPIER            </t>
  </si>
  <si>
    <t>TWN MAINTENANCE PRINTERS</t>
  </si>
  <si>
    <t>TWN COMPUTER-MUNIS SOFTWARE</t>
  </si>
  <si>
    <t>ADD'L $1,504 INCLUDED</t>
  </si>
  <si>
    <r>
      <rPr>
        <i/>
        <sz val="8"/>
        <rFont val="Calibri"/>
        <family val="2"/>
        <scheme val="minor"/>
      </rPr>
      <t>Re-align accnts;</t>
    </r>
    <r>
      <rPr>
        <sz val="8"/>
        <rFont val="Calibri"/>
        <family val="2"/>
        <scheme val="minor"/>
      </rPr>
      <t xml:space="preserve"> 3% Contractual Increase</t>
    </r>
  </si>
  <si>
    <t>TWN COMPUTER-COMPUTER CONTRACT</t>
  </si>
  <si>
    <t xml:space="preserve">TWN COMPUTER-OTHER CONTRACTS          </t>
  </si>
  <si>
    <t>Requesting additional $11,000</t>
  </si>
  <si>
    <t>MOVE $7600 ASR-PATRIOT/$2k CLK-FOIA DIRECT/$3250 CIVIC PLUS</t>
  </si>
  <si>
    <t>Requesting add'l $8,310; Request Reduced by $5,010</t>
  </si>
  <si>
    <t>TWN COMPUTER-IT SERVICES</t>
  </si>
  <si>
    <t>Requesting $60,000; BOS Worksession 1/10/19</t>
  </si>
  <si>
    <r>
      <rPr>
        <i/>
        <strike/>
        <sz val="8"/>
        <rFont val="Calibri"/>
        <family val="2"/>
        <scheme val="minor"/>
      </rPr>
      <t>Re-align accnts</t>
    </r>
    <r>
      <rPr>
        <i/>
        <sz val="8"/>
        <rFont val="Calibri"/>
        <family val="2"/>
        <scheme val="minor"/>
      </rPr>
      <t xml:space="preserve">; Per Kevin at 2/14/22 FCM Mtg; </t>
    </r>
    <r>
      <rPr>
        <i/>
        <sz val="8"/>
        <color rgb="FFFF0000"/>
        <rFont val="Calibri"/>
        <family val="2"/>
        <scheme val="minor"/>
      </rPr>
      <t>REDUCED 3/21/22</t>
    </r>
  </si>
  <si>
    <t xml:space="preserve">TWN SYSTEMS ADMIN CONSULTING      </t>
  </si>
  <si>
    <t>TWN FACILITY MANAGEMENT SERVICES</t>
  </si>
  <si>
    <t>Requesting $50,000; BOS Worksession 1/10/19</t>
  </si>
  <si>
    <t>REQUESTING ADD'L $2,000</t>
  </si>
  <si>
    <r>
      <rPr>
        <i/>
        <strike/>
        <sz val="8"/>
        <rFont val="Calibri"/>
        <family val="2"/>
        <scheme val="minor"/>
      </rPr>
      <t>Re-align accnts</t>
    </r>
    <r>
      <rPr>
        <i/>
        <sz val="8"/>
        <rFont val="Calibri"/>
        <family val="2"/>
        <scheme val="minor"/>
      </rPr>
      <t>; Per Kevin at 2/14/22 FCM Mtg</t>
    </r>
  </si>
  <si>
    <t>TWN TELE / COMMUNICATIONS</t>
  </si>
  <si>
    <t>Requesting additional $3,500</t>
  </si>
  <si>
    <t>$5,400 SAVINGS-NEW PHONES; MOVE $2600 TO PEG-VERIZON FIOS</t>
  </si>
  <si>
    <t xml:space="preserve">TWN POSTAGE METER                 </t>
  </si>
  <si>
    <t>ADD'L $690 INCLUDED</t>
  </si>
  <si>
    <t xml:space="preserve">TWN OFFICE SUPPLIES               </t>
  </si>
  <si>
    <t>TWN OFFICE EQUIP-PLOTTER</t>
  </si>
  <si>
    <t>Requesting add'l $3,500</t>
  </si>
  <si>
    <t xml:space="preserve">TWN COPIER PAPER                  </t>
  </si>
  <si>
    <t>TWN FAX SUPPLIES</t>
  </si>
  <si>
    <t xml:space="preserve">TWN POSTAGE METER SUPPLIES        </t>
  </si>
  <si>
    <t>TWN COPIER EXP/B&amp;W</t>
  </si>
  <si>
    <t>TWN COPIER EXP/COLOR</t>
  </si>
  <si>
    <t xml:space="preserve">TWN MAINT/ BUILDING               </t>
  </si>
  <si>
    <t>TWN CUSTODIAL SUPPLIES</t>
  </si>
  <si>
    <t xml:space="preserve">TWN COMPUTER SUPPLIES             </t>
  </si>
  <si>
    <t>TWN TRAVEL EXPENSE</t>
  </si>
  <si>
    <t xml:space="preserve">TWN COMPUTER EQUIPMENT </t>
  </si>
  <si>
    <t>REDUCED 3/21/22; Reduced add'l $325 3/28/22</t>
  </si>
  <si>
    <t xml:space="preserve">TWN OTHER EQUIPMENT / FURNISHINGS                     </t>
  </si>
  <si>
    <t>TOWN HALL EXPENSES:</t>
  </si>
  <si>
    <t xml:space="preserve">TOTAL TOWN HALL EXPENSE:  </t>
  </si>
  <si>
    <t>TOWN OWNED BUILDINGS</t>
  </si>
  <si>
    <t xml:space="preserve">TBD ELECTRICITY                   </t>
  </si>
  <si>
    <t>Old Highway Garage</t>
  </si>
  <si>
    <r>
      <t xml:space="preserve">Old Highway Garage;  </t>
    </r>
    <r>
      <rPr>
        <sz val="8"/>
        <color rgb="FFFF0000"/>
        <rFont val="Calibri"/>
        <family val="2"/>
        <scheme val="minor"/>
      </rPr>
      <t>Requesting Add'l $225</t>
    </r>
  </si>
  <si>
    <t>TOWN OWN BUILDINGS EXPENSES:</t>
  </si>
  <si>
    <t xml:space="preserve">TOTAL TOWN OWNED BUILDINGS:  </t>
  </si>
  <si>
    <t>PEG/CABLE ADVISORY</t>
  </si>
  <si>
    <t xml:space="preserve">PEG PART TIME WAGES               </t>
  </si>
  <si>
    <t>PEG WAGES DIG COMM COORD/WEBSITE</t>
  </si>
  <si>
    <t>FY23 G6/S9 (5hrs SEL/3hrs PEG); FORMERLY WEBSITE STIPEND</t>
  </si>
  <si>
    <t>PEG WAGES WEBSITE STIPEND</t>
  </si>
  <si>
    <t>CONTRACT FOR VENDOR TO RUN CABLE OPERATION</t>
  </si>
  <si>
    <t>Requesting increase of $2,000;FCM APPROVED</t>
  </si>
  <si>
    <t>Requesting $5,000; BOS Worksession 1/10/19</t>
  </si>
  <si>
    <t xml:space="preserve">PEG/CABLE ADVISORY SALARY &amp; WAGES:  </t>
  </si>
  <si>
    <t>Dept supported by offset from PEG Cable Res'd for APPROP</t>
  </si>
  <si>
    <t>PEG  SYSTEM MAINT - "CASTUS" live stream</t>
  </si>
  <si>
    <t>WEBSITE MOVED TO TOWN HALL ACCOUNT</t>
  </si>
  <si>
    <t>PEG  LEGAL SERVICES</t>
  </si>
  <si>
    <t>Requesting additional $1,000</t>
  </si>
  <si>
    <t xml:space="preserve">PEG  WEBSITE SOFTWARE/LICENSES     </t>
  </si>
  <si>
    <t>PEG  PROF SRVS - BOXFORD CABLE ACCESS</t>
  </si>
  <si>
    <t>Requesting additional $4,000</t>
  </si>
  <si>
    <t>PEG  PROF SRVS-CIVC PLUS</t>
  </si>
  <si>
    <t xml:space="preserve">PEG  OTHER WEB &amp; CABLE EXPENSES                    </t>
  </si>
  <si>
    <t>Requesting increase of $3,000; REQUEST WITHDRAWN BY K.H.</t>
  </si>
  <si>
    <t>MOVED FROM TWN-TELE/COMM; Budget Impact=0 (VERIZON FIOS)</t>
  </si>
  <si>
    <t xml:space="preserve">PEG/CABLE ADVISORY EXPENSES:  </t>
  </si>
  <si>
    <t xml:space="preserve">TOTAL PEG/CABLE ADVISORY:  </t>
  </si>
  <si>
    <t>TOWN CLERK DEPARTMENT</t>
  </si>
  <si>
    <t>CLK  SAL TOWN CLERK</t>
  </si>
  <si>
    <t>ADJUSTED TO ACTUAL SALARY OF NEW TOWN CLERK</t>
  </si>
  <si>
    <t>Personnel By-Laws - FY19 Grade 07 / Step 05</t>
  </si>
  <si>
    <t xml:space="preserve"> FY19 chngd from G7/S5 to G8/S3; Personnel By-Laws-FY20 G8/S4 </t>
  </si>
  <si>
    <t xml:space="preserve"> Personnel By-Laws - FY22 Grade 8 / Step 5</t>
  </si>
  <si>
    <t xml:space="preserve"> Personnel By-Laws - FY23 Grade 8 / Step 5  (40 hours)</t>
  </si>
  <si>
    <t>CLK  SAL LONGEVITY</t>
  </si>
  <si>
    <t>SALARY RESERVE FOR $5,000 Increase to Town Clerk</t>
  </si>
  <si>
    <t>CLK  WAGES ADMINISTRATIVE ASSISTANT</t>
  </si>
  <si>
    <t>Personnel By-Laws - FY19 Grade 05 / Step 03</t>
  </si>
  <si>
    <t xml:space="preserve"> Personnel By-Laws - FY20 Grade 5 / Step 5; Not fully budgeted LY</t>
  </si>
  <si>
    <t xml:space="preserve"> Personnel By-Laws - FY22 Grade 5 / Step 6 (19 hours)</t>
  </si>
  <si>
    <t xml:space="preserve"> Personnel By-Laws - FY23 Grade 5 / Step 6  (19 hours)</t>
  </si>
  <si>
    <t>CLK  ADD'L WAGES CLERICAL</t>
  </si>
  <si>
    <t>APPROVED BY FCM 3/22</t>
  </si>
  <si>
    <t xml:space="preserve">CLK  OVERTIME                      </t>
  </si>
  <si>
    <t>Varies based on number of elections</t>
  </si>
  <si>
    <t>Fluctuates based on # elections; Anticipate (1) Local &amp; (2) State Elections</t>
  </si>
  <si>
    <t>Personnel By-Laws - no overtime for Part time or salaried employees</t>
  </si>
  <si>
    <t xml:space="preserve">CLK  REGISTRARS                    </t>
  </si>
  <si>
    <t xml:space="preserve">CLK  CONSTABLE                     </t>
  </si>
  <si>
    <t xml:space="preserve">CLK  ELECTION WORKERS              </t>
  </si>
  <si>
    <t>FY19 = 3 elections; FY20 = 2 elections (1 Pres prim'y, 1 local); $12 Wage</t>
  </si>
  <si>
    <t>Represents 1 local election &amp; change in min wage to $13.50</t>
  </si>
  <si>
    <t>Requesting Add'l $9,669</t>
  </si>
  <si>
    <t>TOWN CLERK SALARY &amp; WAGES:</t>
  </si>
  <si>
    <t xml:space="preserve">CLK  BUILDING RENTAL               </t>
  </si>
  <si>
    <t>Requesting increase of $300; FCM APPROVED</t>
  </si>
  <si>
    <t>FY19 = 3 elections; FY20 = 2 elections (1 Pres primary, 1 local)</t>
  </si>
  <si>
    <t>Represents 1 local election</t>
  </si>
  <si>
    <t>Requesting Add'l $300</t>
  </si>
  <si>
    <t xml:space="preserve">CLK  SAFE DEPOSIT BOX RENTAL       </t>
  </si>
  <si>
    <t>CLK  CONTRACTS/SERVICES</t>
  </si>
  <si>
    <r>
      <t>TRFR IN; Budget Impact=0 /</t>
    </r>
    <r>
      <rPr>
        <b/>
        <sz val="8"/>
        <color rgb="FFFF0000"/>
        <rFont val="Calibri"/>
        <family val="2"/>
        <scheme val="minor"/>
      </rPr>
      <t xml:space="preserve"> ADD'L $4772 (4items) INCLUDED</t>
    </r>
  </si>
  <si>
    <t>Re-align accnts; Poll Pads, Rec'd Request Software, Dog Lic Software</t>
  </si>
  <si>
    <t xml:space="preserve">CLK  ANNUAL RESIDENTS LISTING      </t>
  </si>
  <si>
    <t xml:space="preserve">CLK  CENSUS FORMS &amp; ENVELOPES      </t>
  </si>
  <si>
    <t xml:space="preserve">CLK  POSTAGE                       </t>
  </si>
  <si>
    <t xml:space="preserve">CLK  RESTOR/PRESERV TOWN RECOR     </t>
  </si>
  <si>
    <t>CLK  BYLAW CODIFICATION SOFTWARE</t>
  </si>
  <si>
    <r>
      <t xml:space="preserve">Re-align accnts; </t>
    </r>
    <r>
      <rPr>
        <i/>
        <strike/>
        <sz val="8"/>
        <color rgb="FFFF0000"/>
        <rFont val="Calibri"/>
        <family val="2"/>
        <scheme val="minor"/>
      </rPr>
      <t>Requesting add'l $7k</t>
    </r>
    <r>
      <rPr>
        <i/>
        <sz val="8"/>
        <color rgb="FFFF0000"/>
        <rFont val="Calibri"/>
        <family val="2"/>
        <scheme val="minor"/>
      </rPr>
      <t xml:space="preserve">; </t>
    </r>
    <r>
      <rPr>
        <i/>
        <sz val="8"/>
        <rFont val="Calibri"/>
        <family val="2"/>
        <scheme val="minor"/>
      </rPr>
      <t>moved to warrant article</t>
    </r>
  </si>
  <si>
    <t xml:space="preserve">CLK  CENSUS EXPENSE                </t>
  </si>
  <si>
    <t>Costs to outsource Census (inc envel, mailing, postage)</t>
  </si>
  <si>
    <t xml:space="preserve">CLK  OFFICE SUPPLIES               </t>
  </si>
  <si>
    <t xml:space="preserve">CLK  DOG TAGS/LICENSE FORMS        </t>
  </si>
  <si>
    <t xml:space="preserve">CLK  ELECTION EXPENSES             </t>
  </si>
  <si>
    <t>Requesting increase of $2,750; FCM APPROVED</t>
  </si>
  <si>
    <t>Requesting Add'l $2,520</t>
  </si>
  <si>
    <t xml:space="preserve">CLK  TOWN MTG EXPENSES             </t>
  </si>
  <si>
    <t xml:space="preserve">CLK  TRAVEL EXPENSES                                                        &amp; MEETINGS             </t>
  </si>
  <si>
    <t xml:space="preserve">CLK  DUES, PUBL &amp; MMBRSHPS                          </t>
  </si>
  <si>
    <t>Internat'l Institute of Muni Clerks mbrshp not mandatory</t>
  </si>
  <si>
    <t>TOWN CLERK EXPENSES:</t>
  </si>
  <si>
    <t xml:space="preserve">TOTAL TOWN CLERK:  </t>
  </si>
  <si>
    <t>TRUST FUND CLERK STIPEND</t>
  </si>
  <si>
    <t>joint tr fund position/stipend; no longer exist</t>
  </si>
  <si>
    <t>Department closed</t>
  </si>
  <si>
    <t xml:space="preserve">TRUST FUND CLERK:  </t>
  </si>
  <si>
    <t xml:space="preserve">TOTAL TRUST FUND CLERK:  </t>
  </si>
  <si>
    <t>CCM  SAL ADMINSTRATOR</t>
  </si>
  <si>
    <t>New hire: G7/S10, S11 after 6m probation (AUG 2017)</t>
  </si>
  <si>
    <t xml:space="preserve"> Personnel By-Laws - FY20 Grade 7 / Step 6 </t>
  </si>
  <si>
    <t>Personnel By-Laws - FY22 Grade 7 / Step 7</t>
  </si>
  <si>
    <t>Personnel By-Laws - FY23 Grade 7 / Step 7</t>
  </si>
  <si>
    <t xml:space="preserve">CCM SAL LONGEVITY                     </t>
  </si>
  <si>
    <t>Current CCM Administrator retiring DEC 2016</t>
  </si>
  <si>
    <t>CCM  WAGE SR ADMINISTRATIVE ASSISTANT</t>
  </si>
  <si>
    <t>FY18 - G4/S4</t>
  </si>
  <si>
    <t>Personnel By-Laws - FY19 Grade 05 / Step 07 17hours</t>
  </si>
  <si>
    <t xml:space="preserve"> Personnel By-Laws - FY20 Grade 5 / Step 8; Error in FY19 Budget</t>
  </si>
  <si>
    <t>Personnel By-Laws - FY22 Grade 5 / Step 10</t>
  </si>
  <si>
    <t>Personnel By-Laws - FY23 Grade 5 / Step 10 (start 1/4/10; 12/8/16)</t>
  </si>
  <si>
    <t xml:space="preserve">CCM  WAGE MINUTES SECRY             </t>
  </si>
  <si>
    <t xml:space="preserve">CONSERVATION COMMISSION SALARY &amp; WAGES:  </t>
  </si>
  <si>
    <t xml:space="preserve">TOTAL CONSERVATION COMMISSION:  </t>
  </si>
  <si>
    <t>PBD  SAL PLANNING BOARD</t>
  </si>
  <si>
    <t xml:space="preserve">PBD  SAL STORM WAT COORD       </t>
  </si>
  <si>
    <t>MOVED TO DEPT 411 StormWater Management</t>
  </si>
  <si>
    <t>PBD  WAGE SR ADMINISTRATIVE ASSISTANT</t>
  </si>
  <si>
    <t>PLANNING BOARD SALARY &amp; WAGES</t>
  </si>
  <si>
    <t xml:space="preserve">PBD  DEFICIT IN 53G ACCOUNT          </t>
  </si>
  <si>
    <t xml:space="preserve">PBD  POSTAGE                       </t>
  </si>
  <si>
    <t xml:space="preserve">PBD  ADVERTISING                   </t>
  </si>
  <si>
    <t xml:space="preserve">PBD  OFFICE SUPPLIES               </t>
  </si>
  <si>
    <t>PBD MISC EXPENSE</t>
  </si>
  <si>
    <t xml:space="preserve">PBD  TRAVEL EXPENSES                                                 </t>
  </si>
  <si>
    <t xml:space="preserve">PBD  DUES, PUBL &amp; MMBRSHPS                          </t>
  </si>
  <si>
    <t>Net savings of PBD &amp; ZBD = $36</t>
  </si>
  <si>
    <t>PLANNING BOARD EXPENSES:</t>
  </si>
  <si>
    <t xml:space="preserve">TOTAL PLANNING BOARD:  </t>
  </si>
  <si>
    <t>ZONING BOARD</t>
  </si>
  <si>
    <t>ZBD  WAGE SR ADMINISTRATIVE ASSISTANT</t>
  </si>
  <si>
    <t>ZONING BOARD SALARY &amp; WAGES</t>
  </si>
  <si>
    <t xml:space="preserve">ZBD  POSTAGE                       </t>
  </si>
  <si>
    <t xml:space="preserve">ZBD  ADVERTISING                   </t>
  </si>
  <si>
    <t xml:space="preserve">ZBD  OFFICE SUPPLIES               </t>
  </si>
  <si>
    <t>ZBD MISC EXPENSE</t>
  </si>
  <si>
    <t xml:space="preserve">ZBD  DUES, PUBL &amp; MMBRSHPS                          </t>
  </si>
  <si>
    <t>ZONING BOARD EXPENSES:</t>
  </si>
  <si>
    <t xml:space="preserve">TOTAL ZONING BOARD </t>
  </si>
  <si>
    <t>TOTAL GENERAL GOVERNMENT</t>
  </si>
  <si>
    <t>Class Total</t>
  </si>
  <si>
    <t>POL  SAL POLICE CHIEF</t>
  </si>
  <si>
    <t>Individual Employment Contract</t>
  </si>
  <si>
    <t>Contractual - Police Chief dated 4/30/20 - 6/30/23</t>
  </si>
  <si>
    <t>POL CHIEF, RET</t>
  </si>
  <si>
    <t>POL WAGE CAPTAIN</t>
  </si>
  <si>
    <t>Contractual - Police Captain dated 7/1/19 - 6/30/22</t>
  </si>
  <si>
    <t>Personnel By-Laws - FY23 Grade 10 / Step 10</t>
  </si>
  <si>
    <t>Override A</t>
  </si>
  <si>
    <t xml:space="preserve">POL  LONGEVITY                     </t>
  </si>
  <si>
    <t>Longevity based on Personnel Bylaws</t>
  </si>
  <si>
    <t>Captain wages moved; Contractual</t>
  </si>
  <si>
    <t>POL  WAGE REGULAR OFCR</t>
  </si>
  <si>
    <t>SGT LEBEL RETIRED; NEW HIRE REDUCED QUINN REQUIREMT</t>
  </si>
  <si>
    <t>Captain wages moved; Requesting $115,495 for 2 Officers</t>
  </si>
  <si>
    <t>CONTRACTUAL; BASED ON ACTUALS</t>
  </si>
  <si>
    <t>Contractual; based on actual</t>
  </si>
  <si>
    <t xml:space="preserve">POL  WAGE POL ADMIN ASST           </t>
  </si>
  <si>
    <t>KATHERINE JACKSON FY18: G6/S6 36 HRS</t>
  </si>
  <si>
    <t>Personnel By-Laws - FY19 Grade 06 / Step 07</t>
  </si>
  <si>
    <t xml:space="preserve"> Personnel By-Laws - FY20 Grade 6 / Step 8 </t>
  </si>
  <si>
    <t>Personnel By-Laws - FY22 G6 / S9;  ADD'L $6,668 INCLUDED</t>
  </si>
  <si>
    <t>Personnel By-Laws - FY23 Grade 6 / Step 9 (start 6/24/13; 2/25/16)</t>
  </si>
  <si>
    <t>POL  WAGE CLERICAL</t>
  </si>
  <si>
    <t>SANDRA SANGER FY18: G5/S6 12HRS (TEMP INC FROM 9 HRS)</t>
  </si>
  <si>
    <t xml:space="preserve">Personnel By-Laws - FY19 Gr04/Step05; inc 24hrs ($504) AA coverage </t>
  </si>
  <si>
    <t xml:space="preserve"> Personnel By-Laws - FY20 Grade 4 / Step 6 </t>
  </si>
  <si>
    <t>POL  WAGE RESERVES</t>
  </si>
  <si>
    <t>CONTRACTUAL</t>
  </si>
  <si>
    <t xml:space="preserve">Contractual; Proposed 2 officers results in $13,096 reduction </t>
  </si>
  <si>
    <t>The Police Department wages section represents several line item changes as an attempt to budget based on actual numbers. Please note that the bottom line shows a reduction in the overall cost of Police - Wages.</t>
  </si>
  <si>
    <t>Align accnts</t>
  </si>
  <si>
    <t>POL  WAGE RESERVES-HOLIDAYS</t>
  </si>
  <si>
    <t>POL  WAGE PRISIONER WATCH ATTENDANT</t>
  </si>
  <si>
    <t>Reflect actual rate @ $18.04 / 4 hour shift</t>
  </si>
  <si>
    <t>Personnel By-Laws G2 / S11 (currently 1 Emp @ 100 hours)</t>
  </si>
  <si>
    <t>POL  WAGE OT REG POL</t>
  </si>
  <si>
    <t xml:space="preserve">Proposed 2 officers results in minimun of $51,087 reduction </t>
  </si>
  <si>
    <t>POL  WAGE OT RESERVES</t>
  </si>
  <si>
    <t>REDUCE TO -0-; INCLUDED IN POLICE REG OT</t>
  </si>
  <si>
    <t>POL  WAGE OT HOLIDAY</t>
  </si>
  <si>
    <t xml:space="preserve">POL  WAGE INJURY PAY                    </t>
  </si>
  <si>
    <t>MOVED TO POLICE SPECIAL IDEMNITY FUND IN FY18</t>
  </si>
  <si>
    <t xml:space="preserve">POL  WAGE NITE DIFF REG POL   </t>
  </si>
  <si>
    <t>Contractual based on Police Union Contract</t>
  </si>
  <si>
    <t>Combine Accounts - Contractual + 3.5%</t>
  </si>
  <si>
    <t xml:space="preserve">POL  WAGE NITE DIFF RESERVES </t>
  </si>
  <si>
    <t xml:space="preserve">Contractual; Proposed 2 officers results in min $403 reduction </t>
  </si>
  <si>
    <t>Combine Accounts - Contractual + 8%</t>
  </si>
  <si>
    <t xml:space="preserve">POL  WAGE ASSIGNED DUTY                 </t>
  </si>
  <si>
    <t xml:space="preserve">REDUCED TO -0- DUE TO CREATION OF CAPTAINS POSITION </t>
  </si>
  <si>
    <t xml:space="preserve">POL  WAGE HOLIDAY PAY           </t>
  </si>
  <si>
    <t>Contractual; Requesting $5,523 for 2 Officers</t>
  </si>
  <si>
    <r>
      <rPr>
        <i/>
        <sz val="9"/>
        <color theme="9" tint="-0.249977111117893"/>
        <rFont val="Calibri"/>
        <family val="2"/>
        <scheme val="minor"/>
      </rPr>
      <t>$13,700 moved in to align accts</t>
    </r>
    <r>
      <rPr>
        <i/>
        <sz val="9"/>
        <rFont val="Calibri"/>
        <family val="2"/>
        <scheme val="minor"/>
      </rPr>
      <t>;$17,086 increase Contractual</t>
    </r>
  </si>
  <si>
    <t xml:space="preserve">POL  WAGE LONGEVITY                     </t>
  </si>
  <si>
    <t>SGT LEBEL RETIRED</t>
  </si>
  <si>
    <t>Contractual; based on actual; REDUCED BY $325</t>
  </si>
  <si>
    <t xml:space="preserve">POL  WAGE TRAINING                      </t>
  </si>
  <si>
    <t>INC IN TRAINING HRS PER MPTC &amp; MPAC REQUIREMENT</t>
  </si>
  <si>
    <t>Contractual; Requesting $12,720 inc &amp; $12,187 - 2 new Officers</t>
  </si>
  <si>
    <t>Align accnts; REDUCED 3/21/22</t>
  </si>
  <si>
    <t>Reduce</t>
  </si>
  <si>
    <t xml:space="preserve">POL  WAGE SPECIALTY PAY                 </t>
  </si>
  <si>
    <t>Article 7/Section 6-pro-rated, paid each pp, exclusive of base</t>
  </si>
  <si>
    <t xml:space="preserve">POL  WAGE RESERVE INCENTIVE  </t>
  </si>
  <si>
    <t>Contractual:  Reserve Officer Incentive</t>
  </si>
  <si>
    <t>Removed from Contract (FY22, FY23, FY24)</t>
  </si>
  <si>
    <t xml:space="preserve">POL PR UNIFORM ALLOWANCE             </t>
  </si>
  <si>
    <t>PAYROLL RELATED UNIFORM ALLOWANCE MOVED PER SCH A</t>
  </si>
  <si>
    <t>Moved from "Other" - paid through payroll</t>
  </si>
  <si>
    <t xml:space="preserve">POL PR RESERVE INCENTIVE          </t>
  </si>
  <si>
    <t>POLICE DEPARTMENT SALARY &amp; WAGES</t>
  </si>
  <si>
    <t xml:space="preserve">POL ELECTRICITY                   </t>
  </si>
  <si>
    <t>INCREASE COST</t>
  </si>
  <si>
    <t xml:space="preserve">POL NATURAL GAS  </t>
  </si>
  <si>
    <t xml:space="preserve">POL WATER                         </t>
  </si>
  <si>
    <t>INCREASED USAGE</t>
  </si>
  <si>
    <t>POL MAINT-BUILDING</t>
  </si>
  <si>
    <t>POL MAINT-GAS TANKS</t>
  </si>
  <si>
    <t>POL MAINT-VEH</t>
  </si>
  <si>
    <t>POL OFC EQUIP</t>
  </si>
  <si>
    <t>POL MAINT-RADIO/RADAR</t>
  </si>
  <si>
    <t>POL MAINT-BREATHALYZER</t>
  </si>
  <si>
    <t xml:space="preserve">POL  MED EXAM/DRUG TESTING                  </t>
  </si>
  <si>
    <r>
      <t>$832 Med/$450 Psych;</t>
    </r>
    <r>
      <rPr>
        <sz val="8"/>
        <color rgb="FFFF0000"/>
        <rFont val="Calibri"/>
        <family val="2"/>
        <scheme val="minor"/>
      </rPr>
      <t xml:space="preserve"> Request Add'l  $282</t>
    </r>
    <r>
      <rPr>
        <sz val="8"/>
        <color theme="1"/>
        <rFont val="Calibri"/>
        <family val="2"/>
        <scheme val="minor"/>
      </rPr>
      <t>; reduced TA 3/28/22</t>
    </r>
  </si>
  <si>
    <t>POL  SOFTWARE LICENSES</t>
  </si>
  <si>
    <r>
      <t>Requesting Add'l $8,760</t>
    </r>
    <r>
      <rPr>
        <sz val="8"/>
        <color rgb="FFFF0000"/>
        <rFont val="Calibri"/>
        <family val="2"/>
        <scheme val="minor"/>
      </rPr>
      <t xml:space="preserve">;  </t>
    </r>
    <r>
      <rPr>
        <sz val="8"/>
        <rFont val="Calibri"/>
        <family val="2"/>
        <scheme val="minor"/>
      </rPr>
      <t>Request withdrawn</t>
    </r>
  </si>
  <si>
    <t>POL MTG/CONF/LICENSES</t>
  </si>
  <si>
    <t xml:space="preserve">POL ACADEMY FEE                   </t>
  </si>
  <si>
    <t>Reduced to TA on 3/28/22</t>
  </si>
  <si>
    <t>POL TELE / COMMUNICATIONS</t>
  </si>
  <si>
    <t>Requesting additional $5,250</t>
  </si>
  <si>
    <t xml:space="preserve">POL PRINTING                      </t>
  </si>
  <si>
    <t xml:space="preserve">POL POSTAGE                       </t>
  </si>
  <si>
    <t xml:space="preserve">POL ADVERTISING                   </t>
  </si>
  <si>
    <t xml:space="preserve">POL OFFICE SUPPLIES               </t>
  </si>
  <si>
    <t>BASED ON ACTUAL COSTS</t>
  </si>
  <si>
    <t xml:space="preserve">POL COPIER EXPENSE              </t>
  </si>
  <si>
    <r>
      <rPr>
        <i/>
        <sz val="8"/>
        <rFont val="Calibri"/>
        <family val="2"/>
        <scheme val="minor"/>
      </rPr>
      <t>Re-align accounts</t>
    </r>
    <r>
      <rPr>
        <sz val="8"/>
        <rFont val="Calibri"/>
        <family val="2"/>
        <scheme val="minor"/>
      </rPr>
      <t xml:space="preserve">; </t>
    </r>
    <r>
      <rPr>
        <sz val="8"/>
        <color rgb="FFFF0000"/>
        <rFont val="Calibri"/>
        <family val="2"/>
        <scheme val="minor"/>
      </rPr>
      <t>Requesting Add'l $2,934</t>
    </r>
  </si>
  <si>
    <t xml:space="preserve">POL PHOTO SUPPLIES                </t>
  </si>
  <si>
    <t xml:space="preserve">POL CUSTODIAL SUPPLIES            </t>
  </si>
  <si>
    <t>Requesting Add'l  $695</t>
  </si>
  <si>
    <t xml:space="preserve">POL VEH SUPPLIES              </t>
  </si>
  <si>
    <t xml:space="preserve">POL TRAINING MATERIALS            </t>
  </si>
  <si>
    <t xml:space="preserve">POL TRAFFIC SIGNS                 </t>
  </si>
  <si>
    <t>POL MISC EXPENSE</t>
  </si>
  <si>
    <t xml:space="preserve">POL UNIFORM EXPENSE     </t>
  </si>
  <si>
    <t>Moved to Wages - paid through payroll</t>
  </si>
  <si>
    <r>
      <rPr>
        <sz val="8"/>
        <rFont val="Calibri"/>
        <family val="2"/>
        <scheme val="minor"/>
      </rPr>
      <t>New Hire Cost;</t>
    </r>
    <r>
      <rPr>
        <sz val="8"/>
        <color rgb="FFFF0000"/>
        <rFont val="Calibri"/>
        <family val="2"/>
        <scheme val="minor"/>
      </rPr>
      <t xml:space="preserve"> Requesting Add'l  $332</t>
    </r>
  </si>
  <si>
    <t xml:space="preserve">POL SUBSCRIPTIONS                 </t>
  </si>
  <si>
    <t>SOFTWARE-MPAC ACCREDITATION SOFTWARE</t>
  </si>
  <si>
    <t>POL EQUIPMENT</t>
  </si>
  <si>
    <t xml:space="preserve">POL TRAVEL EXPENSES &amp; MEETINGS             </t>
  </si>
  <si>
    <t xml:space="preserve">POL PROFESSIONAL DEVELOPMENT              </t>
  </si>
  <si>
    <t>POL DUES, PUBL &amp; MMBRSHPS</t>
  </si>
  <si>
    <t xml:space="preserve">POL FIREARMS/AMMO/RANGE      </t>
  </si>
  <si>
    <t xml:space="preserve">POL PRISONERS MEALS    </t>
  </si>
  <si>
    <t xml:space="preserve">POL OFC EQUIP &amp; FURNITURE         </t>
  </si>
  <si>
    <r>
      <rPr>
        <i/>
        <sz val="8"/>
        <rFont val="Calibri"/>
        <family val="2"/>
        <scheme val="minor"/>
      </rPr>
      <t>Re-align accounts</t>
    </r>
    <r>
      <rPr>
        <sz val="8"/>
        <rFont val="Calibri"/>
        <family val="2"/>
        <scheme val="minor"/>
      </rPr>
      <t>; currently pays copier expense</t>
    </r>
  </si>
  <si>
    <t xml:space="preserve">POL PORTABLE RADIOS               </t>
  </si>
  <si>
    <t>Body Radios; Vehicle radios requested through FC</t>
  </si>
  <si>
    <t>POL CAP - TELEPHONE SYSTEM</t>
  </si>
  <si>
    <t xml:space="preserve">POL CAP - PORTABLE RADIOS              </t>
  </si>
  <si>
    <t>POLICE DEPARTMENT EXPENSES:</t>
  </si>
  <si>
    <t xml:space="preserve">TOTAL POLICE DEPARTMENT:  </t>
  </si>
  <si>
    <t>FIR SAL FIRE CHIEF (APPOINTED)</t>
  </si>
  <si>
    <t xml:space="preserve">Contractual 2%; 2.26% </t>
  </si>
  <si>
    <t>Contractual - Fire Chief dated 7/1/20 - 6/30/23</t>
  </si>
  <si>
    <t>FIR STIPEND/PHONE&amp;COMPUTER</t>
  </si>
  <si>
    <t>FIR WAGE F/T FIREFIGHTER</t>
  </si>
  <si>
    <t>NEW FIREFIGHTER CONTRACT:   7/1/2017 - 6/30/2020; inc stipends</t>
  </si>
  <si>
    <t xml:space="preserve">Contractual </t>
  </si>
  <si>
    <t>Contractual</t>
  </si>
  <si>
    <r>
      <t xml:space="preserve">Contractual; </t>
    </r>
    <r>
      <rPr>
        <sz val="8"/>
        <color rgb="FFFF0000"/>
        <rFont val="Calibri"/>
        <family val="2"/>
        <scheme val="minor"/>
      </rPr>
      <t>Requesting additional $135,546</t>
    </r>
  </si>
  <si>
    <t xml:space="preserve">Override </t>
  </si>
  <si>
    <t>FIR WAGE CLERICAL (P/T)</t>
  </si>
  <si>
    <t>Personnel By-Laws - FY19 Grade 05 / Step 06</t>
  </si>
  <si>
    <t xml:space="preserve"> Personnel By-Laws - FY22 Grade 5 / Step 7 (15 hours)</t>
  </si>
  <si>
    <t xml:space="preserve"> Personnel By-Laws - FY23 Grade 5 / Step 7 (15 hours) 7/26/21</t>
  </si>
  <si>
    <t>FIR WAGE CALL FIREFIGHTERS</t>
  </si>
  <si>
    <t>NEW CALL FIREFIGHTER CONTRACT:   7/1/2017 - 6/30/2020</t>
  </si>
  <si>
    <t>Contractual / Estimated</t>
  </si>
  <si>
    <r>
      <t xml:space="preserve">Combining Accounts; </t>
    </r>
    <r>
      <rPr>
        <sz val="8"/>
        <color rgb="FFFF0000"/>
        <rFont val="Calibri"/>
        <family val="2"/>
        <scheme val="minor"/>
      </rPr>
      <t>ADD'L $10,000 INCLUDED</t>
    </r>
  </si>
  <si>
    <r>
      <t>2% Inc; move $10K frm OT;</t>
    </r>
    <r>
      <rPr>
        <sz val="8"/>
        <color rgb="FFFF0000"/>
        <rFont val="Calibri"/>
        <family val="2"/>
        <scheme val="minor"/>
      </rPr>
      <t xml:space="preserve"> $47k Conting Request</t>
    </r>
    <r>
      <rPr>
        <sz val="8"/>
        <rFont val="Calibri"/>
        <family val="2"/>
        <scheme val="minor"/>
      </rPr>
      <t>; 3/28 ($15k)</t>
    </r>
  </si>
  <si>
    <t xml:space="preserve">FIR WAGE STATION COVERAGE (CALL FF)              </t>
  </si>
  <si>
    <t>Contractual; Requesting add'l $28,000 (total $44,000)</t>
  </si>
  <si>
    <t>Combining Accounts</t>
  </si>
  <si>
    <t>FIR WAGE OVERNIGHT COVERAGE</t>
  </si>
  <si>
    <t>APPR'D IN FY18 BUDGET; Negot'd in NEW CONTRACT - Start 4/1/18</t>
  </si>
  <si>
    <t>Moving money reflects a change of coverage</t>
  </si>
  <si>
    <t>FIR WAGE OT &amp; CALLBACK (F/T FF)</t>
  </si>
  <si>
    <t>2% increase FY18 &amp; 2% FY19 as negotiated in FF Contract</t>
  </si>
  <si>
    <t>Contractual / Est.; Requesting add'l $16,000 (total $44,000)</t>
  </si>
  <si>
    <t>REQUESTING ADD'L $5,000</t>
  </si>
  <si>
    <t>Move to Call FF</t>
  </si>
  <si>
    <t xml:space="preserve">FIR WAGE HOLIDAY FT OVERTIME           </t>
  </si>
  <si>
    <t>ADD'L $13,500 INCLUDED</t>
  </si>
  <si>
    <t xml:space="preserve">FIR WAGE LONGEVITY                     </t>
  </si>
  <si>
    <t>CONTRACTUAL $1,000 F/T FF; $2,900 Call FF</t>
  </si>
  <si>
    <t>Contractual / Based on Actual</t>
  </si>
  <si>
    <t xml:space="preserve">FIR WAGE TRAINING                      </t>
  </si>
  <si>
    <t>2% Increase</t>
  </si>
  <si>
    <t xml:space="preserve">FIR WAGE SPECIALTY STIPENDS             </t>
  </si>
  <si>
    <t>New: CONTRACTUAL-Full Time FF  Specialty Stipends (4)</t>
  </si>
  <si>
    <t>FIR WAGE RESPONSE INCENTIVE</t>
  </si>
  <si>
    <t>New: CONTRACTUAL-Call FF  $250 incentive for 20% calls (15*75%)</t>
  </si>
  <si>
    <t>FIR PR UNIFORM ALLOWANCE</t>
  </si>
  <si>
    <t>Moved - CONTRACTUAL $1,000 Chief; $4,680 F/T FF; $3,450 Call FF</t>
  </si>
  <si>
    <r>
      <t xml:space="preserve">Contractual; </t>
    </r>
    <r>
      <rPr>
        <sz val="8"/>
        <color rgb="FFFF0000"/>
        <rFont val="Calibri"/>
        <family val="2"/>
        <scheme val="minor"/>
      </rPr>
      <t>Requesting additional $2,800</t>
    </r>
  </si>
  <si>
    <t>FIRE DEPARTMENT SALARY &amp; WAGES</t>
  </si>
  <si>
    <t xml:space="preserve">FIR ELECTRICITY                   </t>
  </si>
  <si>
    <t xml:space="preserve">FIR NATURAL GAS                           </t>
  </si>
  <si>
    <t xml:space="preserve">FIR WATER                         </t>
  </si>
  <si>
    <t>FIR MAINT-BLDG</t>
  </si>
  <si>
    <t>Requesting Additional $5,650 for cleaning currently in TH Other</t>
  </si>
  <si>
    <t xml:space="preserve">FIR MAINT-RADIO      </t>
  </si>
  <si>
    <t>old portable screen not reading LED; don't fit new chargers</t>
  </si>
  <si>
    <t>FIR MAINT-ALARM</t>
  </si>
  <si>
    <t>Fire alarm maint reprogramming for occupancy changes</t>
  </si>
  <si>
    <t>FIR MAINT-VEH &amp; EQUIP</t>
  </si>
  <si>
    <t>Increase due to cost related to Engine 2 repair of body rot</t>
  </si>
  <si>
    <t xml:space="preserve">FIR EQUIPMT RENTAL              </t>
  </si>
  <si>
    <t>FIR MED EXAM</t>
  </si>
  <si>
    <t>Requesting additional $8,050</t>
  </si>
  <si>
    <t>FIR SOFTWARE LICENSES</t>
  </si>
  <si>
    <t>FIR MTG/CONF/LICENSES</t>
  </si>
  <si>
    <t xml:space="preserve">FIR TELE / COMMUNICATIONS                     </t>
  </si>
  <si>
    <t xml:space="preserve">FIR POSTAGE                       </t>
  </si>
  <si>
    <t xml:space="preserve">FIR PRINTING                      </t>
  </si>
  <si>
    <t>FIR ADVERTISING</t>
  </si>
  <si>
    <t xml:space="preserve">FIR EXTINGUISHER RE-CHRG     </t>
  </si>
  <si>
    <t xml:space="preserve">FIR PROF SRVS-AMBULANCE BILLING                                                           </t>
  </si>
  <si>
    <t>$2500 for AMB BILLING;CONTRACTUAL; FCM Approved 3/22</t>
  </si>
  <si>
    <t>Requesting Add'l $8,100</t>
  </si>
  <si>
    <t xml:space="preserve">FIR PROF SRVS-PERMITS                                                        </t>
  </si>
  <si>
    <t>ADD'L $2,125 INCLUDED</t>
  </si>
  <si>
    <t xml:space="preserve">FIR OXYGEN/AIR FILLS              </t>
  </si>
  <si>
    <t>FIR OFFICE SUPPLIES &amp; EQUIP</t>
  </si>
  <si>
    <t xml:space="preserve">FIR OFFICE EQUIPMENT         </t>
  </si>
  <si>
    <t>FIR SUPPLIES-BLDG</t>
  </si>
  <si>
    <t>FIR SUPPLIES-EQUIP</t>
  </si>
  <si>
    <t>FIR SUPPLIES-COMPUTER</t>
  </si>
  <si>
    <t>FIR VEHICLE SUPPLIES &amp; EQUIP</t>
  </si>
  <si>
    <t xml:space="preserve">FIR VEHICLE EQUIPMENT             </t>
  </si>
  <si>
    <t>FIR MEDICAL SUPPLIES &amp; EQUIP</t>
  </si>
  <si>
    <t>Inc cost due to use of disposable and regulatory requirements</t>
  </si>
  <si>
    <t>$2,500 for Medical Supplies; FCM Approved 3/26</t>
  </si>
  <si>
    <t>Requesting Add'l $6,000</t>
  </si>
  <si>
    <t xml:space="preserve">FIR MEDICAL EQUIPMENT             </t>
  </si>
  <si>
    <t>FIR MISCELLANEOUS SUPPLIES &amp; EQUIP</t>
  </si>
  <si>
    <t>FIR MISCELLANEOUS EQUIPMENT</t>
  </si>
  <si>
    <t>FIR PERSONNEL/UNIFORM EXP</t>
  </si>
  <si>
    <t>MOVED TO SALARY &amp; WAGES; PAID THROUGH PAYROLL</t>
  </si>
  <si>
    <t xml:space="preserve">FIR PUBLICATIONS                  </t>
  </si>
  <si>
    <t xml:space="preserve">FIR TRAVEL EXPENSES &amp; MEETINGS             </t>
  </si>
  <si>
    <t>Requesting $2,000 increase (per Chief's Contract) / FCM APPRV'D</t>
  </si>
  <si>
    <t>FIR PROF DEVELOP</t>
  </si>
  <si>
    <t xml:space="preserve">FIR DUES, PUBL &amp; MMBRSHPS                          </t>
  </si>
  <si>
    <t xml:space="preserve">FIR MISCELLEANEOUS                </t>
  </si>
  <si>
    <t>FIR CAP - PROTECTIVE EQUIPMENT</t>
  </si>
  <si>
    <t>ADD'L $10,000 INCLUDED</t>
  </si>
  <si>
    <t xml:space="preserve">FIR CAP - RADIO REPEATERS         </t>
  </si>
  <si>
    <t>FIRE DEPARTMENT EXPENSES:</t>
  </si>
  <si>
    <t xml:space="preserve">TOTAL FIRE DEPARTMENT:  </t>
  </si>
  <si>
    <t>INSPECTIONS DEPARTMENT</t>
  </si>
  <si>
    <t>INS  SAL BUILDING INSP (APPT'D)</t>
  </si>
  <si>
    <t>GLENN CLOHECY FY18:G8/S10</t>
  </si>
  <si>
    <t>Personnel By-Laws - FY19 Grade 08 / Step 11</t>
  </si>
  <si>
    <t xml:space="preserve"> Personnel By-Laws - FY20 Grade 8 / Step 11 </t>
  </si>
  <si>
    <t xml:space="preserve"> Personnel By-Laws - FY22 G8 / S11; ADD'L $23,587 INCLUDED </t>
  </si>
  <si>
    <r>
      <t xml:space="preserve">P By-Laws - FY23 G8/S11; VACANT; </t>
    </r>
    <r>
      <rPr>
        <sz val="8"/>
        <color rgb="FFFF0000"/>
        <rFont val="Calibri"/>
        <family val="2"/>
        <scheme val="minor"/>
      </rPr>
      <t>Requesting add'l $18,479</t>
    </r>
  </si>
  <si>
    <t>INS  SAL GAS/PLUMB INSP</t>
  </si>
  <si>
    <t>STAN KULAZZ; FY18:G6/S11- MAX</t>
  </si>
  <si>
    <t>Personnel By-Laws - FY19 Grade 06 / Step 11</t>
  </si>
  <si>
    <t xml:space="preserve"> Personnel By-Laws - FY20 Grade 6 / Step 11 </t>
  </si>
  <si>
    <t xml:space="preserve"> Personnel By-Laws - FY22 Grade 6 / Step 11 </t>
  </si>
  <si>
    <t xml:space="preserve">Personnel By-Laws - FY23 Grade 6 / Step 11 </t>
  </si>
  <si>
    <t>INS  SAL WIRING INSP</t>
  </si>
  <si>
    <t>JOHN THOMPSON; FY18:G6/S11- MAX</t>
  </si>
  <si>
    <t xml:space="preserve">INS  SAL LONGEVITY                     </t>
  </si>
  <si>
    <t>GLENN ($1000/40*30)</t>
  </si>
  <si>
    <t xml:space="preserve">INS  FAIR STIPEND (GAS/WIRING)                       </t>
  </si>
  <si>
    <t>$500 TO ELECTRICAL &amp; PLUMBING FOR TOPSFIELD FAIR</t>
  </si>
  <si>
    <t xml:space="preserve">INS  TRAVEL EXPENSES                                                        &amp; MEETINGS             </t>
  </si>
  <si>
    <t xml:space="preserve">INS  WAGE ALT INSP OF BUILDINGS      </t>
  </si>
  <si>
    <t>Requesting add'l $1,721</t>
  </si>
  <si>
    <t xml:space="preserve">INS  WAGE ADMIN ASST      </t>
  </si>
  <si>
    <t>MARYLOU 24RS; FY18:G5/S7</t>
  </si>
  <si>
    <t>Personnel By-Laws - FY19 Grade 05 / Step 08</t>
  </si>
  <si>
    <t xml:space="preserve"> Personnel By-Laws - FY20 Gr 5/Stp 9; Decrease due to retirement</t>
  </si>
  <si>
    <t xml:space="preserve"> UPDATED: Personnel By-Laws - FY22 Grade 5 / Step 7; 24 hours</t>
  </si>
  <si>
    <t xml:space="preserve"> Personnel By-Laws - FY23 Grade 5 / Step 7 (24 hours) 10/19/21</t>
  </si>
  <si>
    <t xml:space="preserve">INS  WAGE LONGEVITY                     </t>
  </si>
  <si>
    <t>MARYLOU 19 HRS 1/10/94 ($1500/40*24); 7/1/14 BENEFITS</t>
  </si>
  <si>
    <t>Long Term Employee Required in April 2018</t>
  </si>
  <si>
    <t>INSPECTIONS DEPARTMENT SALARY &amp; WAGES</t>
  </si>
  <si>
    <t>INS  SOFTWARE-PERMITLINK AGREEMENT</t>
  </si>
  <si>
    <t>Requesting additional $10,000; offset by increase in revenues</t>
  </si>
  <si>
    <t xml:space="preserve">INS  MTG/CONF/LICENS               </t>
  </si>
  <si>
    <t xml:space="preserve">INS  TELE / COMMUNICATIONS                     </t>
  </si>
  <si>
    <t xml:space="preserve">INS  POSTAGE                       </t>
  </si>
  <si>
    <t xml:space="preserve">INS  OFFICE SUPPLIES               </t>
  </si>
  <si>
    <t xml:space="preserve">INS  FORMS                         </t>
  </si>
  <si>
    <t xml:space="preserve">INS  PUBLICATIONS                  </t>
  </si>
  <si>
    <t xml:space="preserve">INS  DUES, PUBL &amp; MMBRSHPS                          </t>
  </si>
  <si>
    <t xml:space="preserve">INS  OFC EQUIP &amp; FURNITURE         </t>
  </si>
  <si>
    <t>INSPECTIONS DEPARTMENT EXPENSES:</t>
  </si>
  <si>
    <t xml:space="preserve">TOTAL INSPECTIONS DEPARTMENT:  </t>
  </si>
  <si>
    <t>SEALER OF WEIGHTS &amp; MEASURES</t>
  </si>
  <si>
    <t xml:space="preserve">SWM SEALER WEIGHTS/MEASURES       </t>
  </si>
  <si>
    <t>L. ROSE - REPRESENT 2% INCREASE; PAID QUARTERLY</t>
  </si>
  <si>
    <t>Personnel Director's Rec - 2% Increase stipend positions</t>
  </si>
  <si>
    <t>SEALER OF WEIGHTS &amp; MEASURERS SALARY &amp; WAGES:</t>
  </si>
  <si>
    <t xml:space="preserve">TOTAL SEALER OF WEIGHTS &amp; MEASURERS:  </t>
  </si>
  <si>
    <t xml:space="preserve">ACO SAL ANIMAL CNTL OFFICER        </t>
  </si>
  <si>
    <t>CAROL LAROQUE-REPRESENT 2% INCREASE; PAID MONTHLY</t>
  </si>
  <si>
    <t>ANIMAL CONTROL OFFICER SALARY &amp; WAGES:</t>
  </si>
  <si>
    <t xml:space="preserve">ACO EXPENSES                  </t>
  </si>
  <si>
    <t>Requesting increase of $929; FCM VOTED NO ACTION</t>
  </si>
  <si>
    <t>ANIMAL CONTROL OFFICER EXPENSE:</t>
  </si>
  <si>
    <t xml:space="preserve">TOTAL ANIMAL CONTROL OFFICER:  </t>
  </si>
  <si>
    <t>ANI SAL ANIMAL INSP</t>
  </si>
  <si>
    <t>PETER MULHOLLAND-REPRESENT 2% INCREASE; PAID MNTH</t>
  </si>
  <si>
    <t>Personnel Director's Recommendation - 2% Increase</t>
  </si>
  <si>
    <t>ANIMAL INSPECTOR SALARY &amp; WAGES:</t>
  </si>
  <si>
    <t xml:space="preserve">ANI CAR ALLOWANCE                 </t>
  </si>
  <si>
    <t xml:space="preserve">ANI RABID ANIMAL SERVICE          </t>
  </si>
  <si>
    <t xml:space="preserve">ANI TRAVEL EXPENSES                                                                               </t>
  </si>
  <si>
    <t>ANIMAL INSPECTOR EXPENSE:</t>
  </si>
  <si>
    <t xml:space="preserve">TOTAL ANIMAL INSPECTOR:  </t>
  </si>
  <si>
    <t>TREE WARDEN</t>
  </si>
  <si>
    <t>TRW  SAL TREE WARDEN</t>
  </si>
  <si>
    <t xml:space="preserve">TRW  WAGE OVERTIME                      </t>
  </si>
  <si>
    <t xml:space="preserve">TRW  MEAL ALLOWANCE                </t>
  </si>
  <si>
    <t>TREE WARDEN SALARY &amp; WAGES:</t>
  </si>
  <si>
    <t xml:space="preserve">TRW  TREE REMOVAL - CONTRACTED     </t>
  </si>
  <si>
    <t>REQUESTING ADD'L $2,925</t>
  </si>
  <si>
    <r>
      <rPr>
        <strike/>
        <sz val="8"/>
        <color rgb="FFFF0000"/>
        <rFont val="Calibri"/>
        <family val="2"/>
        <scheme val="minor"/>
      </rPr>
      <t>Requesting Add'l $2925</t>
    </r>
    <r>
      <rPr>
        <sz val="8"/>
        <color rgb="FFFF0000"/>
        <rFont val="Calibri"/>
        <family val="2"/>
        <scheme val="minor"/>
      </rPr>
      <t xml:space="preserve">; </t>
    </r>
    <r>
      <rPr>
        <sz val="8"/>
        <rFont val="Calibri"/>
        <family val="2"/>
        <scheme val="minor"/>
      </rPr>
      <t>Request withdrawn, warrant article</t>
    </r>
  </si>
  <si>
    <t xml:space="preserve">TRW  SPECIAL DETAIL                </t>
  </si>
  <si>
    <t xml:space="preserve">TRW  MISC SUPPLIES                 </t>
  </si>
  <si>
    <t xml:space="preserve">TRW  DUES, PUBL &amp; MMBRSHPS      </t>
  </si>
  <si>
    <t>TREE WARDEN EXPENSES:</t>
  </si>
  <si>
    <t xml:space="preserve">TOTAL TREE WARDEN:  </t>
  </si>
  <si>
    <t>TOTAL PUBLIC SAFETY</t>
  </si>
  <si>
    <t>EDUCATION</t>
  </si>
  <si>
    <t>ELEMENTARY SCHOOL FUND (FUND 003)</t>
  </si>
  <si>
    <t>PRELIMINARY FY19 BUDGET   $8,308,071</t>
  </si>
  <si>
    <t>Based Budget voted</t>
  </si>
  <si>
    <t>FCM Guidelines 2.75%; Budget Rec'd 1/6/21 Inc. $499,740</t>
  </si>
  <si>
    <t>FCM Guidelines 3%; PLUS $86,000 Extraordinary Special Ed</t>
  </si>
  <si>
    <t>line</t>
  </si>
  <si>
    <t>ELEMENTARY SCHOOL FUND:</t>
  </si>
  <si>
    <t>ASSESSMT</t>
  </si>
  <si>
    <t xml:space="preserve">SCH ASSESSMENT - MASCO        </t>
  </si>
  <si>
    <t>PRELIMINARY FY19 BUDGET  3/15/18</t>
  </si>
  <si>
    <r>
      <t xml:space="preserve">FCM GUIDELINE - 3%; </t>
    </r>
    <r>
      <rPr>
        <sz val="8"/>
        <color rgb="FFFF0000"/>
        <rFont val="Calibri"/>
        <family val="2"/>
        <scheme val="minor"/>
      </rPr>
      <t>FCM BUDGET BASED ON 3/1/21 DOC (+8.3%)</t>
    </r>
  </si>
  <si>
    <t>FCM Guidelines 2.75% Based on 03/09 /22 BUDGET</t>
  </si>
  <si>
    <t xml:space="preserve">MASCO BLDG DEBT SERVICE       </t>
  </si>
  <si>
    <t>MASCO ASSESSMENT:</t>
  </si>
  <si>
    <t>SCH ASSESSMENT - ESSEX NS TECH</t>
  </si>
  <si>
    <t>2nd PRELIMINARY FY19 BUDGET PROVIDED  3/15/18</t>
  </si>
  <si>
    <t>FINAL FY21 ASSESSMENT 361,812; less $2,686</t>
  </si>
  <si>
    <t>Preliminary Budget received 2/14/22 (Enrollment 25 to 27)</t>
  </si>
  <si>
    <t>VOCATIONAL &amp; AGRICULTURAL SCHOOL ASSESSMENTS:</t>
  </si>
  <si>
    <t xml:space="preserve">TOTAL EDUCATION:  </t>
  </si>
  <si>
    <t>dept total -elem</t>
  </si>
  <si>
    <t>TOTAL EDUCATION</t>
  </si>
  <si>
    <t>PUBLIC WORKS</t>
  </si>
  <si>
    <t>STORMWATER MANAGEMENT</t>
  </si>
  <si>
    <t xml:space="preserve">STM  STORM WAT COORD STIPEND      </t>
  </si>
  <si>
    <t>DAVE BOND-REPRESENTS 2% INCREASE; PAID MONTHLY</t>
  </si>
  <si>
    <t>STORMWATER SALARY &amp; WAGES:</t>
  </si>
  <si>
    <t>STM CONSULTANT</t>
  </si>
  <si>
    <r>
      <rPr>
        <strike/>
        <sz val="8"/>
        <color rgb="FFFF0000"/>
        <rFont val="Calibri"/>
        <family val="2"/>
        <scheme val="minor"/>
      </rPr>
      <t>Requesting Add'l $10,000</t>
    </r>
    <r>
      <rPr>
        <sz val="8"/>
        <color rgb="FFFF0000"/>
        <rFont val="Calibri"/>
        <family val="2"/>
        <scheme val="minor"/>
      </rPr>
      <t xml:space="preserve">; </t>
    </r>
    <r>
      <rPr>
        <sz val="8"/>
        <rFont val="Calibri"/>
        <family val="2"/>
        <scheme val="minor"/>
      </rPr>
      <t>Request withdrawn, warrant article</t>
    </r>
  </si>
  <si>
    <t>STORMWATER EXPENSES</t>
  </si>
  <si>
    <t>TOTAL STORMWATER MANAGEMENT:</t>
  </si>
  <si>
    <t>HIGHWAY DEPARTMENT</t>
  </si>
  <si>
    <t>HWY  SAL SUPERINTENDENT</t>
  </si>
  <si>
    <t>DAVID BOND; FY18:G10/S7; HIRED 10/29/87</t>
  </si>
  <si>
    <t>Personnel By-Laws - FY19 Grade 10 / Step 08</t>
  </si>
  <si>
    <t xml:space="preserve"> Personnel By-Laws - FY20 Grade 10 / Step 9 </t>
  </si>
  <si>
    <t xml:space="preserve"> Personnel By-Laws - FY22 Grade 10 / Step 8 (24hr HWY/16hr P&amp;C)</t>
  </si>
  <si>
    <t xml:space="preserve"> Personnel By-Laws - FY23 Grade 10 / Step 8 (24hr HWY/16hr P&amp;C)</t>
  </si>
  <si>
    <t xml:space="preserve">HWY  SAL LONGEVITY                     </t>
  </si>
  <si>
    <t>$1000 - 60% HWY / 40% P&amp;C</t>
  </si>
  <si>
    <t>HWY  LABOR</t>
  </si>
  <si>
    <t>LEVEL FUNDED - UNION CONTRACT EXPIRED</t>
  </si>
  <si>
    <t>AFSCME Union Contract FY21-FY23</t>
  </si>
  <si>
    <t xml:space="preserve">HWY  ADMINISTRATIVE ASSISTANT  </t>
  </si>
  <si>
    <t>ANN MARIE YEO; FY18:G5/S8; 4/14/05</t>
  </si>
  <si>
    <t>Personnel By-Laws - FY19 Grade 05 / Step 09 (14 HOURS)</t>
  </si>
  <si>
    <t xml:space="preserve"> Personnel By-Laws - FY20 Grade 5 / Step 10 </t>
  </si>
  <si>
    <t xml:space="preserve"> Personnel By-Laws - FY22 Grade 5 / Step 9 (16hr HWY/19hr P&amp;C)</t>
  </si>
  <si>
    <t xml:space="preserve"> Personnel By-Laws - FY23 Grade 5 / Step 9 (16hr HWY/19hr P&amp;C)</t>
  </si>
  <si>
    <t xml:space="preserve">HWY  OVERTIME                      </t>
  </si>
  <si>
    <t xml:space="preserve">HWY  OVERTIME/COMPOSTING           </t>
  </si>
  <si>
    <t xml:space="preserve">HWY  EXTRA HELP                    </t>
  </si>
  <si>
    <t xml:space="preserve">HWY  LONGEVITY                     </t>
  </si>
  <si>
    <t xml:space="preserve">HWY  CLOTHING &amp; BOOT ALLOWANCE     </t>
  </si>
  <si>
    <t xml:space="preserve">HWY  MEAL ALLOWANCE                </t>
  </si>
  <si>
    <t>Contractual Change</t>
  </si>
  <si>
    <t>HIGHWAY DEPARTMENT SALARY &amp; WAGES:</t>
  </si>
  <si>
    <t xml:space="preserve">HWY  ELECTRICITY                   </t>
  </si>
  <si>
    <t xml:space="preserve">HWY NATURAL GAS                          </t>
  </si>
  <si>
    <t>HWY  MAINT - BUILDING</t>
  </si>
  <si>
    <t>HWY  MAINT - EQUIP</t>
  </si>
  <si>
    <t>HWY  SWEEPER</t>
  </si>
  <si>
    <t xml:space="preserve">HWY  MAINT - RADIO REPAIRS     </t>
  </si>
  <si>
    <t xml:space="preserve">HWY  EQUIPMENT RENTAL              </t>
  </si>
  <si>
    <t xml:space="preserve">HWY  STREET PAVING                 </t>
  </si>
  <si>
    <t>HWY  FIRE ALARM</t>
  </si>
  <si>
    <t xml:space="preserve">HWY  LINE PAINTING                 </t>
  </si>
  <si>
    <t xml:space="preserve">HWY  MED EXAM/DRUG TESTING                  </t>
  </si>
  <si>
    <t xml:space="preserve">HWY  SOFTWARE LICENCES                 </t>
  </si>
  <si>
    <t xml:space="preserve">HWY  EMPLOYEE LICENSES             </t>
  </si>
  <si>
    <t xml:space="preserve">HWY  COMMUNICATIONS    </t>
  </si>
  <si>
    <t xml:space="preserve">HWY  POSTAGE                       </t>
  </si>
  <si>
    <t>HWY  ADVERTISING</t>
  </si>
  <si>
    <t xml:space="preserve">HWY  MISC EXPENSE CLEANING        </t>
  </si>
  <si>
    <t xml:space="preserve">HWY  POLICE SP DETAIL/FLAGMAN      </t>
  </si>
  <si>
    <t xml:space="preserve">HWY  GASOLINE &amp; DIESEL             </t>
  </si>
  <si>
    <t xml:space="preserve">HWY  OFFICE SUPPLIES   </t>
  </si>
  <si>
    <t>HWY  OFFICE EQUIPMENT</t>
  </si>
  <si>
    <t xml:space="preserve">HWY  TOOL REPLACEMENT              </t>
  </si>
  <si>
    <t>Re-align accnts; AFSCME Union Contract</t>
  </si>
  <si>
    <t>HWY  MAINT SUPPLIES- BUILDING</t>
  </si>
  <si>
    <t>HWY  MAINT-EQUIP</t>
  </si>
  <si>
    <t xml:space="preserve">HWY  CUSTODIAL SUPPLIES            </t>
  </si>
  <si>
    <t>HWY  VEHICLE-OIL &amp; LUBE</t>
  </si>
  <si>
    <t>HWY  VEHICLE-TIRES</t>
  </si>
  <si>
    <t>HWY  VEHICLE-PARTS</t>
  </si>
  <si>
    <t xml:space="preserve">HWY  MEDICAL SUPPLIES              </t>
  </si>
  <si>
    <t xml:space="preserve">HWY  PUBLIC WORKS SUPPLIES         </t>
  </si>
  <si>
    <t xml:space="preserve">HWY  ROAD MATERIALS                </t>
  </si>
  <si>
    <t xml:space="preserve">HWY  OXYGEN                        </t>
  </si>
  <si>
    <t xml:space="preserve">HWY  FOUL WEATHER GEAR             </t>
  </si>
  <si>
    <t xml:space="preserve">HWY  SAFETY GEAR                   </t>
  </si>
  <si>
    <t xml:space="preserve">HWY  COMPOSTING EXPENSES           </t>
  </si>
  <si>
    <t>HWY  DUES, PUBL &amp; MMBRSHPS &amp; CONF</t>
  </si>
  <si>
    <t>HWY MISC EXPENSE</t>
  </si>
  <si>
    <t xml:space="preserve">HWY CAP - ROAD/BRIDGE/SIDEWALK          </t>
  </si>
  <si>
    <t>HIGHWAY EXPENSES:</t>
  </si>
  <si>
    <t>CAPITAL</t>
  </si>
  <si>
    <t xml:space="preserve">HWY  LEASE-VEHICLE      </t>
  </si>
  <si>
    <t>FRONT END LOADER ($125,000 WITH TRADE) ON CAPITAL PLAN</t>
  </si>
  <si>
    <t>HWY  CAPITAL EQUIPMENT</t>
  </si>
  <si>
    <t>HIGHWAY CAPITAL:</t>
  </si>
  <si>
    <t xml:space="preserve">TOTAL HIGHWAY DEPARTMENT:  </t>
  </si>
  <si>
    <t>SNOW &amp; ICE</t>
  </si>
  <si>
    <t xml:space="preserve">S&amp;I  OVERTIME                      </t>
  </si>
  <si>
    <t xml:space="preserve">S&amp;I  EXTRA HELP                    </t>
  </si>
  <si>
    <t xml:space="preserve">S&amp;I  MEAL ALLOWANCE                </t>
  </si>
  <si>
    <t>Re-align accnts; Contractual change</t>
  </si>
  <si>
    <t>SNOW &amp; ICE SALARY &amp; WAGES:</t>
  </si>
  <si>
    <t>S&amp;I  MAINTENANCE-VEHICLE</t>
  </si>
  <si>
    <t xml:space="preserve">S&amp;I  EQUIPMENT RENTAL              </t>
  </si>
  <si>
    <t xml:space="preserve">S&amp;I  WEATHER SERVICE               </t>
  </si>
  <si>
    <t xml:space="preserve">S&amp;I  GASOLINE/DIESEL               </t>
  </si>
  <si>
    <t xml:space="preserve">S&amp;I  SAND                          </t>
  </si>
  <si>
    <t xml:space="preserve">S&amp;I  DE-ICING / SALT                   </t>
  </si>
  <si>
    <t xml:space="preserve">S&amp;I  CUTTING EDGES                 </t>
  </si>
  <si>
    <t>SNOW &amp; ICE EXPENSES:</t>
  </si>
  <si>
    <t xml:space="preserve">TOTAL SNOW &amp; ICE:  </t>
  </si>
  <si>
    <t xml:space="preserve">STR  ELECTRICITY                   </t>
  </si>
  <si>
    <t>Requesting increase of $2,175; FCM APPROVED 3/12/18</t>
  </si>
  <si>
    <t>Requesting additional $1,244</t>
  </si>
  <si>
    <t>ADD'L $3,896 INCLUDED</t>
  </si>
  <si>
    <t>STREET LIGHT EXPENSES:</t>
  </si>
  <si>
    <t xml:space="preserve">TOTAL STREET LIGHTS:  </t>
  </si>
  <si>
    <t>REFUSE EXPENSE</t>
  </si>
  <si>
    <t xml:space="preserve">REF  RUBBISH COLLECTING            </t>
  </si>
  <si>
    <t>LAST YEAR OF 5 YR CONTRACT</t>
  </si>
  <si>
    <t>Requesting increase of $20,112; APPROVED BY FCM 3/19/18</t>
  </si>
  <si>
    <t>Contract 7/1/13 - 6/30/23</t>
  </si>
  <si>
    <t xml:space="preserve">REF  HAZARDOUS WASTE COLLECTION     </t>
  </si>
  <si>
    <t xml:space="preserve">TOTAL REFUSE EXPENSE:  </t>
  </si>
  <si>
    <t>RECYCLING  EXPENSE</t>
  </si>
  <si>
    <t xml:space="preserve">REF  POSTAGE                       </t>
  </si>
  <si>
    <t xml:space="preserve">REF  PRINTING &amp; ADVERTISING      </t>
  </si>
  <si>
    <t xml:space="preserve">TOTAL RECYCLING EXPENSE:  </t>
  </si>
  <si>
    <t>GAS DISTRIBUTION</t>
  </si>
  <si>
    <t>GAS/DIESEL DISTRIBUTION/VEHICLES TOWN WIDE</t>
  </si>
  <si>
    <t xml:space="preserve">TOTAL FUEL DISTRIBUTION EXPENSE:  </t>
  </si>
  <si>
    <t>PARK &amp; CEMETERY</t>
  </si>
  <si>
    <t xml:space="preserve">P&amp;C  SAL SUPERINTENDENT    </t>
  </si>
  <si>
    <t>Personnel By-Laws - FY19 Grade 09 / Step 06</t>
  </si>
  <si>
    <t xml:space="preserve"> Personnel By-Laws - FY20 Grade 9 / Step 7 </t>
  </si>
  <si>
    <t xml:space="preserve">P&amp;C  SAL LONGEVITY                     </t>
  </si>
  <si>
    <t xml:space="preserve">P&amp;C  WAGE EQUIP OPERATOR / FT       </t>
  </si>
  <si>
    <t>Contractual 2% increase</t>
  </si>
  <si>
    <t xml:space="preserve">P&amp;C  WAGE LABOR / FT                </t>
  </si>
  <si>
    <r>
      <t xml:space="preserve">AFSCME Union Contract FY21-FY23; </t>
    </r>
    <r>
      <rPr>
        <strike/>
        <sz val="8"/>
        <color rgb="FFFF0000"/>
        <rFont val="Calibri"/>
        <family val="2"/>
        <scheme val="minor"/>
      </rPr>
      <t>Requesting add'l $49,700</t>
    </r>
  </si>
  <si>
    <t xml:space="preserve">P&amp;C  WAGE LABOR / PT                </t>
  </si>
  <si>
    <t>Requesting additional $4,674 &amp; change of service use</t>
  </si>
  <si>
    <t>P&amp;C  WAGE ADMINISTRATIVE ASSISTANT</t>
  </si>
  <si>
    <t xml:space="preserve"> Personnel By-Laws - FY20 Grade 5 / Step 7 </t>
  </si>
  <si>
    <t xml:space="preserve">P&amp;C  WAGE OVERTIME                      </t>
  </si>
  <si>
    <t xml:space="preserve">P&amp;C  WAGE LONGEVITY                     </t>
  </si>
  <si>
    <t xml:space="preserve">P&amp;C WAGE UNIFORM ALLOWANCE                      </t>
  </si>
  <si>
    <t>Moved from "Other" to Wages; PAID THROUGH PAYROLL</t>
  </si>
  <si>
    <t xml:space="preserve">P&amp;C  MEAL ALLOWANCE                </t>
  </si>
  <si>
    <t>PARK &amp; CEMETERY SALARY &amp; WAGES:</t>
  </si>
  <si>
    <t xml:space="preserve">P&amp;C  ELECTRICITY                   </t>
  </si>
  <si>
    <r>
      <rPr>
        <i/>
        <sz val="8"/>
        <rFont val="Calibri"/>
        <family val="2"/>
        <scheme val="minor"/>
      </rPr>
      <t>Re-align accnts</t>
    </r>
    <r>
      <rPr>
        <sz val="8"/>
        <rFont val="Calibri"/>
        <family val="2"/>
        <scheme val="minor"/>
      </rPr>
      <t>; Based on Actual; 2020 included 2 St Light Bills</t>
    </r>
  </si>
  <si>
    <t xml:space="preserve">P&amp;C  NATURAL GAS                </t>
  </si>
  <si>
    <t xml:space="preserve">P&amp;C  WATER                         </t>
  </si>
  <si>
    <t>P&amp;C  BLDG &amp; GROUNDS MAINT</t>
  </si>
  <si>
    <t>P&amp;C  VEH &amp; EQUIP MAINT</t>
  </si>
  <si>
    <t>Requesting increase of $1,000; FCM VOTED NO ACTION</t>
  </si>
  <si>
    <t>ADD'L $3,000 INCLUDED</t>
  </si>
  <si>
    <t xml:space="preserve">P&amp;C  EQUIPMENT RENTAL              </t>
  </si>
  <si>
    <t>P&amp;C  FIRE ALARM MONITOR</t>
  </si>
  <si>
    <t>FIRE ALARM MONITORING $1,000; FCM APPROVED 3/22/18</t>
  </si>
  <si>
    <t xml:space="preserve">P&amp;C  CONSULTANTS                   </t>
  </si>
  <si>
    <t xml:space="preserve">P&amp;C  EDUCATION/LICENSE REIMB       </t>
  </si>
  <si>
    <t xml:space="preserve">P&amp;C  COMMUNICATIONS    </t>
  </si>
  <si>
    <t xml:space="preserve">P&amp;C  POSTAGE                       </t>
  </si>
  <si>
    <t xml:space="preserve">P&amp;C  ADVERTISING                   </t>
  </si>
  <si>
    <t xml:space="preserve">P&amp;C  SRVS                                                                        </t>
  </si>
  <si>
    <t>P&amp;C  PROF SRVS- CEM GROUNDS KEEP</t>
  </si>
  <si>
    <t>Requesting add'l $50,000 - BUDGET OFFSET</t>
  </si>
  <si>
    <t xml:space="preserve">P&amp;C  OFFICE SUPPLIES                   </t>
  </si>
  <si>
    <t xml:space="preserve">P&amp;C  PUBLIC WORKS                  </t>
  </si>
  <si>
    <t xml:space="preserve">P&amp;C  BUILDING MAINTENANCE          </t>
  </si>
  <si>
    <t xml:space="preserve">P&amp;C  CUSTODIAL                     </t>
  </si>
  <si>
    <t xml:space="preserve">P&amp;C  GROUNDSKEEPING                </t>
  </si>
  <si>
    <t>Requesting $1,000; FCM APPROVED 3/19/18</t>
  </si>
  <si>
    <t>REQUESTING ADD'L $6,000</t>
  </si>
  <si>
    <t xml:space="preserve">P&amp;C  VEH, OIL &amp; LUBE             </t>
  </si>
  <si>
    <t xml:space="preserve">P&amp;C  MEDICAL SUPPLIES                 </t>
  </si>
  <si>
    <t xml:space="preserve">P&amp;C  ANIMAL PICK UP SUPPLIES       </t>
  </si>
  <si>
    <t>MOVED TO BOARD OF HEALTH BUDGET</t>
  </si>
  <si>
    <t>P&amp;C  FLARE MAINT/SUPPLIES</t>
  </si>
  <si>
    <t>MOVED TO LANDFILL</t>
  </si>
  <si>
    <t xml:space="preserve">P&amp;C  PUBLICATIONS                  </t>
  </si>
  <si>
    <t xml:space="preserve">P&amp;C  MISC SUPPLIES                 </t>
  </si>
  <si>
    <t xml:space="preserve">P&amp;C  UNIFORM EXPENSE         </t>
  </si>
  <si>
    <t xml:space="preserve">P&amp;C  RECREATION FIELDS       </t>
  </si>
  <si>
    <r>
      <rPr>
        <i/>
        <sz val="8"/>
        <rFont val="Calibri"/>
        <family val="2"/>
        <scheme val="minor"/>
      </rPr>
      <t>Re-align accnts</t>
    </r>
    <r>
      <rPr>
        <sz val="8"/>
        <color rgb="FFFF0000"/>
        <rFont val="Calibri"/>
        <family val="2"/>
        <scheme val="minor"/>
      </rPr>
      <t xml:space="preserve">; </t>
    </r>
    <r>
      <rPr>
        <strike/>
        <sz val="8"/>
        <color rgb="FFFF0000"/>
        <rFont val="Calibri"/>
        <family val="2"/>
        <scheme val="minor"/>
      </rPr>
      <t>Requesting add'l  $10K</t>
    </r>
    <r>
      <rPr>
        <sz val="8"/>
        <color rgb="FFFF0000"/>
        <rFont val="Calibri"/>
        <family val="2"/>
        <scheme val="minor"/>
      </rPr>
      <t xml:space="preserve">; </t>
    </r>
    <r>
      <rPr>
        <sz val="8"/>
        <color theme="1"/>
        <rFont val="Calibri"/>
        <family val="2"/>
        <scheme val="minor"/>
      </rPr>
      <t>Withdrawn, War Art</t>
    </r>
  </si>
  <si>
    <t xml:space="preserve">P&amp;C  TENNIS COURTS                 </t>
  </si>
  <si>
    <t>PARK &amp; CEMETERY EXPENSES:</t>
  </si>
  <si>
    <t xml:space="preserve">TOTAL PARK &amp; CEMETERY:  </t>
  </si>
  <si>
    <t xml:space="preserve">LANDFILL  </t>
  </si>
  <si>
    <t>LND  CONTR ENGINEER &amp; MONITOR</t>
  </si>
  <si>
    <t>Requesting $40,000 as new Dept in General Fund; $27,550 offset</t>
  </si>
  <si>
    <t>New Contract with North Coastal Environmental = FY22+2%</t>
  </si>
  <si>
    <t>LND  GROUND WATER - PFAS TESTING</t>
  </si>
  <si>
    <r>
      <rPr>
        <strike/>
        <sz val="8"/>
        <color rgb="FFFF0000"/>
        <rFont val="Calibri"/>
        <family val="2"/>
        <scheme val="minor"/>
      </rPr>
      <t>Requesting add'l  $25,600</t>
    </r>
    <r>
      <rPr>
        <sz val="8"/>
        <color rgb="FFFF0000"/>
        <rFont val="Calibri"/>
        <family val="2"/>
        <scheme val="minor"/>
      </rPr>
      <t xml:space="preserve">; </t>
    </r>
    <r>
      <rPr>
        <sz val="8"/>
        <color theme="1"/>
        <rFont val="Calibri"/>
        <family val="2"/>
        <scheme val="minor"/>
      </rPr>
      <t>Request Withdrawn, Warrant Article</t>
    </r>
  </si>
  <si>
    <t>LND  OTHER EXPENSES</t>
  </si>
  <si>
    <t>MOVED FROM PARK &amp; CEMETERY</t>
  </si>
  <si>
    <r>
      <rPr>
        <strike/>
        <sz val="8"/>
        <color rgb="FFFF0000"/>
        <rFont val="Calibri"/>
        <family val="2"/>
        <scheme val="minor"/>
      </rPr>
      <t>Requesting add'l  $10,000</t>
    </r>
    <r>
      <rPr>
        <sz val="8"/>
        <color rgb="FFFF0000"/>
        <rFont val="Calibri"/>
        <family val="2"/>
        <scheme val="minor"/>
      </rPr>
      <t xml:space="preserve">; </t>
    </r>
    <r>
      <rPr>
        <sz val="8"/>
        <color theme="1"/>
        <rFont val="Calibri"/>
        <family val="2"/>
        <scheme val="minor"/>
      </rPr>
      <t>Request Withdrawn, Warrant Article</t>
    </r>
  </si>
  <si>
    <t>LND  FLARE MAINT/SUPPLIES</t>
  </si>
  <si>
    <t>Change account name to "Vent Maintenance"</t>
  </si>
  <si>
    <t>LANDFILL EXPENSE:</t>
  </si>
  <si>
    <t xml:space="preserve">TOTAL LANDFILL:  </t>
  </si>
  <si>
    <t>TOTAL PUBLIC WORKS</t>
  </si>
  <si>
    <t xml:space="preserve">BOH  SAL BOARD OF HEALTH AGENT         </t>
  </si>
  <si>
    <t>FY18-G7/S11</t>
  </si>
  <si>
    <t>Personnel By-Laws - FY19 Grade 07 / Step 11</t>
  </si>
  <si>
    <t xml:space="preserve"> Personnel By-Laws - FY20 Grade 7 / Step 11</t>
  </si>
  <si>
    <t xml:space="preserve"> Personnel By-Laws - FY22 Grade 7 / Step 6 </t>
  </si>
  <si>
    <t xml:space="preserve"> Personnel By-Laws - FY23 Grade 7 / Step 6 </t>
  </si>
  <si>
    <t xml:space="preserve">BOH  SAL LONGEVITY      </t>
  </si>
  <si>
    <t>Celebrates 10 yr anniversary; started 9/25/06</t>
  </si>
  <si>
    <t xml:space="preserve">B0H  WAGES SR ADMINISTRATIVE ASSISTANT  </t>
  </si>
  <si>
    <t>Vacant; Proposed hiring at G4/S2</t>
  </si>
  <si>
    <t>Personnel By-Laws - FY19 Grade 05 / Step 07</t>
  </si>
  <si>
    <t xml:space="preserve"> Personnel By-Laws - FY20 Grade 5 / Step 8</t>
  </si>
  <si>
    <t xml:space="preserve"> Personnel By-Laws - FY22 G5 / S10; ADD'L $2,977 INCLUDED</t>
  </si>
  <si>
    <t xml:space="preserve"> Personnel By-Laws - FY23 Grade 5 / Step 10; 19 Hours</t>
  </si>
  <si>
    <t xml:space="preserve">B0H  WAGES SANITARIANS FOR FAIR          </t>
  </si>
  <si>
    <t>MOVED $1,200 TO EXPENSES</t>
  </si>
  <si>
    <t xml:space="preserve">B0H  WAGES BOARD SECRETARY               </t>
  </si>
  <si>
    <t>REQUESTING ADD'L $1,081</t>
  </si>
  <si>
    <t>3 hours/month</t>
  </si>
  <si>
    <t xml:space="preserve">B0H  WAGES lONGEVITY               </t>
  </si>
  <si>
    <t>BOARD OF HEALTH SALARY &amp; WAGES:</t>
  </si>
  <si>
    <t xml:space="preserve">BOH  DEAD ANIMALS PICKUP/DISPOSAL    </t>
  </si>
  <si>
    <t>ADD'L $2,700 INCLUDED</t>
  </si>
  <si>
    <t>MOVED IN FROM PARK &amp; CEMETERY DEPARTMENT</t>
  </si>
  <si>
    <t xml:space="preserve">BOH  MEDICAL SHARPS PICKUP/DISPOSAL        </t>
  </si>
  <si>
    <t>ADD'L $1,750 INCLUDED</t>
  </si>
  <si>
    <t xml:space="preserve">BOH  VISITING NURSES               </t>
  </si>
  <si>
    <t>BOH  VACCINE EXPENSE</t>
  </si>
  <si>
    <t>ADD'L $5,040 INCLUDED</t>
  </si>
  <si>
    <t xml:space="preserve">BOH  TRAINING                      </t>
  </si>
  <si>
    <t xml:space="preserve">BOH  COMMUNICATIONS    </t>
  </si>
  <si>
    <t xml:space="preserve">BOH  POSTAGE                       </t>
  </si>
  <si>
    <t xml:space="preserve">BOH  PROFESSIONAL SRVS                                                           </t>
  </si>
  <si>
    <t>MOVED FROM WAGES</t>
  </si>
  <si>
    <t xml:space="preserve">BOH  OFFICE SUPPLIES               </t>
  </si>
  <si>
    <t xml:space="preserve">BOH  FIELD SUPPLIES                </t>
  </si>
  <si>
    <t xml:space="preserve">BOH  TRAVEL EXPENSES                                                        &amp; MEETINGS             </t>
  </si>
  <si>
    <t xml:space="preserve">BOH  DUES, PUBL &amp; MMBRSHPS                          </t>
  </si>
  <si>
    <t xml:space="preserve">BOH  MISC EXPENSE                 </t>
  </si>
  <si>
    <t>BOARD OF HEALTH EXPENSES:</t>
  </si>
  <si>
    <t xml:space="preserve">TOTAL BOARD OF HEALTH:  </t>
  </si>
  <si>
    <t>COA  SAL DIRECTOR (APPNT'D)</t>
  </si>
  <si>
    <t>BURKE FY18-G7/S4</t>
  </si>
  <si>
    <t>Personnel By-Laws - FY19 Grade 07 / Step 5</t>
  </si>
  <si>
    <t xml:space="preserve"> Personnel By-Laws - FY20 Grade 7 / Step 6</t>
  </si>
  <si>
    <t xml:space="preserve"> Personnel By-Laws - FY22 Grade 7 / Step 6 NEWLY FILLED</t>
  </si>
  <si>
    <t xml:space="preserve">COA WAGE SECRETARY                     </t>
  </si>
  <si>
    <t>WIDEBERG FY18-G4/S9 $35,786.40; 30 HRS</t>
  </si>
  <si>
    <t xml:space="preserve"> Personnel By-Laws - FY20 Grade 5 / Step 7</t>
  </si>
  <si>
    <t xml:space="preserve"> Personnel By-Laws - FY22 Grade 5 / Step 7</t>
  </si>
  <si>
    <t xml:space="preserve"> Personnel By-Laws - FY23 Grade 5 / Step 8 (30 hours)</t>
  </si>
  <si>
    <t xml:space="preserve">COA WAGE VAN DRIVERS                   </t>
  </si>
  <si>
    <t>YOUNG FY18:G2/S7 12 HRS,  SHELAGH FY18:G2/S3 6 HRS</t>
  </si>
  <si>
    <t>Personnel By-Laws; Actual cost of 2 Drivers is $21,528+; partly funded through Title III grant</t>
  </si>
  <si>
    <t xml:space="preserve"> Personnel By-Laws - FY20 G2/S9 &amp; G2/S4; Requesting $4,240</t>
  </si>
  <si>
    <t xml:space="preserve"> Personnel By-Laws - FY22 G2/S10 &amp; G2/S5; Title III Grant offset</t>
  </si>
  <si>
    <t xml:space="preserve"> Personnel By-Laws - FY23 G2/S10 &amp; G2/S5; Title III Grant offset</t>
  </si>
  <si>
    <t>COA WAGE LONGEVITY</t>
  </si>
  <si>
    <t>WIDEBERG 10 YRS - $750 PRO-RATED (750/40*30)</t>
  </si>
  <si>
    <t>EW Start Date 7/11/2006 (15yrs,11m); Longevity = $750 prorated</t>
  </si>
  <si>
    <t>COUNCIL ON AGING SALARY &amp; WAGES:</t>
  </si>
  <si>
    <t>COA  FIRE EXTINGUISHER INSPECT/MAINT</t>
  </si>
  <si>
    <t>Requesting additional $100</t>
  </si>
  <si>
    <t>YOUNG</t>
  </si>
  <si>
    <t>COA  VEHICLE MAINT</t>
  </si>
  <si>
    <t>GEIBEL</t>
  </si>
  <si>
    <t xml:space="preserve">COA  TRACKING SOFTWARE </t>
  </si>
  <si>
    <t>Requesting $400; Myseniorcare Maint Fee $790; FCM Approved</t>
  </si>
  <si>
    <t>COA  PHONE/COMMUNICATION</t>
  </si>
  <si>
    <t xml:space="preserve">COA  POSTAGE/MAILING                    </t>
  </si>
  <si>
    <t>Requesting $400; Increased # of newsletters; FCM: NO ACTION</t>
  </si>
  <si>
    <t>COA  OFFICE SUPPLIES</t>
  </si>
  <si>
    <t xml:space="preserve">COA  TRAVEL EXPENSES                                                        &amp; MEETINGS             </t>
  </si>
  <si>
    <t xml:space="preserve">COA  DUES, PUBL &amp; MMBRSHPS                          </t>
  </si>
  <si>
    <t>COA  OTHER</t>
  </si>
  <si>
    <t>Annual Maint Fee - My Seniorcare (FY18); moved to 54105-53040</t>
  </si>
  <si>
    <t>COUNCIL ON AGING EXPENSES:</t>
  </si>
  <si>
    <t xml:space="preserve">TOTAL COUNCIL ON AGING:  </t>
  </si>
  <si>
    <t>VETERAN'S SERVICES</t>
  </si>
  <si>
    <t xml:space="preserve">VET  CONSULTANT                    </t>
  </si>
  <si>
    <t>LEVEL FUND PER EMAIL FROM RICHARD CULLINAN</t>
  </si>
  <si>
    <t xml:space="preserve">VET  POSTAGE                       </t>
  </si>
  <si>
    <t xml:space="preserve">VET  OFFICE SUPPLIES               </t>
  </si>
  <si>
    <t xml:space="preserve">VET  MISCELLANEOUS SUPPLIES               </t>
  </si>
  <si>
    <t xml:space="preserve">VET  TRAVEL EXPENSES &amp; MEETINGS             </t>
  </si>
  <si>
    <t xml:space="preserve">VET  DUES, PUBL &amp; MMBRSHPS                          </t>
  </si>
  <si>
    <t xml:space="preserve">VET  VETERAN'S BENEFITS            </t>
  </si>
  <si>
    <t>VETERAN'S SERVICES EXPENSES:</t>
  </si>
  <si>
    <t xml:space="preserve">TOTAL VETERAN'S SERVICES:  </t>
  </si>
  <si>
    <t>SOLDIER &amp; GRAVES</t>
  </si>
  <si>
    <t xml:space="preserve">SOLDIER/SAILOR GRAVES         </t>
  </si>
  <si>
    <t>SOLDIERS &amp; GRAVES EXPENSES:</t>
  </si>
  <si>
    <t xml:space="preserve">TOTAL SOLDIERS &amp; GRAVES:  </t>
  </si>
  <si>
    <t>TOTAL HUMAN SERVICES</t>
  </si>
  <si>
    <t>CULTURE &amp; RECREATION</t>
  </si>
  <si>
    <t>LIBRARY DEPARTMENT</t>
  </si>
  <si>
    <t>LIB  SAL LIBRARY DIRECTOR</t>
  </si>
  <si>
    <t>Personnel By-Laws - FY19 Grade 09 / Step 06 (ZALEWSKI)</t>
  </si>
  <si>
    <t xml:space="preserve"> Personnel By-Laws - FY22 Grade 9 / Step 8</t>
  </si>
  <si>
    <t xml:space="preserve"> Personnel By-Laws - FY23 Grade 9 / Step 6 (40 hours) 1/26/22</t>
  </si>
  <si>
    <t>LIB  SAL CHILDREN'S LIB</t>
  </si>
  <si>
    <t>Personnel By-Laws - FY19 Grade 06 / Step 04 (RECKA)</t>
  </si>
  <si>
    <t xml:space="preserve"> Personnel By-Laws - FY23 Grade 6 / Step 6 (37.5 Hours) 5/1/15</t>
  </si>
  <si>
    <t xml:space="preserve">LIB  SAL REF LIB / ASST DIRECTOR          </t>
  </si>
  <si>
    <t>Personnel By-Laws - FY19 Gr 07/Step06;  Change in Title/Grade DEC 17</t>
  </si>
  <si>
    <t xml:space="preserve"> Personnel By-Laws - FY22 Grade 7 / Step 2  Vacant Position</t>
  </si>
  <si>
    <t xml:space="preserve"> Personnel By-Laws - FY23 Grade 7 / Step 2 (37.5 Hours) 7/26/21</t>
  </si>
  <si>
    <t>LIB  SAL DEPT HEAD CIRCULATION/ADULT SV</t>
  </si>
  <si>
    <t>Personnel By-Laws - FY19 Grade 06 / Step 05 (MANNING)</t>
  </si>
  <si>
    <t xml:space="preserve"> Personnel By-Laws - FY23 Grade 6 / Step 7 (37.5 hours) 12/15/21</t>
  </si>
  <si>
    <t xml:space="preserve">LIB  SAL LONGEVITY                     </t>
  </si>
  <si>
    <t>Ref Lib/Asst Dir Retired in FY21</t>
  </si>
  <si>
    <t>HEZLETT</t>
  </si>
  <si>
    <t>LIB  WAGES F/T EMP</t>
  </si>
  <si>
    <t>Personnel By-Laws - FY19 Grade 05 / Step 03 (BOUDREAU)</t>
  </si>
  <si>
    <t xml:space="preserve"> Personnel By-Laws - FY22 Grade 5 / Step 5</t>
  </si>
  <si>
    <t xml:space="preserve"> Personnel By-Laws - FY23 Grade 5 / Step 5 (37.5 Hours) 6/6/16</t>
  </si>
  <si>
    <t>RANDALL</t>
  </si>
  <si>
    <t>LIB  WAGES P/T EMP</t>
  </si>
  <si>
    <t>Personnel By-Laws - FY19 Grade XX / Step XX (6 P/T EMPLOYEES)</t>
  </si>
  <si>
    <t>Various Personnel By-Law Positions</t>
  </si>
  <si>
    <t>MARTIGNETTI</t>
  </si>
  <si>
    <t xml:space="preserve">LIB  WAGES LONGEVITY                     </t>
  </si>
  <si>
    <t>Adjustment for part time staff</t>
  </si>
  <si>
    <t>BRANDENBURG</t>
  </si>
  <si>
    <t>E SMITH</t>
  </si>
  <si>
    <t>MIRABITO</t>
  </si>
  <si>
    <t>LIBRARY SALARY &amp; WAGES:</t>
  </si>
  <si>
    <t xml:space="preserve">LIB  ELECTRICITY          </t>
  </si>
  <si>
    <t xml:space="preserve">LIB  NATURAL GAS                 </t>
  </si>
  <si>
    <t>LIB  WATER</t>
  </si>
  <si>
    <t>ADD'L $194 INCLUDED</t>
  </si>
  <si>
    <t xml:space="preserve">LIB  ANTICIPATED MAINT &amp; REPAIR </t>
  </si>
  <si>
    <t>Requesting increase of $1,426; FCM Approved 3/26</t>
  </si>
  <si>
    <t>Requesting additional $2,298</t>
  </si>
  <si>
    <t>ADD'L $1,769 INCLUDED</t>
  </si>
  <si>
    <t xml:space="preserve">LIB  CONTRACTED CLEANING SERV      </t>
  </si>
  <si>
    <t xml:space="preserve">LIB  UNANTICIPATED MAINT &amp; REPAIR </t>
  </si>
  <si>
    <t>Requesting increase of $300; FCM Approved 3/26</t>
  </si>
  <si>
    <t>BUDGET DECREASE  OF $12,000 DUE TO FY21 ONE-TIME COST</t>
  </si>
  <si>
    <t>Requesting add'l  $11,200</t>
  </si>
  <si>
    <t>LIB  COMPUTER EXPENSES</t>
  </si>
  <si>
    <t>ADD'L $124 INCLUDED</t>
  </si>
  <si>
    <t>Requesting add'l  $312</t>
  </si>
  <si>
    <t xml:space="preserve">LIB  SERVICE BUREAU FEE            </t>
  </si>
  <si>
    <t>Requesting increase of $308; FCM Approved 3/26</t>
  </si>
  <si>
    <t xml:space="preserve">LIB  TELE / COMMUNICATIONS                     </t>
  </si>
  <si>
    <t xml:space="preserve">LIB  POSTAGE                       </t>
  </si>
  <si>
    <t xml:space="preserve">LIB  ADVERTISING                   </t>
  </si>
  <si>
    <t xml:space="preserve">LIB  NETWORK ADMINISTRATION        </t>
  </si>
  <si>
    <t>Requesting increase of $537; FCM Approved 3/26</t>
  </si>
  <si>
    <t>ADD'L $198 INCLUDED</t>
  </si>
  <si>
    <t>Requesting add'l $464</t>
  </si>
  <si>
    <t xml:space="preserve">LIB  LIBRARY SUPPORT SUPPLIES      </t>
  </si>
  <si>
    <t xml:space="preserve">LIB  OFFICE - GENERAL              </t>
  </si>
  <si>
    <t xml:space="preserve">LIB  COPIER                        </t>
  </si>
  <si>
    <t xml:space="preserve">LIB  MAINT/ BUILDING               </t>
  </si>
  <si>
    <t xml:space="preserve">LIB  CUSTODIAL SUPPLIES            </t>
  </si>
  <si>
    <t xml:space="preserve">LIB  TRAVEL EXPENSES                                                        &amp; MEETINGS             </t>
  </si>
  <si>
    <t xml:space="preserve">LIB  DUES, PUBL &amp; MMBRSHPS                          </t>
  </si>
  <si>
    <t xml:space="preserve">LIB  EQUIPMENT                     </t>
  </si>
  <si>
    <t>LIBRARY EXPENSES:</t>
  </si>
  <si>
    <t xml:space="preserve">TOTAL LIBRARY DEPARTMENT:  </t>
  </si>
  <si>
    <t>RECREATION DEPARTMENT</t>
  </si>
  <si>
    <t>REC DIRECTOR (19hrs)</t>
  </si>
  <si>
    <t>ADD'L $31,103 INCLUDED</t>
  </si>
  <si>
    <t xml:space="preserve"> Personnel By-Laws - FY23 Grade 7 / Step 3 (19 hours) 9/20/21</t>
  </si>
  <si>
    <t>RECREATION SALARY &amp; WAGES:</t>
  </si>
  <si>
    <t>REC POSTAGE</t>
  </si>
  <si>
    <t>ADD'L $400 INCLUDED</t>
  </si>
  <si>
    <t>REC OFFICE SUPPLIES</t>
  </si>
  <si>
    <t>REC EQUIPMENT</t>
  </si>
  <si>
    <t>ADD'L $500 INCLUDED</t>
  </si>
  <si>
    <t>REC MISC EXP</t>
  </si>
  <si>
    <t xml:space="preserve">REC DUES, PUBL &amp; MMBRSHPS                          </t>
  </si>
  <si>
    <t>ADD'L $200 INCLUDED</t>
  </si>
  <si>
    <t>RECREATION EXPENSES:</t>
  </si>
  <si>
    <t xml:space="preserve">TOTAL RECREATION DEPARTMENT:  </t>
  </si>
  <si>
    <t xml:space="preserve">HCM  POSTAGE                       </t>
  </si>
  <si>
    <t xml:space="preserve">HCM  MISC EXPENSES         </t>
  </si>
  <si>
    <t>Reduction</t>
  </si>
  <si>
    <t>HISTORICAL COMMISSION EXPENSES:</t>
  </si>
  <si>
    <t xml:space="preserve">TOTAL HISTORICAL COMMISSION:  </t>
  </si>
  <si>
    <t>MEMORIAL / VETERAN'S DAY</t>
  </si>
  <si>
    <t xml:space="preserve">CUSTODIAL WAGES               </t>
  </si>
  <si>
    <t>MEMORIAL/VETERAN DAY SALARY &amp; WAGES:</t>
  </si>
  <si>
    <t xml:space="preserve">M&amp;V  RENTAL OF EQUIPMENT           </t>
  </si>
  <si>
    <t>M&amp;V  SERVICES</t>
  </si>
  <si>
    <t xml:space="preserve">M&amp;V  POSTAGE                       </t>
  </si>
  <si>
    <t xml:space="preserve">M&amp;V  MARCHING BAND-MEMORIAL DAY    </t>
  </si>
  <si>
    <t xml:space="preserve">M&amp;V  MARCHING BAND VETERAN'S DAY   </t>
  </si>
  <si>
    <t xml:space="preserve">M&amp;V  MISC SUPPLIES                 </t>
  </si>
  <si>
    <t>MEMORIAL/VETERAN DAY EXPENSES:</t>
  </si>
  <si>
    <t xml:space="preserve">TOTAL MEMORIAL / VETERANS'S DAY:  </t>
  </si>
  <si>
    <t>HOLIDAY ON THE GREEN CELEBRATION</t>
  </si>
  <si>
    <t xml:space="preserve">POSTAGE                       </t>
  </si>
  <si>
    <t xml:space="preserve">Town is looking to contribute to Holiday on the Green; </t>
  </si>
  <si>
    <t xml:space="preserve">ADVERTISING                   </t>
  </si>
  <si>
    <t>Request is on the Above Guidelines</t>
  </si>
  <si>
    <t xml:space="preserve">MISC EXPENSE EXPENSES        </t>
  </si>
  <si>
    <t>REQUESTING NEW DEPT, $1000; FCM:  NO ACTON</t>
  </si>
  <si>
    <t>HOLIDAY ON THE GREEN EXPENSES:</t>
  </si>
  <si>
    <t xml:space="preserve">TOTAL HOLIDAY ON THE GREEN:  </t>
  </si>
  <si>
    <t>TOTAL CULTURE &amp; RECREATION</t>
  </si>
  <si>
    <t xml:space="preserve">CONTRACTED SRVS                                                             </t>
  </si>
  <si>
    <t xml:space="preserve">L/T PRIN - MULTI PURPOSE 2011            </t>
  </si>
  <si>
    <t>Based on Actual Long-term Debt Schedule</t>
  </si>
  <si>
    <t>L/T PRIN - MULTI PURPOSE 2012</t>
  </si>
  <si>
    <r>
      <rPr>
        <sz val="8"/>
        <color rgb="FF00B050"/>
        <rFont val="Calibri"/>
        <family val="2"/>
        <scheme val="minor"/>
      </rPr>
      <t>Fixed Charges;</t>
    </r>
    <r>
      <rPr>
        <sz val="8"/>
        <color rgb="FFFF0000"/>
        <rFont val="Calibri"/>
        <family val="2"/>
        <scheme val="minor"/>
      </rPr>
      <t xml:space="preserve"> Final Payment FY22</t>
    </r>
  </si>
  <si>
    <t>L/T PRIN - MULTI PURPOSE 2017</t>
  </si>
  <si>
    <r>
      <rPr>
        <sz val="8"/>
        <color rgb="FF00B050"/>
        <rFont val="Calibri"/>
        <family val="2"/>
        <scheme val="minor"/>
      </rPr>
      <t>Fixed Charges;</t>
    </r>
    <r>
      <rPr>
        <sz val="8"/>
        <color rgb="FFFF0000"/>
        <rFont val="Calibri"/>
        <family val="2"/>
        <scheme val="minor"/>
      </rPr>
      <t xml:space="preserve"> Reduction based on actual debt payments due</t>
    </r>
  </si>
  <si>
    <t>L/T PRIN - MULTI PURPOSE 2017-TOWN</t>
  </si>
  <si>
    <t>L/T PRIN - MULTI PURPOSE 2017-SCHOOL</t>
  </si>
  <si>
    <t>L/T PRIN - G.O. BOND 2019</t>
  </si>
  <si>
    <r>
      <rPr>
        <sz val="8"/>
        <color rgb="FF00B050"/>
        <rFont val="Calibri"/>
        <family val="2"/>
        <scheme val="minor"/>
      </rPr>
      <t>Fixed Charges;</t>
    </r>
    <r>
      <rPr>
        <sz val="8"/>
        <color rgb="FFFF0000"/>
        <rFont val="Calibri"/>
        <family val="2"/>
        <scheme val="minor"/>
      </rPr>
      <t xml:space="preserve"> Requesting additional $20,000</t>
    </r>
  </si>
  <si>
    <t>L/T PRIN - G.O. BOND 2019-TOWN</t>
  </si>
  <si>
    <t>L/T PRIN - G.O. BOND 2019-SCHOOL</t>
  </si>
  <si>
    <t>L/T PRIN - G.O. BOND FY20</t>
  </si>
  <si>
    <r>
      <rPr>
        <sz val="8"/>
        <color rgb="FF00B050"/>
        <rFont val="Calibri"/>
        <family val="2"/>
        <scheme val="minor"/>
      </rPr>
      <t>Fixed Charges;</t>
    </r>
    <r>
      <rPr>
        <sz val="8"/>
        <color rgb="FFFF0000"/>
        <rFont val="Calibri"/>
        <family val="2"/>
        <scheme val="minor"/>
      </rPr>
      <t xml:space="preserve"> Requesting additional $5,000</t>
    </r>
  </si>
  <si>
    <t>L/T PRIN - G.O. BOND FY20-TOWN</t>
  </si>
  <si>
    <t>L/T PRIN - G.O. BOND FY20-SCHOOL</t>
  </si>
  <si>
    <t xml:space="preserve">INT-MULTI PURPOSE 2011            </t>
  </si>
  <si>
    <t xml:space="preserve">INT-MULTI PURPOSE 2012            </t>
  </si>
  <si>
    <t xml:space="preserve">INT-MULTI PURPOSE 2017            </t>
  </si>
  <si>
    <t xml:space="preserve">INT-MULTI PURPOSE 2017 -TOWN </t>
  </si>
  <si>
    <t xml:space="preserve">INT-MULTI PURPOSE 2017-SCHOOL            </t>
  </si>
  <si>
    <t>L/T INTEREST - G.O. BOND 2019</t>
  </si>
  <si>
    <t>L/T INTEREST - G.O. BOND 2019-TOWN</t>
  </si>
  <si>
    <t>L/T INTEREST - G.O. BOND 2019-SCHOOL</t>
  </si>
  <si>
    <t>L/T INTEREST - G.O. BOND FY20</t>
  </si>
  <si>
    <t>L/T INTEREST - G.O. BOND FY20-TOWN</t>
  </si>
  <si>
    <t>L/T INTEREST - G.O. BOND FY20-SCHOOL</t>
  </si>
  <si>
    <t xml:space="preserve">DEBT SERVICE INT TEMP LOANS   </t>
  </si>
  <si>
    <t>PROJECTED; SEE ATTACHED WORKSHEETS</t>
  </si>
  <si>
    <t xml:space="preserve">REVISED 2/20/18 </t>
  </si>
  <si>
    <t xml:space="preserve">BAN PAY DOWN HWY SANDER       </t>
  </si>
  <si>
    <t>BAN PAY DOWN FIRE LADDER TRUCK</t>
  </si>
  <si>
    <t xml:space="preserve">BAN PAY DOWN FIRE RESCUE      </t>
  </si>
  <si>
    <t>BAN PAY DOWN</t>
  </si>
  <si>
    <t>DEBT SERVICE:</t>
  </si>
  <si>
    <t xml:space="preserve">TOTAL DEBT SERVICE:  </t>
  </si>
  <si>
    <t>dept total -debt</t>
  </si>
  <si>
    <t>TOTAL DEBT SERVICE</t>
  </si>
  <si>
    <t>UNCLASSIFIED</t>
  </si>
  <si>
    <t>LOCAL AID ASSESSMENTS</t>
  </si>
  <si>
    <t xml:space="preserve">ASMT  SPECIAL EDUCATION              </t>
  </si>
  <si>
    <t>These are the Cherry Sheet Assessments. 
DOR requires that the monthly charges are treated as an expense and not reported as an offset to the 
Cherry Sheet receipts.</t>
  </si>
  <si>
    <t xml:space="preserve">ASMT  MOSQUITO CONTROL              </t>
  </si>
  <si>
    <t xml:space="preserve">ASMT  AIR POLLUTION CONTROL         </t>
  </si>
  <si>
    <t xml:space="preserve">ASMT  METRO AREA PLANNING           </t>
  </si>
  <si>
    <t xml:space="preserve">ASMT  MBTA ASSESSMENT               </t>
  </si>
  <si>
    <t xml:space="preserve">ASMT  SCHOOL CHOICE ASSESSMENT      </t>
  </si>
  <si>
    <t xml:space="preserve">ASMT  RMV NON-RENEWAL SURCHARGE     </t>
  </si>
  <si>
    <t>ASMT  ESSEX COUNTY REGIONAL COMM CTR</t>
  </si>
  <si>
    <t>UNCLASSIFED / RETIREMENT</t>
  </si>
  <si>
    <t xml:space="preserve">EMP  ESSEX COUNTY RETIREMENT              </t>
  </si>
  <si>
    <t>$1,071,965 if paid 7/1 (diff = 20,002)</t>
  </si>
  <si>
    <t xml:space="preserve">Requesting increase of $64,080; Approp Ltr dtd 12/12/17 - ERRB </t>
  </si>
  <si>
    <t>Requesting additional $96,588 per ERRB Assessment</t>
  </si>
  <si>
    <t>Based on Actual FY22 Appropriation Letter w/ July 1 payment</t>
  </si>
  <si>
    <r>
      <rPr>
        <sz val="8"/>
        <color rgb="FF00B050"/>
        <rFont val="Calibri"/>
        <family val="2"/>
        <scheme val="minor"/>
      </rPr>
      <t>Fixed Charges;</t>
    </r>
    <r>
      <rPr>
        <sz val="8"/>
        <color rgb="FFFF0000"/>
        <rFont val="Calibri"/>
        <family val="2"/>
        <scheme val="minor"/>
      </rPr>
      <t xml:space="preserve"> Requesting additional $115,113</t>
    </r>
  </si>
  <si>
    <t xml:space="preserve">EMP  TWN ESSEX COUNTY RETIREMENT  </t>
  </si>
  <si>
    <t xml:space="preserve">EMP  SCH ESSEX COUNTY RETIREMENT  </t>
  </si>
  <si>
    <t>UNCLASSIFIED/RETIREMENT:</t>
  </si>
  <si>
    <t xml:space="preserve">TOTAL UNCLASSIFIED / RETIREMENT:   </t>
  </si>
  <si>
    <t>UNCLASSIFED / EMPLOYEE BENEFITS</t>
  </si>
  <si>
    <t>EMP  UNEMPLOYMENT INSURANCE</t>
  </si>
  <si>
    <t>FY18, Unemploymt Comp Fd (088) est.; As of 12/15/17, bal=$57,823.77.</t>
  </si>
  <si>
    <t xml:space="preserve">EMP  MIIA HEALTH BENEFIT TRUST     </t>
  </si>
  <si>
    <t>Reviewed Budget; Includes 6.21% increase from MIIA</t>
  </si>
  <si>
    <t>Requesting increase of $210,000; REQUEST WITHDRAWN BY K.H.</t>
  </si>
  <si>
    <t>Requesting additional $136,500</t>
  </si>
  <si>
    <r>
      <rPr>
        <sz val="8"/>
        <color rgb="FF00B050"/>
        <rFont val="Calibri"/>
        <family val="2"/>
        <scheme val="minor"/>
      </rPr>
      <t>Fixed Charges;</t>
    </r>
    <r>
      <rPr>
        <sz val="8"/>
        <color rgb="FFFF0000"/>
        <rFont val="Calibri"/>
        <family val="2"/>
        <scheme val="minor"/>
      </rPr>
      <t xml:space="preserve"> Requesting add'l </t>
    </r>
    <r>
      <rPr>
        <strike/>
        <sz val="8"/>
        <color rgb="FFFF0000"/>
        <rFont val="Calibri"/>
        <family val="2"/>
        <scheme val="minor"/>
      </rPr>
      <t>$176,000</t>
    </r>
    <r>
      <rPr>
        <sz val="8"/>
        <color rgb="FFFF0000"/>
        <rFont val="Calibri"/>
        <family val="2"/>
        <scheme val="minor"/>
      </rPr>
      <t xml:space="preserve"> $80K 2/28/22 3.90%</t>
    </r>
  </si>
  <si>
    <t xml:space="preserve">EMP  TWN MIIA HEALTH INSURANCE     </t>
  </si>
  <si>
    <t xml:space="preserve">EMP  SCH MIIA HEALTH INSURANCE     </t>
  </si>
  <si>
    <t xml:space="preserve">EMP  BOSTON LIFE                   </t>
  </si>
  <si>
    <t xml:space="preserve">EMP  TWN BOSTON LIFE                   </t>
  </si>
  <si>
    <t xml:space="preserve">EMP  SCH BOSTON LIFE                   </t>
  </si>
  <si>
    <t xml:space="preserve">EMP  MEDICARE TAX - 1.45%          </t>
  </si>
  <si>
    <t>Requesting increase of $8,649; APPROVED BY FCM 3/22/18</t>
  </si>
  <si>
    <t>Requesting additional $3,854</t>
  </si>
  <si>
    <t xml:space="preserve">EMP  TWN MEDICARE TAX - 1.45%          </t>
  </si>
  <si>
    <t xml:space="preserve">EMP  SCH MEDICARE TAX - 1.45%          </t>
  </si>
  <si>
    <t xml:space="preserve">EMP  ADMINISTRATIVE FEES           </t>
  </si>
  <si>
    <t xml:space="preserve">EMP  HRA INPATIENT HOSPITAL        </t>
  </si>
  <si>
    <t>UNCLASSIFIED/EMPLOYEE BENEFITS:</t>
  </si>
  <si>
    <t xml:space="preserve">TOTAL UNCLASSIFIED / EMPLOYEE BENEFITS:   </t>
  </si>
  <si>
    <t>UNCLASSIFED / INSURANCE</t>
  </si>
  <si>
    <t xml:space="preserve">INS  WORKMAN'S COMP                </t>
  </si>
  <si>
    <t>FINAL Estimate: 5% Increase; Memo from procurement</t>
  </si>
  <si>
    <t>Requesting increase of $13,634; APPROVED BY FCM 3/22/18</t>
  </si>
  <si>
    <t>Requesting additional $5,727</t>
  </si>
  <si>
    <t>Review past 5 years Actuals; re-align accounts</t>
  </si>
  <si>
    <t>INS  PROPERTY LIABILITY</t>
  </si>
  <si>
    <t>Requesting increase of $20,592; APPROVED BY FCM 3/22/18</t>
  </si>
  <si>
    <t>Requesting additional $65,000</t>
  </si>
  <si>
    <t>INS  PROPERTY LIABILITY - TOWN</t>
  </si>
  <si>
    <t>INS  PROPERTY LIABILITY - SCHOOL</t>
  </si>
  <si>
    <t>INS  ACCIDENT-POLICE</t>
  </si>
  <si>
    <t>FINAL Estimate: 7% Increase</t>
  </si>
  <si>
    <t xml:space="preserve">INS  SURETY BONDS                  </t>
  </si>
  <si>
    <t>UNCLASSIFIED / INSURANCE:</t>
  </si>
  <si>
    <t xml:space="preserve">TOTAL UNCLASSIFIED / INSURANCE:  </t>
  </si>
  <si>
    <t>EMPLOYEE COMPENSATION</t>
  </si>
  <si>
    <t>x-TITLE</t>
  </si>
  <si>
    <t>SALARY RESERVE FUND</t>
  </si>
  <si>
    <t>THIS IS BEING USED AS PLACEHOLDER FOR UNION CONTRACTS</t>
  </si>
  <si>
    <t>REDUCED 3/21/22; reduced add'l 5k 5/28/22</t>
  </si>
  <si>
    <t>Line SR</t>
  </si>
  <si>
    <t>NET RESULT WILL BE -0- IN SALARY RESERVE</t>
  </si>
  <si>
    <t>x-subtotal</t>
  </si>
  <si>
    <t xml:space="preserve">TOTAL EMPLOYEE COMPENSATION:  </t>
  </si>
  <si>
    <t>x-dept total</t>
  </si>
  <si>
    <t>TRANSFERS FUNDED THROUGH RAISE &amp; APPROPRIATE</t>
  </si>
  <si>
    <t>TRANSFERS</t>
  </si>
  <si>
    <t>TRFR TO TRI-TOWN SCHOOL BUDGET</t>
  </si>
  <si>
    <t>TRFR TO UNEMPLOYMENT FUND (088)</t>
  </si>
  <si>
    <t>$15,000 funded through article #14</t>
  </si>
  <si>
    <t>Balance as of 12/31/18 - $44,238.53</t>
  </si>
  <si>
    <r>
      <rPr>
        <strike/>
        <sz val="8"/>
        <color rgb="FFFF0000"/>
        <rFont val="Calibri"/>
        <family val="2"/>
        <scheme val="minor"/>
      </rPr>
      <t>REQUESTING ADD'L $40,000</t>
    </r>
    <r>
      <rPr>
        <sz val="8"/>
        <color rgb="FFFF0000"/>
        <rFont val="Calibri"/>
        <family val="2"/>
        <scheme val="minor"/>
      </rPr>
      <t>; $80K BEING REQESTED FROM FC</t>
    </r>
  </si>
  <si>
    <t>TRFR TO COMP ABSENSES (089)</t>
  </si>
  <si>
    <t>Balance as of 12/31/18 - $109,067.90;  Requesting $40,000</t>
  </si>
  <si>
    <r>
      <rPr>
        <strike/>
        <sz val="8"/>
        <color rgb="FFFF0000"/>
        <rFont val="Calibri"/>
        <family val="2"/>
        <scheme val="minor"/>
      </rPr>
      <t>REQUESTING ADD'L $60,000</t>
    </r>
    <r>
      <rPr>
        <sz val="8"/>
        <color rgb="FFFF0000"/>
        <rFont val="Calibri"/>
        <family val="2"/>
        <scheme val="minor"/>
      </rPr>
      <t>; $100K BEING REQUESTED FROM FC</t>
    </r>
  </si>
  <si>
    <t>TRFR TO POL/FIR SP IDEMNITY LEAVE (090)</t>
  </si>
  <si>
    <t>Balance as of 12/31/18 - $52,616.27</t>
  </si>
  <si>
    <t>ADD'L $20,000 INCLUDED</t>
  </si>
  <si>
    <t>TRFR TO STABILIZATION</t>
  </si>
  <si>
    <t>TRFR TO CAPITALSTABILIZATION</t>
  </si>
  <si>
    <t>TRFR TO OPEB</t>
  </si>
  <si>
    <t>TRANSFER TO SPECIAL REVENUE FUNDS</t>
  </si>
  <si>
    <t xml:space="preserve">TOTAL TRANSFERS:  </t>
  </si>
  <si>
    <t>Asst BLDG INSP</t>
  </si>
  <si>
    <t>TOTAL UNCLASSIFIED</t>
  </si>
  <si>
    <t>Class Total unclass</t>
  </si>
  <si>
    <t>TOTAL GENERAL FUND (INCLUDING SCHOOLS)</t>
  </si>
  <si>
    <t>XX- Total</t>
  </si>
  <si>
    <t>Diff b/t TA &amp; FCM</t>
  </si>
  <si>
    <t xml:space="preserve">ATM CHANGES (+ / -):  </t>
  </si>
  <si>
    <t>FY18 EXPENSES</t>
  </si>
  <si>
    <t>FY21 EXPENSES</t>
  </si>
  <si>
    <t>BUDGET SUMMARY</t>
  </si>
  <si>
    <t>Double Check:</t>
  </si>
  <si>
    <t xml:space="preserve">Town Only </t>
  </si>
  <si>
    <t>TOTAL OMNIBUS</t>
  </si>
  <si>
    <t>Less Elementary School</t>
  </si>
  <si>
    <t>less Schools</t>
  </si>
  <si>
    <t>Less SCHOOLS</t>
  </si>
  <si>
    <t>Town Budget</t>
  </si>
  <si>
    <t>TOWN BUDGET</t>
  </si>
  <si>
    <t>ABOVE GUIDELINES</t>
  </si>
  <si>
    <t>TOTAL FY23 Budget</t>
  </si>
  <si>
    <t>Less MASCO</t>
  </si>
  <si>
    <t>Less Essex Tech</t>
  </si>
  <si>
    <t>FINAL POSTED BUDGET</t>
  </si>
  <si>
    <t>Attachment A</t>
  </si>
  <si>
    <t>vs FY23</t>
  </si>
  <si>
    <t>Optimized</t>
  </si>
  <si>
    <t>FY24 Budget</t>
  </si>
  <si>
    <t xml:space="preserve">Increase </t>
  </si>
  <si>
    <t>Target (1)</t>
  </si>
  <si>
    <t>(1) This is what is needed to reduce estimated ratio of (Appropriated-Expensed)/Appropriated to 4%</t>
  </si>
  <si>
    <t>Spending optimizations (2)</t>
  </si>
  <si>
    <t>(2) Back out some expense lines that have been added to base budget over past 4 years w/o explicit town vote.</t>
  </si>
  <si>
    <t>Fincomm Reserve increase (3)</t>
  </si>
  <si>
    <t>(3) Increase to offset any unexpected expenses that drive expenses higher than those budgeted</t>
  </si>
  <si>
    <t>School Base Budget Increase (4)</t>
  </si>
  <si>
    <t>(4)  Elementary and Masco budget per student is up 8%</t>
  </si>
  <si>
    <t>Proposed school budget</t>
  </si>
  <si>
    <t>Override</t>
  </si>
  <si>
    <t>Non-school</t>
  </si>
  <si>
    <t>amount ?</t>
  </si>
  <si>
    <t>Minimum Spend</t>
  </si>
  <si>
    <t>Boxford</t>
  </si>
  <si>
    <t>Middleton</t>
  </si>
  <si>
    <t>Topsfiedl</t>
  </si>
  <si>
    <t>Min spend Total</t>
  </si>
  <si>
    <t>Transportation</t>
  </si>
  <si>
    <t>Amount Above Min contribution</t>
  </si>
  <si>
    <t>FY24 vs FY23</t>
  </si>
  <si>
    <t>Topsfield Assessment</t>
  </si>
  <si>
    <t>Topsfield Guideline</t>
  </si>
  <si>
    <t>Transportation and Other Operating</t>
  </si>
  <si>
    <t>FY23 Maso</t>
  </si>
  <si>
    <t>FY24 at guidline</t>
  </si>
  <si>
    <t>Min spen</t>
  </si>
  <si>
    <t>FY24 guide - Min</t>
  </si>
  <si>
    <t>Topsfield share</t>
  </si>
  <si>
    <t>Topsfield Min</t>
  </si>
  <si>
    <t>yes</t>
  </si>
  <si>
    <t>13-MAR</t>
  </si>
  <si>
    <t>Request Over</t>
  </si>
  <si>
    <t>7-0,7-0</t>
  </si>
  <si>
    <t>6-1,7-0</t>
  </si>
  <si>
    <t xml:space="preserve">7-0. </t>
  </si>
  <si>
    <t>7-0,7-0, 0-7 (zero for paper)</t>
  </si>
  <si>
    <t>2-5</t>
  </si>
  <si>
    <t>7-0. 0-7 (electricity), 0-7 (copier expense)</t>
  </si>
  <si>
    <t>0-7</t>
  </si>
  <si>
    <t>Lease of Downtown Property</t>
  </si>
  <si>
    <t>Masco Edits</t>
  </si>
  <si>
    <t>Historical Commision Revolving</t>
  </si>
  <si>
    <t>Park and Cemetary limit</t>
  </si>
  <si>
    <t>Citizens Petition  - Emerson</t>
  </si>
  <si>
    <t>Amount</t>
  </si>
  <si>
    <t>Accessory apartment by law</t>
  </si>
  <si>
    <t>Zoning by law definitions</t>
  </si>
  <si>
    <t>Zoning by law Table of use</t>
  </si>
  <si>
    <t>Zoning table of use</t>
  </si>
  <si>
    <t>Home rule petition liquor</t>
  </si>
  <si>
    <t>Business district</t>
  </si>
  <si>
    <t>Purchase real property</t>
  </si>
  <si>
    <t>Water restriction law</t>
  </si>
  <si>
    <t>Amend Cemetery Revovling fund limit</t>
  </si>
  <si>
    <t>3-4</t>
  </si>
  <si>
    <t>Public works pickup</t>
  </si>
  <si>
    <t>6-1</t>
  </si>
  <si>
    <t>2-1-4</t>
  </si>
  <si>
    <t>5-2</t>
  </si>
  <si>
    <t>rescind prior appropriation cemetery perpetual</t>
  </si>
  <si>
    <r>
      <t xml:space="preserve">Storage Tank </t>
    </r>
    <r>
      <rPr>
        <i/>
        <sz val="10"/>
        <color rgb="FFFF0000"/>
        <rFont val="Arial"/>
        <family val="2"/>
      </rPr>
      <t xml:space="preserve"> (includes an additional $3.0M in Water dept borrowing)</t>
    </r>
  </si>
  <si>
    <t>FREE CASH OFFSET</t>
  </si>
  <si>
    <t>examine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</si>
</sst>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&quot;$&quot;#,##0_);[Red]\(&quot;$&quot;#,##0\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(* #,##0.000_);_(* \(#,##0.000\);_(* &quot;-&quot;???_);_(@_)"/>
    <numFmt numFmtId="169" formatCode="mmm\ dd\,\ \ yyyy"/>
    <numFmt numFmtId="170" formatCode="mm/dd/yy"/>
    <numFmt numFmtId="171" formatCode="mmmm\ d\,\ yyyy"/>
    <numFmt numFmtId="172" formatCode="_(* #,##0.00_);_(* \(#,##0.00\);_(* &quot;-&quot;_);_(@_)"/>
    <numFmt numFmtId="173" formatCode="0_);\(0\)"/>
    <numFmt numFmtId="174" formatCode="&quot;$&quot;#,##0"/>
    <numFmt numFmtId="175" formatCode="m/d/yy;@"/>
    <numFmt numFmtId="176" formatCode="0.0"/>
    <numFmt numFmtId="177" formatCode="_(* #,##0.000_);_(* \(#,##0.000\);_(* &quot;-&quot;_);_(@_)"/>
    <numFmt numFmtId="178" formatCode="_(* #,##0_);_(* \(#,##0\);_(* &quot;-&quot;??_);_(@_)"/>
    <numFmt numFmtId="179" formatCode="_(* #,##0.0000_);_(* \(#,##0.0000\);_(* &quot;-&quot;??_);_(@_)"/>
    <numFmt numFmtId="180" formatCode="_(&quot;$&quot;* #,##0_);_(&quot;$&quot;* \(#,##0\);_(&quot;$&quot;* &quot;-&quot;??_);_(@_)"/>
    <numFmt numFmtId="181" formatCode="#,##0.0"/>
    <numFmt numFmtId="182" formatCode="_(* #,##0.0_);_(* \(#,##0.0\);_(* &quot;-&quot;_);_(@_)"/>
    <numFmt numFmtId="183" formatCode="0.000%"/>
    <numFmt numFmtId="184" formatCode="_-* #,##0_-;\-* #,##0_-;_-* &quot;-&quot;??_-;_-@_-"/>
    <numFmt numFmtId="185" formatCode="#,##0.0000"/>
    <numFmt numFmtId="186" formatCode="_(* #,##0.0000_);_(* \(#,##0.0000\);_(* &quot;-&quot;_);_(@_)"/>
    <numFmt numFmtId="187" formatCode="&quot;$&quot;#,##0.00"/>
    <numFmt numFmtId="188" formatCode="0.0%"/>
    <numFmt numFmtId="189" formatCode="0.0000"/>
    <numFmt numFmtId="190" formatCode="m/d;@"/>
    <numFmt numFmtId="191" formatCode="0.000"/>
    <numFmt numFmtId="192" formatCode="&quot;$&quot;#,##0;&quot;$&quot;\-#,##0"/>
    <numFmt numFmtId="193" formatCode="&quot;$&quot;#,##0_);&quot;$&quot;\(#,##0\)"/>
    <numFmt numFmtId="194" formatCode="_-[$$-409]* #,##0_ ;_-[$$-409]* \-#,##0\ ;_-[$$-409]* &quot;-&quot;??_ ;_-@_ "/>
    <numFmt numFmtId="195" formatCode="_-[$$-409]* #,##0.00_ ;_-[$$-409]* \-#,##0.00\ ;_-[$$-409]* &quot;-&quot;??_ ;_-@_ "/>
    <numFmt numFmtId="196" formatCode="_(* #,##0.00000_);_(* \(#,##0.00000\);_(* &quot;-&quot;_);_(@_)"/>
    <numFmt numFmtId="197" formatCode="_(* #,##0.0_);_(* \(#,##0.0\);_(* &quot;-&quot;??_);_(@_)"/>
    <numFmt numFmtId="198" formatCode="[$$-409]#,##0_ ;[Red]\-[$$-409]#,##0\ "/>
    <numFmt numFmtId="199" formatCode="0.0000%"/>
    <numFmt numFmtId="200" formatCode="[$-409]d\-mmm;@"/>
  </numFmts>
  <fonts count="28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color indexed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7"/>
      <color indexed="10"/>
      <name val="Arial"/>
      <family val="2"/>
    </font>
    <font>
      <sz val="8"/>
      <name val="Arial"/>
      <family val="2"/>
    </font>
    <font>
      <b/>
      <u/>
      <sz val="8"/>
      <name val="Arial"/>
      <family val="2"/>
    </font>
    <font>
      <u/>
      <sz val="8"/>
      <name val="Arial"/>
      <family val="2"/>
    </font>
    <font>
      <sz val="6"/>
      <name val="Arial"/>
      <family val="2"/>
    </font>
    <font>
      <u/>
      <sz val="6"/>
      <name val="Arial"/>
      <family val="2"/>
    </font>
    <font>
      <u/>
      <sz val="7"/>
      <name val="Arial"/>
      <family val="2"/>
    </font>
    <font>
      <b/>
      <u/>
      <sz val="7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i/>
      <sz val="7"/>
      <name val="Arial"/>
      <family val="2"/>
    </font>
    <font>
      <b/>
      <i/>
      <sz val="7"/>
      <name val="Arial"/>
      <family val="2"/>
    </font>
    <font>
      <b/>
      <i/>
      <u/>
      <sz val="7"/>
      <name val="Arial"/>
      <family val="2"/>
    </font>
    <font>
      <i/>
      <sz val="8"/>
      <name val="Arial"/>
      <family val="2"/>
    </font>
    <font>
      <i/>
      <sz val="6"/>
      <name val="Arial"/>
      <family val="2"/>
    </font>
    <font>
      <b/>
      <i/>
      <sz val="8"/>
      <name val="Arial"/>
      <family val="2"/>
    </font>
    <font>
      <i/>
      <sz val="8"/>
      <color indexed="10"/>
      <name val="Arial"/>
      <family val="2"/>
    </font>
    <font>
      <i/>
      <u/>
      <sz val="8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i/>
      <u/>
      <sz val="8"/>
      <name val="Arial"/>
      <family val="2"/>
    </font>
    <font>
      <b/>
      <sz val="8"/>
      <name val="Arial"/>
      <family val="2"/>
    </font>
    <font>
      <sz val="8"/>
      <color indexed="10"/>
      <name val="Arial"/>
      <family val="2"/>
    </font>
    <font>
      <u/>
      <sz val="8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7"/>
      <color indexed="8"/>
      <name val="Arial"/>
      <family val="2"/>
    </font>
    <font>
      <b/>
      <sz val="8"/>
      <color indexed="8"/>
      <name val="Arial"/>
      <family val="2"/>
    </font>
    <font>
      <i/>
      <sz val="8"/>
      <color indexed="12"/>
      <name val="Arial"/>
      <family val="2"/>
    </font>
    <font>
      <b/>
      <sz val="8"/>
      <color indexed="10"/>
      <name val="Arial"/>
      <family val="2"/>
    </font>
    <font>
      <sz val="8"/>
      <color indexed="12"/>
      <name val="Arial"/>
      <family val="2"/>
    </font>
    <font>
      <b/>
      <i/>
      <sz val="8"/>
      <color indexed="10"/>
      <name val="Arial"/>
      <family val="2"/>
    </font>
    <font>
      <b/>
      <i/>
      <sz val="7"/>
      <color indexed="10"/>
      <name val="Arial"/>
      <family val="2"/>
    </font>
    <font>
      <sz val="8"/>
      <name val="Arial"/>
      <family val="2"/>
    </font>
    <font>
      <sz val="6"/>
      <name val="Arial Narrow"/>
      <family val="2"/>
    </font>
    <font>
      <sz val="8"/>
      <name val="Arial Narrow"/>
      <family val="2"/>
    </font>
    <font>
      <sz val="8"/>
      <color indexed="10"/>
      <name val="Arial"/>
      <family val="2"/>
    </font>
    <font>
      <i/>
      <sz val="8"/>
      <color indexed="12"/>
      <name val="Calibri"/>
      <family val="2"/>
    </font>
    <font>
      <b/>
      <sz val="9"/>
      <color indexed="10"/>
      <name val="Times New Roman"/>
      <family val="1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sz val="8"/>
      <color indexed="53"/>
      <name val="Arial"/>
      <family val="2"/>
    </font>
    <font>
      <b/>
      <sz val="8"/>
      <color indexed="53"/>
      <name val="Arial"/>
      <family val="2"/>
    </font>
    <font>
      <i/>
      <sz val="8"/>
      <color indexed="14"/>
      <name val="Arial"/>
      <family val="2"/>
    </font>
    <font>
      <i/>
      <sz val="10"/>
      <color indexed="10"/>
      <name val="Arial"/>
      <family val="2"/>
    </font>
    <font>
      <sz val="7"/>
      <color indexed="14"/>
      <name val="Arial"/>
      <family val="2"/>
    </font>
    <font>
      <sz val="8"/>
      <color indexed="14"/>
      <name val="Arial"/>
      <family val="2"/>
    </font>
    <font>
      <sz val="8"/>
      <color rgb="FF00B0F0"/>
      <name val="Arial"/>
      <family val="2"/>
    </font>
    <font>
      <i/>
      <sz val="8"/>
      <color rgb="FF00B0F0"/>
      <name val="Arial"/>
      <family val="2"/>
    </font>
    <font>
      <i/>
      <sz val="7"/>
      <color rgb="FF00B0F0"/>
      <name val="Arial"/>
      <family val="2"/>
    </font>
    <font>
      <i/>
      <sz val="8"/>
      <color indexed="10"/>
      <name val="Arial"/>
      <family val="2"/>
    </font>
    <font>
      <sz val="8"/>
      <name val="Verdana"/>
      <family val="2"/>
    </font>
    <font>
      <sz val="8"/>
      <color indexed="40"/>
      <name val="Arial"/>
      <family val="2"/>
    </font>
    <font>
      <sz val="10"/>
      <name val="Arial Bold"/>
    </font>
    <font>
      <u/>
      <sz val="10"/>
      <color indexed="12"/>
      <name val="Arial"/>
      <family val="2"/>
    </font>
    <font>
      <u/>
      <sz val="10"/>
      <color indexed="20"/>
      <name val="Arial"/>
      <family val="2"/>
    </font>
    <font>
      <sz val="8"/>
      <name val="Arial"/>
      <family val="2"/>
    </font>
    <font>
      <sz val="7"/>
      <color rgb="FFFF0000"/>
      <name val="Arial"/>
      <family val="2"/>
    </font>
    <font>
      <sz val="10"/>
      <name val="Arial"/>
      <family val="2"/>
    </font>
    <font>
      <sz val="7"/>
      <color indexed="30"/>
      <name val="Arial"/>
      <family val="2"/>
    </font>
    <font>
      <sz val="7"/>
      <color indexed="8"/>
      <name val="Arial"/>
      <family val="2"/>
    </font>
    <font>
      <b/>
      <sz val="9"/>
      <color indexed="10"/>
      <name val="Times New Roman"/>
      <family val="1"/>
    </font>
    <font>
      <b/>
      <sz val="7"/>
      <color indexed="8"/>
      <name val="Arial"/>
      <family val="2"/>
    </font>
    <font>
      <sz val="7"/>
      <color indexed="10"/>
      <name val="Arial"/>
      <family val="2"/>
    </font>
    <font>
      <sz val="7"/>
      <name val="Arial"/>
      <family val="2"/>
    </font>
    <font>
      <i/>
      <sz val="7"/>
      <color indexed="8"/>
      <name val="Arial"/>
      <family val="2"/>
    </font>
    <font>
      <sz val="7"/>
      <color indexed="30"/>
      <name val="Arial"/>
      <family val="2"/>
    </font>
    <font>
      <strike/>
      <sz val="7"/>
      <color indexed="8"/>
      <name val="Arial"/>
      <family val="2"/>
    </font>
    <font>
      <sz val="7"/>
      <color indexed="8"/>
      <name val="Arial"/>
      <family val="2"/>
    </font>
    <font>
      <sz val="7"/>
      <name val="Arial"/>
      <family val="2"/>
    </font>
    <font>
      <b/>
      <sz val="9"/>
      <color indexed="10"/>
      <name val="Times New Roman"/>
      <family val="1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b/>
      <sz val="8"/>
      <color indexed="10"/>
      <name val="Arial"/>
      <family val="2"/>
    </font>
    <font>
      <sz val="7"/>
      <color indexed="12"/>
      <name val="Arial"/>
      <family val="2"/>
    </font>
    <font>
      <b/>
      <sz val="7"/>
      <name val="Arial"/>
      <family val="2"/>
    </font>
    <font>
      <b/>
      <sz val="7"/>
      <color indexed="10"/>
      <name val="Arial"/>
      <family val="2"/>
    </font>
    <font>
      <b/>
      <sz val="7"/>
      <color indexed="8"/>
      <name val="Arial"/>
      <family val="2"/>
    </font>
    <font>
      <b/>
      <sz val="7"/>
      <color indexed="57"/>
      <name val="Arial"/>
      <family val="2"/>
    </font>
    <font>
      <b/>
      <sz val="7"/>
      <color indexed="53"/>
      <name val="Arial"/>
      <family val="2"/>
    </font>
    <font>
      <b/>
      <sz val="7"/>
      <color indexed="12"/>
      <name val="Arial"/>
      <family val="2"/>
    </font>
    <font>
      <sz val="7"/>
      <color indexed="60"/>
      <name val="Arial"/>
      <family val="2"/>
    </font>
    <font>
      <sz val="7"/>
      <color indexed="53"/>
      <name val="Arial"/>
      <family val="2"/>
    </font>
    <font>
      <sz val="7"/>
      <color indexed="10"/>
      <name val="Arial"/>
      <family val="2"/>
    </font>
    <font>
      <b/>
      <sz val="7"/>
      <color indexed="48"/>
      <name val="Arial"/>
      <family val="2"/>
    </font>
    <font>
      <b/>
      <sz val="7"/>
      <color indexed="60"/>
      <name val="Arial"/>
      <family val="2"/>
    </font>
    <font>
      <sz val="7"/>
      <color indexed="57"/>
      <name val="Arial"/>
      <family val="2"/>
    </font>
    <font>
      <sz val="7"/>
      <color indexed="14"/>
      <name val="Arial"/>
      <family val="2"/>
    </font>
    <font>
      <sz val="7"/>
      <color rgb="FF00B0F0"/>
      <name val="Arial"/>
      <family val="2"/>
    </font>
    <font>
      <b/>
      <sz val="7"/>
      <color indexed="36"/>
      <name val="Arial"/>
      <family val="2"/>
    </font>
    <font>
      <sz val="7"/>
      <color indexed="30"/>
      <name val="Arial"/>
      <family val="2"/>
    </font>
    <font>
      <b/>
      <sz val="7"/>
      <color indexed="30"/>
      <name val="Arial"/>
      <family val="2"/>
    </font>
    <font>
      <sz val="7"/>
      <color indexed="48"/>
      <name val="Arial"/>
      <family val="2"/>
    </font>
    <font>
      <b/>
      <sz val="7"/>
      <color indexed="62"/>
      <name val="Arial"/>
      <family val="2"/>
    </font>
    <font>
      <sz val="7"/>
      <color indexed="56"/>
      <name val="Arial"/>
      <family val="2"/>
    </font>
    <font>
      <sz val="7"/>
      <color indexed="62"/>
      <name val="Arial"/>
      <family val="2"/>
    </font>
    <font>
      <sz val="7"/>
      <color indexed="36"/>
      <name val="Arial"/>
      <family val="2"/>
    </font>
    <font>
      <b/>
      <sz val="7"/>
      <color rgb="FFFF0000"/>
      <name val="Arial"/>
      <family val="2"/>
    </font>
    <font>
      <b/>
      <sz val="7"/>
      <color rgb="FF00B0F0"/>
      <name val="Arial"/>
      <family val="2"/>
    </font>
    <font>
      <sz val="7"/>
      <color indexed="17"/>
      <name val="Arial"/>
      <family val="2"/>
    </font>
    <font>
      <b/>
      <sz val="7"/>
      <color indexed="17"/>
      <name val="Arial"/>
      <family val="2"/>
    </font>
    <font>
      <sz val="10"/>
      <name val="Arial"/>
      <family val="2"/>
    </font>
    <font>
      <b/>
      <sz val="10"/>
      <color indexed="10"/>
      <name val="Times New Roman"/>
      <family val="1"/>
    </font>
    <font>
      <b/>
      <sz val="7"/>
      <color indexed="10"/>
      <name val="Arial"/>
      <family val="2"/>
    </font>
    <font>
      <b/>
      <sz val="9"/>
      <color indexed="10"/>
      <name val="Times New Roman"/>
      <family val="1"/>
    </font>
    <font>
      <b/>
      <sz val="9"/>
      <color indexed="10"/>
      <name val="Arial"/>
      <family val="2"/>
    </font>
    <font>
      <sz val="8"/>
      <name val="Arial"/>
      <family val="2"/>
    </font>
    <font>
      <sz val="8"/>
      <color indexed="20"/>
      <name val="Arial"/>
      <family val="2"/>
    </font>
    <font>
      <sz val="7"/>
      <color indexed="10"/>
      <name val="Arial"/>
      <family val="2"/>
    </font>
    <font>
      <sz val="9"/>
      <color indexed="10"/>
      <name val="Arial"/>
      <family val="2"/>
    </font>
    <font>
      <b/>
      <sz val="7"/>
      <color indexed="20"/>
      <name val="Arial"/>
      <family val="2"/>
    </font>
    <font>
      <b/>
      <sz val="7"/>
      <name val="Arial"/>
      <family val="2"/>
    </font>
    <font>
      <b/>
      <sz val="8"/>
      <color indexed="8"/>
      <name val="Arial"/>
      <family val="2"/>
    </font>
    <font>
      <sz val="7"/>
      <color rgb="FFFF0000"/>
      <name val="Arial"/>
      <family val="2"/>
    </font>
    <font>
      <sz val="7"/>
      <name val="Arial"/>
      <family val="2"/>
    </font>
    <font>
      <b/>
      <sz val="8"/>
      <color indexed="20"/>
      <name val="Arial"/>
      <family val="2"/>
    </font>
    <font>
      <sz val="8"/>
      <color indexed="10"/>
      <name val="Arial"/>
      <family val="2"/>
    </font>
    <font>
      <sz val="8"/>
      <color indexed="8"/>
      <name val="Arial"/>
      <family val="2"/>
    </font>
    <font>
      <sz val="8"/>
      <color theme="9" tint="-0.499984740745262"/>
      <name val="Arial"/>
      <family val="2"/>
    </font>
    <font>
      <sz val="8"/>
      <color rgb="FF00B0F0"/>
      <name val="Arial"/>
      <family val="2"/>
    </font>
    <font>
      <b/>
      <sz val="8"/>
      <name val="Arial"/>
      <family val="2"/>
    </font>
    <font>
      <b/>
      <sz val="8"/>
      <color theme="9" tint="-0.499984740745262"/>
      <name val="Arial"/>
      <family val="2"/>
    </font>
    <font>
      <sz val="8"/>
      <color theme="1"/>
      <name val="Arial"/>
      <family val="2"/>
    </font>
    <font>
      <sz val="7"/>
      <color indexed="8"/>
      <name val="Arial"/>
      <family val="2"/>
    </font>
    <font>
      <b/>
      <sz val="8"/>
      <color indexed="10"/>
      <name val="Arial"/>
      <family val="2"/>
    </font>
    <font>
      <b/>
      <sz val="8"/>
      <color indexed="4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7"/>
      <color rgb="FFFF6600"/>
      <name val="Arial"/>
      <family val="2"/>
    </font>
    <font>
      <b/>
      <sz val="8"/>
      <color theme="1"/>
      <name val="Arial"/>
      <family val="2"/>
    </font>
    <font>
      <b/>
      <sz val="9"/>
      <color rgb="FFFF0000"/>
      <name val="Arial"/>
      <family val="2"/>
    </font>
    <font>
      <sz val="7"/>
      <color rgb="FF0000FF"/>
      <name val="Arial"/>
      <family val="2"/>
    </font>
    <font>
      <b/>
      <i/>
      <sz val="10"/>
      <color rgb="FFFF0000"/>
      <name val="Arial"/>
      <family val="2"/>
    </font>
    <font>
      <sz val="7"/>
      <color rgb="FF000000"/>
      <name val="Arial"/>
      <family val="2"/>
    </font>
    <font>
      <b/>
      <sz val="10"/>
      <color indexed="10"/>
      <name val="Arial"/>
      <family val="2"/>
    </font>
    <font>
      <sz val="7"/>
      <color theme="1"/>
      <name val="Arial"/>
      <family val="2"/>
    </font>
    <font>
      <b/>
      <sz val="6"/>
      <color rgb="FF0000FF"/>
      <name val="Arial"/>
      <family val="2"/>
    </font>
    <font>
      <sz val="6"/>
      <color rgb="FF0000FF"/>
      <name val="Arial"/>
      <family val="2"/>
    </font>
    <font>
      <strike/>
      <sz val="8"/>
      <name val="Arial"/>
      <family val="2"/>
    </font>
    <font>
      <b/>
      <sz val="10"/>
      <color rgb="FF000000"/>
      <name val="Arial"/>
      <family val="2"/>
    </font>
    <font>
      <sz val="7"/>
      <color rgb="FF080707"/>
      <name val="Arial"/>
      <family val="2"/>
    </font>
    <font>
      <b/>
      <i/>
      <sz val="8"/>
      <color indexed="8"/>
      <name val="Arial"/>
      <family val="2"/>
    </font>
    <font>
      <b/>
      <sz val="1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indexed="53"/>
      <name val="Arial"/>
      <family val="2"/>
    </font>
    <font>
      <b/>
      <sz val="10"/>
      <color indexed="53"/>
      <name val="Arial"/>
      <family val="2"/>
    </font>
    <font>
      <b/>
      <sz val="10"/>
      <color indexed="60"/>
      <name val="Arial"/>
      <family val="2"/>
    </font>
    <font>
      <b/>
      <sz val="10"/>
      <color indexed="62"/>
      <name val="Arial"/>
      <family val="2"/>
    </font>
    <font>
      <sz val="10"/>
      <color indexed="10"/>
      <name val="Arial"/>
      <family val="2"/>
    </font>
    <font>
      <sz val="10"/>
      <color rgb="FFFF6600"/>
      <name val="Arial"/>
      <family val="2"/>
    </font>
    <font>
      <b/>
      <sz val="10"/>
      <color indexed="36"/>
      <name val="Arial"/>
      <family val="2"/>
    </font>
    <font>
      <b/>
      <sz val="10"/>
      <color rgb="FF00B0F0"/>
      <name val="Arial"/>
      <family val="2"/>
    </font>
    <font>
      <i/>
      <sz val="11"/>
      <name val="Arial"/>
      <family val="2"/>
    </font>
    <font>
      <i/>
      <sz val="11"/>
      <color rgb="FF00B0F0"/>
      <name val="Arial"/>
      <family val="2"/>
    </font>
    <font>
      <sz val="11"/>
      <color indexed="53"/>
      <name val="Arial"/>
      <family val="2"/>
    </font>
    <font>
      <i/>
      <sz val="8"/>
      <color rgb="FFFF0000"/>
      <name val="Arial"/>
      <family val="2"/>
    </font>
    <font>
      <b/>
      <i/>
      <sz val="8"/>
      <color rgb="FFFF0000"/>
      <name val="Arial"/>
      <family val="2"/>
    </font>
    <font>
      <i/>
      <sz val="8"/>
      <color theme="0"/>
      <name val="Arial"/>
      <family val="2"/>
    </font>
    <font>
      <i/>
      <sz val="8"/>
      <color rgb="FFFFFF99"/>
      <name val="Arial"/>
      <family val="2"/>
    </font>
    <font>
      <b/>
      <sz val="12"/>
      <color rgb="FFFF0000"/>
      <name val="Arial"/>
      <family val="2"/>
    </font>
    <font>
      <sz val="8"/>
      <color rgb="FFFF0000"/>
      <name val="Arial"/>
      <family val="2"/>
    </font>
    <font>
      <b/>
      <sz val="7"/>
      <color theme="1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i/>
      <sz val="10"/>
      <name val="Times New Roman"/>
      <family val="1"/>
    </font>
    <font>
      <i/>
      <sz val="8"/>
      <color theme="1"/>
      <name val="Arial"/>
      <family val="2"/>
    </font>
    <font>
      <b/>
      <sz val="7"/>
      <color rgb="FF0000FF"/>
      <name val="Arial"/>
      <family val="2"/>
    </font>
    <font>
      <b/>
      <sz val="7"/>
      <color rgb="FF00B050"/>
      <name val="Arial"/>
      <family val="2"/>
    </font>
    <font>
      <b/>
      <sz val="7"/>
      <color theme="9" tint="-0.499984740745262"/>
      <name val="Arial"/>
      <family val="2"/>
    </font>
    <font>
      <sz val="7"/>
      <color rgb="FF00B050"/>
      <name val="Arial"/>
      <family val="2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FF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rgb="FFFFFF00"/>
      <name val="Calibri"/>
      <family val="2"/>
      <scheme val="minor"/>
    </font>
    <font>
      <i/>
      <sz val="1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0"/>
      <name val="Calibri"/>
      <family val="2"/>
      <scheme val="minor"/>
    </font>
    <font>
      <sz val="10"/>
      <color theme="9"/>
      <name val="Calibri"/>
      <family val="2"/>
      <scheme val="minor"/>
    </font>
    <font>
      <i/>
      <sz val="10"/>
      <color rgb="FFFFFF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name val="Calibri"/>
      <family val="2"/>
      <scheme val="minor"/>
    </font>
    <font>
      <i/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name val="Calibri"/>
      <family val="2"/>
      <scheme val="minor"/>
    </font>
    <font>
      <i/>
      <sz val="8"/>
      <color rgb="FFFFFF00"/>
      <name val="Calibri"/>
      <family val="2"/>
      <scheme val="minor"/>
    </font>
    <font>
      <b/>
      <i/>
      <sz val="8"/>
      <color rgb="FFFFFF00"/>
      <name val="Calibri"/>
      <family val="2"/>
      <scheme val="minor"/>
    </font>
    <font>
      <sz val="8"/>
      <color theme="3"/>
      <name val="Calibri"/>
      <family val="2"/>
      <scheme val="minor"/>
    </font>
    <font>
      <sz val="8"/>
      <color rgb="FF0070C0"/>
      <name val="Calibri"/>
      <family val="2"/>
      <scheme val="minor"/>
    </font>
    <font>
      <sz val="10"/>
      <color rgb="FF7030A0"/>
      <name val="Calibri"/>
      <family val="2"/>
      <scheme val="minor"/>
    </font>
    <font>
      <i/>
      <sz val="8"/>
      <color rgb="FF7030A0"/>
      <name val="Calibri"/>
      <family val="2"/>
      <scheme val="minor"/>
    </font>
    <font>
      <sz val="8"/>
      <color rgb="FF7030A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rgb="FFFF0000"/>
      <name val="Calibri"/>
      <family val="2"/>
      <scheme val="minor"/>
    </font>
    <font>
      <strike/>
      <sz val="8"/>
      <color rgb="FFFF0000"/>
      <name val="Calibri"/>
      <family val="2"/>
      <scheme val="minor"/>
    </font>
    <font>
      <i/>
      <sz val="10"/>
      <color rgb="FF7030A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002060"/>
      <name val="Calibri"/>
      <family val="2"/>
      <scheme val="minor"/>
    </font>
    <font>
      <i/>
      <strike/>
      <sz val="8"/>
      <name val="Calibri"/>
      <family val="2"/>
      <scheme val="minor"/>
    </font>
    <font>
      <i/>
      <sz val="8"/>
      <color rgb="FFFF0000"/>
      <name val="Calibri"/>
      <family val="2"/>
      <scheme val="minor"/>
    </font>
    <font>
      <sz val="8"/>
      <color theme="1"/>
      <name val="Arial Narrow"/>
      <family val="2"/>
    </font>
    <font>
      <b/>
      <sz val="8"/>
      <color rgb="FFFF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i/>
      <strike/>
      <sz val="8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9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rgb="FFFF0000"/>
      <name val="Calibri"/>
      <family val="2"/>
      <scheme val="minor"/>
    </font>
    <font>
      <i/>
      <sz val="9"/>
      <color rgb="FF0070C0"/>
      <name val="Calibri"/>
      <family val="2"/>
      <scheme val="minor"/>
    </font>
    <font>
      <i/>
      <sz val="9"/>
      <color theme="9" tint="-0.249977111117893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7"/>
      <color theme="1"/>
      <name val="Arial Narrow"/>
      <family val="2"/>
    </font>
    <font>
      <b/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trike/>
      <sz val="8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9"/>
      <name val="Calibri"/>
      <family val="2"/>
      <scheme val="minor"/>
    </font>
    <font>
      <b/>
      <sz val="6"/>
      <color rgb="FF7030A0"/>
      <name val="Arial"/>
      <family val="2"/>
    </font>
    <font>
      <b/>
      <sz val="6"/>
      <color theme="9" tint="-0.499984740745262"/>
      <name val="Arial"/>
      <family val="2"/>
    </font>
    <font>
      <b/>
      <sz val="6"/>
      <color rgb="FF00B050"/>
      <name val="Arial"/>
      <family val="2"/>
    </font>
    <font>
      <sz val="8"/>
      <color rgb="FF0000FF"/>
      <name val="Arial"/>
      <family val="2"/>
    </font>
    <font>
      <sz val="6"/>
      <color rgb="FF00B050"/>
      <name val="Arial"/>
      <family val="2"/>
    </font>
    <font>
      <sz val="6"/>
      <color indexed="20"/>
      <name val="Arial"/>
      <family val="2"/>
    </font>
    <font>
      <sz val="6"/>
      <color theme="9" tint="-0.499984740745262"/>
      <name val="Arial"/>
      <family val="2"/>
    </font>
    <font>
      <i/>
      <sz val="7"/>
      <color indexed="20"/>
      <name val="Arial"/>
      <family val="2"/>
    </font>
    <font>
      <i/>
      <sz val="7"/>
      <color rgb="FF7030A0"/>
      <name val="Arial"/>
      <family val="2"/>
    </font>
    <font>
      <i/>
      <sz val="7"/>
      <color rgb="FF0070C0"/>
      <name val="Arial"/>
      <family val="2"/>
    </font>
    <font>
      <sz val="6"/>
      <color theme="1"/>
      <name val="Arial"/>
      <family val="2"/>
    </font>
    <font>
      <i/>
      <sz val="6"/>
      <color rgb="FF0000FF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i/>
      <sz val="11"/>
      <color rgb="FF0070C0"/>
      <name val="Arial"/>
      <family val="2"/>
    </font>
    <font>
      <i/>
      <sz val="10"/>
      <color rgb="FFFF0000"/>
      <name val="Arial"/>
      <family val="2"/>
    </font>
  </fonts>
  <fills count="7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lightGrid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</fills>
  <borders count="1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/>
      <top/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/>
      <diagonal/>
    </border>
    <border>
      <left style="medium">
        <color rgb="FFFF0000"/>
      </left>
      <right/>
      <top style="thin">
        <color auto="1"/>
      </top>
      <bottom style="double">
        <color auto="1"/>
      </bottom>
      <diagonal/>
    </border>
    <border>
      <left style="medium">
        <color rgb="FFFF0000"/>
      </left>
      <right/>
      <top/>
      <bottom style="double">
        <color auto="1"/>
      </bottom>
      <diagonal/>
    </border>
    <border>
      <left style="medium">
        <color rgb="FFFF0000"/>
      </left>
      <right/>
      <top style="medium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ck">
        <color auto="1"/>
      </left>
      <right/>
      <top style="medium">
        <color auto="1"/>
      </top>
      <bottom/>
      <diagonal/>
    </border>
    <border>
      <left style="thick">
        <color auto="1"/>
      </left>
      <right/>
      <top/>
      <bottom style="medium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ashed">
        <color auto="1"/>
      </bottom>
      <diagonal/>
    </border>
    <border>
      <left style="medium">
        <color auto="1"/>
      </left>
      <right/>
      <top style="dashed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/>
      <top style="dashed">
        <color auto="1"/>
      </top>
      <bottom/>
      <diagonal/>
    </border>
    <border>
      <left style="medium">
        <color auto="1"/>
      </left>
      <right style="medium">
        <color auto="1"/>
      </right>
      <top style="dashed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</borders>
  <cellStyleXfs count="53">
    <xf numFmtId="0" fontId="0" fillId="0" borderId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9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6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32" fillId="0" borderId="79" applyNumberFormat="0" applyFill="0" applyAlignment="0" applyProtection="0"/>
    <xf numFmtId="0" fontId="133" fillId="0" borderId="80" applyNumberFormat="0" applyFill="0" applyAlignment="0" applyProtection="0"/>
    <xf numFmtId="0" fontId="134" fillId="0" borderId="81" applyNumberFormat="0" applyFill="0" applyAlignment="0" applyProtection="0"/>
    <xf numFmtId="0" fontId="134" fillId="0" borderId="0" applyNumberFormat="0" applyFill="0" applyBorder="0" applyAlignment="0" applyProtection="0"/>
    <xf numFmtId="0" fontId="135" fillId="21" borderId="0" applyNumberFormat="0" applyBorder="0" applyAlignment="0" applyProtection="0"/>
    <xf numFmtId="0" fontId="136" fillId="22" borderId="0" applyNumberFormat="0" applyBorder="0" applyAlignment="0" applyProtection="0"/>
    <xf numFmtId="0" fontId="137" fillId="24" borderId="82" applyNumberFormat="0" applyAlignment="0" applyProtection="0"/>
    <xf numFmtId="0" fontId="138" fillId="25" borderId="83" applyNumberFormat="0" applyAlignment="0" applyProtection="0"/>
    <xf numFmtId="0" fontId="139" fillId="25" borderId="82" applyNumberFormat="0" applyAlignment="0" applyProtection="0"/>
    <xf numFmtId="0" fontId="140" fillId="0" borderId="84" applyNumberFormat="0" applyFill="0" applyAlignment="0" applyProtection="0"/>
    <xf numFmtId="0" fontId="141" fillId="26" borderId="85" applyNumberFormat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4" fillId="0" borderId="87" applyNumberFormat="0" applyFill="0" applyAlignment="0" applyProtection="0"/>
    <xf numFmtId="0" fontId="145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45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45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45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45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45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46" fillId="0" borderId="0" applyNumberFormat="0" applyFill="0" applyBorder="0" applyAlignment="0" applyProtection="0"/>
    <xf numFmtId="0" fontId="147" fillId="23" borderId="0" applyNumberFormat="0" applyBorder="0" applyAlignment="0" applyProtection="0"/>
    <xf numFmtId="0" fontId="1" fillId="27" borderId="86" applyNumberFormat="0" applyFont="0" applyAlignment="0" applyProtection="0"/>
    <xf numFmtId="0" fontId="145" fillId="31" borderId="0" applyNumberFormat="0" applyBorder="0" applyAlignment="0" applyProtection="0"/>
    <xf numFmtId="0" fontId="145" fillId="35" borderId="0" applyNumberFormat="0" applyBorder="0" applyAlignment="0" applyProtection="0"/>
    <xf numFmtId="0" fontId="145" fillId="39" borderId="0" applyNumberFormat="0" applyBorder="0" applyAlignment="0" applyProtection="0"/>
    <xf numFmtId="0" fontId="145" fillId="43" borderId="0" applyNumberFormat="0" applyBorder="0" applyAlignment="0" applyProtection="0"/>
    <xf numFmtId="0" fontId="145" fillId="47" borderId="0" applyNumberFormat="0" applyBorder="0" applyAlignment="0" applyProtection="0"/>
    <xf numFmtId="0" fontId="145" fillId="51" borderId="0" applyNumberFormat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9" fillId="0" borderId="0" applyNumberFormat="0" applyFill="0" applyBorder="0" applyAlignment="0" applyProtection="0"/>
  </cellStyleXfs>
  <cellXfs count="2982">
    <xf numFmtId="0" fontId="0" fillId="0" borderId="0" xfId="0"/>
    <xf numFmtId="0" fontId="4" fillId="0" borderId="0" xfId="0" applyFont="1"/>
    <xf numFmtId="0" fontId="4" fillId="0" borderId="7" xfId="0" applyFont="1" applyBorder="1"/>
    <xf numFmtId="0" fontId="4" fillId="0" borderId="6" xfId="0" applyFont="1" applyBorder="1"/>
    <xf numFmtId="0" fontId="5" fillId="0" borderId="0" xfId="0" applyFont="1"/>
    <xf numFmtId="0" fontId="4" fillId="0" borderId="4" xfId="0" applyFont="1" applyBorder="1"/>
    <xf numFmtId="167" fontId="4" fillId="0" borderId="0" xfId="0" applyNumberFormat="1" applyFont="1"/>
    <xf numFmtId="0" fontId="7" fillId="0" borderId="0" xfId="0" applyFont="1"/>
    <xf numFmtId="0" fontId="8" fillId="3" borderId="0" xfId="0" applyFont="1" applyFill="1"/>
    <xf numFmtId="0" fontId="9" fillId="3" borderId="0" xfId="0" applyFont="1" applyFill="1"/>
    <xf numFmtId="1" fontId="7" fillId="0" borderId="0" xfId="0" applyNumberFormat="1" applyFont="1"/>
    <xf numFmtId="0" fontId="7" fillId="0" borderId="3" xfId="0" applyFont="1" applyBorder="1"/>
    <xf numFmtId="3" fontId="7" fillId="0" borderId="3" xfId="0" applyNumberFormat="1" applyFont="1" applyBorder="1"/>
    <xf numFmtId="0" fontId="7" fillId="0" borderId="0" xfId="0" applyFont="1" applyAlignment="1">
      <alignment horizontal="right"/>
    </xf>
    <xf numFmtId="3" fontId="7" fillId="0" borderId="0" xfId="0" applyNumberFormat="1" applyFont="1"/>
    <xf numFmtId="0" fontId="7" fillId="0" borderId="0" xfId="0" applyFont="1" applyAlignment="1">
      <alignment horizontal="left"/>
    </xf>
    <xf numFmtId="0" fontId="7" fillId="4" borderId="15" xfId="0" applyFont="1" applyFill="1" applyBorder="1"/>
    <xf numFmtId="3" fontId="7" fillId="4" borderId="16" xfId="0" applyNumberFormat="1" applyFont="1" applyFill="1" applyBorder="1"/>
    <xf numFmtId="0" fontId="9" fillId="0" borderId="0" xfId="0" applyFont="1"/>
    <xf numFmtId="167" fontId="10" fillId="0" borderId="0" xfId="0" applyNumberFormat="1" applyFont="1"/>
    <xf numFmtId="167" fontId="11" fillId="0" borderId="0" xfId="0" applyNumberFormat="1" applyFont="1"/>
    <xf numFmtId="166" fontId="7" fillId="0" borderId="0" xfId="0" applyNumberFormat="1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Continuous"/>
    </xf>
    <xf numFmtId="0" fontId="5" fillId="0" borderId="0" xfId="0" applyFont="1" applyAlignment="1">
      <alignment horizontal="centerContinuous"/>
    </xf>
    <xf numFmtId="0" fontId="12" fillId="0" borderId="0" xfId="0" applyFont="1"/>
    <xf numFmtId="0" fontId="13" fillId="0" borderId="0" xfId="0" applyFont="1" applyAlignment="1">
      <alignment horizontal="centerContinuous"/>
    </xf>
    <xf numFmtId="0" fontId="12" fillId="0" borderId="0" xfId="0" applyFont="1" applyAlignment="1">
      <alignment horizontal="centerContinuous"/>
    </xf>
    <xf numFmtId="0" fontId="4" fillId="0" borderId="3" xfId="0" applyFont="1" applyBorder="1"/>
    <xf numFmtId="0" fontId="5" fillId="0" borderId="8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4" fillId="0" borderId="8" xfId="0" applyFont="1" applyBorder="1"/>
    <xf numFmtId="169" fontId="4" fillId="0" borderId="6" xfId="0" applyNumberFormat="1" applyFont="1" applyBorder="1" applyAlignment="1">
      <alignment horizontal="center"/>
    </xf>
    <xf numFmtId="170" fontId="4" fillId="0" borderId="5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67" fontId="4" fillId="0" borderId="5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0" fontId="4" fillId="0" borderId="9" xfId="0" applyFont="1" applyBorder="1"/>
    <xf numFmtId="169" fontId="4" fillId="0" borderId="7" xfId="0" applyNumberFormat="1" applyFont="1" applyBorder="1" applyAlignment="1">
      <alignment horizontal="center"/>
    </xf>
    <xf numFmtId="170" fontId="4" fillId="0" borderId="7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167" fontId="4" fillId="0" borderId="7" xfId="0" applyNumberFormat="1" applyFont="1" applyBorder="1" applyAlignment="1">
      <alignment horizontal="center"/>
    </xf>
    <xf numFmtId="167" fontId="4" fillId="0" borderId="3" xfId="0" applyNumberFormat="1" applyFont="1" applyBorder="1" applyAlignment="1">
      <alignment horizontal="center"/>
    </xf>
    <xf numFmtId="167" fontId="4" fillId="0" borderId="2" xfId="0" applyNumberFormat="1" applyFont="1" applyBorder="1" applyAlignment="1">
      <alignment horizontal="center"/>
    </xf>
    <xf numFmtId="171" fontId="4" fillId="0" borderId="6" xfId="0" applyNumberFormat="1" applyFont="1" applyBorder="1" applyAlignment="1">
      <alignment horizontal="center"/>
    </xf>
    <xf numFmtId="170" fontId="4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1" xfId="0" applyFont="1" applyBorder="1"/>
    <xf numFmtId="0" fontId="4" fillId="0" borderId="5" xfId="0" applyFont="1" applyBorder="1"/>
    <xf numFmtId="0" fontId="4" fillId="0" borderId="4" xfId="0" applyFont="1" applyBorder="1" applyAlignment="1">
      <alignment horizontal="center"/>
    </xf>
    <xf numFmtId="167" fontId="4" fillId="0" borderId="4" xfId="0" applyNumberFormat="1" applyFont="1" applyBorder="1" applyAlignment="1">
      <alignment horizontal="center"/>
    </xf>
    <xf numFmtId="167" fontId="6" fillId="0" borderId="4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6" xfId="0" applyNumberFormat="1" applyFont="1" applyBorder="1" applyAlignment="1">
      <alignment horizontal="center"/>
    </xf>
    <xf numFmtId="167" fontId="4" fillId="0" borderId="8" xfId="0" applyNumberFormat="1" applyFont="1" applyBorder="1" applyAlignment="1">
      <alignment horizontal="center"/>
    </xf>
    <xf numFmtId="0" fontId="4" fillId="5" borderId="9" xfId="0" applyFont="1" applyFill="1" applyBorder="1"/>
    <xf numFmtId="167" fontId="4" fillId="0" borderId="0" xfId="0" applyNumberFormat="1" applyFont="1" applyAlignment="1">
      <alignment horizontal="center"/>
    </xf>
    <xf numFmtId="167" fontId="4" fillId="0" borderId="9" xfId="0" applyNumberFormat="1" applyFont="1" applyBorder="1" applyAlignment="1">
      <alignment horizontal="center"/>
    </xf>
    <xf numFmtId="170" fontId="4" fillId="0" borderId="0" xfId="0" applyNumberFormat="1" applyFont="1" applyAlignment="1">
      <alignment horizontal="center"/>
    </xf>
    <xf numFmtId="0" fontId="4" fillId="0" borderId="1" xfId="0" applyFont="1" applyBorder="1" applyAlignment="1">
      <alignment horizontal="center"/>
    </xf>
    <xf numFmtId="170" fontId="4" fillId="0" borderId="9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9" xfId="0" applyFont="1" applyBorder="1"/>
    <xf numFmtId="171" fontId="4" fillId="0" borderId="5" xfId="0" applyNumberFormat="1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14" fillId="0" borderId="27" xfId="0" applyFont="1" applyBorder="1"/>
    <xf numFmtId="165" fontId="15" fillId="0" borderId="27" xfId="0" applyNumberFormat="1" applyFont="1" applyBorder="1"/>
    <xf numFmtId="165" fontId="7" fillId="0" borderId="27" xfId="0" applyNumberFormat="1" applyFont="1" applyBorder="1"/>
    <xf numFmtId="0" fontId="15" fillId="0" borderId="27" xfId="0" applyFont="1" applyBorder="1"/>
    <xf numFmtId="0" fontId="15" fillId="0" borderId="35" xfId="0" applyFont="1" applyBorder="1"/>
    <xf numFmtId="165" fontId="15" fillId="0" borderId="35" xfId="0" applyNumberFormat="1" applyFont="1" applyBorder="1"/>
    <xf numFmtId="0" fontId="15" fillId="0" borderId="30" xfId="0" applyFont="1" applyBorder="1"/>
    <xf numFmtId="0" fontId="15" fillId="0" borderId="0" xfId="0" applyFont="1"/>
    <xf numFmtId="165" fontId="7" fillId="0" borderId="0" xfId="0" applyNumberFormat="1" applyFont="1"/>
    <xf numFmtId="3" fontId="16" fillId="2" borderId="26" xfId="0" applyNumberFormat="1" applyFont="1" applyFill="1" applyBorder="1"/>
    <xf numFmtId="3" fontId="17" fillId="2" borderId="39" xfId="0" applyNumberFormat="1" applyFont="1" applyFill="1" applyBorder="1" applyAlignment="1">
      <alignment horizontal="centerContinuous"/>
    </xf>
    <xf numFmtId="3" fontId="16" fillId="2" borderId="39" xfId="0" applyNumberFormat="1" applyFont="1" applyFill="1" applyBorder="1" applyAlignment="1">
      <alignment horizontal="centerContinuous"/>
    </xf>
    <xf numFmtId="0" fontId="16" fillId="0" borderId="0" xfId="0" applyFont="1"/>
    <xf numFmtId="0" fontId="16" fillId="0" borderId="29" xfId="0" applyFont="1" applyBorder="1"/>
    <xf numFmtId="3" fontId="16" fillId="2" borderId="29" xfId="0" applyNumberFormat="1" applyFont="1" applyFill="1" applyBorder="1"/>
    <xf numFmtId="3" fontId="17" fillId="2" borderId="29" xfId="0" applyNumberFormat="1" applyFont="1" applyFill="1" applyBorder="1"/>
    <xf numFmtId="3" fontId="17" fillId="2" borderId="26" xfId="0" applyNumberFormat="1" applyFont="1" applyFill="1" applyBorder="1" applyAlignment="1">
      <alignment horizontal="center"/>
    </xf>
    <xf numFmtId="3" fontId="17" fillId="2" borderId="29" xfId="0" applyNumberFormat="1" applyFont="1" applyFill="1" applyBorder="1" applyAlignment="1">
      <alignment horizontal="center"/>
    </xf>
    <xf numFmtId="0" fontId="17" fillId="2" borderId="32" xfId="0" applyFont="1" applyFill="1" applyBorder="1" applyAlignment="1">
      <alignment horizontal="centerContinuous"/>
    </xf>
    <xf numFmtId="3" fontId="17" fillId="2" borderId="27" xfId="0" applyNumberFormat="1" applyFont="1" applyFill="1" applyBorder="1"/>
    <xf numFmtId="3" fontId="17" fillId="2" borderId="27" xfId="0" applyNumberFormat="1" applyFont="1" applyFill="1" applyBorder="1" applyAlignment="1">
      <alignment horizontal="center"/>
    </xf>
    <xf numFmtId="3" fontId="18" fillId="2" borderId="29" xfId="0" applyNumberFormat="1" applyFont="1" applyFill="1" applyBorder="1"/>
    <xf numFmtId="3" fontId="16" fillId="2" borderId="32" xfId="0" applyNumberFormat="1" applyFont="1" applyFill="1" applyBorder="1"/>
    <xf numFmtId="3" fontId="17" fillId="2" borderId="32" xfId="0" applyNumberFormat="1" applyFont="1" applyFill="1" applyBorder="1"/>
    <xf numFmtId="0" fontId="17" fillId="2" borderId="32" xfId="0" applyFont="1" applyFill="1" applyBorder="1"/>
    <xf numFmtId="0" fontId="16" fillId="2" borderId="32" xfId="0" applyFont="1" applyFill="1" applyBorder="1"/>
    <xf numFmtId="3" fontId="17" fillId="2" borderId="32" xfId="0" applyNumberFormat="1" applyFont="1" applyFill="1" applyBorder="1" applyAlignment="1">
      <alignment horizontal="center"/>
    </xf>
    <xf numFmtId="0" fontId="17" fillId="2" borderId="32" xfId="0" applyFont="1" applyFill="1" applyBorder="1" applyAlignment="1">
      <alignment horizontal="center"/>
    </xf>
    <xf numFmtId="3" fontId="17" fillId="2" borderId="30" xfId="0" applyNumberFormat="1" applyFont="1" applyFill="1" applyBorder="1" applyAlignment="1">
      <alignment horizontal="center"/>
    </xf>
    <xf numFmtId="0" fontId="19" fillId="0" borderId="29" xfId="0" applyFont="1" applyBorder="1"/>
    <xf numFmtId="3" fontId="19" fillId="0" borderId="26" xfId="0" applyNumberFormat="1" applyFont="1" applyBorder="1"/>
    <xf numFmtId="3" fontId="16" fillId="0" borderId="26" xfId="0" applyNumberFormat="1" applyFont="1" applyBorder="1"/>
    <xf numFmtId="3" fontId="19" fillId="0" borderId="29" xfId="0" applyNumberFormat="1" applyFont="1" applyBorder="1"/>
    <xf numFmtId="3" fontId="16" fillId="0" borderId="27" xfId="0" applyNumberFormat="1" applyFont="1" applyBorder="1"/>
    <xf numFmtId="0" fontId="19" fillId="0" borderId="0" xfId="0" applyFont="1"/>
    <xf numFmtId="3" fontId="16" fillId="0" borderId="29" xfId="0" applyNumberFormat="1" applyFont="1" applyBorder="1"/>
    <xf numFmtId="3" fontId="19" fillId="3" borderId="29" xfId="0" applyNumberFormat="1" applyFont="1" applyFill="1" applyBorder="1"/>
    <xf numFmtId="3" fontId="19" fillId="0" borderId="32" xfId="0" applyNumberFormat="1" applyFont="1" applyBorder="1"/>
    <xf numFmtId="3" fontId="16" fillId="0" borderId="30" xfId="0" applyNumberFormat="1" applyFont="1" applyBorder="1"/>
    <xf numFmtId="3" fontId="19" fillId="6" borderId="29" xfId="0" applyNumberFormat="1" applyFont="1" applyFill="1" applyBorder="1"/>
    <xf numFmtId="3" fontId="19" fillId="6" borderId="40" xfId="0" applyNumberFormat="1" applyFont="1" applyFill="1" applyBorder="1"/>
    <xf numFmtId="3" fontId="20" fillId="0" borderId="27" xfId="0" applyNumberFormat="1" applyFont="1" applyBorder="1"/>
    <xf numFmtId="3" fontId="21" fillId="0" borderId="29" xfId="0" applyNumberFormat="1" applyFont="1" applyBorder="1"/>
    <xf numFmtId="0" fontId="19" fillId="0" borderId="32" xfId="0" applyFont="1" applyBorder="1"/>
    <xf numFmtId="3" fontId="19" fillId="0" borderId="39" xfId="0" applyNumberFormat="1" applyFont="1" applyBorder="1"/>
    <xf numFmtId="3" fontId="17" fillId="0" borderId="39" xfId="0" applyNumberFormat="1" applyFont="1" applyBorder="1"/>
    <xf numFmtId="3" fontId="21" fillId="0" borderId="39" xfId="0" applyNumberFormat="1" applyFont="1" applyBorder="1"/>
    <xf numFmtId="3" fontId="21" fillId="6" borderId="39" xfId="0" applyNumberFormat="1" applyFont="1" applyFill="1" applyBorder="1"/>
    <xf numFmtId="3" fontId="16" fillId="0" borderId="36" xfId="0" applyNumberFormat="1" applyFont="1" applyBorder="1"/>
    <xf numFmtId="3" fontId="19" fillId="0" borderId="0" xfId="0" applyNumberFormat="1" applyFont="1"/>
    <xf numFmtId="3" fontId="16" fillId="0" borderId="0" xfId="0" applyNumberFormat="1" applyFont="1"/>
    <xf numFmtId="0" fontId="20" fillId="0" borderId="0" xfId="0" applyFont="1"/>
    <xf numFmtId="3" fontId="23" fillId="0" borderId="0" xfId="0" applyNumberFormat="1" applyFont="1"/>
    <xf numFmtId="0" fontId="19" fillId="0" borderId="28" xfId="0" applyFont="1" applyBorder="1"/>
    <xf numFmtId="0" fontId="24" fillId="0" borderId="0" xfId="0" applyFont="1"/>
    <xf numFmtId="0" fontId="25" fillId="0" borderId="0" xfId="0" applyFont="1"/>
    <xf numFmtId="0" fontId="21" fillId="0" borderId="0" xfId="0" applyFont="1" applyAlignment="1">
      <alignment horizontal="center"/>
    </xf>
    <xf numFmtId="0" fontId="26" fillId="0" borderId="0" xfId="0" applyFont="1"/>
    <xf numFmtId="0" fontId="21" fillId="0" borderId="42" xfId="0" applyFont="1" applyBorder="1" applyAlignment="1">
      <alignment horizontal="center"/>
    </xf>
    <xf numFmtId="0" fontId="21" fillId="0" borderId="43" xfId="0" applyFont="1" applyBorder="1" applyAlignment="1">
      <alignment horizontal="center"/>
    </xf>
    <xf numFmtId="0" fontId="19" fillId="0" borderId="26" xfId="0" applyFont="1" applyBorder="1"/>
    <xf numFmtId="0" fontId="19" fillId="0" borderId="33" xfId="0" applyFont="1" applyBorder="1"/>
    <xf numFmtId="0" fontId="19" fillId="0" borderId="25" xfId="0" applyFont="1" applyBorder="1"/>
    <xf numFmtId="0" fontId="21" fillId="0" borderId="4" xfId="0" applyFont="1" applyBorder="1" applyAlignment="1">
      <alignment horizontal="center"/>
    </xf>
    <xf numFmtId="0" fontId="21" fillId="0" borderId="44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21" fillId="0" borderId="45" xfId="0" applyFont="1" applyBorder="1" applyAlignment="1">
      <alignment horizontal="center"/>
    </xf>
    <xf numFmtId="0" fontId="19" fillId="0" borderId="46" xfId="0" applyFont="1" applyBorder="1"/>
    <xf numFmtId="167" fontId="19" fillId="0" borderId="4" xfId="0" applyNumberFormat="1" applyFont="1" applyBorder="1"/>
    <xf numFmtId="0" fontId="19" fillId="0" borderId="4" xfId="0" applyFont="1" applyBorder="1"/>
    <xf numFmtId="0" fontId="19" fillId="0" borderId="44" xfId="0" applyFont="1" applyBorder="1"/>
    <xf numFmtId="3" fontId="19" fillId="0" borderId="3" xfId="0" applyNumberFormat="1" applyFont="1" applyBorder="1"/>
    <xf numFmtId="167" fontId="19" fillId="0" borderId="2" xfId="0" applyNumberFormat="1" applyFont="1" applyBorder="1"/>
    <xf numFmtId="3" fontId="19" fillId="0" borderId="45" xfId="0" applyNumberFormat="1" applyFont="1" applyBorder="1"/>
    <xf numFmtId="167" fontId="19" fillId="0" borderId="10" xfId="0" applyNumberFormat="1" applyFont="1" applyBorder="1"/>
    <xf numFmtId="3" fontId="19" fillId="0" borderId="47" xfId="0" applyNumberFormat="1" applyFont="1" applyBorder="1"/>
    <xf numFmtId="3" fontId="19" fillId="0" borderId="28" xfId="0" applyNumberFormat="1" applyFont="1" applyBorder="1"/>
    <xf numFmtId="3" fontId="19" fillId="0" borderId="44" xfId="0" applyNumberFormat="1" applyFont="1" applyBorder="1"/>
    <xf numFmtId="0" fontId="25" fillId="0" borderId="29" xfId="0" applyFont="1" applyBorder="1"/>
    <xf numFmtId="167" fontId="19" fillId="0" borderId="48" xfId="0" applyNumberFormat="1" applyFont="1" applyBorder="1"/>
    <xf numFmtId="167" fontId="19" fillId="0" borderId="49" xfId="0" applyNumberFormat="1" applyFont="1" applyBorder="1"/>
    <xf numFmtId="0" fontId="19" fillId="0" borderId="21" xfId="0" applyFont="1" applyBorder="1"/>
    <xf numFmtId="3" fontId="19" fillId="0" borderId="50" xfId="0" applyNumberFormat="1" applyFont="1" applyBorder="1"/>
    <xf numFmtId="0" fontId="19" fillId="3" borderId="0" xfId="0" applyFont="1" applyFill="1"/>
    <xf numFmtId="0" fontId="19" fillId="0" borderId="29" xfId="0" applyFont="1" applyBorder="1" applyAlignment="1">
      <alignment horizontal="right"/>
    </xf>
    <xf numFmtId="3" fontId="19" fillId="0" borderId="51" xfId="0" applyNumberFormat="1" applyFont="1" applyBorder="1"/>
    <xf numFmtId="0" fontId="19" fillId="0" borderId="37" xfId="0" applyFont="1" applyBorder="1"/>
    <xf numFmtId="0" fontId="19" fillId="0" borderId="3" xfId="0" applyFont="1" applyBorder="1"/>
    <xf numFmtId="0" fontId="19" fillId="0" borderId="52" xfId="0" applyFont="1" applyBorder="1"/>
    <xf numFmtId="3" fontId="19" fillId="0" borderId="21" xfId="0" applyNumberFormat="1" applyFont="1" applyBorder="1"/>
    <xf numFmtId="0" fontId="19" fillId="0" borderId="31" xfId="0" applyFont="1" applyBorder="1"/>
    <xf numFmtId="0" fontId="21" fillId="2" borderId="53" xfId="0" applyFont="1" applyFill="1" applyBorder="1"/>
    <xf numFmtId="0" fontId="21" fillId="2" borderId="46" xfId="0" applyFont="1" applyFill="1" applyBorder="1"/>
    <xf numFmtId="0" fontId="21" fillId="2" borderId="54" xfId="0" applyFont="1" applyFill="1" applyBorder="1"/>
    <xf numFmtId="3" fontId="19" fillId="0" borderId="49" xfId="0" applyNumberFormat="1" applyFont="1" applyBorder="1"/>
    <xf numFmtId="0" fontId="21" fillId="0" borderId="25" xfId="0" applyFont="1" applyBorder="1" applyAlignment="1">
      <alignment horizontal="center"/>
    </xf>
    <xf numFmtId="0" fontId="21" fillId="0" borderId="28" xfId="0" applyFont="1" applyBorder="1" applyAlignment="1">
      <alignment horizontal="center"/>
    </xf>
    <xf numFmtId="0" fontId="21" fillId="0" borderId="55" xfId="0" applyFont="1" applyBorder="1" applyAlignment="1">
      <alignment horizontal="center"/>
    </xf>
    <xf numFmtId="0" fontId="21" fillId="0" borderId="31" xfId="0" applyFont="1" applyBorder="1" applyAlignment="1">
      <alignment horizontal="center"/>
    </xf>
    <xf numFmtId="0" fontId="19" fillId="0" borderId="40" xfId="0" applyFont="1" applyBorder="1"/>
    <xf numFmtId="0" fontId="19" fillId="0" borderId="20" xfId="0" applyFont="1" applyBorder="1"/>
    <xf numFmtId="3" fontId="19" fillId="0" borderId="56" xfId="0" applyNumberFormat="1" applyFont="1" applyBorder="1"/>
    <xf numFmtId="0" fontId="19" fillId="0" borderId="2" xfId="0" applyFont="1" applyBorder="1"/>
    <xf numFmtId="3" fontId="19" fillId="0" borderId="52" xfId="0" applyNumberFormat="1" applyFont="1" applyBorder="1"/>
    <xf numFmtId="0" fontId="19" fillId="0" borderId="55" xfId="0" applyFont="1" applyBorder="1"/>
    <xf numFmtId="3" fontId="19" fillId="0" borderId="31" xfId="0" applyNumberFormat="1" applyFont="1" applyBorder="1"/>
    <xf numFmtId="0" fontId="21" fillId="2" borderId="26" xfId="0" applyFont="1" applyFill="1" applyBorder="1"/>
    <xf numFmtId="0" fontId="21" fillId="2" borderId="29" xfId="0" applyFont="1" applyFill="1" applyBorder="1"/>
    <xf numFmtId="0" fontId="19" fillId="2" borderId="29" xfId="0" applyFont="1" applyFill="1" applyBorder="1"/>
    <xf numFmtId="0" fontId="19" fillId="2" borderId="32" xfId="0" applyFont="1" applyFill="1" applyBorder="1"/>
    <xf numFmtId="0" fontId="21" fillId="0" borderId="57" xfId="0" applyFont="1" applyBorder="1"/>
    <xf numFmtId="0" fontId="21" fillId="0" borderId="25" xfId="0" applyFont="1" applyBorder="1"/>
    <xf numFmtId="0" fontId="21" fillId="0" borderId="0" xfId="0" applyFont="1"/>
    <xf numFmtId="0" fontId="21" fillId="0" borderId="6" xfId="0" applyFont="1" applyBorder="1"/>
    <xf numFmtId="0" fontId="21" fillId="0" borderId="28" xfId="0" applyFont="1" applyBorder="1"/>
    <xf numFmtId="0" fontId="21" fillId="0" borderId="7" xfId="0" applyFont="1" applyBorder="1" applyAlignment="1">
      <alignment horizontal="center"/>
    </xf>
    <xf numFmtId="0" fontId="21" fillId="0" borderId="7" xfId="0" applyFont="1" applyBorder="1"/>
    <xf numFmtId="0" fontId="21" fillId="0" borderId="52" xfId="0" applyFont="1" applyBorder="1"/>
    <xf numFmtId="0" fontId="19" fillId="0" borderId="6" xfId="0" applyFont="1" applyBorder="1"/>
    <xf numFmtId="0" fontId="21" fillId="0" borderId="29" xfId="0" applyFont="1" applyBorder="1"/>
    <xf numFmtId="166" fontId="19" fillId="0" borderId="6" xfId="0" applyNumberFormat="1" applyFont="1" applyBorder="1"/>
    <xf numFmtId="166" fontId="19" fillId="0" borderId="7" xfId="0" applyNumberFormat="1" applyFont="1" applyBorder="1"/>
    <xf numFmtId="166" fontId="19" fillId="0" borderId="21" xfId="0" applyNumberFormat="1" applyFont="1" applyBorder="1"/>
    <xf numFmtId="166" fontId="19" fillId="0" borderId="0" xfId="0" applyNumberFormat="1" applyFont="1"/>
    <xf numFmtId="0" fontId="21" fillId="2" borderId="33" xfId="0" applyFont="1" applyFill="1" applyBorder="1"/>
    <xf numFmtId="0" fontId="21" fillId="2" borderId="25" xfId="0" applyFont="1" applyFill="1" applyBorder="1"/>
    <xf numFmtId="0" fontId="21" fillId="2" borderId="0" xfId="0" applyFont="1" applyFill="1"/>
    <xf numFmtId="0" fontId="21" fillId="2" borderId="28" xfId="0" applyFont="1" applyFill="1" applyBorder="1"/>
    <xf numFmtId="0" fontId="21" fillId="2" borderId="32" xfId="0" applyFont="1" applyFill="1" applyBorder="1"/>
    <xf numFmtId="0" fontId="21" fillId="2" borderId="21" xfId="0" applyFont="1" applyFill="1" applyBorder="1"/>
    <xf numFmtId="0" fontId="21" fillId="2" borderId="31" xfId="0" applyFont="1" applyFill="1" applyBorder="1"/>
    <xf numFmtId="3" fontId="4" fillId="2" borderId="26" xfId="0" applyNumberFormat="1" applyFont="1" applyFill="1" applyBorder="1"/>
    <xf numFmtId="3" fontId="5" fillId="2" borderId="39" xfId="0" applyNumberFormat="1" applyFont="1" applyFill="1" applyBorder="1" applyAlignment="1">
      <alignment horizontal="centerContinuous"/>
    </xf>
    <xf numFmtId="3" fontId="4" fillId="2" borderId="39" xfId="0" applyNumberFormat="1" applyFont="1" applyFill="1" applyBorder="1" applyAlignment="1">
      <alignment horizontal="centerContinuous"/>
    </xf>
    <xf numFmtId="3" fontId="4" fillId="2" borderId="26" xfId="0" applyNumberFormat="1" applyFont="1" applyFill="1" applyBorder="1" applyAlignment="1">
      <alignment horizontal="centerContinuous"/>
    </xf>
    <xf numFmtId="3" fontId="4" fillId="2" borderId="24" xfId="0" applyNumberFormat="1" applyFont="1" applyFill="1" applyBorder="1"/>
    <xf numFmtId="3" fontId="4" fillId="2" borderId="29" xfId="0" applyNumberFormat="1" applyFont="1" applyFill="1" applyBorder="1"/>
    <xf numFmtId="3" fontId="5" fillId="2" borderId="29" xfId="0" applyNumberFormat="1" applyFont="1" applyFill="1" applyBorder="1"/>
    <xf numFmtId="3" fontId="5" fillId="2" borderId="26" xfId="0" applyNumberFormat="1" applyFont="1" applyFill="1" applyBorder="1" applyAlignment="1">
      <alignment horizontal="center"/>
    </xf>
    <xf numFmtId="3" fontId="5" fillId="2" borderId="29" xfId="0" applyNumberFormat="1" applyFont="1" applyFill="1" applyBorder="1" applyAlignment="1">
      <alignment horizontal="center"/>
    </xf>
    <xf numFmtId="0" fontId="5" fillId="2" borderId="32" xfId="0" applyFont="1" applyFill="1" applyBorder="1" applyAlignment="1">
      <alignment horizontal="centerContinuous"/>
    </xf>
    <xf numFmtId="3" fontId="5" fillId="2" borderId="27" xfId="0" applyNumberFormat="1" applyFont="1" applyFill="1" applyBorder="1"/>
    <xf numFmtId="3" fontId="5" fillId="2" borderId="27" xfId="0" applyNumberFormat="1" applyFont="1" applyFill="1" applyBorder="1" applyAlignment="1">
      <alignment horizontal="center"/>
    </xf>
    <xf numFmtId="3" fontId="13" fillId="2" borderId="29" xfId="0" applyNumberFormat="1" applyFont="1" applyFill="1" applyBorder="1"/>
    <xf numFmtId="0" fontId="5" fillId="2" borderId="29" xfId="0" applyFont="1" applyFill="1" applyBorder="1" applyAlignment="1">
      <alignment horizontal="center"/>
    </xf>
    <xf numFmtId="3" fontId="4" fillId="2" borderId="32" xfId="0" applyNumberFormat="1" applyFont="1" applyFill="1" applyBorder="1"/>
    <xf numFmtId="3" fontId="5" fillId="2" borderId="32" xfId="0" applyNumberFormat="1" applyFont="1" applyFill="1" applyBorder="1"/>
    <xf numFmtId="0" fontId="5" fillId="2" borderId="32" xfId="0" applyFont="1" applyFill="1" applyBorder="1"/>
    <xf numFmtId="0" fontId="4" fillId="2" borderId="32" xfId="0" applyFont="1" applyFill="1" applyBorder="1"/>
    <xf numFmtId="3" fontId="5" fillId="2" borderId="32" xfId="0" applyNumberFormat="1" applyFont="1" applyFill="1" applyBorder="1" applyAlignment="1">
      <alignment horizontal="center"/>
    </xf>
    <xf numFmtId="0" fontId="5" fillId="2" borderId="32" xfId="0" applyFont="1" applyFill="1" applyBorder="1" applyAlignment="1">
      <alignment horizontal="center"/>
    </xf>
    <xf numFmtId="3" fontId="5" fillId="2" borderId="30" xfId="0" applyNumberFormat="1" applyFont="1" applyFill="1" applyBorder="1" applyAlignment="1">
      <alignment horizontal="center"/>
    </xf>
    <xf numFmtId="3" fontId="7" fillId="0" borderId="26" xfId="0" applyNumberFormat="1" applyFont="1" applyBorder="1"/>
    <xf numFmtId="3" fontId="4" fillId="0" borderId="26" xfId="0" applyNumberFormat="1" applyFont="1" applyBorder="1"/>
    <xf numFmtId="3" fontId="7" fillId="0" borderId="29" xfId="0" applyNumberFormat="1" applyFont="1" applyBorder="1"/>
    <xf numFmtId="3" fontId="4" fillId="0" borderId="27" xfId="0" applyNumberFormat="1" applyFont="1" applyBorder="1"/>
    <xf numFmtId="3" fontId="4" fillId="0" borderId="29" xfId="0" applyNumberFormat="1" applyFont="1" applyBorder="1"/>
    <xf numFmtId="3" fontId="7" fillId="3" borderId="29" xfId="0" applyNumberFormat="1" applyFont="1" applyFill="1" applyBorder="1"/>
    <xf numFmtId="3" fontId="7" fillId="0" borderId="32" xfId="0" applyNumberFormat="1" applyFont="1" applyBorder="1"/>
    <xf numFmtId="3" fontId="4" fillId="0" borderId="32" xfId="0" applyNumberFormat="1" applyFont="1" applyBorder="1"/>
    <xf numFmtId="3" fontId="4" fillId="0" borderId="30" xfId="0" applyNumberFormat="1" applyFont="1" applyBorder="1"/>
    <xf numFmtId="3" fontId="5" fillId="0" borderId="37" xfId="0" applyNumberFormat="1" applyFont="1" applyBorder="1"/>
    <xf numFmtId="3" fontId="7" fillId="0" borderId="37" xfId="0" applyNumberFormat="1" applyFont="1" applyBorder="1"/>
    <xf numFmtId="3" fontId="7" fillId="6" borderId="29" xfId="0" applyNumberFormat="1" applyFont="1" applyFill="1" applyBorder="1"/>
    <xf numFmtId="3" fontId="5" fillId="0" borderId="29" xfId="0" applyNumberFormat="1" applyFont="1" applyBorder="1"/>
    <xf numFmtId="3" fontId="5" fillId="3" borderId="29" xfId="0" applyNumberFormat="1" applyFont="1" applyFill="1" applyBorder="1"/>
    <xf numFmtId="3" fontId="7" fillId="6" borderId="40" xfId="0" applyNumberFormat="1" applyFont="1" applyFill="1" applyBorder="1"/>
    <xf numFmtId="3" fontId="10" fillId="0" borderId="27" xfId="0" applyNumberFormat="1" applyFont="1" applyBorder="1"/>
    <xf numFmtId="3" fontId="27" fillId="0" borderId="29" xfId="0" applyNumberFormat="1" applyFont="1" applyBorder="1"/>
    <xf numFmtId="3" fontId="5" fillId="3" borderId="41" xfId="0" applyNumberFormat="1" applyFont="1" applyFill="1" applyBorder="1"/>
    <xf numFmtId="3" fontId="7" fillId="0" borderId="41" xfId="0" applyNumberFormat="1" applyFont="1" applyBorder="1"/>
    <xf numFmtId="3" fontId="7" fillId="0" borderId="39" xfId="0" applyNumberFormat="1" applyFont="1" applyBorder="1"/>
    <xf numFmtId="3" fontId="5" fillId="0" borderId="39" xfId="0" applyNumberFormat="1" applyFont="1" applyBorder="1"/>
    <xf numFmtId="3" fontId="27" fillId="0" borderId="39" xfId="0" applyNumberFormat="1" applyFont="1" applyBorder="1"/>
    <xf numFmtId="3" fontId="27" fillId="6" borderId="39" xfId="0" applyNumberFormat="1" applyFont="1" applyFill="1" applyBorder="1"/>
    <xf numFmtId="3" fontId="4" fillId="0" borderId="36" xfId="0" applyNumberFormat="1" applyFont="1" applyBorder="1"/>
    <xf numFmtId="3" fontId="4" fillId="0" borderId="0" xfId="0" applyNumberFormat="1" applyFont="1"/>
    <xf numFmtId="0" fontId="6" fillId="0" borderId="0" xfId="0" applyFont="1"/>
    <xf numFmtId="3" fontId="28" fillId="0" borderId="0" xfId="0" applyNumberFormat="1" applyFont="1"/>
    <xf numFmtId="0" fontId="10" fillId="0" borderId="0" xfId="0" applyFont="1"/>
    <xf numFmtId="3" fontId="29" fillId="0" borderId="0" xfId="0" applyNumberFormat="1" applyFont="1"/>
    <xf numFmtId="3" fontId="9" fillId="0" borderId="0" xfId="0" applyNumberFormat="1" applyFont="1"/>
    <xf numFmtId="0" fontId="30" fillId="0" borderId="0" xfId="0" applyFont="1"/>
    <xf numFmtId="0" fontId="4" fillId="0" borderId="29" xfId="0" applyFont="1" applyBorder="1"/>
    <xf numFmtId="0" fontId="7" fillId="0" borderId="28" xfId="0" applyFont="1" applyBorder="1"/>
    <xf numFmtId="0" fontId="31" fillId="0" borderId="0" xfId="0" applyFont="1"/>
    <xf numFmtId="0" fontId="27" fillId="0" borderId="0" xfId="0" applyFont="1" applyAlignment="1">
      <alignment horizontal="center"/>
    </xf>
    <xf numFmtId="0" fontId="8" fillId="0" borderId="0" xfId="0" applyFont="1"/>
    <xf numFmtId="0" fontId="27" fillId="2" borderId="53" xfId="0" applyFont="1" applyFill="1" applyBorder="1"/>
    <xf numFmtId="0" fontId="27" fillId="0" borderId="42" xfId="0" applyFont="1" applyBorder="1" applyAlignment="1">
      <alignment horizontal="center"/>
    </xf>
    <xf numFmtId="0" fontId="27" fillId="0" borderId="43" xfId="0" applyFont="1" applyBorder="1" applyAlignment="1">
      <alignment horizontal="center"/>
    </xf>
    <xf numFmtId="0" fontId="7" fillId="0" borderId="26" xfId="0" applyFont="1" applyBorder="1"/>
    <xf numFmtId="0" fontId="7" fillId="0" borderId="33" xfId="0" applyFont="1" applyBorder="1"/>
    <xf numFmtId="0" fontId="7" fillId="0" borderId="25" xfId="0" applyFont="1" applyBorder="1"/>
    <xf numFmtId="0" fontId="27" fillId="2" borderId="46" xfId="0" applyFont="1" applyFill="1" applyBorder="1"/>
    <xf numFmtId="0" fontId="27" fillId="0" borderId="4" xfId="0" applyFont="1" applyBorder="1" applyAlignment="1">
      <alignment horizontal="center"/>
    </xf>
    <xf numFmtId="0" fontId="27" fillId="0" borderId="44" xfId="0" applyFont="1" applyBorder="1" applyAlignment="1">
      <alignment horizontal="center"/>
    </xf>
    <xf numFmtId="0" fontId="7" fillId="0" borderId="29" xfId="0" applyFont="1" applyBorder="1"/>
    <xf numFmtId="0" fontId="27" fillId="2" borderId="54" xfId="0" applyFont="1" applyFill="1" applyBorder="1"/>
    <xf numFmtId="0" fontId="27" fillId="0" borderId="2" xfId="0" applyFont="1" applyBorder="1" applyAlignment="1">
      <alignment horizontal="center"/>
    </xf>
    <xf numFmtId="0" fontId="27" fillId="0" borderId="45" xfId="0" applyFont="1" applyBorder="1" applyAlignment="1">
      <alignment horizontal="center"/>
    </xf>
    <xf numFmtId="0" fontId="7" fillId="0" borderId="46" xfId="0" applyFont="1" applyBorder="1"/>
    <xf numFmtId="167" fontId="7" fillId="0" borderId="4" xfId="0" applyNumberFormat="1" applyFont="1" applyBorder="1"/>
    <xf numFmtId="0" fontId="7" fillId="0" borderId="4" xfId="0" applyFont="1" applyBorder="1"/>
    <xf numFmtId="0" fontId="7" fillId="0" borderId="44" xfId="0" applyFont="1" applyBorder="1"/>
    <xf numFmtId="167" fontId="7" fillId="0" borderId="2" xfId="0" applyNumberFormat="1" applyFont="1" applyBorder="1"/>
    <xf numFmtId="3" fontId="7" fillId="0" borderId="45" xfId="0" applyNumberFormat="1" applyFont="1" applyBorder="1"/>
    <xf numFmtId="167" fontId="7" fillId="0" borderId="10" xfId="0" applyNumberFormat="1" applyFont="1" applyBorder="1"/>
    <xf numFmtId="3" fontId="7" fillId="0" borderId="47" xfId="0" applyNumberFormat="1" applyFont="1" applyBorder="1"/>
    <xf numFmtId="3" fontId="7" fillId="0" borderId="28" xfId="0" applyNumberFormat="1" applyFont="1" applyBorder="1"/>
    <xf numFmtId="3" fontId="7" fillId="0" borderId="44" xfId="0" applyNumberFormat="1" applyFont="1" applyBorder="1"/>
    <xf numFmtId="0" fontId="30" fillId="0" borderId="29" xfId="0" applyFont="1" applyBorder="1"/>
    <xf numFmtId="167" fontId="7" fillId="0" borderId="48" xfId="0" applyNumberFormat="1" applyFont="1" applyBorder="1"/>
    <xf numFmtId="3" fontId="7" fillId="3" borderId="47" xfId="0" applyNumberFormat="1" applyFont="1" applyFill="1" applyBorder="1"/>
    <xf numFmtId="0" fontId="7" fillId="0" borderId="32" xfId="0" applyFont="1" applyBorder="1"/>
    <xf numFmtId="167" fontId="7" fillId="0" borderId="49" xfId="0" applyNumberFormat="1" applyFont="1" applyBorder="1"/>
    <xf numFmtId="0" fontId="7" fillId="0" borderId="21" xfId="0" applyFont="1" applyBorder="1"/>
    <xf numFmtId="3" fontId="7" fillId="0" borderId="50" xfId="0" applyNumberFormat="1" applyFont="1" applyBorder="1"/>
    <xf numFmtId="0" fontId="7" fillId="3" borderId="0" xfId="0" applyFont="1" applyFill="1"/>
    <xf numFmtId="0" fontId="7" fillId="0" borderId="29" xfId="0" applyFont="1" applyBorder="1" applyAlignment="1">
      <alignment horizontal="right"/>
    </xf>
    <xf numFmtId="3" fontId="7" fillId="0" borderId="51" xfId="0" applyNumberFormat="1" applyFont="1" applyBorder="1"/>
    <xf numFmtId="0" fontId="7" fillId="0" borderId="37" xfId="0" applyFont="1" applyBorder="1"/>
    <xf numFmtId="0" fontId="7" fillId="0" borderId="52" xfId="0" applyFont="1" applyBorder="1"/>
    <xf numFmtId="3" fontId="7" fillId="0" borderId="21" xfId="0" applyNumberFormat="1" applyFont="1" applyBorder="1"/>
    <xf numFmtId="0" fontId="7" fillId="0" borderId="31" xfId="0" applyFont="1" applyBorder="1"/>
    <xf numFmtId="3" fontId="7" fillId="0" borderId="49" xfId="0" applyNumberFormat="1" applyFont="1" applyBorder="1"/>
    <xf numFmtId="0" fontId="27" fillId="2" borderId="26" xfId="0" applyFont="1" applyFill="1" applyBorder="1"/>
    <xf numFmtId="0" fontId="27" fillId="0" borderId="25" xfId="0" applyFont="1" applyBorder="1" applyAlignment="1">
      <alignment horizontal="center"/>
    </xf>
    <xf numFmtId="0" fontId="27" fillId="2" borderId="29" xfId="0" applyFont="1" applyFill="1" applyBorder="1"/>
    <xf numFmtId="0" fontId="27" fillId="0" borderId="28" xfId="0" applyFont="1" applyBorder="1" applyAlignment="1">
      <alignment horizontal="center"/>
    </xf>
    <xf numFmtId="0" fontId="7" fillId="2" borderId="29" xfId="0" applyFont="1" applyFill="1" applyBorder="1"/>
    <xf numFmtId="0" fontId="7" fillId="2" borderId="32" xfId="0" applyFont="1" applyFill="1" applyBorder="1"/>
    <xf numFmtId="0" fontId="27" fillId="0" borderId="55" xfId="0" applyFont="1" applyBorder="1" applyAlignment="1">
      <alignment horizontal="center"/>
    </xf>
    <xf numFmtId="0" fontId="27" fillId="0" borderId="31" xfId="0" applyFont="1" applyBorder="1" applyAlignment="1">
      <alignment horizontal="center"/>
    </xf>
    <xf numFmtId="0" fontId="7" fillId="0" borderId="40" xfId="0" applyFont="1" applyBorder="1"/>
    <xf numFmtId="0" fontId="7" fillId="0" borderId="20" xfId="0" applyFont="1" applyBorder="1"/>
    <xf numFmtId="3" fontId="7" fillId="0" borderId="56" xfId="0" applyNumberFormat="1" applyFont="1" applyBorder="1"/>
    <xf numFmtId="0" fontId="7" fillId="0" borderId="2" xfId="0" applyFont="1" applyBorder="1"/>
    <xf numFmtId="3" fontId="7" fillId="0" borderId="52" xfId="0" applyNumberFormat="1" applyFont="1" applyBorder="1"/>
    <xf numFmtId="0" fontId="7" fillId="0" borderId="55" xfId="0" applyFont="1" applyBorder="1"/>
    <xf numFmtId="3" fontId="7" fillId="0" borderId="31" xfId="0" applyNumberFormat="1" applyFont="1" applyBorder="1"/>
    <xf numFmtId="0" fontId="27" fillId="2" borderId="33" xfId="0" applyFont="1" applyFill="1" applyBorder="1"/>
    <xf numFmtId="0" fontId="27" fillId="2" borderId="25" xfId="0" applyFont="1" applyFill="1" applyBorder="1"/>
    <xf numFmtId="0" fontId="27" fillId="0" borderId="57" xfId="0" applyFont="1" applyBorder="1"/>
    <xf numFmtId="0" fontId="27" fillId="0" borderId="25" xfId="0" applyFont="1" applyBorder="1"/>
    <xf numFmtId="0" fontId="27" fillId="0" borderId="0" xfId="0" applyFont="1"/>
    <xf numFmtId="0" fontId="27" fillId="2" borderId="0" xfId="0" applyFont="1" applyFill="1"/>
    <xf numFmtId="0" fontId="27" fillId="2" borderId="28" xfId="0" applyFont="1" applyFill="1" applyBorder="1"/>
    <xf numFmtId="0" fontId="27" fillId="0" borderId="6" xfId="0" applyFont="1" applyBorder="1"/>
    <xf numFmtId="0" fontId="27" fillId="0" borderId="28" xfId="0" applyFont="1" applyBorder="1"/>
    <xf numFmtId="0" fontId="27" fillId="2" borderId="32" xfId="0" applyFont="1" applyFill="1" applyBorder="1"/>
    <xf numFmtId="0" fontId="27" fillId="2" borderId="21" xfId="0" applyFont="1" applyFill="1" applyBorder="1"/>
    <xf numFmtId="0" fontId="27" fillId="2" borderId="31" xfId="0" applyFont="1" applyFill="1" applyBorder="1"/>
    <xf numFmtId="0" fontId="27" fillId="0" borderId="7" xfId="0" applyFont="1" applyBorder="1" applyAlignment="1">
      <alignment horizontal="center"/>
    </xf>
    <xf numFmtId="0" fontId="27" fillId="0" borderId="7" xfId="0" applyFont="1" applyBorder="1"/>
    <xf numFmtId="0" fontId="27" fillId="0" borderId="52" xfId="0" applyFont="1" applyBorder="1"/>
    <xf numFmtId="0" fontId="7" fillId="0" borderId="6" xfId="0" applyFont="1" applyBorder="1"/>
    <xf numFmtId="0" fontId="27" fillId="0" borderId="29" xfId="0" applyFont="1" applyBorder="1"/>
    <xf numFmtId="166" fontId="7" fillId="0" borderId="6" xfId="0" applyNumberFormat="1" applyFont="1" applyBorder="1"/>
    <xf numFmtId="166" fontId="7" fillId="0" borderId="7" xfId="0" applyNumberFormat="1" applyFont="1" applyBorder="1"/>
    <xf numFmtId="166" fontId="7" fillId="0" borderId="21" xfId="0" applyNumberFormat="1" applyFont="1" applyBorder="1"/>
    <xf numFmtId="167" fontId="14" fillId="2" borderId="24" xfId="0" applyNumberFormat="1" applyFont="1" applyFill="1" applyBorder="1"/>
    <xf numFmtId="0" fontId="14" fillId="2" borderId="24" xfId="0" applyFont="1" applyFill="1" applyBorder="1" applyAlignment="1">
      <alignment horizontal="center"/>
    </xf>
    <xf numFmtId="0" fontId="14" fillId="2" borderId="26" xfId="0" applyFont="1" applyFill="1" applyBorder="1" applyAlignment="1">
      <alignment horizontal="center"/>
    </xf>
    <xf numFmtId="0" fontId="14" fillId="2" borderId="25" xfId="0" applyFont="1" applyFill="1" applyBorder="1" applyAlignment="1">
      <alignment horizontal="center"/>
    </xf>
    <xf numFmtId="0" fontId="33" fillId="2" borderId="26" xfId="0" applyFont="1" applyFill="1" applyBorder="1" applyAlignment="1">
      <alignment horizontal="center"/>
    </xf>
    <xf numFmtId="167" fontId="14" fillId="2" borderId="25" xfId="0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/>
    </xf>
    <xf numFmtId="165" fontId="14" fillId="2" borderId="24" xfId="0" applyNumberFormat="1" applyFont="1" applyFill="1" applyBorder="1" applyAlignment="1">
      <alignment horizontal="center"/>
    </xf>
    <xf numFmtId="167" fontId="14" fillId="2" borderId="24" xfId="0" applyNumberFormat="1" applyFont="1" applyFill="1" applyBorder="1" applyAlignment="1">
      <alignment horizontal="center"/>
    </xf>
    <xf numFmtId="0" fontId="14" fillId="2" borderId="30" xfId="0" applyFont="1" applyFill="1" applyBorder="1"/>
    <xf numFmtId="0" fontId="14" fillId="2" borderId="30" xfId="0" applyFont="1" applyFill="1" applyBorder="1" applyAlignment="1">
      <alignment horizontal="center"/>
    </xf>
    <xf numFmtId="0" fontId="14" fillId="2" borderId="32" xfId="0" applyFont="1" applyFill="1" applyBorder="1" applyAlignment="1">
      <alignment horizontal="center"/>
    </xf>
    <xf numFmtId="0" fontId="14" fillId="2" borderId="31" xfId="0" applyFont="1" applyFill="1" applyBorder="1" applyAlignment="1">
      <alignment horizontal="center"/>
    </xf>
    <xf numFmtId="0" fontId="33" fillId="2" borderId="32" xfId="0" applyFont="1" applyFill="1" applyBorder="1" applyAlignment="1">
      <alignment horizontal="center"/>
    </xf>
    <xf numFmtId="0" fontId="33" fillId="2" borderId="21" xfId="0" applyFont="1" applyFill="1" applyBorder="1" applyAlignment="1">
      <alignment horizontal="center"/>
    </xf>
    <xf numFmtId="0" fontId="15" fillId="0" borderId="29" xfId="0" applyFont="1" applyBorder="1"/>
    <xf numFmtId="0" fontId="15" fillId="0" borderId="28" xfId="0" applyFont="1" applyBorder="1"/>
    <xf numFmtId="167" fontId="15" fillId="0" borderId="28" xfId="0" applyNumberFormat="1" applyFont="1" applyBorder="1"/>
    <xf numFmtId="167" fontId="15" fillId="0" borderId="27" xfId="0" applyNumberFormat="1" applyFont="1" applyBorder="1"/>
    <xf numFmtId="0" fontId="15" fillId="0" borderId="24" xfId="0" applyFont="1" applyBorder="1"/>
    <xf numFmtId="167" fontId="15" fillId="0" borderId="29" xfId="0" applyNumberFormat="1" applyFont="1" applyBorder="1"/>
    <xf numFmtId="167" fontId="15" fillId="0" borderId="38" xfId="0" applyNumberFormat="1" applyFont="1" applyBorder="1"/>
    <xf numFmtId="167" fontId="15" fillId="0" borderId="59" xfId="0" applyNumberFormat="1" applyFont="1" applyBorder="1"/>
    <xf numFmtId="167" fontId="15" fillId="0" borderId="35" xfId="0" applyNumberFormat="1" applyFont="1" applyBorder="1"/>
    <xf numFmtId="0" fontId="14" fillId="4" borderId="60" xfId="0" applyFont="1" applyFill="1" applyBorder="1"/>
    <xf numFmtId="167" fontId="15" fillId="0" borderId="30" xfId="0" applyNumberFormat="1" applyFont="1" applyBorder="1"/>
    <xf numFmtId="167" fontId="15" fillId="0" borderId="31" xfId="0" applyNumberFormat="1" applyFont="1" applyBorder="1"/>
    <xf numFmtId="167" fontId="15" fillId="0" borderId="32" xfId="0" applyNumberFormat="1" applyFont="1" applyBorder="1"/>
    <xf numFmtId="165" fontId="15" fillId="0" borderId="30" xfId="0" applyNumberFormat="1" applyFont="1" applyBorder="1"/>
    <xf numFmtId="167" fontId="15" fillId="0" borderId="0" xfId="0" applyNumberFormat="1" applyFont="1"/>
    <xf numFmtId="165" fontId="15" fillId="0" borderId="0" xfId="0" applyNumberFormat="1" applyFont="1"/>
    <xf numFmtId="0" fontId="15" fillId="4" borderId="0" xfId="0" applyFont="1" applyFill="1"/>
    <xf numFmtId="0" fontId="7" fillId="0" borderId="0" xfId="0" applyFont="1" applyAlignment="1">
      <alignment horizontal="center"/>
    </xf>
    <xf numFmtId="10" fontId="7" fillId="0" borderId="0" xfId="0" applyNumberFormat="1" applyFont="1"/>
    <xf numFmtId="165" fontId="7" fillId="0" borderId="0" xfId="0" applyNumberFormat="1" applyFont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165" fontId="7" fillId="0" borderId="3" xfId="0" applyNumberFormat="1" applyFont="1" applyBorder="1"/>
    <xf numFmtId="0" fontId="7" fillId="0" borderId="27" xfId="0" applyFont="1" applyBorder="1"/>
    <xf numFmtId="165" fontId="7" fillId="0" borderId="30" xfId="0" applyNumberFormat="1" applyFont="1" applyBorder="1"/>
    <xf numFmtId="0" fontId="19" fillId="0" borderId="7" xfId="0" applyFont="1" applyBorder="1"/>
    <xf numFmtId="0" fontId="19" fillId="0" borderId="1" xfId="0" applyFont="1" applyBorder="1"/>
    <xf numFmtId="3" fontId="19" fillId="0" borderId="20" xfId="0" applyNumberFormat="1" applyFont="1" applyBorder="1"/>
    <xf numFmtId="0" fontId="7" fillId="0" borderId="7" xfId="0" applyFont="1" applyBorder="1"/>
    <xf numFmtId="3" fontId="7" fillId="0" borderId="20" xfId="0" applyNumberFormat="1" applyFont="1" applyBorder="1"/>
    <xf numFmtId="167" fontId="4" fillId="0" borderId="4" xfId="0" applyNumberFormat="1" applyFont="1" applyBorder="1"/>
    <xf numFmtId="3" fontId="16" fillId="0" borderId="24" xfId="0" applyNumberFormat="1" applyFont="1" applyBorder="1"/>
    <xf numFmtId="0" fontId="16" fillId="0" borderId="27" xfId="0" applyFont="1" applyBorder="1"/>
    <xf numFmtId="3" fontId="19" fillId="6" borderId="32" xfId="0" applyNumberFormat="1" applyFont="1" applyFill="1" applyBorder="1"/>
    <xf numFmtId="3" fontId="17" fillId="0" borderId="32" xfId="0" applyNumberFormat="1" applyFont="1" applyBorder="1"/>
    <xf numFmtId="3" fontId="17" fillId="2" borderId="33" xfId="0" applyNumberFormat="1" applyFont="1" applyFill="1" applyBorder="1" applyAlignment="1">
      <alignment horizontal="center"/>
    </xf>
    <xf numFmtId="3" fontId="17" fillId="2" borderId="0" xfId="0" applyNumberFormat="1" applyFont="1" applyFill="1" applyAlignment="1">
      <alignment horizontal="center"/>
    </xf>
    <xf numFmtId="3" fontId="17" fillId="2" borderId="21" xfId="0" applyNumberFormat="1" applyFont="1" applyFill="1" applyBorder="1" applyAlignment="1">
      <alignment horizontal="center"/>
    </xf>
    <xf numFmtId="3" fontId="16" fillId="2" borderId="36" xfId="0" applyNumberFormat="1" applyFont="1" applyFill="1" applyBorder="1" applyAlignment="1">
      <alignment horizontal="centerContinuous"/>
    </xf>
    <xf numFmtId="0" fontId="17" fillId="2" borderId="27" xfId="0" applyFont="1" applyFill="1" applyBorder="1" applyAlignment="1">
      <alignment horizontal="center"/>
    </xf>
    <xf numFmtId="0" fontId="16" fillId="2" borderId="30" xfId="0" applyFont="1" applyFill="1" applyBorder="1"/>
    <xf numFmtId="0" fontId="16" fillId="0" borderId="37" xfId="0" applyFont="1" applyBorder="1"/>
    <xf numFmtId="0" fontId="19" fillId="0" borderId="34" xfId="0" applyFont="1" applyBorder="1"/>
    <xf numFmtId="165" fontId="19" fillId="0" borderId="33" xfId="0" applyNumberFormat="1" applyFont="1" applyBorder="1"/>
    <xf numFmtId="165" fontId="19" fillId="0" borderId="26" xfId="0" applyNumberFormat="1" applyFont="1" applyBorder="1"/>
    <xf numFmtId="165" fontId="19" fillId="0" borderId="27" xfId="0" applyNumberFormat="1" applyFont="1" applyBorder="1"/>
    <xf numFmtId="165" fontId="19" fillId="0" borderId="0" xfId="0" applyNumberFormat="1" applyFont="1"/>
    <xf numFmtId="165" fontId="19" fillId="0" borderId="29" xfId="0" applyNumberFormat="1" applyFont="1" applyBorder="1"/>
    <xf numFmtId="165" fontId="19" fillId="0" borderId="34" xfId="0" applyNumberFormat="1" applyFont="1" applyBorder="1"/>
    <xf numFmtId="169" fontId="4" fillId="0" borderId="5" xfId="0" applyNumberFormat="1" applyFont="1" applyBorder="1" applyAlignment="1">
      <alignment horizontal="center"/>
    </xf>
    <xf numFmtId="170" fontId="4" fillId="0" borderId="23" xfId="0" applyNumberFormat="1" applyFont="1" applyBorder="1" applyAlignment="1">
      <alignment horizontal="center"/>
    </xf>
    <xf numFmtId="170" fontId="4" fillId="0" borderId="3" xfId="0" applyNumberFormat="1" applyFont="1" applyBorder="1" applyAlignment="1">
      <alignment horizontal="center"/>
    </xf>
    <xf numFmtId="3" fontId="36" fillId="0" borderId="3" xfId="0" applyNumberFormat="1" applyFont="1" applyBorder="1"/>
    <xf numFmtId="3" fontId="36" fillId="0" borderId="0" xfId="0" applyNumberFormat="1" applyFont="1"/>
    <xf numFmtId="3" fontId="36" fillId="0" borderId="28" xfId="0" applyNumberFormat="1" applyFont="1" applyBorder="1"/>
    <xf numFmtId="3" fontId="36" fillId="0" borderId="51" xfId="0" applyNumberFormat="1" applyFont="1" applyBorder="1"/>
    <xf numFmtId="3" fontId="36" fillId="0" borderId="21" xfId="0" applyNumberFormat="1" applyFont="1" applyBorder="1"/>
    <xf numFmtId="3" fontId="22" fillId="0" borderId="3" xfId="0" applyNumberFormat="1" applyFont="1" applyBorder="1"/>
    <xf numFmtId="3" fontId="7" fillId="0" borderId="0" xfId="0" applyNumberFormat="1" applyFont="1" applyAlignment="1">
      <alignment horizontal="center"/>
    </xf>
    <xf numFmtId="0" fontId="19" fillId="0" borderId="8" xfId="0" applyFont="1" applyBorder="1"/>
    <xf numFmtId="165" fontId="34" fillId="7" borderId="29" xfId="0" applyNumberFormat="1" applyFont="1" applyFill="1" applyBorder="1"/>
    <xf numFmtId="165" fontId="28" fillId="0" borderId="0" xfId="0" applyNumberFormat="1" applyFont="1"/>
    <xf numFmtId="165" fontId="7" fillId="0" borderId="39" xfId="0" applyNumberFormat="1" applyFont="1" applyBorder="1"/>
    <xf numFmtId="165" fontId="7" fillId="0" borderId="61" xfId="0" applyNumberFormat="1" applyFont="1" applyBorder="1"/>
    <xf numFmtId="167" fontId="4" fillId="5" borderId="6" xfId="0" applyNumberFormat="1" applyFont="1" applyFill="1" applyBorder="1" applyAlignment="1">
      <alignment horizontal="center"/>
    </xf>
    <xf numFmtId="165" fontId="19" fillId="0" borderId="52" xfId="0" applyNumberFormat="1" applyFont="1" applyBorder="1"/>
    <xf numFmtId="3" fontId="19" fillId="0" borderId="30" xfId="0" applyNumberFormat="1" applyFont="1" applyBorder="1"/>
    <xf numFmtId="3" fontId="16" fillId="0" borderId="27" xfId="0" applyNumberFormat="1" applyFont="1" applyBorder="1" applyAlignment="1">
      <alignment horizontal="left"/>
    </xf>
    <xf numFmtId="3" fontId="38" fillId="0" borderId="27" xfId="0" applyNumberFormat="1" applyFont="1" applyBorder="1"/>
    <xf numFmtId="165" fontId="7" fillId="8" borderId="20" xfId="0" applyNumberFormat="1" applyFont="1" applyFill="1" applyBorder="1"/>
    <xf numFmtId="165" fontId="15" fillId="4" borderId="21" xfId="0" applyNumberFormat="1" applyFont="1" applyFill="1" applyBorder="1"/>
    <xf numFmtId="165" fontId="15" fillId="0" borderId="38" xfId="0" applyNumberFormat="1" applyFont="1" applyBorder="1"/>
    <xf numFmtId="165" fontId="15" fillId="0" borderId="29" xfId="0" applyNumberFormat="1" applyFont="1" applyBorder="1"/>
    <xf numFmtId="0" fontId="7" fillId="7" borderId="17" xfId="0" applyFont="1" applyFill="1" applyBorder="1"/>
    <xf numFmtId="3" fontId="7" fillId="8" borderId="20" xfId="0" applyNumberFormat="1" applyFont="1" applyFill="1" applyBorder="1"/>
    <xf numFmtId="0" fontId="4" fillId="9" borderId="15" xfId="0" applyFont="1" applyFill="1" applyBorder="1"/>
    <xf numFmtId="0" fontId="4" fillId="9" borderId="17" xfId="0" applyFont="1" applyFill="1" applyBorder="1"/>
    <xf numFmtId="0" fontId="5" fillId="9" borderId="17" xfId="0" applyFont="1" applyFill="1" applyBorder="1"/>
    <xf numFmtId="0" fontId="4" fillId="9" borderId="16" xfId="0" applyFont="1" applyFill="1" applyBorder="1"/>
    <xf numFmtId="169" fontId="5" fillId="8" borderId="20" xfId="0" applyNumberFormat="1" applyFont="1" applyFill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167" fontId="5" fillId="8" borderId="20" xfId="0" applyNumberFormat="1" applyFont="1" applyFill="1" applyBorder="1" applyAlignment="1">
      <alignment horizontal="center"/>
    </xf>
    <xf numFmtId="167" fontId="5" fillId="8" borderId="16" xfId="0" applyNumberFormat="1" applyFont="1" applyFill="1" applyBorder="1" applyAlignment="1">
      <alignment horizontal="center"/>
    </xf>
    <xf numFmtId="167" fontId="5" fillId="8" borderId="17" xfId="0" applyNumberFormat="1" applyFont="1" applyFill="1" applyBorder="1" applyAlignment="1">
      <alignment horizontal="center"/>
    </xf>
    <xf numFmtId="167" fontId="40" fillId="0" borderId="0" xfId="0" applyNumberFormat="1" applyFont="1"/>
    <xf numFmtId="165" fontId="41" fillId="0" borderId="0" xfId="0" applyNumberFormat="1" applyFont="1"/>
    <xf numFmtId="0" fontId="35" fillId="0" borderId="0" xfId="0" applyFont="1"/>
    <xf numFmtId="0" fontId="7" fillId="9" borderId="3" xfId="0" applyFont="1" applyFill="1" applyBorder="1" applyAlignment="1">
      <alignment horizontal="center"/>
    </xf>
    <xf numFmtId="0" fontId="7" fillId="9" borderId="3" xfId="0" applyFont="1" applyFill="1" applyBorder="1"/>
    <xf numFmtId="0" fontId="7" fillId="9" borderId="19" xfId="0" applyFont="1" applyFill="1" applyBorder="1" applyAlignment="1">
      <alignment horizontal="center"/>
    </xf>
    <xf numFmtId="0" fontId="7" fillId="9" borderId="23" xfId="0" applyFont="1" applyFill="1" applyBorder="1"/>
    <xf numFmtId="0" fontId="7" fillId="9" borderId="23" xfId="0" applyFont="1" applyFill="1" applyBorder="1" applyAlignment="1">
      <alignment horizontal="center"/>
    </xf>
    <xf numFmtId="0" fontId="7" fillId="9" borderId="5" xfId="0" applyFont="1" applyFill="1" applyBorder="1" applyAlignment="1">
      <alignment horizontal="center"/>
    </xf>
    <xf numFmtId="0" fontId="7" fillId="9" borderId="9" xfId="0" applyFont="1" applyFill="1" applyBorder="1" applyAlignment="1">
      <alignment horizontal="center"/>
    </xf>
    <xf numFmtId="0" fontId="7" fillId="9" borderId="7" xfId="0" applyFont="1" applyFill="1" applyBorder="1"/>
    <xf numFmtId="165" fontId="28" fillId="8" borderId="61" xfId="0" applyNumberFormat="1" applyFont="1" applyFill="1" applyBorder="1"/>
    <xf numFmtId="165" fontId="7" fillId="8" borderId="61" xfId="0" applyNumberFormat="1" applyFont="1" applyFill="1" applyBorder="1"/>
    <xf numFmtId="10" fontId="7" fillId="8" borderId="64" xfId="0" applyNumberFormat="1" applyFont="1" applyFill="1" applyBorder="1"/>
    <xf numFmtId="0" fontId="7" fillId="0" borderId="61" xfId="0" applyFont="1" applyBorder="1"/>
    <xf numFmtId="165" fontId="28" fillId="0" borderId="27" xfId="0" applyNumberFormat="1" applyFont="1" applyBorder="1"/>
    <xf numFmtId="3" fontId="22" fillId="0" borderId="45" xfId="0" applyNumberFormat="1" applyFont="1" applyBorder="1"/>
    <xf numFmtId="3" fontId="22" fillId="0" borderId="47" xfId="0" applyNumberFormat="1" applyFont="1" applyBorder="1"/>
    <xf numFmtId="3" fontId="22" fillId="3" borderId="47" xfId="0" applyNumberFormat="1" applyFont="1" applyFill="1" applyBorder="1"/>
    <xf numFmtId="3" fontId="22" fillId="0" borderId="51" xfId="0" applyNumberFormat="1" applyFont="1" applyBorder="1"/>
    <xf numFmtId="0" fontId="4" fillId="5" borderId="20" xfId="0" applyFont="1" applyFill="1" applyBorder="1" applyAlignment="1">
      <alignment horizontal="center"/>
    </xf>
    <xf numFmtId="38" fontId="15" fillId="0" borderId="27" xfId="0" applyNumberFormat="1" applyFont="1" applyBorder="1"/>
    <xf numFmtId="38" fontId="15" fillId="0" borderId="35" xfId="0" applyNumberFormat="1" applyFont="1" applyBorder="1"/>
    <xf numFmtId="165" fontId="15" fillId="0" borderId="31" xfId="0" applyNumberFormat="1" applyFont="1" applyBorder="1"/>
    <xf numFmtId="3" fontId="34" fillId="5" borderId="20" xfId="0" applyNumberFormat="1" applyFont="1" applyFill="1" applyBorder="1"/>
    <xf numFmtId="3" fontId="0" fillId="0" borderId="0" xfId="0" applyNumberFormat="1"/>
    <xf numFmtId="165" fontId="0" fillId="0" borderId="0" xfId="0" applyNumberFormat="1"/>
    <xf numFmtId="165" fontId="34" fillId="0" borderId="0" xfId="0" applyNumberFormat="1" applyFont="1"/>
    <xf numFmtId="0" fontId="7" fillId="4" borderId="9" xfId="0" applyFont="1" applyFill="1" applyBorder="1"/>
    <xf numFmtId="3" fontId="7" fillId="4" borderId="7" xfId="0" applyNumberFormat="1" applyFont="1" applyFill="1" applyBorder="1"/>
    <xf numFmtId="0" fontId="14" fillId="10" borderId="24" xfId="0" applyFont="1" applyFill="1" applyBorder="1" applyAlignment="1">
      <alignment horizontal="center"/>
    </xf>
    <xf numFmtId="0" fontId="14" fillId="10" borderId="30" xfId="0" applyFont="1" applyFill="1" applyBorder="1" applyAlignment="1">
      <alignment horizontal="center"/>
    </xf>
    <xf numFmtId="0" fontId="14" fillId="10" borderId="33" xfId="0" applyFont="1" applyFill="1" applyBorder="1" applyAlignment="1">
      <alignment horizontal="center"/>
    </xf>
    <xf numFmtId="0" fontId="14" fillId="10" borderId="21" xfId="0" applyFont="1" applyFill="1" applyBorder="1" applyAlignment="1">
      <alignment horizontal="center"/>
    </xf>
    <xf numFmtId="0" fontId="15" fillId="0" borderId="26" xfId="0" applyFont="1" applyBorder="1"/>
    <xf numFmtId="0" fontId="15" fillId="0" borderId="67" xfId="0" applyFont="1" applyBorder="1"/>
    <xf numFmtId="167" fontId="7" fillId="0" borderId="27" xfId="0" applyNumberFormat="1" applyFont="1" applyBorder="1"/>
    <xf numFmtId="169" fontId="5" fillId="8" borderId="2" xfId="0" applyNumberFormat="1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167" fontId="5" fillId="8" borderId="2" xfId="0" applyNumberFormat="1" applyFont="1" applyFill="1" applyBorder="1" applyAlignment="1">
      <alignment horizontal="center"/>
    </xf>
    <xf numFmtId="167" fontId="5" fillId="8" borderId="7" xfId="0" applyNumberFormat="1" applyFont="1" applyFill="1" applyBorder="1" applyAlignment="1">
      <alignment horizontal="center"/>
    </xf>
    <xf numFmtId="167" fontId="5" fillId="8" borderId="3" xfId="0" applyNumberFormat="1" applyFont="1" applyFill="1" applyBorder="1" applyAlignment="1">
      <alignment horizontal="center"/>
    </xf>
    <xf numFmtId="170" fontId="4" fillId="0" borderId="1" xfId="0" applyNumberFormat="1" applyFont="1" applyBorder="1" applyAlignment="1">
      <alignment horizontal="center"/>
    </xf>
    <xf numFmtId="170" fontId="4" fillId="0" borderId="2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2" fillId="0" borderId="0" xfId="0" applyFont="1"/>
    <xf numFmtId="3" fontId="19" fillId="0" borderId="27" xfId="0" applyNumberFormat="1" applyFont="1" applyBorder="1"/>
    <xf numFmtId="0" fontId="15" fillId="0" borderId="0" xfId="0" applyFont="1" applyAlignment="1">
      <alignment horizontal="center"/>
    </xf>
    <xf numFmtId="0" fontId="14" fillId="11" borderId="30" xfId="0" applyFont="1" applyFill="1" applyBorder="1" applyAlignment="1">
      <alignment horizontal="center"/>
    </xf>
    <xf numFmtId="0" fontId="14" fillId="11" borderId="32" xfId="0" applyFont="1" applyFill="1" applyBorder="1" applyAlignment="1">
      <alignment horizontal="center"/>
    </xf>
    <xf numFmtId="0" fontId="14" fillId="12" borderId="30" xfId="0" applyFont="1" applyFill="1" applyBorder="1" applyAlignment="1">
      <alignment horizontal="center"/>
    </xf>
    <xf numFmtId="0" fontId="15" fillId="0" borderId="38" xfId="0" applyFont="1" applyBorder="1"/>
    <xf numFmtId="165" fontId="28" fillId="0" borderId="3" xfId="0" applyNumberFormat="1" applyFont="1" applyBorder="1"/>
    <xf numFmtId="165" fontId="44" fillId="0" borderId="26" xfId="0" applyNumberFormat="1" applyFont="1" applyBorder="1" applyProtection="1">
      <protection locked="0"/>
    </xf>
    <xf numFmtId="165" fontId="45" fillId="0" borderId="33" xfId="0" applyNumberFormat="1" applyFont="1" applyBorder="1" applyProtection="1">
      <protection locked="0"/>
    </xf>
    <xf numFmtId="0" fontId="45" fillId="0" borderId="33" xfId="0" applyFont="1" applyBorder="1" applyProtection="1">
      <protection locked="0"/>
    </xf>
    <xf numFmtId="165" fontId="45" fillId="0" borderId="33" xfId="0" applyNumberFormat="1" applyFont="1" applyBorder="1"/>
    <xf numFmtId="165" fontId="44" fillId="0" borderId="29" xfId="0" applyNumberFormat="1" applyFont="1" applyBorder="1" applyProtection="1">
      <protection locked="0"/>
    </xf>
    <xf numFmtId="165" fontId="46" fillId="0" borderId="0" xfId="0" applyNumberFormat="1" applyFont="1" applyProtection="1">
      <protection locked="0"/>
    </xf>
    <xf numFmtId="165" fontId="45" fillId="0" borderId="0" xfId="0" applyNumberFormat="1" applyFont="1" applyProtection="1">
      <protection locked="0"/>
    </xf>
    <xf numFmtId="0" fontId="45" fillId="0" borderId="0" xfId="0" applyFont="1" applyProtection="1">
      <protection locked="0"/>
    </xf>
    <xf numFmtId="165" fontId="45" fillId="0" borderId="0" xfId="0" applyNumberFormat="1" applyFont="1"/>
    <xf numFmtId="165" fontId="44" fillId="0" borderId="32" xfId="0" applyNumberFormat="1" applyFont="1" applyBorder="1" applyProtection="1">
      <protection locked="0"/>
    </xf>
    <xf numFmtId="165" fontId="46" fillId="0" borderId="21" xfId="0" applyNumberFormat="1" applyFont="1" applyBorder="1" applyProtection="1">
      <protection locked="0"/>
    </xf>
    <xf numFmtId="165" fontId="45" fillId="0" borderId="21" xfId="0" applyNumberFormat="1" applyFont="1" applyBorder="1" applyProtection="1">
      <protection locked="0"/>
    </xf>
    <xf numFmtId="0" fontId="45" fillId="0" borderId="21" xfId="0" applyFont="1" applyBorder="1" applyProtection="1">
      <protection locked="0"/>
    </xf>
    <xf numFmtId="165" fontId="45" fillId="0" borderId="21" xfId="0" applyNumberFormat="1" applyFont="1" applyBorder="1"/>
    <xf numFmtId="0" fontId="7" fillId="7" borderId="9" xfId="0" applyFont="1" applyFill="1" applyBorder="1"/>
    <xf numFmtId="0" fontId="7" fillId="7" borderId="3" xfId="0" applyFont="1" applyFill="1" applyBorder="1"/>
    <xf numFmtId="0" fontId="7" fillId="7" borderId="3" xfId="0" applyFont="1" applyFill="1" applyBorder="1" applyAlignment="1">
      <alignment horizontal="center"/>
    </xf>
    <xf numFmtId="165" fontId="44" fillId="0" borderId="0" xfId="0" applyNumberFormat="1" applyFont="1" applyProtection="1">
      <protection locked="0"/>
    </xf>
    <xf numFmtId="0" fontId="45" fillId="0" borderId="0" xfId="0" applyFont="1" applyAlignment="1" applyProtection="1">
      <alignment horizontal="left"/>
      <protection locked="0"/>
    </xf>
    <xf numFmtId="0" fontId="45" fillId="0" borderId="33" xfId="0" applyFont="1" applyBorder="1" applyAlignment="1" applyProtection="1">
      <alignment horizontal="left"/>
      <protection locked="0"/>
    </xf>
    <xf numFmtId="0" fontId="45" fillId="0" borderId="21" xfId="0" applyFont="1" applyBorder="1" applyAlignment="1" applyProtection="1">
      <alignment horizontal="left"/>
      <protection locked="0"/>
    </xf>
    <xf numFmtId="0" fontId="45" fillId="0" borderId="25" xfId="0" applyFont="1" applyBorder="1" applyProtection="1">
      <protection locked="0"/>
    </xf>
    <xf numFmtId="0" fontId="45" fillId="0" borderId="28" xfId="0" applyFont="1" applyBorder="1" applyProtection="1">
      <protection locked="0"/>
    </xf>
    <xf numFmtId="0" fontId="45" fillId="0" borderId="31" xfId="0" applyFont="1" applyBorder="1" applyProtection="1">
      <protection locked="0"/>
    </xf>
    <xf numFmtId="3" fontId="16" fillId="2" borderId="27" xfId="0" applyNumberFormat="1" applyFont="1" applyFill="1" applyBorder="1"/>
    <xf numFmtId="165" fontId="45" fillId="0" borderId="25" xfId="0" applyNumberFormat="1" applyFont="1" applyBorder="1"/>
    <xf numFmtId="165" fontId="45" fillId="0" borderId="28" xfId="0" applyNumberFormat="1" applyFont="1" applyBorder="1"/>
    <xf numFmtId="165" fontId="45" fillId="0" borderId="31" xfId="0" applyNumberFormat="1" applyFont="1" applyBorder="1"/>
    <xf numFmtId="165" fontId="44" fillId="0" borderId="33" xfId="0" applyNumberFormat="1" applyFont="1" applyBorder="1" applyProtection="1">
      <protection locked="0"/>
    </xf>
    <xf numFmtId="3" fontId="16" fillId="2" borderId="61" xfId="0" applyNumberFormat="1" applyFont="1" applyFill="1" applyBorder="1" applyAlignment="1">
      <alignment horizontal="centerContinuous"/>
    </xf>
    <xf numFmtId="3" fontId="17" fillId="2" borderId="36" xfId="0" applyNumberFormat="1" applyFont="1" applyFill="1" applyBorder="1" applyAlignment="1">
      <alignment horizontal="centerContinuous"/>
    </xf>
    <xf numFmtId="0" fontId="14" fillId="11" borderId="27" xfId="0" applyFont="1" applyFill="1" applyBorder="1" applyAlignment="1">
      <alignment horizontal="center"/>
    </xf>
    <xf numFmtId="0" fontId="14" fillId="11" borderId="29" xfId="0" applyFont="1" applyFill="1" applyBorder="1" applyAlignment="1">
      <alignment horizontal="center"/>
    </xf>
    <xf numFmtId="0" fontId="14" fillId="12" borderId="27" xfId="0" applyFont="1" applyFill="1" applyBorder="1" applyAlignment="1">
      <alignment horizontal="center"/>
    </xf>
    <xf numFmtId="0" fontId="15" fillId="0" borderId="33" xfId="0" applyFont="1" applyBorder="1"/>
    <xf numFmtId="0" fontId="15" fillId="0" borderId="21" xfId="0" applyFont="1" applyBorder="1"/>
    <xf numFmtId="0" fontId="27" fillId="12" borderId="28" xfId="0" applyFont="1" applyFill="1" applyBorder="1" applyAlignment="1">
      <alignment horizontal="center"/>
    </xf>
    <xf numFmtId="0" fontId="27" fillId="12" borderId="31" xfId="0" applyFont="1" applyFill="1" applyBorder="1" applyAlignment="1">
      <alignment horizontal="center"/>
    </xf>
    <xf numFmtId="0" fontId="14" fillId="13" borderId="24" xfId="0" applyFont="1" applyFill="1" applyBorder="1" applyAlignment="1">
      <alignment horizontal="center"/>
    </xf>
    <xf numFmtId="0" fontId="14" fillId="13" borderId="30" xfId="0" applyFont="1" applyFill="1" applyBorder="1" applyAlignment="1">
      <alignment horizontal="center"/>
    </xf>
    <xf numFmtId="167" fontId="21" fillId="0" borderId="48" xfId="0" applyNumberFormat="1" applyFont="1" applyBorder="1"/>
    <xf numFmtId="165" fontId="47" fillId="0" borderId="0" xfId="0" applyNumberFormat="1" applyFont="1"/>
    <xf numFmtId="165" fontId="48" fillId="0" borderId="0" xfId="0" applyNumberFormat="1" applyFont="1"/>
    <xf numFmtId="165" fontId="47" fillId="0" borderId="3" xfId="0" applyNumberFormat="1" applyFont="1" applyBorder="1"/>
    <xf numFmtId="10" fontId="15" fillId="0" borderId="0" xfId="0" applyNumberFormat="1" applyFont="1"/>
    <xf numFmtId="14" fontId="7" fillId="0" borderId="0" xfId="0" applyNumberFormat="1" applyFont="1"/>
    <xf numFmtId="0" fontId="49" fillId="0" borderId="0" xfId="0" applyFont="1"/>
    <xf numFmtId="165" fontId="34" fillId="0" borderId="28" xfId="0" applyNumberFormat="1" applyFont="1" applyBorder="1"/>
    <xf numFmtId="0" fontId="7" fillId="7" borderId="17" xfId="0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165" fontId="15" fillId="0" borderId="24" xfId="0" applyNumberFormat="1" applyFont="1" applyBorder="1"/>
    <xf numFmtId="3" fontId="15" fillId="0" borderId="24" xfId="0" applyNumberFormat="1" applyFont="1" applyBorder="1"/>
    <xf numFmtId="0" fontId="15" fillId="11" borderId="24" xfId="0" applyFont="1" applyFill="1" applyBorder="1" applyAlignment="1">
      <alignment horizontal="center"/>
    </xf>
    <xf numFmtId="0" fontId="15" fillId="11" borderId="30" xfId="0" applyFont="1" applyFill="1" applyBorder="1" applyAlignment="1">
      <alignment horizontal="center"/>
    </xf>
    <xf numFmtId="165" fontId="52" fillId="0" borderId="0" xfId="0" applyNumberFormat="1" applyFont="1"/>
    <xf numFmtId="0" fontId="52" fillId="0" borderId="27" xfId="0" applyFont="1" applyBorder="1"/>
    <xf numFmtId="167" fontId="51" fillId="0" borderId="4" xfId="0" applyNumberFormat="1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4" fillId="0" borderId="7" xfId="0" applyNumberFormat="1" applyFont="1" applyBorder="1" applyAlignment="1">
      <alignment horizontal="center"/>
    </xf>
    <xf numFmtId="0" fontId="53" fillId="0" borderId="0" xfId="0" applyFont="1"/>
    <xf numFmtId="0" fontId="28" fillId="0" borderId="0" xfId="0" applyFont="1"/>
    <xf numFmtId="0" fontId="53" fillId="3" borderId="0" xfId="0" applyFont="1" applyFill="1"/>
    <xf numFmtId="4" fontId="15" fillId="0" borderId="27" xfId="0" applyNumberFormat="1" applyFont="1" applyBorder="1"/>
    <xf numFmtId="4" fontId="15" fillId="0" borderId="35" xfId="0" applyNumberFormat="1" applyFont="1" applyBorder="1"/>
    <xf numFmtId="4" fontId="15" fillId="0" borderId="28" xfId="0" applyNumberFormat="1" applyFont="1" applyBorder="1"/>
    <xf numFmtId="0" fontId="54" fillId="0" borderId="0" xfId="0" applyFont="1"/>
    <xf numFmtId="3" fontId="55" fillId="0" borderId="27" xfId="0" applyNumberFormat="1" applyFont="1" applyBorder="1" applyAlignment="1">
      <alignment horizontal="left"/>
    </xf>
    <xf numFmtId="2" fontId="4" fillId="0" borderId="6" xfId="0" applyNumberFormat="1" applyFont="1" applyBorder="1" applyAlignment="1">
      <alignment horizontal="center"/>
    </xf>
    <xf numFmtId="176" fontId="31" fillId="0" borderId="0" xfId="0" applyNumberFormat="1" applyFont="1"/>
    <xf numFmtId="176" fontId="0" fillId="0" borderId="0" xfId="0" applyNumberFormat="1"/>
    <xf numFmtId="0" fontId="7" fillId="15" borderId="0" xfId="0" applyFont="1" applyFill="1"/>
    <xf numFmtId="169" fontId="5" fillId="0" borderId="0" xfId="0" applyNumberFormat="1" applyFont="1" applyAlignment="1">
      <alignment horizontal="center"/>
    </xf>
    <xf numFmtId="167" fontId="5" fillId="0" borderId="0" xfId="0" applyNumberFormat="1" applyFont="1" applyAlignment="1">
      <alignment horizontal="center"/>
    </xf>
    <xf numFmtId="0" fontId="15" fillId="13" borderId="24" xfId="0" applyFont="1" applyFill="1" applyBorder="1" applyAlignment="1">
      <alignment horizontal="center"/>
    </xf>
    <xf numFmtId="0" fontId="15" fillId="13" borderId="30" xfId="0" applyFont="1" applyFill="1" applyBorder="1" applyAlignment="1">
      <alignment horizontal="center"/>
    </xf>
    <xf numFmtId="0" fontId="15" fillId="12" borderId="24" xfId="0" applyFont="1" applyFill="1" applyBorder="1" applyAlignment="1">
      <alignment horizontal="center"/>
    </xf>
    <xf numFmtId="0" fontId="7" fillId="0" borderId="35" xfId="0" applyFont="1" applyBorder="1"/>
    <xf numFmtId="165" fontId="27" fillId="0" borderId="0" xfId="0" applyNumberFormat="1" applyFont="1"/>
    <xf numFmtId="165" fontId="39" fillId="0" borderId="0" xfId="0" applyNumberFormat="1" applyFont="1"/>
    <xf numFmtId="0" fontId="58" fillId="0" borderId="0" xfId="0" applyFont="1"/>
    <xf numFmtId="167" fontId="4" fillId="4" borderId="8" xfId="0" applyNumberFormat="1" applyFont="1" applyFill="1" applyBorder="1" applyAlignment="1">
      <alignment horizontal="center"/>
    </xf>
    <xf numFmtId="4" fontId="4" fillId="4" borderId="8" xfId="0" applyNumberFormat="1" applyFont="1" applyFill="1" applyBorder="1" applyAlignment="1">
      <alignment horizontal="right"/>
    </xf>
    <xf numFmtId="165" fontId="19" fillId="0" borderId="28" xfId="0" applyNumberFormat="1" applyFont="1" applyBorder="1"/>
    <xf numFmtId="4" fontId="15" fillId="0" borderId="0" xfId="0" applyNumberFormat="1" applyFont="1"/>
    <xf numFmtId="0" fontId="15" fillId="12" borderId="30" xfId="0" applyFont="1" applyFill="1" applyBorder="1" applyAlignment="1">
      <alignment horizontal="center"/>
    </xf>
    <xf numFmtId="165" fontId="56" fillId="0" borderId="28" xfId="0" applyNumberFormat="1" applyFont="1" applyBorder="1"/>
    <xf numFmtId="3" fontId="7" fillId="8" borderId="0" xfId="0" applyNumberFormat="1" applyFont="1" applyFill="1"/>
    <xf numFmtId="3" fontId="7" fillId="4" borderId="0" xfId="0" applyNumberFormat="1" applyFont="1" applyFill="1"/>
    <xf numFmtId="165" fontId="7" fillId="8" borderId="0" xfId="0" applyNumberFormat="1" applyFont="1" applyFill="1"/>
    <xf numFmtId="0" fontId="59" fillId="0" borderId="0" xfId="0" applyFont="1"/>
    <xf numFmtId="3" fontId="15" fillId="0" borderId="27" xfId="0" applyNumberFormat="1" applyFont="1" applyBorder="1"/>
    <xf numFmtId="3" fontId="15" fillId="0" borderId="71" xfId="0" applyNumberFormat="1" applyFont="1" applyBorder="1"/>
    <xf numFmtId="165" fontId="21" fillId="0" borderId="63" xfId="0" applyNumberFormat="1" applyFont="1" applyBorder="1"/>
    <xf numFmtId="165" fontId="19" fillId="0" borderId="37" xfId="0" applyNumberFormat="1" applyFont="1" applyBorder="1"/>
    <xf numFmtId="165" fontId="19" fillId="0" borderId="32" xfId="0" applyNumberFormat="1" applyFont="1" applyBorder="1"/>
    <xf numFmtId="165" fontId="37" fillId="0" borderId="29" xfId="0" applyNumberFormat="1" applyFont="1" applyBorder="1"/>
    <xf numFmtId="4" fontId="4" fillId="0" borderId="8" xfId="0" applyNumberFormat="1" applyFont="1" applyBorder="1" applyAlignment="1">
      <alignment horizontal="right"/>
    </xf>
    <xf numFmtId="3" fontId="17" fillId="0" borderId="27" xfId="0" applyNumberFormat="1" applyFont="1" applyBorder="1"/>
    <xf numFmtId="4" fontId="7" fillId="0" borderId="27" xfId="0" applyNumberFormat="1" applyFont="1" applyBorder="1"/>
    <xf numFmtId="3" fontId="7" fillId="15" borderId="0" xfId="0" applyNumberFormat="1" applyFont="1" applyFill="1"/>
    <xf numFmtId="0" fontId="15" fillId="12" borderId="0" xfId="0" applyFont="1" applyFill="1" applyAlignment="1">
      <alignment horizontal="center"/>
    </xf>
    <xf numFmtId="3" fontId="15" fillId="0" borderId="0" xfId="0" applyNumberFormat="1" applyFont="1"/>
    <xf numFmtId="3" fontId="17" fillId="0" borderId="24" xfId="0" applyNumberFormat="1" applyFont="1" applyBorder="1"/>
    <xf numFmtId="3" fontId="17" fillId="3" borderId="27" xfId="0" applyNumberFormat="1" applyFont="1" applyFill="1" applyBorder="1"/>
    <xf numFmtId="0" fontId="32" fillId="0" borderId="27" xfId="0" applyFont="1" applyBorder="1" applyProtection="1">
      <protection locked="0"/>
    </xf>
    <xf numFmtId="3" fontId="17" fillId="3" borderId="60" xfId="0" applyNumberFormat="1" applyFont="1" applyFill="1" applyBorder="1"/>
    <xf numFmtId="0" fontId="62" fillId="7" borderId="17" xfId="0" applyFont="1" applyFill="1" applyBorder="1" applyAlignment="1">
      <alignment horizontal="center"/>
    </xf>
    <xf numFmtId="0" fontId="62" fillId="0" borderId="0" xfId="0" applyFont="1"/>
    <xf numFmtId="0" fontId="4" fillId="0" borderId="2" xfId="0" applyFont="1" applyBorder="1"/>
    <xf numFmtId="4" fontId="4" fillId="0" borderId="0" xfId="0" applyNumberFormat="1" applyFont="1" applyAlignment="1">
      <alignment horizontal="right"/>
    </xf>
    <xf numFmtId="167" fontId="4" fillId="0" borderId="4" xfId="4" applyFont="1" applyBorder="1" applyAlignment="1">
      <alignment horizontal="center"/>
    </xf>
    <xf numFmtId="167" fontId="4" fillId="0" borderId="7" xfId="4" applyFont="1" applyBorder="1" applyAlignment="1">
      <alignment horizontal="center"/>
    </xf>
    <xf numFmtId="167" fontId="4" fillId="0" borderId="6" xfId="4" applyFont="1" applyBorder="1"/>
    <xf numFmtId="167" fontId="4" fillId="0" borderId="2" xfId="4" applyFont="1" applyBorder="1" applyAlignment="1">
      <alignment horizontal="center"/>
    </xf>
    <xf numFmtId="178" fontId="7" fillId="0" borderId="0" xfId="0" applyNumberFormat="1" applyFont="1"/>
    <xf numFmtId="178" fontId="7" fillId="15" borderId="0" xfId="4" applyNumberFormat="1" applyFont="1" applyFill="1"/>
    <xf numFmtId="178" fontId="7" fillId="0" borderId="0" xfId="4" applyNumberFormat="1" applyFont="1"/>
    <xf numFmtId="167" fontId="4" fillId="0" borderId="6" xfId="4" applyFont="1" applyBorder="1" applyAlignment="1">
      <alignment horizontal="center"/>
    </xf>
    <xf numFmtId="3" fontId="16" fillId="0" borderId="27" xfId="0" applyNumberFormat="1" applyFont="1" applyBorder="1" applyAlignment="1">
      <alignment wrapText="1"/>
    </xf>
    <xf numFmtId="181" fontId="19" fillId="0" borderId="29" xfId="0" applyNumberFormat="1" applyFont="1" applyBorder="1"/>
    <xf numFmtId="0" fontId="19" fillId="0" borderId="27" xfId="0" applyFont="1" applyBorder="1"/>
    <xf numFmtId="4" fontId="43" fillId="0" borderId="3" xfId="0" applyNumberFormat="1" applyFont="1" applyBorder="1"/>
    <xf numFmtId="4" fontId="34" fillId="0" borderId="3" xfId="0" applyNumberFormat="1" applyFont="1" applyBorder="1"/>
    <xf numFmtId="4" fontId="34" fillId="0" borderId="17" xfId="0" applyNumberFormat="1" applyFont="1" applyBorder="1"/>
    <xf numFmtId="4" fontId="19" fillId="0" borderId="3" xfId="0" applyNumberFormat="1" applyFont="1" applyBorder="1"/>
    <xf numFmtId="165" fontId="56" fillId="0" borderId="0" xfId="0" applyNumberFormat="1" applyFont="1"/>
    <xf numFmtId="0" fontId="4" fillId="0" borderId="1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9" fontId="63" fillId="0" borderId="7" xfId="0" applyNumberFormat="1" applyFont="1" applyBorder="1" applyAlignment="1">
      <alignment horizontal="center"/>
    </xf>
    <xf numFmtId="167" fontId="66" fillId="0" borderId="0" xfId="0" applyNumberFormat="1" applyFont="1"/>
    <xf numFmtId="165" fontId="67" fillId="0" borderId="26" xfId="0" applyNumberFormat="1" applyFont="1" applyBorder="1" applyProtection="1">
      <protection locked="0"/>
    </xf>
    <xf numFmtId="1" fontId="66" fillId="0" borderId="0" xfId="0" applyNumberFormat="1" applyFont="1" applyAlignment="1">
      <alignment horizontal="center"/>
    </xf>
    <xf numFmtId="0" fontId="66" fillId="0" borderId="0" xfId="0" applyFont="1"/>
    <xf numFmtId="165" fontId="67" fillId="0" borderId="29" xfId="0" applyNumberFormat="1" applyFont="1" applyBorder="1" applyProtection="1">
      <protection locked="0"/>
    </xf>
    <xf numFmtId="165" fontId="67" fillId="0" borderId="32" xfId="0" applyNumberFormat="1" applyFont="1" applyBorder="1" applyProtection="1">
      <protection locked="0"/>
    </xf>
    <xf numFmtId="167" fontId="68" fillId="2" borderId="8" xfId="0" applyNumberFormat="1" applyFont="1" applyFill="1" applyBorder="1" applyAlignment="1">
      <alignment horizontal="center"/>
    </xf>
    <xf numFmtId="1" fontId="68" fillId="2" borderId="4" xfId="0" applyNumberFormat="1" applyFont="1" applyFill="1" applyBorder="1" applyAlignment="1">
      <alignment horizontal="center"/>
    </xf>
    <xf numFmtId="1" fontId="68" fillId="2" borderId="0" xfId="0" applyNumberFormat="1" applyFont="1" applyFill="1" applyAlignment="1">
      <alignment horizontal="center"/>
    </xf>
    <xf numFmtId="167" fontId="68" fillId="2" borderId="9" xfId="0" applyNumberFormat="1" applyFont="1" applyFill="1" applyBorder="1" applyAlignment="1">
      <alignment horizontal="center"/>
    </xf>
    <xf numFmtId="1" fontId="68" fillId="2" borderId="2" xfId="0" applyNumberFormat="1" applyFont="1" applyFill="1" applyBorder="1" applyAlignment="1">
      <alignment horizontal="center"/>
    </xf>
    <xf numFmtId="1" fontId="68" fillId="2" borderId="3" xfId="0" applyNumberFormat="1" applyFont="1" applyFill="1" applyBorder="1" applyAlignment="1">
      <alignment horizontal="center"/>
    </xf>
    <xf numFmtId="167" fontId="68" fillId="0" borderId="8" xfId="0" applyNumberFormat="1" applyFont="1" applyBorder="1"/>
    <xf numFmtId="167" fontId="66" fillId="0" borderId="8" xfId="0" applyNumberFormat="1" applyFont="1" applyBorder="1"/>
    <xf numFmtId="1" fontId="66" fillId="0" borderId="4" xfId="0" applyNumberFormat="1" applyFont="1" applyBorder="1" applyAlignment="1">
      <alignment horizontal="center"/>
    </xf>
    <xf numFmtId="167" fontId="69" fillId="0" borderId="0" xfId="0" applyNumberFormat="1" applyFont="1"/>
    <xf numFmtId="167" fontId="70" fillId="0" borderId="0" xfId="0" applyNumberFormat="1" applyFont="1"/>
    <xf numFmtId="167" fontId="66" fillId="0" borderId="15" xfId="0" applyNumberFormat="1" applyFont="1" applyBorder="1"/>
    <xf numFmtId="1" fontId="66" fillId="0" borderId="20" xfId="0" applyNumberFormat="1" applyFont="1" applyBorder="1" applyAlignment="1">
      <alignment horizontal="center"/>
    </xf>
    <xf numFmtId="167" fontId="66" fillId="0" borderId="17" xfId="0" applyNumberFormat="1" applyFont="1" applyBorder="1"/>
    <xf numFmtId="167" fontId="71" fillId="0" borderId="8" xfId="0" applyNumberFormat="1" applyFont="1" applyBorder="1" applyAlignment="1">
      <alignment horizontal="right"/>
    </xf>
    <xf numFmtId="167" fontId="71" fillId="0" borderId="8" xfId="0" applyNumberFormat="1" applyFont="1" applyBorder="1"/>
    <xf numFmtId="167" fontId="69" fillId="15" borderId="0" xfId="0" applyNumberFormat="1" applyFont="1" applyFill="1"/>
    <xf numFmtId="167" fontId="66" fillId="0" borderId="4" xfId="0" applyNumberFormat="1" applyFont="1" applyBorder="1"/>
    <xf numFmtId="0" fontId="69" fillId="0" borderId="0" xfId="0" applyFont="1"/>
    <xf numFmtId="0" fontId="70" fillId="0" borderId="0" xfId="0" applyFont="1"/>
    <xf numFmtId="167" fontId="66" fillId="0" borderId="2" xfId="0" applyNumberFormat="1" applyFont="1" applyBorder="1"/>
    <xf numFmtId="0" fontId="66" fillId="0" borderId="8" xfId="0" applyFont="1" applyBorder="1"/>
    <xf numFmtId="167" fontId="71" fillId="0" borderId="19" xfId="0" applyNumberFormat="1" applyFont="1" applyBorder="1" applyAlignment="1">
      <alignment horizontal="right"/>
    </xf>
    <xf numFmtId="167" fontId="66" fillId="0" borderId="19" xfId="0" applyNumberFormat="1" applyFont="1" applyBorder="1"/>
    <xf numFmtId="1" fontId="66" fillId="0" borderId="1" xfId="0" applyNumberFormat="1" applyFont="1" applyBorder="1" applyAlignment="1">
      <alignment horizontal="center"/>
    </xf>
    <xf numFmtId="167" fontId="66" fillId="0" borderId="23" xfId="0" applyNumberFormat="1" applyFont="1" applyBorder="1"/>
    <xf numFmtId="167" fontId="68" fillId="0" borderId="11" xfId="0" applyNumberFormat="1" applyFont="1" applyBorder="1"/>
    <xf numFmtId="1" fontId="68" fillId="0" borderId="10" xfId="0" applyNumberFormat="1" applyFont="1" applyBorder="1" applyAlignment="1">
      <alignment horizontal="center"/>
    </xf>
    <xf numFmtId="167" fontId="68" fillId="0" borderId="13" xfId="0" applyNumberFormat="1" applyFont="1" applyBorder="1"/>
    <xf numFmtId="167" fontId="68" fillId="0" borderId="58" xfId="0" applyNumberFormat="1" applyFont="1" applyBorder="1"/>
    <xf numFmtId="167" fontId="66" fillId="0" borderId="58" xfId="0" applyNumberFormat="1" applyFont="1" applyBorder="1"/>
    <xf numFmtId="1" fontId="66" fillId="0" borderId="48" xfId="0" applyNumberFormat="1" applyFont="1" applyBorder="1" applyAlignment="1">
      <alignment horizontal="center"/>
    </xf>
    <xf numFmtId="167" fontId="66" fillId="0" borderId="51" xfId="0" applyNumberFormat="1" applyFont="1" applyBorder="1"/>
    <xf numFmtId="167" fontId="66" fillId="18" borderId="0" xfId="0" applyNumberFormat="1" applyFont="1" applyFill="1"/>
    <xf numFmtId="167" fontId="69" fillId="16" borderId="0" xfId="0" applyNumberFormat="1" applyFont="1" applyFill="1"/>
    <xf numFmtId="167" fontId="66" fillId="0" borderId="8" xfId="0" applyNumberFormat="1" applyFont="1" applyBorder="1" applyAlignment="1">
      <alignment horizontal="left" indent="1"/>
    </xf>
    <xf numFmtId="1" fontId="66" fillId="0" borderId="4" xfId="0" applyNumberFormat="1" applyFont="1" applyBorder="1" applyAlignment="1">
      <alignment horizontal="left" indent="1"/>
    </xf>
    <xf numFmtId="167" fontId="66" fillId="0" borderId="0" xfId="0" applyNumberFormat="1" applyFont="1" applyAlignment="1">
      <alignment horizontal="left" indent="1"/>
    </xf>
    <xf numFmtId="0" fontId="66" fillId="0" borderId="0" xfId="0" applyFont="1" applyAlignment="1">
      <alignment horizontal="left" indent="1"/>
    </xf>
    <xf numFmtId="167" fontId="66" fillId="0" borderId="8" xfId="0" applyNumberFormat="1" applyFont="1" applyBorder="1" applyAlignment="1">
      <alignment horizontal="left" indent="2"/>
    </xf>
    <xf numFmtId="167" fontId="69" fillId="0" borderId="4" xfId="0" applyNumberFormat="1" applyFont="1" applyBorder="1"/>
    <xf numFmtId="167" fontId="72" fillId="0" borderId="0" xfId="0" applyNumberFormat="1" applyFont="1"/>
    <xf numFmtId="167" fontId="72" fillId="0" borderId="4" xfId="0" applyNumberFormat="1" applyFont="1" applyBorder="1"/>
    <xf numFmtId="1" fontId="72" fillId="0" borderId="4" xfId="0" applyNumberFormat="1" applyFont="1" applyBorder="1" applyAlignment="1">
      <alignment horizontal="center"/>
    </xf>
    <xf numFmtId="167" fontId="72" fillId="16" borderId="0" xfId="0" applyNumberFormat="1" applyFont="1" applyFill="1"/>
    <xf numFmtId="0" fontId="72" fillId="0" borderId="0" xfId="0" applyFont="1"/>
    <xf numFmtId="167" fontId="72" fillId="0" borderId="4" xfId="0" applyNumberFormat="1" applyFont="1" applyBorder="1" applyAlignment="1">
      <alignment horizontal="left" indent="1"/>
    </xf>
    <xf numFmtId="167" fontId="72" fillId="0" borderId="8" xfId="0" applyNumberFormat="1" applyFont="1" applyBorder="1"/>
    <xf numFmtId="167" fontId="72" fillId="0" borderId="8" xfId="0" applyNumberFormat="1" applyFont="1" applyBorder="1" applyAlignment="1">
      <alignment horizontal="right"/>
    </xf>
    <xf numFmtId="167" fontId="72" fillId="19" borderId="0" xfId="0" applyNumberFormat="1" applyFont="1" applyFill="1"/>
    <xf numFmtId="167" fontId="69" fillId="0" borderId="8" xfId="0" applyNumberFormat="1" applyFont="1" applyBorder="1"/>
    <xf numFmtId="0" fontId="72" fillId="16" borderId="0" xfId="0" applyFont="1" applyFill="1"/>
    <xf numFmtId="9" fontId="66" fillId="0" borderId="15" xfId="0" applyNumberFormat="1" applyFont="1" applyBorder="1"/>
    <xf numFmtId="9" fontId="66" fillId="0" borderId="19" xfId="0" applyNumberFormat="1" applyFont="1" applyBorder="1"/>
    <xf numFmtId="0" fontId="71" fillId="0" borderId="0" xfId="0" applyFont="1" applyAlignment="1">
      <alignment horizontal="right"/>
    </xf>
    <xf numFmtId="167" fontId="71" fillId="0" borderId="0" xfId="0" applyNumberFormat="1" applyFont="1"/>
    <xf numFmtId="0" fontId="68" fillId="0" borderId="72" xfId="0" applyFont="1" applyBorder="1" applyAlignment="1">
      <alignment wrapText="1"/>
    </xf>
    <xf numFmtId="0" fontId="66" fillId="0" borderId="73" xfId="0" applyFont="1" applyBorder="1"/>
    <xf numFmtId="0" fontId="66" fillId="0" borderId="77" xfId="0" applyFont="1" applyBorder="1"/>
    <xf numFmtId="167" fontId="66" fillId="0" borderId="74" xfId="0" applyNumberFormat="1" applyFont="1" applyBorder="1"/>
    <xf numFmtId="3" fontId="66" fillId="0" borderId="20" xfId="0" applyNumberFormat="1" applyFont="1" applyBorder="1"/>
    <xf numFmtId="0" fontId="66" fillId="0" borderId="20" xfId="0" applyFont="1" applyBorder="1"/>
    <xf numFmtId="0" fontId="66" fillId="0" borderId="15" xfId="0" applyFont="1" applyBorder="1"/>
    <xf numFmtId="0" fontId="66" fillId="0" borderId="74" xfId="0" applyFont="1" applyBorder="1" applyAlignment="1">
      <alignment wrapText="1"/>
    </xf>
    <xf numFmtId="180" fontId="66" fillId="0" borderId="20" xfId="5" applyNumberFormat="1" applyFont="1" applyBorder="1"/>
    <xf numFmtId="166" fontId="66" fillId="0" borderId="0" xfId="0" applyNumberFormat="1" applyFont="1"/>
    <xf numFmtId="0" fontId="66" fillId="0" borderId="74" xfId="0" applyFont="1" applyBorder="1"/>
    <xf numFmtId="178" fontId="66" fillId="0" borderId="20" xfId="4" applyNumberFormat="1" applyFont="1" applyBorder="1"/>
    <xf numFmtId="0" fontId="73" fillId="0" borderId="20" xfId="0" applyFont="1" applyBorder="1"/>
    <xf numFmtId="0" fontId="73" fillId="0" borderId="15" xfId="0" applyFont="1" applyBorder="1"/>
    <xf numFmtId="0" fontId="66" fillId="0" borderId="76" xfId="0" applyFont="1" applyBorder="1"/>
    <xf numFmtId="179" fontId="66" fillId="0" borderId="1" xfId="4" applyNumberFormat="1" applyFont="1" applyBorder="1"/>
    <xf numFmtId="0" fontId="66" fillId="0" borderId="1" xfId="0" applyFont="1" applyBorder="1"/>
    <xf numFmtId="0" fontId="66" fillId="0" borderId="19" xfId="0" applyFont="1" applyBorder="1"/>
    <xf numFmtId="0" fontId="68" fillId="0" borderId="72" xfId="0" applyFont="1" applyBorder="1"/>
    <xf numFmtId="0" fontId="66" fillId="0" borderId="75" xfId="0" applyFont="1" applyBorder="1"/>
    <xf numFmtId="0" fontId="66" fillId="0" borderId="49" xfId="0" applyFont="1" applyBorder="1"/>
    <xf numFmtId="0" fontId="66" fillId="0" borderId="78" xfId="0" applyFont="1" applyBorder="1"/>
    <xf numFmtId="0" fontId="4" fillId="0" borderId="8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167" fontId="4" fillId="0" borderId="2" xfId="0" applyNumberFormat="1" applyFont="1" applyBorder="1"/>
    <xf numFmtId="167" fontId="3" fillId="0" borderId="4" xfId="0" applyNumberFormat="1" applyFont="1" applyBorder="1"/>
    <xf numFmtId="167" fontId="4" fillId="17" borderId="8" xfId="0" applyNumberFormat="1" applyFont="1" applyFill="1" applyBorder="1"/>
    <xf numFmtId="167" fontId="4" fillId="0" borderId="8" xfId="0" applyNumberFormat="1" applyFont="1" applyBorder="1"/>
    <xf numFmtId="1" fontId="4" fillId="17" borderId="4" xfId="0" applyNumberFormat="1" applyFont="1" applyFill="1" applyBorder="1" applyAlignment="1">
      <alignment horizontal="center"/>
    </xf>
    <xf numFmtId="167" fontId="4" fillId="17" borderId="0" xfId="0" applyNumberFormat="1" applyFont="1" applyFill="1"/>
    <xf numFmtId="0" fontId="4" fillId="17" borderId="0" xfId="0" applyFont="1" applyFill="1"/>
    <xf numFmtId="1" fontId="4" fillId="0" borderId="4" xfId="0" applyNumberFormat="1" applyFont="1" applyBorder="1" applyAlignment="1">
      <alignment horizontal="center"/>
    </xf>
    <xf numFmtId="167" fontId="4" fillId="16" borderId="0" xfId="0" applyNumberFormat="1" applyFont="1" applyFill="1"/>
    <xf numFmtId="0" fontId="4" fillId="16" borderId="0" xfId="0" applyFont="1" applyFill="1"/>
    <xf numFmtId="167" fontId="65" fillId="0" borderId="8" xfId="0" applyNumberFormat="1" applyFont="1" applyBorder="1"/>
    <xf numFmtId="180" fontId="66" fillId="0" borderId="0" xfId="0" applyNumberFormat="1" applyFont="1"/>
    <xf numFmtId="0" fontId="74" fillId="0" borderId="0" xfId="0" applyFont="1" applyProtection="1">
      <protection locked="0"/>
    </xf>
    <xf numFmtId="165" fontId="75" fillId="0" borderId="0" xfId="0" applyNumberFormat="1" applyFont="1"/>
    <xf numFmtId="165" fontId="76" fillId="0" borderId="33" xfId="0" applyNumberFormat="1" applyFont="1" applyBorder="1" applyProtection="1">
      <protection locked="0"/>
    </xf>
    <xf numFmtId="165" fontId="77" fillId="0" borderId="33" xfId="0" applyNumberFormat="1" applyFont="1" applyBorder="1" applyProtection="1">
      <protection locked="0"/>
    </xf>
    <xf numFmtId="0" fontId="77" fillId="0" borderId="33" xfId="0" applyFont="1" applyBorder="1" applyProtection="1">
      <protection locked="0"/>
    </xf>
    <xf numFmtId="165" fontId="77" fillId="0" borderId="25" xfId="0" applyNumberFormat="1" applyFont="1" applyBorder="1"/>
    <xf numFmtId="165" fontId="77" fillId="0" borderId="33" xfId="0" applyNumberFormat="1" applyFont="1" applyBorder="1"/>
    <xf numFmtId="0" fontId="77" fillId="0" borderId="33" xfId="0" applyFont="1" applyBorder="1" applyAlignment="1" applyProtection="1">
      <alignment horizontal="left"/>
      <protection locked="0"/>
    </xf>
    <xf numFmtId="0" fontId="75" fillId="0" borderId="0" xfId="0" applyFont="1"/>
    <xf numFmtId="165" fontId="76" fillId="0" borderId="0" xfId="0" applyNumberFormat="1" applyFont="1" applyProtection="1">
      <protection locked="0"/>
    </xf>
    <xf numFmtId="165" fontId="78" fillId="0" borderId="0" xfId="0" applyNumberFormat="1" applyFont="1" applyProtection="1">
      <protection locked="0"/>
    </xf>
    <xf numFmtId="165" fontId="77" fillId="0" borderId="0" xfId="0" applyNumberFormat="1" applyFont="1" applyProtection="1">
      <protection locked="0"/>
    </xf>
    <xf numFmtId="0" fontId="77" fillId="0" borderId="0" xfId="0" applyFont="1" applyProtection="1">
      <protection locked="0"/>
    </xf>
    <xf numFmtId="165" fontId="77" fillId="0" borderId="28" xfId="0" applyNumberFormat="1" applyFont="1" applyBorder="1"/>
    <xf numFmtId="165" fontId="77" fillId="0" borderId="0" xfId="0" applyNumberFormat="1" applyFont="1"/>
    <xf numFmtId="172" fontId="77" fillId="0" borderId="0" xfId="0" applyNumberFormat="1" applyFont="1"/>
    <xf numFmtId="0" fontId="77" fillId="0" borderId="0" xfId="0" applyFont="1" applyAlignment="1" applyProtection="1">
      <alignment horizontal="left"/>
      <protection locked="0"/>
    </xf>
    <xf numFmtId="0" fontId="75" fillId="8" borderId="29" xfId="0" applyFont="1" applyFill="1" applyBorder="1" applyAlignment="1">
      <alignment horizontal="center"/>
    </xf>
    <xf numFmtId="0" fontId="75" fillId="8" borderId="0" xfId="0" applyFont="1" applyFill="1" applyAlignment="1">
      <alignment horizontal="center"/>
    </xf>
    <xf numFmtId="165" fontId="75" fillId="0" borderId="0" xfId="0" applyNumberFormat="1" applyFont="1" applyProtection="1">
      <protection locked="0"/>
    </xf>
    <xf numFmtId="165" fontId="76" fillId="0" borderId="26" xfId="0" applyNumberFormat="1" applyFont="1" applyBorder="1" applyProtection="1">
      <protection locked="0"/>
    </xf>
    <xf numFmtId="182" fontId="77" fillId="0" borderId="0" xfId="0" applyNumberFormat="1" applyFont="1"/>
    <xf numFmtId="165" fontId="76" fillId="0" borderId="29" xfId="0" applyNumberFormat="1" applyFont="1" applyBorder="1" applyProtection="1">
      <protection locked="0"/>
    </xf>
    <xf numFmtId="165" fontId="76" fillId="0" borderId="32" xfId="0" applyNumberFormat="1" applyFont="1" applyBorder="1" applyProtection="1">
      <protection locked="0"/>
    </xf>
    <xf numFmtId="165" fontId="77" fillId="0" borderId="21" xfId="0" applyNumberFormat="1" applyFont="1" applyBorder="1" applyProtection="1">
      <protection locked="0"/>
    </xf>
    <xf numFmtId="0" fontId="77" fillId="0" borderId="21" xfId="0" applyFont="1" applyBorder="1" applyProtection="1">
      <protection locked="0"/>
    </xf>
    <xf numFmtId="165" fontId="77" fillId="0" borderId="31" xfId="0" applyNumberFormat="1" applyFont="1" applyBorder="1"/>
    <xf numFmtId="165" fontId="77" fillId="0" borderId="21" xfId="0" applyNumberFormat="1" applyFont="1" applyBorder="1"/>
    <xf numFmtId="0" fontId="77" fillId="0" borderId="21" xfId="0" applyFont="1" applyBorder="1" applyAlignment="1" applyProtection="1">
      <alignment horizontal="left"/>
      <protection locked="0"/>
    </xf>
    <xf numFmtId="0" fontId="74" fillId="9" borderId="1" xfId="0" applyFont="1" applyFill="1" applyBorder="1" applyAlignment="1" applyProtection="1">
      <alignment horizontal="center"/>
      <protection locked="0"/>
    </xf>
    <xf numFmtId="165" fontId="75" fillId="9" borderId="0" xfId="0" applyNumberFormat="1" applyFont="1" applyFill="1"/>
    <xf numFmtId="165" fontId="80" fillId="9" borderId="0" xfId="0" applyNumberFormat="1" applyFont="1" applyFill="1"/>
    <xf numFmtId="11" fontId="75" fillId="9" borderId="0" xfId="0" applyNumberFormat="1" applyFont="1" applyFill="1" applyAlignment="1">
      <alignment horizontal="center"/>
    </xf>
    <xf numFmtId="168" fontId="75" fillId="3" borderId="26" xfId="0" applyNumberFormat="1" applyFont="1" applyFill="1" applyBorder="1" applyAlignment="1" applyProtection="1">
      <alignment horizontal="center"/>
      <protection locked="0"/>
    </xf>
    <xf numFmtId="168" fontId="75" fillId="3" borderId="33" xfId="0" applyNumberFormat="1" applyFont="1" applyFill="1" applyBorder="1" applyAlignment="1" applyProtection="1">
      <alignment horizontal="center"/>
      <protection locked="0"/>
    </xf>
    <xf numFmtId="11" fontId="75" fillId="3" borderId="26" xfId="0" applyNumberFormat="1" applyFont="1" applyFill="1" applyBorder="1" applyAlignment="1" applyProtection="1">
      <alignment horizontal="center"/>
      <protection locked="0"/>
    </xf>
    <xf numFmtId="11" fontId="75" fillId="3" borderId="33" xfId="0" applyNumberFormat="1" applyFont="1" applyFill="1" applyBorder="1" applyAlignment="1" applyProtection="1">
      <alignment horizontal="center"/>
      <protection locked="0"/>
    </xf>
    <xf numFmtId="165" fontId="75" fillId="0" borderId="33" xfId="0" applyNumberFormat="1" applyFont="1" applyBorder="1"/>
    <xf numFmtId="0" fontId="81" fillId="0" borderId="33" xfId="0" applyFont="1" applyBorder="1" applyProtection="1">
      <protection locked="0"/>
    </xf>
    <xf numFmtId="0" fontId="75" fillId="0" borderId="33" xfId="0" applyFont="1" applyBorder="1" applyProtection="1">
      <protection locked="0"/>
    </xf>
    <xf numFmtId="0" fontId="75" fillId="8" borderId="33" xfId="0" applyFont="1" applyFill="1" applyBorder="1" applyAlignment="1" applyProtection="1">
      <alignment horizontal="center"/>
      <protection locked="0"/>
    </xf>
    <xf numFmtId="0" fontId="74" fillId="9" borderId="2" xfId="0" applyFont="1" applyFill="1" applyBorder="1" applyAlignment="1" applyProtection="1">
      <alignment horizontal="center"/>
      <protection locked="0"/>
    </xf>
    <xf numFmtId="165" fontId="75" fillId="9" borderId="3" xfId="0" applyNumberFormat="1" applyFont="1" applyFill="1" applyBorder="1"/>
    <xf numFmtId="11" fontId="75" fillId="9" borderId="3" xfId="0" applyNumberFormat="1" applyFont="1" applyFill="1" applyBorder="1" applyAlignment="1">
      <alignment horizontal="center"/>
    </xf>
    <xf numFmtId="168" fontId="75" fillId="3" borderId="32" xfId="0" applyNumberFormat="1" applyFont="1" applyFill="1" applyBorder="1" applyAlignment="1" applyProtection="1">
      <alignment horizontal="center"/>
      <protection locked="0"/>
    </xf>
    <xf numFmtId="168" fontId="75" fillId="3" borderId="21" xfId="0" applyNumberFormat="1" applyFont="1" applyFill="1" applyBorder="1" applyAlignment="1" applyProtection="1">
      <alignment horizontal="center"/>
      <protection locked="0"/>
    </xf>
    <xf numFmtId="11" fontId="75" fillId="3" borderId="32" xfId="0" applyNumberFormat="1" applyFont="1" applyFill="1" applyBorder="1" applyAlignment="1" applyProtection="1">
      <alignment horizontal="center"/>
      <protection locked="0"/>
    </xf>
    <xf numFmtId="11" fontId="75" fillId="3" borderId="21" xfId="0" applyNumberFormat="1" applyFont="1" applyFill="1" applyBorder="1" applyAlignment="1" applyProtection="1">
      <alignment horizontal="center"/>
      <protection locked="0"/>
    </xf>
    <xf numFmtId="165" fontId="75" fillId="0" borderId="21" xfId="0" applyNumberFormat="1" applyFont="1" applyBorder="1"/>
    <xf numFmtId="0" fontId="81" fillId="0" borderId="21" xfId="0" applyFont="1" applyBorder="1" applyProtection="1">
      <protection locked="0"/>
    </xf>
    <xf numFmtId="0" fontId="75" fillId="0" borderId="21" xfId="0" applyFont="1" applyBorder="1" applyProtection="1">
      <protection locked="0"/>
    </xf>
    <xf numFmtId="0" fontId="75" fillId="8" borderId="21" xfId="0" applyFont="1" applyFill="1" applyBorder="1" applyAlignment="1" applyProtection="1">
      <alignment horizontal="center"/>
      <protection locked="0"/>
    </xf>
    <xf numFmtId="0" fontId="74" fillId="2" borderId="4" xfId="0" applyFont="1" applyFill="1" applyBorder="1" applyProtection="1">
      <protection locked="0"/>
    </xf>
    <xf numFmtId="165" fontId="81" fillId="2" borderId="4" xfId="0" applyNumberFormat="1" applyFont="1" applyFill="1" applyBorder="1"/>
    <xf numFmtId="165" fontId="81" fillId="2" borderId="1" xfId="0" applyNumberFormat="1" applyFont="1" applyFill="1" applyBorder="1"/>
    <xf numFmtId="165" fontId="81" fillId="2" borderId="5" xfId="0" applyNumberFormat="1" applyFont="1" applyFill="1" applyBorder="1"/>
    <xf numFmtId="14" fontId="81" fillId="2" borderId="5" xfId="0" applyNumberFormat="1" applyFont="1" applyFill="1" applyBorder="1"/>
    <xf numFmtId="165" fontId="81" fillId="2" borderId="4" xfId="0" applyNumberFormat="1" applyFont="1" applyFill="1" applyBorder="1" applyAlignment="1" applyProtection="1">
      <alignment horizontal="center"/>
      <protection locked="0"/>
    </xf>
    <xf numFmtId="165" fontId="81" fillId="2" borderId="6" xfId="0" applyNumberFormat="1" applyFont="1" applyFill="1" applyBorder="1" applyAlignment="1" applyProtection="1">
      <alignment horizontal="center"/>
      <protection locked="0"/>
    </xf>
    <xf numFmtId="165" fontId="82" fillId="2" borderId="4" xfId="0" applyNumberFormat="1" applyFont="1" applyFill="1" applyBorder="1" applyAlignment="1" applyProtection="1">
      <alignment horizontal="center"/>
      <protection locked="0"/>
    </xf>
    <xf numFmtId="0" fontId="75" fillId="2" borderId="6" xfId="0" applyFont="1" applyFill="1" applyBorder="1" applyAlignment="1" applyProtection="1">
      <alignment horizontal="centerContinuous"/>
      <protection locked="0"/>
    </xf>
    <xf numFmtId="165" fontId="81" fillId="2" borderId="0" xfId="0" applyNumberFormat="1" applyFont="1" applyFill="1"/>
    <xf numFmtId="0" fontId="81" fillId="2" borderId="4" xfId="0" applyFont="1" applyFill="1" applyBorder="1" applyProtection="1">
      <protection locked="0"/>
    </xf>
    <xf numFmtId="0" fontId="81" fillId="2" borderId="0" xfId="0" applyFont="1" applyFill="1" applyAlignment="1" applyProtection="1">
      <alignment horizontal="centerContinuous"/>
      <protection locked="0"/>
    </xf>
    <xf numFmtId="0" fontId="75" fillId="2" borderId="0" xfId="0" applyFont="1" applyFill="1" applyAlignment="1" applyProtection="1">
      <alignment horizontal="left"/>
      <protection locked="0"/>
    </xf>
    <xf numFmtId="0" fontId="83" fillId="2" borderId="4" xfId="0" applyFont="1" applyFill="1" applyBorder="1" applyProtection="1">
      <protection locked="0"/>
    </xf>
    <xf numFmtId="165" fontId="81" fillId="2" borderId="4" xfId="0" applyNumberFormat="1" applyFont="1" applyFill="1" applyBorder="1" applyAlignment="1">
      <alignment horizontal="center"/>
    </xf>
    <xf numFmtId="165" fontId="81" fillId="2" borderId="6" xfId="0" applyNumberFormat="1" applyFont="1" applyFill="1" applyBorder="1" applyAlignment="1">
      <alignment horizontal="center"/>
    </xf>
    <xf numFmtId="165" fontId="81" fillId="2" borderId="0" xfId="0" applyNumberFormat="1" applyFont="1" applyFill="1" applyAlignment="1">
      <alignment horizontal="center"/>
    </xf>
    <xf numFmtId="0" fontId="81" fillId="2" borderId="4" xfId="0" applyFont="1" applyFill="1" applyBorder="1" applyAlignment="1" applyProtection="1">
      <alignment horizontal="center"/>
      <protection locked="0"/>
    </xf>
    <xf numFmtId="0" fontId="81" fillId="2" borderId="6" xfId="0" applyFont="1" applyFill="1" applyBorder="1" applyAlignment="1" applyProtection="1">
      <alignment horizontal="centerContinuous"/>
      <protection locked="0"/>
    </xf>
    <xf numFmtId="0" fontId="81" fillId="2" borderId="2" xfId="0" applyFont="1" applyFill="1" applyBorder="1" applyAlignment="1">
      <alignment horizontal="center"/>
    </xf>
    <xf numFmtId="0" fontId="81" fillId="2" borderId="7" xfId="0" applyFont="1" applyFill="1" applyBorder="1" applyAlignment="1">
      <alignment horizontal="center"/>
    </xf>
    <xf numFmtId="173" fontId="81" fillId="2" borderId="2" xfId="0" applyNumberFormat="1" applyFont="1" applyFill="1" applyBorder="1" applyAlignment="1" applyProtection="1">
      <alignment horizontal="center"/>
      <protection locked="0"/>
    </xf>
    <xf numFmtId="173" fontId="81" fillId="2" borderId="7" xfId="0" applyNumberFormat="1" applyFont="1" applyFill="1" applyBorder="1" applyAlignment="1" applyProtection="1">
      <alignment horizontal="center"/>
      <protection locked="0"/>
    </xf>
    <xf numFmtId="173" fontId="81" fillId="2" borderId="6" xfId="0" applyNumberFormat="1" applyFont="1" applyFill="1" applyBorder="1" applyAlignment="1" applyProtection="1">
      <alignment horizontal="center"/>
      <protection locked="0"/>
    </xf>
    <xf numFmtId="175" fontId="81" fillId="2" borderId="7" xfId="0" applyNumberFormat="1" applyFont="1" applyFill="1" applyBorder="1" applyAlignment="1" applyProtection="1">
      <alignment horizontal="center"/>
      <protection locked="0"/>
    </xf>
    <xf numFmtId="0" fontId="81" fillId="2" borderId="7" xfId="0" applyFont="1" applyFill="1" applyBorder="1" applyAlignment="1" applyProtection="1">
      <alignment horizontal="centerContinuous"/>
      <protection locked="0"/>
    </xf>
    <xf numFmtId="0" fontId="81" fillId="2" borderId="3" xfId="0" applyFont="1" applyFill="1" applyBorder="1" applyAlignment="1">
      <alignment horizontal="center"/>
    </xf>
    <xf numFmtId="0" fontId="81" fillId="2" borderId="2" xfId="0" applyFont="1" applyFill="1" applyBorder="1" applyAlignment="1" applyProtection="1">
      <alignment horizontal="center"/>
      <protection locked="0"/>
    </xf>
    <xf numFmtId="0" fontId="81" fillId="2" borderId="3" xfId="0" applyFont="1" applyFill="1" applyBorder="1" applyAlignment="1" applyProtection="1">
      <alignment horizontal="center"/>
      <protection locked="0"/>
    </xf>
    <xf numFmtId="0" fontId="83" fillId="0" borderId="4" xfId="0" applyFont="1" applyBorder="1" applyProtection="1">
      <protection locked="0"/>
    </xf>
    <xf numFmtId="165" fontId="75" fillId="0" borderId="8" xfId="0" applyNumberFormat="1" applyFont="1" applyBorder="1"/>
    <xf numFmtId="165" fontId="75" fillId="0" borderId="4" xfId="0" applyNumberFormat="1" applyFont="1" applyBorder="1"/>
    <xf numFmtId="165" fontId="75" fillId="0" borderId="6" xfId="0" applyNumberFormat="1" applyFont="1" applyBorder="1"/>
    <xf numFmtId="165" fontId="75" fillId="0" borderId="4" xfId="0" applyNumberFormat="1" applyFont="1" applyBorder="1" applyProtection="1">
      <protection locked="0"/>
    </xf>
    <xf numFmtId="165" fontId="75" fillId="0" borderId="6" xfId="0" applyNumberFormat="1" applyFont="1" applyBorder="1" applyAlignment="1" applyProtection="1">
      <alignment horizontal="center"/>
      <protection locked="0"/>
    </xf>
    <xf numFmtId="165" fontId="75" fillId="0" borderId="6" xfId="0" applyNumberFormat="1" applyFont="1" applyBorder="1" applyProtection="1">
      <protection locked="0"/>
    </xf>
    <xf numFmtId="10" fontId="75" fillId="0" borderId="6" xfId="0" applyNumberFormat="1" applyFont="1" applyBorder="1"/>
    <xf numFmtId="167" fontId="75" fillId="0" borderId="0" xfId="0" applyNumberFormat="1" applyFont="1"/>
    <xf numFmtId="0" fontId="81" fillId="0" borderId="8" xfId="0" applyFont="1" applyBorder="1" applyAlignment="1" applyProtection="1">
      <alignment horizontal="center"/>
      <protection locked="0"/>
    </xf>
    <xf numFmtId="10" fontId="75" fillId="0" borderId="4" xfId="0" applyNumberFormat="1" applyFont="1" applyBorder="1"/>
    <xf numFmtId="10" fontId="75" fillId="0" borderId="0" xfId="0" applyNumberFormat="1" applyFont="1"/>
    <xf numFmtId="0" fontId="75" fillId="0" borderId="4" xfId="0" applyFont="1" applyBorder="1" applyAlignment="1" applyProtection="1">
      <alignment horizontal="left"/>
      <protection locked="0"/>
    </xf>
    <xf numFmtId="0" fontId="74" fillId="0" borderId="4" xfId="0" applyFont="1" applyBorder="1" applyProtection="1">
      <protection locked="0"/>
    </xf>
    <xf numFmtId="165" fontId="81" fillId="0" borderId="8" xfId="0" applyNumberFormat="1" applyFont="1" applyBorder="1"/>
    <xf numFmtId="165" fontId="81" fillId="0" borderId="4" xfId="0" applyNumberFormat="1" applyFont="1" applyBorder="1"/>
    <xf numFmtId="165" fontId="81" fillId="0" borderId="6" xfId="0" applyNumberFormat="1" applyFont="1" applyBorder="1"/>
    <xf numFmtId="165" fontId="81" fillId="0" borderId="0" xfId="0" applyNumberFormat="1" applyFont="1"/>
    <xf numFmtId="165" fontId="84" fillId="0" borderId="4" xfId="0" applyNumberFormat="1" applyFont="1" applyBorder="1"/>
    <xf numFmtId="165" fontId="85" fillId="0" borderId="6" xfId="0" applyNumberFormat="1" applyFont="1" applyBorder="1" applyAlignment="1">
      <alignment horizontal="center"/>
    </xf>
    <xf numFmtId="165" fontId="86" fillId="0" borderId="6" xfId="0" applyNumberFormat="1" applyFont="1" applyBorder="1" applyAlignment="1">
      <alignment horizontal="center"/>
    </xf>
    <xf numFmtId="165" fontId="87" fillId="0" borderId="0" xfId="0" applyNumberFormat="1" applyFont="1" applyProtection="1">
      <protection locked="0"/>
    </xf>
    <xf numFmtId="165" fontId="88" fillId="0" borderId="6" xfId="0" applyNumberFormat="1" applyFont="1" applyBorder="1" applyAlignment="1">
      <alignment horizontal="center"/>
    </xf>
    <xf numFmtId="167" fontId="81" fillId="0" borderId="0" xfId="0" applyNumberFormat="1" applyFont="1"/>
    <xf numFmtId="0" fontId="81" fillId="0" borderId="8" xfId="0" applyFont="1" applyBorder="1" applyProtection="1">
      <protection locked="0"/>
    </xf>
    <xf numFmtId="14" fontId="75" fillId="0" borderId="4" xfId="0" applyNumberFormat="1" applyFont="1" applyBorder="1" applyAlignment="1" applyProtection="1">
      <alignment horizontal="left"/>
      <protection locked="0"/>
    </xf>
    <xf numFmtId="0" fontId="83" fillId="0" borderId="2" xfId="0" applyFont="1" applyBorder="1" applyProtection="1">
      <protection locked="0"/>
    </xf>
    <xf numFmtId="165" fontId="75" fillId="0" borderId="9" xfId="0" applyNumberFormat="1" applyFont="1" applyBorder="1"/>
    <xf numFmtId="165" fontId="75" fillId="0" borderId="2" xfId="0" applyNumberFormat="1" applyFont="1" applyBorder="1"/>
    <xf numFmtId="165" fontId="89" fillId="0" borderId="2" xfId="0" applyNumberFormat="1" applyFont="1" applyBorder="1" applyProtection="1">
      <protection locked="0"/>
    </xf>
    <xf numFmtId="165" fontId="75" fillId="0" borderId="7" xfId="0" applyNumberFormat="1" applyFont="1" applyBorder="1"/>
    <xf numFmtId="165" fontId="75" fillId="0" borderId="3" xfId="0" applyNumberFormat="1" applyFont="1" applyBorder="1"/>
    <xf numFmtId="165" fontId="75" fillId="0" borderId="2" xfId="0" applyNumberFormat="1" applyFont="1" applyBorder="1" applyProtection="1">
      <protection locked="0"/>
    </xf>
    <xf numFmtId="165" fontId="75" fillId="0" borderId="7" xfId="0" applyNumberFormat="1" applyFont="1" applyBorder="1" applyAlignment="1" applyProtection="1">
      <alignment horizontal="center"/>
      <protection locked="0"/>
    </xf>
    <xf numFmtId="165" fontId="90" fillId="0" borderId="2" xfId="0" applyNumberFormat="1" applyFont="1" applyBorder="1" applyAlignment="1">
      <alignment horizontal="center"/>
    </xf>
    <xf numFmtId="165" fontId="91" fillId="0" borderId="2" xfId="0" applyNumberFormat="1" applyFont="1" applyBorder="1" applyAlignment="1">
      <alignment horizontal="center"/>
    </xf>
    <xf numFmtId="165" fontId="85" fillId="0" borderId="7" xfId="0" applyNumberFormat="1" applyFont="1" applyBorder="1" applyAlignment="1" applyProtection="1">
      <alignment horizontal="center"/>
      <protection locked="0"/>
    </xf>
    <xf numFmtId="165" fontId="75" fillId="0" borderId="7" xfId="0" applyNumberFormat="1" applyFont="1" applyBorder="1" applyProtection="1">
      <protection locked="0"/>
    </xf>
    <xf numFmtId="167" fontId="75" fillId="0" borderId="3" xfId="0" applyNumberFormat="1" applyFont="1" applyBorder="1"/>
    <xf numFmtId="0" fontId="81" fillId="0" borderId="9" xfId="0" applyFont="1" applyBorder="1" applyProtection="1">
      <protection locked="0"/>
    </xf>
    <xf numFmtId="10" fontId="75" fillId="0" borderId="2" xfId="0" applyNumberFormat="1" applyFont="1" applyBorder="1"/>
    <xf numFmtId="0" fontId="75" fillId="0" borderId="2" xfId="0" applyFont="1" applyBorder="1" applyAlignment="1" applyProtection="1">
      <alignment horizontal="left"/>
      <protection locked="0"/>
    </xf>
    <xf numFmtId="165" fontId="89" fillId="0" borderId="4" xfId="0" applyNumberFormat="1" applyFont="1" applyBorder="1" applyProtection="1">
      <protection locked="0"/>
    </xf>
    <xf numFmtId="165" fontId="87" fillId="0" borderId="6" xfId="0" applyNumberFormat="1" applyFont="1" applyBorder="1" applyAlignment="1" applyProtection="1">
      <alignment horizontal="center"/>
      <protection locked="0"/>
    </xf>
    <xf numFmtId="165" fontId="92" fillId="0" borderId="4" xfId="0" applyNumberFormat="1" applyFont="1" applyBorder="1"/>
    <xf numFmtId="165" fontId="80" fillId="0" borderId="6" xfId="0" applyNumberFormat="1" applyFont="1" applyBorder="1" applyProtection="1">
      <protection locked="0"/>
    </xf>
    <xf numFmtId="165" fontId="87" fillId="0" borderId="6" xfId="0" applyNumberFormat="1" applyFont="1" applyBorder="1" applyProtection="1">
      <protection locked="0"/>
    </xf>
    <xf numFmtId="165" fontId="88" fillId="0" borderId="4" xfId="0" applyNumberFormat="1" applyFont="1" applyBorder="1" applyProtection="1">
      <protection locked="0"/>
    </xf>
    <xf numFmtId="165" fontId="88" fillId="0" borderId="6" xfId="0" applyNumberFormat="1" applyFont="1" applyBorder="1" applyProtection="1">
      <protection locked="0"/>
    </xf>
    <xf numFmtId="167" fontId="75" fillId="0" borderId="6" xfId="0" applyNumberFormat="1" applyFont="1" applyBorder="1"/>
    <xf numFmtId="165" fontId="80" fillId="0" borderId="6" xfId="0" applyNumberFormat="1" applyFont="1" applyBorder="1" applyAlignment="1">
      <alignment horizontal="center"/>
    </xf>
    <xf numFmtId="165" fontId="87" fillId="0" borderId="6" xfId="0" applyNumberFormat="1" applyFont="1" applyBorder="1" applyAlignment="1">
      <alignment horizontal="center"/>
    </xf>
    <xf numFmtId="165" fontId="81" fillId="0" borderId="4" xfId="0" applyNumberFormat="1" applyFont="1" applyBorder="1" applyProtection="1">
      <protection locked="0"/>
    </xf>
    <xf numFmtId="165" fontId="84" fillId="0" borderId="4" xfId="0" applyNumberFormat="1" applyFont="1" applyBorder="1" applyProtection="1">
      <protection locked="0"/>
    </xf>
    <xf numFmtId="14" fontId="85" fillId="0" borderId="6" xfId="0" applyNumberFormat="1" applyFont="1" applyBorder="1" applyAlignment="1">
      <alignment horizontal="center"/>
    </xf>
    <xf numFmtId="165" fontId="86" fillId="0" borderId="4" xfId="0" applyNumberFormat="1" applyFont="1" applyBorder="1" applyProtection="1">
      <protection locked="0"/>
    </xf>
    <xf numFmtId="165" fontId="91" fillId="0" borderId="4" xfId="0" applyNumberFormat="1" applyFont="1" applyBorder="1" applyProtection="1">
      <protection locked="0"/>
    </xf>
    <xf numFmtId="165" fontId="85" fillId="0" borderId="4" xfId="0" applyNumberFormat="1" applyFont="1" applyBorder="1" applyAlignment="1">
      <alignment horizontal="center"/>
    </xf>
    <xf numFmtId="165" fontId="85" fillId="0" borderId="0" xfId="0" applyNumberFormat="1" applyFont="1" applyAlignment="1">
      <alignment horizontal="center"/>
    </xf>
    <xf numFmtId="167" fontId="81" fillId="0" borderId="6" xfId="0" applyNumberFormat="1" applyFont="1" applyBorder="1" applyProtection="1">
      <protection locked="0"/>
    </xf>
    <xf numFmtId="0" fontId="74" fillId="0" borderId="2" xfId="0" applyFont="1" applyBorder="1" applyProtection="1">
      <protection locked="0"/>
    </xf>
    <xf numFmtId="165" fontId="88" fillId="0" borderId="7" xfId="0" applyNumberFormat="1" applyFont="1" applyBorder="1" applyAlignment="1" applyProtection="1">
      <alignment horizontal="center"/>
      <protection locked="0"/>
    </xf>
    <xf numFmtId="165" fontId="88" fillId="0" borderId="2" xfId="0" applyNumberFormat="1" applyFont="1" applyBorder="1" applyAlignment="1" applyProtection="1">
      <alignment horizontal="center"/>
      <protection locked="0"/>
    </xf>
    <xf numFmtId="165" fontId="87" fillId="0" borderId="7" xfId="0" applyNumberFormat="1" applyFont="1" applyBorder="1" applyAlignment="1" applyProtection="1">
      <alignment horizontal="center"/>
      <protection locked="0"/>
    </xf>
    <xf numFmtId="165" fontId="88" fillId="0" borderId="6" xfId="0" applyNumberFormat="1" applyFont="1" applyBorder="1" applyAlignment="1" applyProtection="1">
      <alignment horizontal="center"/>
      <protection locked="0"/>
    </xf>
    <xf numFmtId="165" fontId="89" fillId="0" borderId="4" xfId="0" applyNumberFormat="1" applyFont="1" applyBorder="1"/>
    <xf numFmtId="165" fontId="85" fillId="0" borderId="6" xfId="0" applyNumberFormat="1" applyFont="1" applyBorder="1" applyAlignment="1" applyProtection="1">
      <alignment horizontal="center"/>
      <protection locked="0"/>
    </xf>
    <xf numFmtId="165" fontId="85" fillId="0" borderId="4" xfId="0" applyNumberFormat="1" applyFont="1" applyBorder="1" applyAlignment="1" applyProtection="1">
      <alignment horizontal="center"/>
      <protection locked="0"/>
    </xf>
    <xf numFmtId="165" fontId="89" fillId="0" borderId="7" xfId="0" applyNumberFormat="1" applyFont="1" applyBorder="1" applyAlignment="1" applyProtection="1">
      <alignment horizontal="center"/>
      <protection locked="0"/>
    </xf>
    <xf numFmtId="165" fontId="89" fillId="0" borderId="2" xfId="0" applyNumberFormat="1" applyFont="1" applyBorder="1" applyAlignment="1" applyProtection="1">
      <alignment horizontal="center"/>
      <protection locked="0"/>
    </xf>
    <xf numFmtId="165" fontId="89" fillId="0" borderId="6" xfId="0" applyNumberFormat="1" applyFont="1" applyBorder="1" applyAlignment="1" applyProtection="1">
      <alignment horizontal="center"/>
      <protection locked="0"/>
    </xf>
    <xf numFmtId="165" fontId="81" fillId="0" borderId="8" xfId="0" applyNumberFormat="1" applyFont="1" applyBorder="1" applyProtection="1">
      <protection locked="0"/>
    </xf>
    <xf numFmtId="165" fontId="82" fillId="0" borderId="4" xfId="0" applyNumberFormat="1" applyFont="1" applyBorder="1" applyProtection="1">
      <protection locked="0"/>
    </xf>
    <xf numFmtId="167" fontId="81" fillId="0" borderId="4" xfId="0" applyNumberFormat="1" applyFont="1" applyBorder="1" applyProtection="1">
      <protection locked="0"/>
    </xf>
    <xf numFmtId="0" fontId="81" fillId="0" borderId="0" xfId="0" applyFont="1" applyProtection="1">
      <protection locked="0"/>
    </xf>
    <xf numFmtId="165" fontId="75" fillId="0" borderId="1" xfId="0" applyNumberFormat="1" applyFont="1" applyBorder="1"/>
    <xf numFmtId="165" fontId="75" fillId="0" borderId="5" xfId="0" applyNumberFormat="1" applyFont="1" applyBorder="1"/>
    <xf numFmtId="167" fontId="75" fillId="0" borderId="5" xfId="0" applyNumberFormat="1" applyFont="1" applyBorder="1"/>
    <xf numFmtId="0" fontId="75" fillId="0" borderId="1" xfId="0" applyFont="1" applyBorder="1" applyAlignment="1" applyProtection="1">
      <alignment horizontal="left"/>
      <protection locked="0"/>
    </xf>
    <xf numFmtId="167" fontId="92" fillId="0" borderId="4" xfId="0" applyNumberFormat="1" applyFont="1" applyBorder="1"/>
    <xf numFmtId="167" fontId="88" fillId="0" borderId="6" xfId="0" applyNumberFormat="1" applyFont="1" applyBorder="1" applyAlignment="1">
      <alignment horizontal="center"/>
    </xf>
    <xf numFmtId="165" fontId="80" fillId="0" borderId="4" xfId="0" applyNumberFormat="1" applyFont="1" applyBorder="1" applyProtection="1">
      <protection locked="0"/>
    </xf>
    <xf numFmtId="165" fontId="88" fillId="0" borderId="0" xfId="0" applyNumberFormat="1" applyFont="1" applyAlignment="1">
      <alignment horizontal="center"/>
    </xf>
    <xf numFmtId="0" fontId="83" fillId="0" borderId="4" xfId="0" applyFont="1" applyBorder="1"/>
    <xf numFmtId="165" fontId="86" fillId="0" borderId="4" xfId="0" applyNumberFormat="1" applyFont="1" applyBorder="1"/>
    <xf numFmtId="165" fontId="91" fillId="0" borderId="4" xfId="0" applyNumberFormat="1" applyFont="1" applyBorder="1"/>
    <xf numFmtId="165" fontId="85" fillId="0" borderId="4" xfId="0" applyNumberFormat="1" applyFont="1" applyBorder="1"/>
    <xf numFmtId="167" fontId="81" fillId="0" borderId="0" xfId="0" applyNumberFormat="1" applyFont="1" applyProtection="1">
      <protection locked="0"/>
    </xf>
    <xf numFmtId="165" fontId="92" fillId="0" borderId="2" xfId="0" applyNumberFormat="1" applyFont="1" applyBorder="1" applyProtection="1">
      <protection locked="0"/>
    </xf>
    <xf numFmtId="165" fontId="92" fillId="0" borderId="4" xfId="0" applyNumberFormat="1" applyFont="1" applyBorder="1" applyProtection="1">
      <protection locked="0"/>
    </xf>
    <xf numFmtId="165" fontId="90" fillId="0" borderId="4" xfId="0" applyNumberFormat="1" applyFont="1" applyBorder="1"/>
    <xf numFmtId="0" fontId="81" fillId="0" borderId="4" xfId="0" applyFont="1" applyBorder="1"/>
    <xf numFmtId="3" fontId="75" fillId="0" borderId="4" xfId="0" applyNumberFormat="1" applyFont="1" applyBorder="1" applyProtection="1">
      <protection locked="0"/>
    </xf>
    <xf numFmtId="3" fontId="75" fillId="0" borderId="6" xfId="0" applyNumberFormat="1" applyFont="1" applyBorder="1" applyProtection="1">
      <protection locked="0"/>
    </xf>
    <xf numFmtId="165" fontId="89" fillId="0" borderId="6" xfId="0" applyNumberFormat="1" applyFont="1" applyBorder="1" applyProtection="1">
      <protection locked="0"/>
    </xf>
    <xf numFmtId="167" fontId="75" fillId="0" borderId="6" xfId="0" applyNumberFormat="1" applyFont="1" applyBorder="1" applyProtection="1">
      <protection locked="0"/>
    </xf>
    <xf numFmtId="0" fontId="89" fillId="0" borderId="4" xfId="0" applyFont="1" applyBorder="1" applyAlignment="1" applyProtection="1">
      <alignment horizontal="left"/>
      <protection locked="0"/>
    </xf>
    <xf numFmtId="165" fontId="93" fillId="0" borderId="6" xfId="0" applyNumberFormat="1" applyFont="1" applyBorder="1" applyAlignment="1">
      <alignment horizontal="center"/>
    </xf>
    <xf numFmtId="165" fontId="89" fillId="0" borderId="6" xfId="0" applyNumberFormat="1" applyFont="1" applyBorder="1" applyAlignment="1">
      <alignment horizontal="center"/>
    </xf>
    <xf numFmtId="0" fontId="83" fillId="0" borderId="6" xfId="0" applyFont="1" applyBorder="1"/>
    <xf numFmtId="165" fontId="82" fillId="0" borderId="2" xfId="0" applyNumberFormat="1" applyFont="1" applyBorder="1" applyProtection="1">
      <protection locked="0"/>
    </xf>
    <xf numFmtId="165" fontId="84" fillId="0" borderId="2" xfId="0" applyNumberFormat="1" applyFont="1" applyBorder="1" applyProtection="1">
      <protection locked="0"/>
    </xf>
    <xf numFmtId="165" fontId="82" fillId="0" borderId="7" xfId="0" applyNumberFormat="1" applyFont="1" applyBorder="1" applyAlignment="1" applyProtection="1">
      <alignment horizontal="center"/>
      <protection locked="0"/>
    </xf>
    <xf numFmtId="165" fontId="82" fillId="0" borderId="2" xfId="0" applyNumberFormat="1" applyFont="1" applyBorder="1" applyAlignment="1" applyProtection="1">
      <alignment horizontal="center"/>
      <protection locked="0"/>
    </xf>
    <xf numFmtId="165" fontId="91" fillId="0" borderId="7" xfId="0" applyNumberFormat="1" applyFont="1" applyBorder="1" applyAlignment="1" applyProtection="1">
      <alignment horizontal="center"/>
      <protection locked="0"/>
    </xf>
    <xf numFmtId="0" fontId="81" fillId="0" borderId="2" xfId="0" applyFont="1" applyBorder="1" applyAlignment="1" applyProtection="1">
      <alignment horizontal="left"/>
      <protection locked="0"/>
    </xf>
    <xf numFmtId="165" fontId="82" fillId="0" borderId="6" xfId="0" applyNumberFormat="1" applyFont="1" applyBorder="1" applyAlignment="1" applyProtection="1">
      <alignment horizontal="center"/>
      <protection locked="0"/>
    </xf>
    <xf numFmtId="165" fontId="91" fillId="0" borderId="6" xfId="0" applyNumberFormat="1" applyFont="1" applyBorder="1" applyAlignment="1" applyProtection="1">
      <alignment horizontal="center"/>
      <protection locked="0"/>
    </xf>
    <xf numFmtId="0" fontId="81" fillId="0" borderId="4" xfId="0" applyFont="1" applyBorder="1" applyAlignment="1" applyProtection="1">
      <alignment horizontal="left"/>
      <protection locked="0"/>
    </xf>
    <xf numFmtId="165" fontId="74" fillId="0" borderId="7" xfId="0" applyNumberFormat="1" applyFont="1" applyBorder="1" applyProtection="1">
      <protection locked="0"/>
    </xf>
    <xf numFmtId="165" fontId="85" fillId="7" borderId="10" xfId="0" applyNumberFormat="1" applyFont="1" applyFill="1" applyBorder="1" applyProtection="1">
      <protection locked="0"/>
    </xf>
    <xf numFmtId="3" fontId="81" fillId="0" borderId="6" xfId="0" applyNumberFormat="1" applyFont="1" applyBorder="1"/>
    <xf numFmtId="165" fontId="84" fillId="0" borderId="6" xfId="0" applyNumberFormat="1" applyFont="1" applyBorder="1"/>
    <xf numFmtId="165" fontId="82" fillId="0" borderId="4" xfId="0" applyNumberFormat="1" applyFont="1" applyBorder="1"/>
    <xf numFmtId="165" fontId="81" fillId="0" borderId="9" xfId="0" applyNumberFormat="1" applyFont="1" applyBorder="1" applyProtection="1">
      <protection locked="0"/>
    </xf>
    <xf numFmtId="165" fontId="81" fillId="0" borderId="2" xfId="0" applyNumberFormat="1" applyFont="1" applyBorder="1" applyProtection="1">
      <protection locked="0"/>
    </xf>
    <xf numFmtId="165" fontId="81" fillId="0" borderId="7" xfId="0" applyNumberFormat="1" applyFont="1" applyBorder="1" applyProtection="1">
      <protection locked="0"/>
    </xf>
    <xf numFmtId="165" fontId="81" fillId="0" borderId="3" xfId="0" applyNumberFormat="1" applyFont="1" applyBorder="1" applyProtection="1">
      <protection locked="0"/>
    </xf>
    <xf numFmtId="167" fontId="81" fillId="0" borderId="3" xfId="0" applyNumberFormat="1" applyFont="1" applyBorder="1" applyProtection="1">
      <protection locked="0"/>
    </xf>
    <xf numFmtId="165" fontId="81" fillId="0" borderId="6" xfId="0" applyNumberFormat="1" applyFont="1" applyBorder="1" applyProtection="1">
      <protection locked="0"/>
    </xf>
    <xf numFmtId="165" fontId="81" fillId="0" borderId="0" xfId="0" applyNumberFormat="1" applyFont="1" applyProtection="1">
      <protection locked="0"/>
    </xf>
    <xf numFmtId="165" fontId="83" fillId="0" borderId="6" xfId="0" applyNumberFormat="1" applyFont="1" applyBorder="1"/>
    <xf numFmtId="165" fontId="83" fillId="0" borderId="4" xfId="0" applyNumberFormat="1" applyFont="1" applyBorder="1"/>
    <xf numFmtId="165" fontId="86" fillId="0" borderId="6" xfId="0" applyNumberFormat="1" applyFont="1" applyBorder="1"/>
    <xf numFmtId="165" fontId="91" fillId="0" borderId="6" xfId="0" applyNumberFormat="1" applyFont="1" applyBorder="1"/>
    <xf numFmtId="167" fontId="83" fillId="0" borderId="6" xfId="0" applyNumberFormat="1" applyFont="1" applyBorder="1" applyProtection="1">
      <protection locked="0"/>
    </xf>
    <xf numFmtId="37" fontId="92" fillId="0" borderId="4" xfId="0" applyNumberFormat="1" applyFont="1" applyBorder="1"/>
    <xf numFmtId="37" fontId="84" fillId="0" borderId="4" xfId="0" applyNumberFormat="1" applyFont="1" applyBorder="1"/>
    <xf numFmtId="0" fontId="74" fillId="0" borderId="9" xfId="0" applyFont="1" applyBorder="1" applyProtection="1">
      <protection locked="0"/>
    </xf>
    <xf numFmtId="165" fontId="80" fillId="0" borderId="7" xfId="0" applyNumberFormat="1" applyFont="1" applyBorder="1" applyAlignment="1" applyProtection="1">
      <alignment horizontal="center"/>
      <protection locked="0"/>
    </xf>
    <xf numFmtId="165" fontId="80" fillId="0" borderId="2" xfId="0" applyNumberFormat="1" applyFont="1" applyBorder="1" applyAlignment="1" applyProtection="1">
      <alignment horizontal="center"/>
      <protection locked="0"/>
    </xf>
    <xf numFmtId="165" fontId="93" fillId="0" borderId="6" xfId="0" applyNumberFormat="1" applyFont="1" applyBorder="1" applyProtection="1">
      <protection locked="0"/>
    </xf>
    <xf numFmtId="0" fontId="94" fillId="0" borderId="4" xfId="0" applyFont="1" applyBorder="1" applyAlignment="1" applyProtection="1">
      <alignment horizontal="left"/>
      <protection locked="0"/>
    </xf>
    <xf numFmtId="165" fontId="85" fillId="0" borderId="6" xfId="0" applyNumberFormat="1" applyFont="1" applyBorder="1"/>
    <xf numFmtId="165" fontId="75" fillId="0" borderId="8" xfId="0" applyNumberFormat="1" applyFont="1" applyBorder="1" applyProtection="1">
      <protection locked="0"/>
    </xf>
    <xf numFmtId="167" fontId="75" fillId="0" borderId="0" xfId="0" applyNumberFormat="1" applyFont="1" applyProtection="1">
      <protection locked="0"/>
    </xf>
    <xf numFmtId="14" fontId="94" fillId="0" borderId="4" xfId="0" applyNumberFormat="1" applyFont="1" applyBorder="1" applyAlignment="1" applyProtection="1">
      <alignment horizontal="left"/>
      <protection locked="0"/>
    </xf>
    <xf numFmtId="165" fontId="88" fillId="0" borderId="4" xfId="0" applyNumberFormat="1" applyFont="1" applyBorder="1" applyAlignment="1">
      <alignment horizontal="center"/>
    </xf>
    <xf numFmtId="3" fontId="89" fillId="0" borderId="2" xfId="0" applyNumberFormat="1" applyFont="1" applyBorder="1" applyProtection="1">
      <protection locked="0"/>
    </xf>
    <xf numFmtId="3" fontId="89" fillId="0" borderId="7" xfId="0" applyNumberFormat="1" applyFont="1" applyBorder="1" applyProtection="1">
      <protection locked="0"/>
    </xf>
    <xf numFmtId="167" fontId="89" fillId="0" borderId="7" xfId="0" applyNumberFormat="1" applyFont="1" applyBorder="1" applyProtection="1">
      <protection locked="0"/>
    </xf>
    <xf numFmtId="3" fontId="89" fillId="0" borderId="4" xfId="0" applyNumberFormat="1" applyFont="1" applyBorder="1" applyProtection="1">
      <protection locked="0"/>
    </xf>
    <xf numFmtId="3" fontId="89" fillId="0" borderId="6" xfId="0" applyNumberFormat="1" applyFont="1" applyBorder="1" applyProtection="1">
      <protection locked="0"/>
    </xf>
    <xf numFmtId="167" fontId="89" fillId="0" borderId="6" xfId="0" applyNumberFormat="1" applyFont="1" applyBorder="1" applyProtection="1">
      <protection locked="0"/>
    </xf>
    <xf numFmtId="165" fontId="82" fillId="0" borderId="6" xfId="0" applyNumberFormat="1" applyFont="1" applyBorder="1" applyAlignment="1">
      <alignment horizontal="center"/>
    </xf>
    <xf numFmtId="0" fontId="81" fillId="0" borderId="8" xfId="0" applyFont="1" applyBorder="1" applyAlignment="1" applyProtection="1">
      <alignment horizontal="left"/>
      <protection locked="0"/>
    </xf>
    <xf numFmtId="165" fontId="88" fillId="0" borderId="6" xfId="0" quotePrefix="1" applyNumberFormat="1" applyFont="1" applyBorder="1" applyProtection="1">
      <protection locked="0"/>
    </xf>
    <xf numFmtId="165" fontId="80" fillId="0" borderId="6" xfId="0" applyNumberFormat="1" applyFont="1" applyBorder="1" applyAlignment="1" applyProtection="1">
      <alignment horizontal="center"/>
      <protection locked="0"/>
    </xf>
    <xf numFmtId="165" fontId="89" fillId="0" borderId="7" xfId="0" applyNumberFormat="1" applyFont="1" applyBorder="1" applyProtection="1">
      <protection locked="0"/>
    </xf>
    <xf numFmtId="3" fontId="81" fillId="0" borderId="4" xfId="0" applyNumberFormat="1" applyFont="1" applyBorder="1"/>
    <xf numFmtId="165" fontId="81" fillId="0" borderId="4" xfId="0" applyNumberFormat="1" applyFont="1" applyBorder="1" applyAlignment="1" applyProtection="1">
      <alignment horizontal="left"/>
      <protection locked="0"/>
    </xf>
    <xf numFmtId="0" fontId="83" fillId="0" borderId="10" xfId="0" applyFont="1" applyBorder="1"/>
    <xf numFmtId="165" fontId="81" fillId="0" borderId="11" xfId="0" applyNumberFormat="1" applyFont="1" applyBorder="1"/>
    <xf numFmtId="165" fontId="81" fillId="0" borderId="10" xfId="0" applyNumberFormat="1" applyFont="1" applyBorder="1"/>
    <xf numFmtId="165" fontId="81" fillId="7" borderId="10" xfId="0" applyNumberFormat="1" applyFont="1" applyFill="1" applyBorder="1"/>
    <xf numFmtId="165" fontId="84" fillId="7" borderId="10" xfId="0" applyNumberFormat="1" applyFont="1" applyFill="1" applyBorder="1"/>
    <xf numFmtId="165" fontId="86" fillId="7" borderId="10" xfId="0" applyNumberFormat="1" applyFont="1" applyFill="1" applyBorder="1"/>
    <xf numFmtId="165" fontId="91" fillId="7" borderId="10" xfId="0" applyNumberFormat="1" applyFont="1" applyFill="1" applyBorder="1"/>
    <xf numFmtId="165" fontId="85" fillId="7" borderId="10" xfId="0" applyNumberFormat="1" applyFont="1" applyFill="1" applyBorder="1"/>
    <xf numFmtId="167" fontId="81" fillId="3" borderId="13" xfId="0" applyNumberFormat="1" applyFont="1" applyFill="1" applyBorder="1" applyProtection="1">
      <protection locked="0"/>
    </xf>
    <xf numFmtId="0" fontId="81" fillId="0" borderId="11" xfId="0" applyFont="1" applyBorder="1" applyProtection="1">
      <protection locked="0"/>
    </xf>
    <xf numFmtId="165" fontId="75" fillId="0" borderId="10" xfId="0" applyNumberFormat="1" applyFont="1" applyBorder="1"/>
    <xf numFmtId="10" fontId="75" fillId="0" borderId="10" xfId="0" applyNumberFormat="1" applyFont="1" applyBorder="1"/>
    <xf numFmtId="0" fontId="75" fillId="0" borderId="10" xfId="0" applyFont="1" applyBorder="1" applyAlignment="1" applyProtection="1">
      <alignment horizontal="left"/>
      <protection locked="0"/>
    </xf>
    <xf numFmtId="165" fontId="96" fillId="0" borderId="4" xfId="0" applyNumberFormat="1" applyFont="1" applyBorder="1" applyProtection="1">
      <protection locked="0"/>
    </xf>
    <xf numFmtId="165" fontId="96" fillId="0" borderId="6" xfId="0" applyNumberFormat="1" applyFont="1" applyBorder="1" applyProtection="1">
      <protection locked="0"/>
    </xf>
    <xf numFmtId="165" fontId="96" fillId="0" borderId="6" xfId="0" applyNumberFormat="1" applyFont="1" applyBorder="1" applyAlignment="1">
      <alignment horizontal="center"/>
    </xf>
    <xf numFmtId="165" fontId="97" fillId="0" borderId="4" xfId="0" applyNumberFormat="1" applyFont="1" applyBorder="1"/>
    <xf numFmtId="3" fontId="82" fillId="0" borderId="2" xfId="0" applyNumberFormat="1" applyFont="1" applyBorder="1" applyProtection="1">
      <protection locked="0"/>
    </xf>
    <xf numFmtId="3" fontId="82" fillId="0" borderId="7" xfId="0" applyNumberFormat="1" applyFont="1" applyBorder="1" applyProtection="1">
      <protection locked="0"/>
    </xf>
    <xf numFmtId="14" fontId="85" fillId="0" borderId="7" xfId="0" applyNumberFormat="1" applyFont="1" applyBorder="1" applyAlignment="1" applyProtection="1">
      <alignment horizontal="center"/>
      <protection locked="0"/>
    </xf>
    <xf numFmtId="14" fontId="82" fillId="0" borderId="7" xfId="0" applyNumberFormat="1" applyFont="1" applyBorder="1" applyAlignment="1" applyProtection="1">
      <alignment horizontal="center"/>
      <protection locked="0"/>
    </xf>
    <xf numFmtId="14" fontId="82" fillId="0" borderId="2" xfId="0" applyNumberFormat="1" applyFont="1" applyBorder="1" applyAlignment="1" applyProtection="1">
      <alignment horizontal="center"/>
      <protection locked="0"/>
    </xf>
    <xf numFmtId="14" fontId="91" fillId="0" borderId="7" xfId="0" applyNumberFormat="1" applyFont="1" applyBorder="1" applyAlignment="1" applyProtection="1">
      <alignment horizontal="center"/>
      <protection locked="0"/>
    </xf>
    <xf numFmtId="167" fontId="82" fillId="0" borderId="7" xfId="0" applyNumberFormat="1" applyFont="1" applyBorder="1" applyProtection="1">
      <protection locked="0"/>
    </xf>
    <xf numFmtId="165" fontId="85" fillId="0" borderId="2" xfId="0" applyNumberFormat="1" applyFont="1" applyBorder="1" applyAlignment="1" applyProtection="1">
      <alignment horizontal="center"/>
      <protection locked="0"/>
    </xf>
    <xf numFmtId="165" fontId="91" fillId="0" borderId="2" xfId="0" applyNumberFormat="1" applyFont="1" applyBorder="1" applyAlignment="1" applyProtection="1">
      <alignment horizontal="center"/>
      <protection locked="0"/>
    </xf>
    <xf numFmtId="3" fontId="81" fillId="0" borderId="4" xfId="0" applyNumberFormat="1" applyFont="1" applyBorder="1" applyProtection="1">
      <protection locked="0"/>
    </xf>
    <xf numFmtId="165" fontId="91" fillId="0" borderId="8" xfId="0" applyNumberFormat="1" applyFont="1" applyBorder="1" applyProtection="1">
      <protection locked="0"/>
    </xf>
    <xf numFmtId="165" fontId="85" fillId="0" borderId="8" xfId="0" applyNumberFormat="1" applyFont="1" applyBorder="1" applyAlignment="1" applyProtection="1">
      <alignment horizontal="center"/>
      <protection locked="0"/>
    </xf>
    <xf numFmtId="165" fontId="87" fillId="0" borderId="2" xfId="0" applyNumberFormat="1" applyFont="1" applyBorder="1" applyAlignment="1" applyProtection="1">
      <alignment horizontal="center"/>
      <protection locked="0"/>
    </xf>
    <xf numFmtId="165" fontId="98" fillId="0" borderId="4" xfId="0" applyNumberFormat="1" applyFont="1" applyBorder="1"/>
    <xf numFmtId="165" fontId="89" fillId="0" borderId="4" xfId="0" applyNumberFormat="1" applyFont="1" applyBorder="1" applyAlignment="1">
      <alignment horizontal="center"/>
    </xf>
    <xf numFmtId="0" fontId="83" fillId="0" borderId="2" xfId="0" applyFont="1" applyBorder="1"/>
    <xf numFmtId="165" fontId="81" fillId="0" borderId="2" xfId="0" applyNumberFormat="1" applyFont="1" applyBorder="1"/>
    <xf numFmtId="3" fontId="81" fillId="0" borderId="2" xfId="0" applyNumberFormat="1" applyFont="1" applyBorder="1"/>
    <xf numFmtId="3" fontId="81" fillId="0" borderId="7" xfId="0" applyNumberFormat="1" applyFont="1" applyBorder="1"/>
    <xf numFmtId="165" fontId="84" fillId="0" borderId="2" xfId="0" applyNumberFormat="1" applyFont="1" applyBorder="1"/>
    <xf numFmtId="14" fontId="85" fillId="0" borderId="7" xfId="0" applyNumberFormat="1" applyFont="1" applyBorder="1" applyAlignment="1">
      <alignment horizontal="center"/>
    </xf>
    <xf numFmtId="165" fontId="86" fillId="0" borderId="7" xfId="0" applyNumberFormat="1" applyFont="1" applyBorder="1"/>
    <xf numFmtId="165" fontId="86" fillId="0" borderId="2" xfId="0" applyNumberFormat="1" applyFont="1" applyBorder="1"/>
    <xf numFmtId="165" fontId="91" fillId="0" borderId="7" xfId="0" applyNumberFormat="1" applyFont="1" applyBorder="1"/>
    <xf numFmtId="165" fontId="85" fillId="0" borderId="7" xfId="0" applyNumberFormat="1" applyFont="1" applyBorder="1"/>
    <xf numFmtId="165" fontId="85" fillId="0" borderId="3" xfId="0" applyNumberFormat="1" applyFont="1" applyBorder="1" applyAlignment="1">
      <alignment horizontal="center"/>
    </xf>
    <xf numFmtId="165" fontId="85" fillId="0" borderId="2" xfId="0" applyNumberFormat="1" applyFont="1" applyBorder="1" applyAlignment="1">
      <alignment horizontal="center"/>
    </xf>
    <xf numFmtId="165" fontId="85" fillId="0" borderId="2" xfId="0" applyNumberFormat="1" applyFont="1" applyBorder="1"/>
    <xf numFmtId="165" fontId="85" fillId="0" borderId="7" xfId="0" applyNumberFormat="1" applyFont="1" applyBorder="1" applyAlignment="1">
      <alignment horizontal="center"/>
    </xf>
    <xf numFmtId="0" fontId="75" fillId="0" borderId="7" xfId="0" applyFont="1" applyBorder="1"/>
    <xf numFmtId="165" fontId="98" fillId="0" borderId="4" xfId="0" applyNumberFormat="1" applyFont="1" applyBorder="1" applyProtection="1">
      <protection locked="0"/>
    </xf>
    <xf numFmtId="165" fontId="98" fillId="0" borderId="6" xfId="0" applyNumberFormat="1" applyFont="1" applyBorder="1" applyProtection="1">
      <protection locked="0"/>
    </xf>
    <xf numFmtId="172" fontId="88" fillId="0" borderId="6" xfId="0" applyNumberFormat="1" applyFont="1" applyBorder="1" applyProtection="1">
      <protection locked="0"/>
    </xf>
    <xf numFmtId="165" fontId="98" fillId="0" borderId="6" xfId="0" applyNumberFormat="1" applyFont="1" applyBorder="1" applyAlignment="1">
      <alignment horizontal="center"/>
    </xf>
    <xf numFmtId="0" fontId="74" fillId="0" borderId="4" xfId="0" applyFont="1" applyBorder="1"/>
    <xf numFmtId="165" fontId="85" fillId="0" borderId="4" xfId="0" applyNumberFormat="1" applyFont="1" applyBorder="1" applyProtection="1">
      <protection locked="0"/>
    </xf>
    <xf numFmtId="165" fontId="99" fillId="0" borderId="4" xfId="0" applyNumberFormat="1" applyFont="1" applyBorder="1"/>
    <xf numFmtId="165" fontId="81" fillId="0" borderId="7" xfId="0" applyNumberFormat="1" applyFont="1" applyBorder="1"/>
    <xf numFmtId="165" fontId="81" fillId="3" borderId="13" xfId="0" applyNumberFormat="1" applyFont="1" applyFill="1" applyBorder="1"/>
    <xf numFmtId="165" fontId="81" fillId="7" borderId="12" xfId="0" applyNumberFormat="1" applyFont="1" applyFill="1" applyBorder="1"/>
    <xf numFmtId="165" fontId="84" fillId="7" borderId="13" xfId="0" applyNumberFormat="1" applyFont="1" applyFill="1" applyBorder="1"/>
    <xf numFmtId="165" fontId="99" fillId="7" borderId="12" xfId="0" applyNumberFormat="1" applyFont="1" applyFill="1" applyBorder="1"/>
    <xf numFmtId="165" fontId="75" fillId="0" borderId="14" xfId="0" applyNumberFormat="1" applyFont="1" applyBorder="1"/>
    <xf numFmtId="165" fontId="75" fillId="0" borderId="4" xfId="0" applyNumberFormat="1" applyFont="1" applyBorder="1" applyAlignment="1">
      <alignment horizontal="center"/>
    </xf>
    <xf numFmtId="14" fontId="82" fillId="0" borderId="6" xfId="0" applyNumberFormat="1" applyFont="1" applyBorder="1" applyAlignment="1">
      <alignment horizontal="center"/>
    </xf>
    <xf numFmtId="0" fontId="92" fillId="0" borderId="4" xfId="0" applyFont="1" applyBorder="1"/>
    <xf numFmtId="14" fontId="85" fillId="0" borderId="0" xfId="0" applyNumberFormat="1" applyFont="1" applyAlignment="1">
      <alignment horizontal="center"/>
    </xf>
    <xf numFmtId="3" fontId="74" fillId="0" borderId="0" xfId="0" applyNumberFormat="1" applyFont="1" applyProtection="1">
      <protection locked="0"/>
    </xf>
    <xf numFmtId="165" fontId="89" fillId="0" borderId="4" xfId="0" applyNumberFormat="1" applyFont="1" applyBorder="1" applyAlignment="1" applyProtection="1">
      <alignment horizontal="center"/>
      <protection locked="0"/>
    </xf>
    <xf numFmtId="3" fontId="89" fillId="0" borderId="4" xfId="0" applyNumberFormat="1" applyFont="1" applyBorder="1" applyAlignment="1" applyProtection="1">
      <alignment horizontal="center"/>
      <protection locked="0"/>
    </xf>
    <xf numFmtId="3" fontId="89" fillId="0" borderId="6" xfId="0" applyNumberFormat="1" applyFont="1" applyBorder="1" applyAlignment="1" applyProtection="1">
      <alignment horizontal="center"/>
      <protection locked="0"/>
    </xf>
    <xf numFmtId="165" fontId="92" fillId="0" borderId="4" xfId="0" applyNumberFormat="1" applyFont="1" applyBorder="1" applyAlignment="1" applyProtection="1">
      <alignment horizontal="center"/>
      <protection locked="0"/>
    </xf>
    <xf numFmtId="167" fontId="89" fillId="0" borderId="6" xfId="0" applyNumberFormat="1" applyFont="1" applyBorder="1" applyAlignment="1" applyProtection="1">
      <alignment horizontal="center"/>
      <protection locked="0"/>
    </xf>
    <xf numFmtId="3" fontId="81" fillId="0" borderId="8" xfId="0" applyNumberFormat="1" applyFont="1" applyBorder="1" applyAlignment="1" applyProtection="1">
      <alignment horizontal="center"/>
      <protection locked="0"/>
    </xf>
    <xf numFmtId="3" fontId="75" fillId="0" borderId="4" xfId="0" applyNumberFormat="1" applyFont="1" applyBorder="1" applyAlignment="1" applyProtection="1">
      <alignment horizontal="left"/>
      <protection locked="0"/>
    </xf>
    <xf numFmtId="0" fontId="83" fillId="0" borderId="10" xfId="0" applyFont="1" applyBorder="1" applyProtection="1">
      <protection locked="0"/>
    </xf>
    <xf numFmtId="165" fontId="81" fillId="0" borderId="10" xfId="0" applyNumberFormat="1" applyFont="1" applyBorder="1" applyProtection="1">
      <protection locked="0"/>
    </xf>
    <xf numFmtId="3" fontId="81" fillId="0" borderId="10" xfId="0" applyNumberFormat="1" applyFont="1" applyBorder="1" applyProtection="1">
      <protection locked="0"/>
    </xf>
    <xf numFmtId="3" fontId="81" fillId="0" borderId="12" xfId="0" applyNumberFormat="1" applyFont="1" applyBorder="1" applyProtection="1">
      <protection locked="0"/>
    </xf>
    <xf numFmtId="3" fontId="81" fillId="7" borderId="10" xfId="0" applyNumberFormat="1" applyFont="1" applyFill="1" applyBorder="1" applyProtection="1">
      <protection locked="0"/>
    </xf>
    <xf numFmtId="165" fontId="84" fillId="7" borderId="10" xfId="0" applyNumberFormat="1" applyFont="1" applyFill="1" applyBorder="1" applyProtection="1">
      <protection locked="0"/>
    </xf>
    <xf numFmtId="165" fontId="85" fillId="7" borderId="10" xfId="0" applyNumberFormat="1" applyFont="1" applyFill="1" applyBorder="1" applyAlignment="1" applyProtection="1">
      <alignment horizontal="center"/>
      <protection locked="0"/>
    </xf>
    <xf numFmtId="165" fontId="86" fillId="7" borderId="12" xfId="0" applyNumberFormat="1" applyFont="1" applyFill="1" applyBorder="1" applyAlignment="1" applyProtection="1">
      <alignment horizontal="center"/>
      <protection locked="0"/>
    </xf>
    <xf numFmtId="165" fontId="91" fillId="7" borderId="12" xfId="0" applyNumberFormat="1" applyFont="1" applyFill="1" applyBorder="1" applyProtection="1">
      <protection locked="0"/>
    </xf>
    <xf numFmtId="165" fontId="85" fillId="7" borderId="12" xfId="0" applyNumberFormat="1" applyFont="1" applyFill="1" applyBorder="1" applyAlignment="1" applyProtection="1">
      <alignment horizontal="center"/>
      <protection locked="0"/>
    </xf>
    <xf numFmtId="165" fontId="82" fillId="7" borderId="12" xfId="0" applyNumberFormat="1" applyFont="1" applyFill="1" applyBorder="1" applyAlignment="1" applyProtection="1">
      <alignment horizontal="center"/>
      <protection locked="0"/>
    </xf>
    <xf numFmtId="165" fontId="99" fillId="7" borderId="12" xfId="0" applyNumberFormat="1" applyFont="1" applyFill="1" applyBorder="1" applyProtection="1">
      <protection locked="0"/>
    </xf>
    <xf numFmtId="167" fontId="81" fillId="3" borderId="12" xfId="0" applyNumberFormat="1" applyFont="1" applyFill="1" applyBorder="1" applyProtection="1">
      <protection locked="0"/>
    </xf>
    <xf numFmtId="165" fontId="75" fillId="0" borderId="0" xfId="0" applyNumberFormat="1" applyFont="1" applyAlignment="1" applyProtection="1">
      <alignment horizontal="center"/>
      <protection locked="0"/>
    </xf>
    <xf numFmtId="165" fontId="89" fillId="0" borderId="65" xfId="0" applyNumberFormat="1" applyFont="1" applyBorder="1" applyAlignment="1" applyProtection="1">
      <alignment horizontal="center"/>
      <protection locked="0"/>
    </xf>
    <xf numFmtId="165" fontId="75" fillId="0" borderId="14" xfId="0" applyNumberFormat="1" applyFont="1" applyBorder="1" applyAlignment="1" applyProtection="1">
      <alignment horizontal="center"/>
      <protection locked="0"/>
    </xf>
    <xf numFmtId="165" fontId="82" fillId="0" borderId="3" xfId="0" applyNumberFormat="1" applyFont="1" applyBorder="1" applyAlignment="1">
      <alignment horizontal="center"/>
    </xf>
    <xf numFmtId="165" fontId="82" fillId="0" borderId="7" xfId="0" applyNumberFormat="1" applyFont="1" applyBorder="1" applyAlignment="1">
      <alignment horizontal="center"/>
    </xf>
    <xf numFmtId="167" fontId="81" fillId="0" borderId="7" xfId="0" applyNumberFormat="1" applyFont="1" applyBorder="1" applyProtection="1">
      <protection locked="0"/>
    </xf>
    <xf numFmtId="14" fontId="75" fillId="0" borderId="2" xfId="0" applyNumberFormat="1" applyFont="1" applyBorder="1" applyAlignment="1" applyProtection="1">
      <alignment horizontal="left"/>
      <protection locked="0"/>
    </xf>
    <xf numFmtId="0" fontId="75" fillId="0" borderId="3" xfId="0" applyFont="1" applyBorder="1"/>
    <xf numFmtId="165" fontId="82" fillId="0" borderId="0" xfId="0" applyNumberFormat="1" applyFont="1" applyAlignment="1">
      <alignment horizontal="center"/>
    </xf>
    <xf numFmtId="0" fontId="74" fillId="0" borderId="1" xfId="0" applyFont="1" applyBorder="1" applyProtection="1">
      <protection locked="0"/>
    </xf>
    <xf numFmtId="165" fontId="89" fillId="0" borderId="3" xfId="0" applyNumberFormat="1" applyFont="1" applyBorder="1" applyAlignment="1" applyProtection="1">
      <alignment horizontal="center"/>
      <protection locked="0"/>
    </xf>
    <xf numFmtId="0" fontId="75" fillId="0" borderId="0" xfId="0" applyFont="1" applyAlignment="1" applyProtection="1">
      <alignment horizontal="left"/>
      <protection locked="0"/>
    </xf>
    <xf numFmtId="165" fontId="80" fillId="0" borderId="4" xfId="0" applyNumberFormat="1" applyFont="1" applyBorder="1" applyAlignment="1">
      <alignment horizontal="center"/>
    </xf>
    <xf numFmtId="165" fontId="75" fillId="0" borderId="4" xfId="0" applyNumberFormat="1" applyFont="1" applyBorder="1" applyAlignment="1" applyProtection="1">
      <alignment horizontal="left"/>
      <protection locked="0"/>
    </xf>
    <xf numFmtId="165" fontId="92" fillId="0" borderId="8" xfId="0" applyNumberFormat="1" applyFont="1" applyBorder="1"/>
    <xf numFmtId="14" fontId="89" fillId="0" borderId="4" xfId="0" applyNumberFormat="1" applyFont="1" applyBorder="1" applyAlignment="1" applyProtection="1">
      <alignment horizontal="left"/>
      <protection locked="0"/>
    </xf>
    <xf numFmtId="165" fontId="84" fillId="0" borderId="8" xfId="0" applyNumberFormat="1" applyFont="1" applyBorder="1"/>
    <xf numFmtId="14" fontId="85" fillId="0" borderId="4" xfId="0" applyNumberFormat="1" applyFont="1" applyBorder="1" applyAlignment="1">
      <alignment horizontal="center"/>
    </xf>
    <xf numFmtId="165" fontId="92" fillId="0" borderId="9" xfId="0" applyNumberFormat="1" applyFont="1" applyBorder="1" applyProtection="1">
      <protection locked="0"/>
    </xf>
    <xf numFmtId="165" fontId="75" fillId="0" borderId="2" xfId="0" applyNumberFormat="1" applyFont="1" applyBorder="1" applyAlignment="1" applyProtection="1">
      <alignment horizontal="center"/>
      <protection locked="0"/>
    </xf>
    <xf numFmtId="0" fontId="74" fillId="0" borderId="6" xfId="0" applyFont="1" applyBorder="1" applyProtection="1">
      <protection locked="0"/>
    </xf>
    <xf numFmtId="165" fontId="100" fillId="0" borderId="6" xfId="0" applyNumberFormat="1" applyFont="1" applyBorder="1" applyProtection="1">
      <protection locked="0"/>
    </xf>
    <xf numFmtId="165" fontId="100" fillId="0" borderId="6" xfId="0" applyNumberFormat="1" applyFont="1" applyBorder="1" applyAlignment="1">
      <alignment horizontal="center"/>
    </xf>
    <xf numFmtId="0" fontId="81" fillId="0" borderId="6" xfId="0" applyFont="1" applyBorder="1" applyProtection="1">
      <protection locked="0"/>
    </xf>
    <xf numFmtId="3" fontId="81" fillId="0" borderId="2" xfId="0" applyNumberFormat="1" applyFont="1" applyBorder="1" applyProtection="1">
      <protection locked="0"/>
    </xf>
    <xf numFmtId="3" fontId="81" fillId="0" borderId="7" xfId="0" applyNumberFormat="1" applyFont="1" applyBorder="1" applyProtection="1">
      <protection locked="0"/>
    </xf>
    <xf numFmtId="165" fontId="84" fillId="0" borderId="9" xfId="0" applyNumberFormat="1" applyFont="1" applyBorder="1" applyProtection="1">
      <protection locked="0"/>
    </xf>
    <xf numFmtId="165" fontId="87" fillId="0" borderId="4" xfId="0" applyNumberFormat="1" applyFont="1" applyBorder="1" applyProtection="1">
      <protection locked="0"/>
    </xf>
    <xf numFmtId="165" fontId="88" fillId="0" borderId="4" xfId="0" applyNumberFormat="1" applyFont="1" applyBorder="1"/>
    <xf numFmtId="165" fontId="92" fillId="0" borderId="8" xfId="0" applyNumberFormat="1" applyFont="1" applyBorder="1" applyProtection="1">
      <protection locked="0"/>
    </xf>
    <xf numFmtId="165" fontId="98" fillId="0" borderId="2" xfId="0" applyNumberFormat="1" applyFont="1" applyBorder="1" applyProtection="1">
      <protection locked="0"/>
    </xf>
    <xf numFmtId="165" fontId="87" fillId="0" borderId="2" xfId="0" applyNumberFormat="1" applyFont="1" applyBorder="1" applyProtection="1">
      <protection locked="0"/>
    </xf>
    <xf numFmtId="165" fontId="88" fillId="0" borderId="2" xfId="0" applyNumberFormat="1" applyFont="1" applyBorder="1" applyProtection="1">
      <protection locked="0"/>
    </xf>
    <xf numFmtId="165" fontId="88" fillId="0" borderId="2" xfId="0" applyNumberFormat="1" applyFont="1" applyBorder="1"/>
    <xf numFmtId="165" fontId="81" fillId="0" borderId="12" xfId="0" applyNumberFormat="1" applyFont="1" applyBorder="1" applyProtection="1">
      <protection locked="0"/>
    </xf>
    <xf numFmtId="165" fontId="81" fillId="7" borderId="12" xfId="0" applyNumberFormat="1" applyFont="1" applyFill="1" applyBorder="1" applyProtection="1">
      <protection locked="0"/>
    </xf>
    <xf numFmtId="165" fontId="84" fillId="5" borderId="10" xfId="0" applyNumberFormat="1" applyFont="1" applyFill="1" applyBorder="1" applyProtection="1">
      <protection locked="0"/>
    </xf>
    <xf numFmtId="165" fontId="90" fillId="7" borderId="10" xfId="0" applyNumberFormat="1" applyFont="1" applyFill="1" applyBorder="1" applyProtection="1">
      <protection locked="0"/>
    </xf>
    <xf numFmtId="165" fontId="91" fillId="7" borderId="10" xfId="0" applyNumberFormat="1" applyFont="1" applyFill="1" applyBorder="1" applyProtection="1">
      <protection locked="0"/>
    </xf>
    <xf numFmtId="165" fontId="85" fillId="7" borderId="12" xfId="0" applyNumberFormat="1" applyFont="1" applyFill="1" applyBorder="1" applyProtection="1">
      <protection locked="0"/>
    </xf>
    <xf numFmtId="165" fontId="85" fillId="7" borderId="12" xfId="0" applyNumberFormat="1" applyFont="1" applyFill="1" applyBorder="1"/>
    <xf numFmtId="165" fontId="81" fillId="0" borderId="4" xfId="0" applyNumberFormat="1" applyFont="1" applyBorder="1" applyAlignment="1">
      <alignment horizontal="right"/>
    </xf>
    <xf numFmtId="3" fontId="81" fillId="0" borderId="4" xfId="0" applyNumberFormat="1" applyFont="1" applyBorder="1" applyAlignment="1">
      <alignment horizontal="right"/>
    </xf>
    <xf numFmtId="165" fontId="84" fillId="0" borderId="4" xfId="0" applyNumberFormat="1" applyFont="1" applyBorder="1" applyAlignment="1">
      <alignment horizontal="right"/>
    </xf>
    <xf numFmtId="165" fontId="86" fillId="0" borderId="4" xfId="0" applyNumberFormat="1" applyFont="1" applyBorder="1" applyAlignment="1">
      <alignment horizontal="right"/>
    </xf>
    <xf numFmtId="165" fontId="91" fillId="0" borderId="4" xfId="0" applyNumberFormat="1" applyFont="1" applyBorder="1" applyAlignment="1">
      <alignment horizontal="right"/>
    </xf>
    <xf numFmtId="167" fontId="81" fillId="0" borderId="6" xfId="0" applyNumberFormat="1" applyFont="1" applyBorder="1" applyAlignment="1" applyProtection="1">
      <alignment horizontal="right"/>
      <protection locked="0"/>
    </xf>
    <xf numFmtId="0" fontId="81" fillId="0" borderId="9" xfId="0" applyFont="1" applyBorder="1" applyAlignment="1" applyProtection="1">
      <alignment horizontal="right"/>
      <protection locked="0"/>
    </xf>
    <xf numFmtId="0" fontId="81" fillId="0" borderId="8" xfId="0" applyFont="1" applyBorder="1" applyAlignment="1" applyProtection="1">
      <alignment horizontal="right"/>
      <protection locked="0"/>
    </xf>
    <xf numFmtId="165" fontId="89" fillId="0" borderId="0" xfId="0" applyNumberFormat="1" applyFont="1" applyAlignment="1" applyProtection="1">
      <alignment horizontal="center"/>
      <protection locked="0"/>
    </xf>
    <xf numFmtId="165" fontId="87" fillId="0" borderId="4" xfId="0" applyNumberFormat="1" applyFont="1" applyBorder="1" applyAlignment="1" applyProtection="1">
      <alignment horizontal="center"/>
      <protection locked="0"/>
    </xf>
    <xf numFmtId="3" fontId="89" fillId="0" borderId="4" xfId="0" applyNumberFormat="1" applyFont="1" applyBorder="1"/>
    <xf numFmtId="3" fontId="89" fillId="0" borderId="6" xfId="0" applyNumberFormat="1" applyFont="1" applyBorder="1"/>
    <xf numFmtId="165" fontId="89" fillId="0" borderId="9" xfId="0" applyNumberFormat="1" applyFont="1" applyBorder="1" applyAlignment="1" applyProtection="1">
      <alignment horizontal="center"/>
      <protection locked="0"/>
    </xf>
    <xf numFmtId="165" fontId="89" fillId="0" borderId="0" xfId="0" applyNumberFormat="1" applyFont="1" applyAlignment="1">
      <alignment horizontal="center"/>
    </xf>
    <xf numFmtId="165" fontId="87" fillId="0" borderId="4" xfId="0" applyNumberFormat="1" applyFont="1" applyBorder="1" applyAlignment="1">
      <alignment horizontal="center"/>
    </xf>
    <xf numFmtId="165" fontId="88" fillId="20" borderId="6" xfId="0" applyNumberFormat="1" applyFont="1" applyFill="1" applyBorder="1" applyAlignment="1">
      <alignment horizontal="center"/>
    </xf>
    <xf numFmtId="0" fontId="75" fillId="20" borderId="0" xfId="0" applyFont="1" applyFill="1"/>
    <xf numFmtId="165" fontId="86" fillId="0" borderId="8" xfId="0" applyNumberFormat="1" applyFont="1" applyBorder="1"/>
    <xf numFmtId="165" fontId="75" fillId="20" borderId="0" xfId="0" applyNumberFormat="1" applyFont="1" applyFill="1" applyProtection="1">
      <protection locked="0"/>
    </xf>
    <xf numFmtId="0" fontId="81" fillId="0" borderId="0" xfId="0" applyFont="1" applyAlignment="1" applyProtection="1">
      <alignment horizontal="left"/>
      <protection locked="0"/>
    </xf>
    <xf numFmtId="165" fontId="88" fillId="20" borderId="7" xfId="0" applyNumberFormat="1" applyFont="1" applyFill="1" applyBorder="1" applyAlignment="1" applyProtection="1">
      <alignment horizontal="center"/>
      <protection locked="0"/>
    </xf>
    <xf numFmtId="165" fontId="89" fillId="0" borderId="0" xfId="0" applyNumberFormat="1" applyFont="1" applyProtection="1">
      <protection locked="0"/>
    </xf>
    <xf numFmtId="165" fontId="98" fillId="0" borderId="0" xfId="0" applyNumberFormat="1" applyFont="1" applyAlignment="1">
      <alignment horizontal="center"/>
    </xf>
    <xf numFmtId="165" fontId="101" fillId="0" borderId="4" xfId="0" applyNumberFormat="1" applyFont="1" applyBorder="1" applyProtection="1">
      <protection locked="0"/>
    </xf>
    <xf numFmtId="167" fontId="88" fillId="0" borderId="6" xfId="0" applyNumberFormat="1" applyFont="1" applyBorder="1" applyProtection="1">
      <protection locked="0"/>
    </xf>
    <xf numFmtId="165" fontId="82" fillId="0" borderId="4" xfId="0" applyNumberFormat="1" applyFont="1" applyBorder="1" applyAlignment="1">
      <alignment horizontal="center"/>
    </xf>
    <xf numFmtId="165" fontId="88" fillId="0" borderId="4" xfId="0" applyNumberFormat="1" applyFont="1" applyBorder="1" applyAlignment="1" applyProtection="1">
      <alignment horizontal="center"/>
      <protection locked="0"/>
    </xf>
    <xf numFmtId="165" fontId="86" fillId="0" borderId="2" xfId="0" applyNumberFormat="1" applyFont="1" applyBorder="1" applyProtection="1">
      <protection locked="0"/>
    </xf>
    <xf numFmtId="165" fontId="91" fillId="0" borderId="2" xfId="0" applyNumberFormat="1" applyFont="1" applyBorder="1" applyProtection="1">
      <protection locked="0"/>
    </xf>
    <xf numFmtId="165" fontId="98" fillId="0" borderId="6" xfId="0" applyNumberFormat="1" applyFont="1" applyBorder="1" applyAlignment="1" applyProtection="1">
      <alignment horizontal="center"/>
      <protection locked="0"/>
    </xf>
    <xf numFmtId="165" fontId="90" fillId="0" borderId="6" xfId="0" applyNumberFormat="1" applyFont="1" applyBorder="1"/>
    <xf numFmtId="167" fontId="81" fillId="0" borderId="4" xfId="0" applyNumberFormat="1" applyFont="1" applyBorder="1"/>
    <xf numFmtId="165" fontId="90" fillId="0" borderId="2" xfId="0" applyNumberFormat="1" applyFont="1" applyBorder="1"/>
    <xf numFmtId="165" fontId="91" fillId="0" borderId="2" xfId="0" applyNumberFormat="1" applyFont="1" applyBorder="1"/>
    <xf numFmtId="165" fontId="81" fillId="0" borderId="12" xfId="0" applyNumberFormat="1" applyFont="1" applyBorder="1"/>
    <xf numFmtId="165" fontId="84" fillId="7" borderId="12" xfId="0" applyNumberFormat="1" applyFont="1" applyFill="1" applyBorder="1"/>
    <xf numFmtId="165" fontId="90" fillId="7" borderId="12" xfId="0" applyNumberFormat="1" applyFont="1" applyFill="1" applyBorder="1"/>
    <xf numFmtId="165" fontId="91" fillId="7" borderId="12" xfId="0" applyNumberFormat="1" applyFont="1" applyFill="1" applyBorder="1"/>
    <xf numFmtId="14" fontId="86" fillId="0" borderId="6" xfId="0" applyNumberFormat="1" applyFont="1" applyBorder="1" applyAlignment="1">
      <alignment horizontal="center"/>
    </xf>
    <xf numFmtId="14" fontId="91" fillId="0" borderId="6" xfId="0" applyNumberFormat="1" applyFont="1" applyBorder="1" applyAlignment="1">
      <alignment horizontal="center"/>
    </xf>
    <xf numFmtId="165" fontId="80" fillId="0" borderId="4" xfId="0" applyNumberFormat="1" applyFont="1" applyBorder="1"/>
    <xf numFmtId="165" fontId="87" fillId="0" borderId="4" xfId="0" applyNumberFormat="1" applyFont="1" applyBorder="1"/>
    <xf numFmtId="167" fontId="75" fillId="0" borderId="4" xfId="0" applyNumberFormat="1" applyFont="1" applyBorder="1"/>
    <xf numFmtId="165" fontId="86" fillId="0" borderId="6" xfId="0" applyNumberFormat="1" applyFont="1" applyBorder="1" applyAlignment="1" applyProtection="1">
      <alignment horizontal="center"/>
      <protection locked="0"/>
    </xf>
    <xf numFmtId="165" fontId="82" fillId="0" borderId="4" xfId="0" applyNumberFormat="1" applyFont="1" applyBorder="1" applyAlignment="1" applyProtection="1">
      <alignment horizontal="center"/>
      <protection locked="0"/>
    </xf>
    <xf numFmtId="165" fontId="85" fillId="0" borderId="8" xfId="0" applyNumberFormat="1" applyFont="1" applyBorder="1" applyAlignment="1">
      <alignment horizontal="center"/>
    </xf>
    <xf numFmtId="3" fontId="75" fillId="0" borderId="2" xfId="0" applyNumberFormat="1" applyFont="1" applyBorder="1" applyProtection="1">
      <protection locked="0"/>
    </xf>
    <xf numFmtId="3" fontId="75" fillId="0" borderId="7" xfId="0" applyNumberFormat="1" applyFont="1" applyBorder="1" applyProtection="1">
      <protection locked="0"/>
    </xf>
    <xf numFmtId="167" fontId="75" fillId="0" borderId="7" xfId="0" applyNumberFormat="1" applyFont="1" applyBorder="1" applyProtection="1">
      <protection locked="0"/>
    </xf>
    <xf numFmtId="3" fontId="81" fillId="0" borderId="6" xfId="0" applyNumberFormat="1" applyFont="1" applyBorder="1" applyProtection="1">
      <protection locked="0"/>
    </xf>
    <xf numFmtId="0" fontId="75" fillId="0" borderId="8" xfId="0" applyFont="1" applyBorder="1" applyProtection="1">
      <protection locked="0"/>
    </xf>
    <xf numFmtId="0" fontId="81" fillId="0" borderId="0" xfId="0" applyFont="1"/>
    <xf numFmtId="165" fontId="90" fillId="0" borderId="6" xfId="0" applyNumberFormat="1" applyFont="1" applyBorder="1" applyAlignment="1">
      <alignment horizontal="center"/>
    </xf>
    <xf numFmtId="165" fontId="91" fillId="0" borderId="6" xfId="0" applyNumberFormat="1" applyFont="1" applyBorder="1" applyAlignment="1">
      <alignment horizontal="center"/>
    </xf>
    <xf numFmtId="167" fontId="81" fillId="3" borderId="6" xfId="0" applyNumberFormat="1" applyFont="1" applyFill="1" applyBorder="1" applyProtection="1">
      <protection locked="0"/>
    </xf>
    <xf numFmtId="3" fontId="81" fillId="0" borderId="10" xfId="0" applyNumberFormat="1" applyFont="1" applyBorder="1"/>
    <xf numFmtId="3" fontId="81" fillId="0" borderId="12" xfId="0" applyNumberFormat="1" applyFont="1" applyBorder="1"/>
    <xf numFmtId="165" fontId="85" fillId="7" borderId="10" xfId="0" applyNumberFormat="1" applyFont="1" applyFill="1" applyBorder="1" applyAlignment="1">
      <alignment horizontal="center"/>
    </xf>
    <xf numFmtId="165" fontId="90" fillId="7" borderId="10" xfId="0" applyNumberFormat="1" applyFont="1" applyFill="1" applyBorder="1"/>
    <xf numFmtId="165" fontId="102" fillId="0" borderId="6" xfId="0" applyNumberFormat="1" applyFont="1" applyBorder="1" applyAlignment="1">
      <alignment horizontal="center"/>
    </xf>
    <xf numFmtId="0" fontId="75" fillId="0" borderId="6" xfId="0" applyFont="1" applyBorder="1"/>
    <xf numFmtId="0" fontId="75" fillId="0" borderId="4" xfId="0" applyFont="1" applyBorder="1"/>
    <xf numFmtId="165" fontId="80" fillId="0" borderId="0" xfId="0" applyNumberFormat="1" applyFont="1" applyAlignment="1">
      <alignment horizontal="center"/>
    </xf>
    <xf numFmtId="0" fontId="75" fillId="0" borderId="8" xfId="0" applyFont="1" applyBorder="1"/>
    <xf numFmtId="165" fontId="88" fillId="5" borderId="4" xfId="0" applyNumberFormat="1" applyFont="1" applyFill="1" applyBorder="1" applyAlignment="1">
      <alignment horizontal="center"/>
    </xf>
    <xf numFmtId="0" fontId="103" fillId="0" borderId="6" xfId="0" applyFont="1" applyBorder="1"/>
    <xf numFmtId="165" fontId="95" fillId="0" borderId="4" xfId="0" applyNumberFormat="1" applyFont="1" applyBorder="1"/>
    <xf numFmtId="165" fontId="85" fillId="0" borderId="8" xfId="0" applyNumberFormat="1" applyFont="1" applyBorder="1"/>
    <xf numFmtId="165" fontId="102" fillId="0" borderId="2" xfId="0" applyNumberFormat="1" applyFont="1" applyBorder="1" applyAlignment="1" applyProtection="1">
      <alignment horizontal="center"/>
      <protection locked="0"/>
    </xf>
    <xf numFmtId="165" fontId="102" fillId="0" borderId="6" xfId="0" applyNumberFormat="1" applyFont="1" applyBorder="1" applyAlignment="1" applyProtection="1">
      <alignment horizontal="center"/>
      <protection locked="0"/>
    </xf>
    <xf numFmtId="165" fontId="92" fillId="0" borderId="6" xfId="0" applyNumberFormat="1" applyFont="1" applyBorder="1" applyProtection="1">
      <protection locked="0"/>
    </xf>
    <xf numFmtId="165" fontId="98" fillId="0" borderId="0" xfId="0" applyNumberFormat="1" applyFont="1" applyAlignment="1" applyProtection="1">
      <alignment horizontal="center"/>
      <protection locked="0"/>
    </xf>
    <xf numFmtId="165" fontId="88" fillId="0" borderId="8" xfId="0" applyNumberFormat="1" applyFont="1" applyBorder="1" applyAlignment="1" applyProtection="1">
      <alignment horizontal="center"/>
      <protection locked="0"/>
    </xf>
    <xf numFmtId="165" fontId="88" fillId="0" borderId="8" xfId="0" applyNumberFormat="1" applyFont="1" applyBorder="1" applyAlignment="1">
      <alignment horizontal="center"/>
    </xf>
    <xf numFmtId="165" fontId="102" fillId="0" borderId="7" xfId="0" applyNumberFormat="1" applyFont="1" applyBorder="1" applyAlignment="1" applyProtection="1">
      <alignment horizontal="center"/>
      <protection locked="0"/>
    </xf>
    <xf numFmtId="165" fontId="96" fillId="0" borderId="6" xfId="0" applyNumberFormat="1" applyFont="1" applyBorder="1" applyAlignment="1" applyProtection="1">
      <alignment horizontal="center"/>
      <protection locked="0"/>
    </xf>
    <xf numFmtId="165" fontId="97" fillId="0" borderId="6" xfId="0" applyNumberFormat="1" applyFont="1" applyBorder="1" applyAlignment="1">
      <alignment horizontal="center"/>
    </xf>
    <xf numFmtId="165" fontId="95" fillId="0" borderId="6" xfId="0" applyNumberFormat="1" applyFont="1" applyBorder="1" applyAlignment="1">
      <alignment horizontal="center"/>
    </xf>
    <xf numFmtId="165" fontId="95" fillId="0" borderId="6" xfId="0" applyNumberFormat="1" applyFont="1" applyBorder="1" applyAlignment="1" applyProtection="1">
      <alignment horizontal="center"/>
      <protection locked="0"/>
    </xf>
    <xf numFmtId="165" fontId="81" fillId="3" borderId="12" xfId="0" applyNumberFormat="1" applyFont="1" applyFill="1" applyBorder="1"/>
    <xf numFmtId="165" fontId="95" fillId="7" borderId="12" xfId="0" applyNumberFormat="1" applyFont="1" applyFill="1" applyBorder="1"/>
    <xf numFmtId="165" fontId="80" fillId="0" borderId="4" xfId="0" applyNumberFormat="1" applyFont="1" applyBorder="1" applyAlignment="1" applyProtection="1">
      <alignment horizontal="center"/>
      <protection locked="0"/>
    </xf>
    <xf numFmtId="2" fontId="75" fillId="0" borderId="4" xfId="0" applyNumberFormat="1" applyFont="1" applyBorder="1" applyAlignment="1" applyProtection="1">
      <alignment horizontal="left"/>
      <protection locked="0"/>
    </xf>
    <xf numFmtId="165" fontId="86" fillId="0" borderId="4" xfId="0" applyNumberFormat="1" applyFont="1" applyBorder="1" applyAlignment="1">
      <alignment horizontal="center"/>
    </xf>
    <xf numFmtId="165" fontId="95" fillId="0" borderId="4" xfId="0" applyNumberFormat="1" applyFont="1" applyBorder="1" applyAlignment="1">
      <alignment horizontal="center"/>
    </xf>
    <xf numFmtId="165" fontId="75" fillId="0" borderId="9" xfId="0" applyNumberFormat="1" applyFont="1" applyBorder="1" applyProtection="1">
      <protection locked="0"/>
    </xf>
    <xf numFmtId="16" fontId="75" fillId="0" borderId="4" xfId="0" applyNumberFormat="1" applyFont="1" applyBorder="1" applyAlignment="1" applyProtection="1">
      <alignment horizontal="left"/>
      <protection locked="0"/>
    </xf>
    <xf numFmtId="14" fontId="85" fillId="0" borderId="6" xfId="0" applyNumberFormat="1" applyFont="1" applyBorder="1" applyAlignment="1" applyProtection="1">
      <alignment horizontal="center"/>
      <protection locked="0"/>
    </xf>
    <xf numFmtId="16" fontId="94" fillId="0" borderId="4" xfId="0" applyNumberFormat="1" applyFont="1" applyBorder="1" applyAlignment="1" applyProtection="1">
      <alignment horizontal="left"/>
      <protection locked="0"/>
    </xf>
    <xf numFmtId="165" fontId="88" fillId="0" borderId="2" xfId="0" applyNumberFormat="1" applyFont="1" applyBorder="1" applyAlignment="1">
      <alignment horizontal="center"/>
    </xf>
    <xf numFmtId="165" fontId="89" fillId="0" borderId="7" xfId="0" applyNumberFormat="1" applyFont="1" applyBorder="1" applyAlignment="1">
      <alignment horizontal="center"/>
    </xf>
    <xf numFmtId="165" fontId="89" fillId="0" borderId="2" xfId="0" applyNumberFormat="1" applyFont="1" applyBorder="1" applyAlignment="1">
      <alignment horizontal="center"/>
    </xf>
    <xf numFmtId="165" fontId="88" fillId="0" borderId="7" xfId="0" applyNumberFormat="1" applyFont="1" applyBorder="1" applyAlignment="1">
      <alignment horizontal="center"/>
    </xf>
    <xf numFmtId="0" fontId="83" fillId="0" borderId="4" xfId="0" applyFont="1" applyBorder="1" applyAlignment="1" applyProtection="1">
      <alignment horizontal="center"/>
      <protection locked="0"/>
    </xf>
    <xf numFmtId="165" fontId="85" fillId="0" borderId="6" xfId="0" applyNumberFormat="1" applyFont="1" applyBorder="1" applyAlignment="1">
      <alignment horizontal="center" wrapText="1"/>
    </xf>
    <xf numFmtId="165" fontId="81" fillId="0" borderId="19" xfId="0" applyNumberFormat="1" applyFont="1" applyBorder="1"/>
    <xf numFmtId="165" fontId="81" fillId="0" borderId="1" xfId="0" applyNumberFormat="1" applyFont="1" applyBorder="1"/>
    <xf numFmtId="165" fontId="81" fillId="3" borderId="5" xfId="0" applyNumberFormat="1" applyFont="1" applyFill="1" applyBorder="1"/>
    <xf numFmtId="165" fontId="95" fillId="7" borderId="10" xfId="0" applyNumberFormat="1" applyFont="1" applyFill="1" applyBorder="1"/>
    <xf numFmtId="167" fontId="81" fillId="3" borderId="5" xfId="0" applyNumberFormat="1" applyFont="1" applyFill="1" applyBorder="1" applyProtection="1">
      <protection locked="0"/>
    </xf>
    <xf numFmtId="0" fontId="81" fillId="0" borderId="19" xfId="0" applyFont="1" applyBorder="1" applyProtection="1">
      <protection locked="0"/>
    </xf>
    <xf numFmtId="10" fontId="75" fillId="0" borderId="1" xfId="0" applyNumberFormat="1" applyFont="1" applyBorder="1"/>
    <xf numFmtId="165" fontId="81" fillId="7" borderId="48" xfId="0" applyNumberFormat="1" applyFont="1" applyFill="1" applyBorder="1"/>
    <xf numFmtId="165" fontId="90" fillId="7" borderId="48" xfId="0" applyNumberFormat="1" applyFont="1" applyFill="1" applyBorder="1"/>
    <xf numFmtId="165" fontId="95" fillId="7" borderId="48" xfId="0" applyNumberFormat="1" applyFont="1" applyFill="1" applyBorder="1"/>
    <xf numFmtId="165" fontId="75" fillId="0" borderId="0" xfId="0" applyNumberFormat="1" applyFont="1" applyAlignment="1" applyProtection="1">
      <alignment horizontal="right"/>
      <protection locked="0"/>
    </xf>
    <xf numFmtId="165" fontId="88" fillId="0" borderId="0" xfId="0" applyNumberFormat="1" applyFont="1" applyAlignment="1" applyProtection="1">
      <alignment horizontal="center"/>
      <protection locked="0"/>
    </xf>
    <xf numFmtId="0" fontId="83" fillId="0" borderId="15" xfId="0" applyFont="1" applyBorder="1" applyProtection="1">
      <protection locked="0"/>
    </xf>
    <xf numFmtId="165" fontId="75" fillId="0" borderId="16" xfId="0" applyNumberFormat="1" applyFont="1" applyBorder="1"/>
    <xf numFmtId="165" fontId="75" fillId="0" borderId="20" xfId="0" applyNumberFormat="1" applyFont="1" applyBorder="1" applyProtection="1">
      <protection locked="0"/>
    </xf>
    <xf numFmtId="165" fontId="88" fillId="0" borderId="20" xfId="0" applyNumberFormat="1" applyFont="1" applyBorder="1" applyAlignment="1" applyProtection="1">
      <alignment horizontal="center"/>
      <protection locked="0"/>
    </xf>
    <xf numFmtId="165" fontId="89" fillId="0" borderId="20" xfId="0" applyNumberFormat="1" applyFont="1" applyBorder="1" applyAlignment="1" applyProtection="1">
      <alignment horizontal="center"/>
      <protection locked="0"/>
    </xf>
    <xf numFmtId="167" fontId="75" fillId="0" borderId="17" xfId="0" applyNumberFormat="1" applyFont="1" applyBorder="1"/>
    <xf numFmtId="0" fontId="81" fillId="0" borderId="17" xfId="0" applyFont="1" applyBorder="1" applyProtection="1">
      <protection locked="0"/>
    </xf>
    <xf numFmtId="165" fontId="75" fillId="0" borderId="17" xfId="0" applyNumberFormat="1" applyFont="1" applyBorder="1"/>
    <xf numFmtId="10" fontId="75" fillId="0" borderId="17" xfId="0" applyNumberFormat="1" applyFont="1" applyBorder="1"/>
    <xf numFmtId="0" fontId="75" fillId="0" borderId="16" xfId="0" applyFont="1" applyBorder="1" applyAlignment="1" applyProtection="1">
      <alignment horizontal="left"/>
      <protection locked="0"/>
    </xf>
    <xf numFmtId="165" fontId="102" fillId="0" borderId="6" xfId="0" applyNumberFormat="1" applyFont="1" applyBorder="1" applyProtection="1">
      <protection locked="0"/>
    </xf>
    <xf numFmtId="165" fontId="80" fillId="8" borderId="6" xfId="0" applyNumberFormat="1" applyFont="1" applyFill="1" applyBorder="1" applyAlignment="1">
      <alignment horizontal="center"/>
    </xf>
    <xf numFmtId="165" fontId="94" fillId="0" borderId="6" xfId="0" applyNumberFormat="1" applyFont="1" applyBorder="1" applyAlignment="1">
      <alignment horizontal="center"/>
    </xf>
    <xf numFmtId="0" fontId="75" fillId="0" borderId="4" xfId="0" applyFont="1" applyBorder="1" applyAlignment="1">
      <alignment horizontal="center"/>
    </xf>
    <xf numFmtId="165" fontId="86" fillId="8" borderId="6" xfId="0" applyNumberFormat="1" applyFont="1" applyFill="1" applyBorder="1" applyAlignment="1">
      <alignment horizontal="center"/>
    </xf>
    <xf numFmtId="165" fontId="85" fillId="0" borderId="20" xfId="0" applyNumberFormat="1" applyFont="1" applyBorder="1" applyAlignment="1">
      <alignment horizontal="center"/>
    </xf>
    <xf numFmtId="165" fontId="85" fillId="0" borderId="16" xfId="0" applyNumberFormat="1" applyFont="1" applyBorder="1" applyAlignment="1">
      <alignment horizontal="center"/>
    </xf>
    <xf numFmtId="167" fontId="81" fillId="3" borderId="10" xfId="0" applyNumberFormat="1" applyFont="1" applyFill="1" applyBorder="1" applyProtection="1">
      <protection locked="0"/>
    </xf>
    <xf numFmtId="0" fontId="75" fillId="0" borderId="12" xfId="0" applyFont="1" applyBorder="1" applyAlignment="1" applyProtection="1">
      <alignment horizontal="left"/>
      <protection locked="0"/>
    </xf>
    <xf numFmtId="0" fontId="83" fillId="0" borderId="0" xfId="0" applyFont="1" applyProtection="1">
      <protection locked="0"/>
    </xf>
    <xf numFmtId="165" fontId="82" fillId="0" borderId="0" xfId="0" applyNumberFormat="1" applyFont="1" applyProtection="1">
      <protection locked="0"/>
    </xf>
    <xf numFmtId="165" fontId="85" fillId="0" borderId="0" xfId="0" applyNumberFormat="1" applyFont="1" applyAlignment="1" applyProtection="1">
      <alignment horizontal="center"/>
      <protection locked="0"/>
    </xf>
    <xf numFmtId="165" fontId="82" fillId="0" borderId="0" xfId="0" applyNumberFormat="1" applyFont="1" applyAlignment="1" applyProtection="1">
      <alignment horizontal="center"/>
      <protection locked="0"/>
    </xf>
    <xf numFmtId="0" fontId="75" fillId="0" borderId="6" xfId="0" applyFont="1" applyBorder="1" applyAlignment="1" applyProtection="1">
      <alignment horizontal="left"/>
      <protection locked="0"/>
    </xf>
    <xf numFmtId="165" fontId="81" fillId="7" borderId="10" xfId="0" applyNumberFormat="1" applyFont="1" applyFill="1" applyBorder="1" applyProtection="1">
      <protection locked="0"/>
    </xf>
    <xf numFmtId="165" fontId="86" fillId="7" borderId="11" xfId="0" applyNumberFormat="1" applyFont="1" applyFill="1" applyBorder="1" applyAlignment="1" applyProtection="1">
      <alignment horizontal="center"/>
      <protection locked="0"/>
    </xf>
    <xf numFmtId="165" fontId="95" fillId="7" borderId="13" xfId="0" applyNumberFormat="1" applyFont="1" applyFill="1" applyBorder="1" applyAlignment="1" applyProtection="1">
      <alignment horizontal="center"/>
      <protection locked="0"/>
    </xf>
    <xf numFmtId="165" fontId="104" fillId="14" borderId="6" xfId="0" applyNumberFormat="1" applyFont="1" applyFill="1" applyBorder="1" applyAlignment="1" applyProtection="1">
      <alignment horizontal="center"/>
      <protection locked="0"/>
    </xf>
    <xf numFmtId="165" fontId="85" fillId="7" borderId="6" xfId="0" applyNumberFormat="1" applyFont="1" applyFill="1" applyBorder="1" applyAlignment="1" applyProtection="1">
      <alignment horizontal="center"/>
      <protection locked="0"/>
    </xf>
    <xf numFmtId="0" fontId="83" fillId="0" borderId="21" xfId="0" applyFont="1" applyBorder="1" applyProtection="1">
      <protection locked="0"/>
    </xf>
    <xf numFmtId="165" fontId="82" fillId="0" borderId="21" xfId="0" applyNumberFormat="1" applyFont="1" applyBorder="1" applyProtection="1">
      <protection locked="0"/>
    </xf>
    <xf numFmtId="165" fontId="81" fillId="0" borderId="21" xfId="0" applyNumberFormat="1" applyFont="1" applyBorder="1" applyProtection="1">
      <protection locked="0"/>
    </xf>
    <xf numFmtId="165" fontId="85" fillId="0" borderId="21" xfId="0" applyNumberFormat="1" applyFont="1" applyBorder="1" applyAlignment="1" applyProtection="1">
      <alignment horizontal="center"/>
      <protection locked="0"/>
    </xf>
    <xf numFmtId="165" fontId="82" fillId="0" borderId="21" xfId="0" applyNumberFormat="1" applyFont="1" applyBorder="1" applyAlignment="1" applyProtection="1">
      <alignment horizontal="center"/>
      <protection locked="0"/>
    </xf>
    <xf numFmtId="165" fontId="82" fillId="0" borderId="66" xfId="0" applyNumberFormat="1" applyFont="1" applyBorder="1" applyAlignment="1" applyProtection="1">
      <alignment horizontal="center"/>
      <protection locked="0"/>
    </xf>
    <xf numFmtId="167" fontId="75" fillId="0" borderId="21" xfId="0" applyNumberFormat="1" applyFont="1" applyBorder="1"/>
    <xf numFmtId="10" fontId="75" fillId="0" borderId="21" xfId="0" applyNumberFormat="1" applyFont="1" applyBorder="1"/>
    <xf numFmtId="0" fontId="75" fillId="0" borderId="22" xfId="0" applyFont="1" applyBorder="1" applyAlignment="1" applyProtection="1">
      <alignment horizontal="left"/>
      <protection locked="0"/>
    </xf>
    <xf numFmtId="0" fontId="83" fillId="0" borderId="8" xfId="0" applyFont="1" applyBorder="1" applyProtection="1">
      <protection locked="0"/>
    </xf>
    <xf numFmtId="165" fontId="82" fillId="0" borderId="6" xfId="0" applyNumberFormat="1" applyFont="1" applyBorder="1" applyProtection="1">
      <protection locked="0"/>
    </xf>
    <xf numFmtId="165" fontId="82" fillId="0" borderId="42" xfId="0" applyNumberFormat="1" applyFont="1" applyBorder="1" applyAlignment="1" applyProtection="1">
      <alignment horizontal="center"/>
      <protection locked="0"/>
    </xf>
    <xf numFmtId="165" fontId="75" fillId="0" borderId="4" xfId="0" applyNumberFormat="1" applyFont="1" applyBorder="1" applyAlignment="1" applyProtection="1">
      <alignment horizontal="right"/>
      <protection locked="0"/>
    </xf>
    <xf numFmtId="165" fontId="75" fillId="0" borderId="6" xfId="0" applyNumberFormat="1" applyFont="1" applyBorder="1" applyAlignment="1" applyProtection="1">
      <alignment horizontal="right"/>
      <protection locked="0"/>
    </xf>
    <xf numFmtId="165" fontId="105" fillId="0" borderId="4" xfId="0" applyNumberFormat="1" applyFont="1" applyBorder="1" applyAlignment="1" applyProtection="1">
      <alignment horizontal="right"/>
      <protection locked="0"/>
    </xf>
    <xf numFmtId="165" fontId="104" fillId="0" borderId="6" xfId="0" applyNumberFormat="1" applyFont="1" applyBorder="1" applyAlignment="1" applyProtection="1">
      <alignment horizontal="center"/>
      <protection locked="0"/>
    </xf>
    <xf numFmtId="165" fontId="104" fillId="0" borderId="6" xfId="0" quotePrefix="1" applyNumberFormat="1" applyFont="1" applyBorder="1" applyAlignment="1" applyProtection="1">
      <alignment horizontal="center"/>
      <protection locked="0"/>
    </xf>
    <xf numFmtId="0" fontId="75" fillId="0" borderId="0" xfId="0" applyFont="1" applyProtection="1">
      <protection locked="0"/>
    </xf>
    <xf numFmtId="0" fontId="83" fillId="0" borderId="9" xfId="0" applyFont="1" applyBorder="1" applyProtection="1">
      <protection locked="0"/>
    </xf>
    <xf numFmtId="165" fontId="105" fillId="0" borderId="2" xfId="0" applyNumberFormat="1" applyFont="1" applyBorder="1" applyProtection="1">
      <protection locked="0"/>
    </xf>
    <xf numFmtId="14" fontId="81" fillId="0" borderId="4" xfId="0" applyNumberFormat="1" applyFont="1" applyBorder="1" applyAlignment="1" applyProtection="1">
      <alignment horizontal="left"/>
      <protection locked="0"/>
    </xf>
    <xf numFmtId="0" fontId="83" fillId="0" borderId="12" xfId="0" applyFont="1" applyBorder="1"/>
    <xf numFmtId="165" fontId="106" fillId="7" borderId="10" xfId="0" applyNumberFormat="1" applyFont="1" applyFill="1" applyBorder="1"/>
    <xf numFmtId="165" fontId="85" fillId="7" borderId="12" xfId="0" applyNumberFormat="1" applyFont="1" applyFill="1" applyBorder="1" applyAlignment="1">
      <alignment horizontal="center"/>
    </xf>
    <xf numFmtId="0" fontId="83" fillId="0" borderId="18" xfId="0" applyFont="1" applyBorder="1" applyProtection="1">
      <protection locked="0"/>
    </xf>
    <xf numFmtId="165" fontId="75" fillId="0" borderId="18" xfId="0" applyNumberFormat="1" applyFont="1" applyBorder="1"/>
    <xf numFmtId="164" fontId="75" fillId="0" borderId="0" xfId="0" applyNumberFormat="1" applyFont="1" applyAlignment="1" applyProtection="1">
      <alignment horizontal="left"/>
      <protection locked="0"/>
    </xf>
    <xf numFmtId="0" fontId="83" fillId="0" borderId="3" xfId="0" applyFont="1" applyBorder="1" applyProtection="1">
      <protection locked="0"/>
    </xf>
    <xf numFmtId="165" fontId="75" fillId="0" borderId="3" xfId="0" applyNumberFormat="1" applyFont="1" applyBorder="1" applyProtection="1">
      <protection locked="0"/>
    </xf>
    <xf numFmtId="165" fontId="88" fillId="0" borderId="3" xfId="0" applyNumberFormat="1" applyFont="1" applyBorder="1" applyAlignment="1" applyProtection="1">
      <alignment horizontal="center"/>
      <protection locked="0"/>
    </xf>
    <xf numFmtId="0" fontId="81" fillId="0" borderId="3" xfId="0" applyFont="1" applyBorder="1" applyProtection="1">
      <protection locked="0"/>
    </xf>
    <xf numFmtId="10" fontId="75" fillId="0" borderId="3" xfId="0" applyNumberFormat="1" applyFont="1" applyBorder="1"/>
    <xf numFmtId="0" fontId="75" fillId="0" borderId="3" xfId="0" applyFont="1" applyBorder="1" applyAlignment="1" applyProtection="1">
      <alignment horizontal="left"/>
      <protection locked="0"/>
    </xf>
    <xf numFmtId="0" fontId="83" fillId="3" borderId="0" xfId="0" applyFont="1" applyFill="1" applyProtection="1">
      <protection locked="0"/>
    </xf>
    <xf numFmtId="165" fontId="81" fillId="3" borderId="4" xfId="0" applyNumberFormat="1" applyFont="1" applyFill="1" applyBorder="1" applyAlignment="1" applyProtection="1">
      <alignment horizontal="center"/>
      <protection locked="0"/>
    </xf>
    <xf numFmtId="165" fontId="81" fillId="3" borderId="0" xfId="0" applyNumberFormat="1" applyFont="1" applyFill="1" applyAlignment="1" applyProtection="1">
      <alignment horizontal="center"/>
      <protection locked="0"/>
    </xf>
    <xf numFmtId="165" fontId="81" fillId="3" borderId="6" xfId="0" applyNumberFormat="1" applyFont="1" applyFill="1" applyBorder="1" applyAlignment="1" applyProtection="1">
      <alignment horizontal="center"/>
      <protection locked="0"/>
    </xf>
    <xf numFmtId="165" fontId="85" fillId="3" borderId="6" xfId="0" applyNumberFormat="1" applyFont="1" applyFill="1" applyBorder="1" applyAlignment="1" applyProtection="1">
      <alignment horizontal="center"/>
      <protection locked="0"/>
    </xf>
    <xf numFmtId="165" fontId="82" fillId="3" borderId="6" xfId="0" applyNumberFormat="1" applyFont="1" applyFill="1" applyBorder="1" applyAlignment="1" applyProtection="1">
      <alignment horizontal="center"/>
      <protection locked="0"/>
    </xf>
    <xf numFmtId="165" fontId="99" fillId="3" borderId="1" xfId="0" applyNumberFormat="1" applyFont="1" applyFill="1" applyBorder="1" applyAlignment="1" applyProtection="1">
      <alignment horizontal="center"/>
      <protection locked="0"/>
    </xf>
    <xf numFmtId="165" fontId="84" fillId="3" borderId="1" xfId="0" applyNumberFormat="1" applyFont="1" applyFill="1" applyBorder="1" applyAlignment="1" applyProtection="1">
      <alignment horizontal="center"/>
      <protection locked="0"/>
    </xf>
    <xf numFmtId="165" fontId="82" fillId="3" borderId="1" xfId="0" applyNumberFormat="1" applyFont="1" applyFill="1" applyBorder="1" applyAlignment="1" applyProtection="1">
      <alignment horizontal="center"/>
      <protection locked="0"/>
    </xf>
    <xf numFmtId="0" fontId="81" fillId="3" borderId="0" xfId="0" applyFont="1" applyFill="1"/>
    <xf numFmtId="165" fontId="75" fillId="3" borderId="4" xfId="0" applyNumberFormat="1" applyFont="1" applyFill="1" applyBorder="1"/>
    <xf numFmtId="10" fontId="75" fillId="3" borderId="4" xfId="0" applyNumberFormat="1" applyFont="1" applyFill="1" applyBorder="1"/>
    <xf numFmtId="0" fontId="81" fillId="3" borderId="4" xfId="0" applyFont="1" applyFill="1" applyBorder="1" applyAlignment="1" applyProtection="1">
      <alignment horizontal="left"/>
      <protection locked="0"/>
    </xf>
    <xf numFmtId="0" fontId="83" fillId="3" borderId="3" xfId="0" applyFont="1" applyFill="1" applyBorder="1" applyProtection="1">
      <protection locked="0"/>
    </xf>
    <xf numFmtId="0" fontId="81" fillId="3" borderId="2" xfId="0" applyFont="1" applyFill="1" applyBorder="1" applyAlignment="1" applyProtection="1">
      <alignment horizontal="center"/>
      <protection locked="0"/>
    </xf>
    <xf numFmtId="0" fontId="81" fillId="3" borderId="3" xfId="0" applyFont="1" applyFill="1" applyBorder="1" applyAlignment="1" applyProtection="1">
      <alignment horizontal="center"/>
      <protection locked="0"/>
    </xf>
    <xf numFmtId="0" fontId="81" fillId="3" borderId="7" xfId="0" applyFont="1" applyFill="1" applyBorder="1" applyAlignment="1" applyProtection="1">
      <alignment horizontal="center"/>
      <protection locked="0"/>
    </xf>
    <xf numFmtId="165" fontId="81" fillId="3" borderId="7" xfId="0" applyNumberFormat="1" applyFont="1" applyFill="1" applyBorder="1" applyAlignment="1" applyProtection="1">
      <alignment horizontal="center"/>
      <protection locked="0"/>
    </xf>
    <xf numFmtId="165" fontId="85" fillId="3" borderId="7" xfId="0" applyNumberFormat="1" applyFont="1" applyFill="1" applyBorder="1" applyAlignment="1" applyProtection="1">
      <alignment horizontal="center"/>
      <protection locked="0"/>
    </xf>
    <xf numFmtId="165" fontId="82" fillId="3" borderId="7" xfId="0" applyNumberFormat="1" applyFont="1" applyFill="1" applyBorder="1" applyAlignment="1" applyProtection="1">
      <alignment horizontal="center"/>
      <protection locked="0"/>
    </xf>
    <xf numFmtId="165" fontId="99" fillId="3" borderId="2" xfId="0" applyNumberFormat="1" applyFont="1" applyFill="1" applyBorder="1" applyAlignment="1" applyProtection="1">
      <alignment horizontal="center"/>
      <protection locked="0"/>
    </xf>
    <xf numFmtId="165" fontId="84" fillId="3" borderId="2" xfId="0" applyNumberFormat="1" applyFont="1" applyFill="1" applyBorder="1" applyAlignment="1" applyProtection="1">
      <alignment horizontal="center"/>
      <protection locked="0"/>
    </xf>
    <xf numFmtId="167" fontId="81" fillId="3" borderId="7" xfId="0" applyNumberFormat="1" applyFont="1" applyFill="1" applyBorder="1" applyAlignment="1" applyProtection="1">
      <alignment horizontal="centerContinuous"/>
      <protection locked="0"/>
    </xf>
    <xf numFmtId="0" fontId="81" fillId="3" borderId="3" xfId="0" applyFont="1" applyFill="1" applyBorder="1"/>
    <xf numFmtId="165" fontId="75" fillId="3" borderId="2" xfId="0" applyNumberFormat="1" applyFont="1" applyFill="1" applyBorder="1"/>
    <xf numFmtId="10" fontId="75" fillId="3" borderId="2" xfId="0" applyNumberFormat="1" applyFont="1" applyFill="1" applyBorder="1"/>
    <xf numFmtId="0" fontId="81" fillId="3" borderId="2" xfId="0" applyFont="1" applyFill="1" applyBorder="1" applyAlignment="1" applyProtection="1">
      <alignment horizontal="left"/>
      <protection locked="0"/>
    </xf>
    <xf numFmtId="167" fontId="75" fillId="0" borderId="1" xfId="0" applyNumberFormat="1" applyFont="1" applyBorder="1"/>
    <xf numFmtId="167" fontId="75" fillId="0" borderId="19" xfId="0" applyNumberFormat="1" applyFont="1" applyBorder="1"/>
    <xf numFmtId="167" fontId="75" fillId="0" borderId="1" xfId="0" applyNumberFormat="1" applyFont="1" applyBorder="1" applyProtection="1">
      <protection locked="0"/>
    </xf>
    <xf numFmtId="165" fontId="75" fillId="0" borderId="1" xfId="0" applyNumberFormat="1" applyFont="1" applyBorder="1" applyProtection="1">
      <protection locked="0"/>
    </xf>
    <xf numFmtId="165" fontId="88" fillId="0" borderId="1" xfId="0" applyNumberFormat="1" applyFont="1" applyBorder="1" applyAlignment="1" applyProtection="1">
      <alignment horizontal="center"/>
      <protection locked="0"/>
    </xf>
    <xf numFmtId="165" fontId="89" fillId="0" borderId="1" xfId="0" applyNumberFormat="1" applyFont="1" applyBorder="1" applyAlignment="1" applyProtection="1">
      <alignment horizontal="center"/>
      <protection locked="0"/>
    </xf>
    <xf numFmtId="167" fontId="107" fillId="0" borderId="6" xfId="0" applyNumberFormat="1" applyFont="1" applyBorder="1"/>
    <xf numFmtId="165" fontId="101" fillId="0" borderId="6" xfId="0" applyNumberFormat="1" applyFont="1" applyBorder="1" applyAlignment="1">
      <alignment horizontal="center"/>
    </xf>
    <xf numFmtId="10" fontId="75" fillId="0" borderId="0" xfId="0" applyNumberFormat="1" applyFont="1" applyProtection="1">
      <protection locked="0"/>
    </xf>
    <xf numFmtId="0" fontId="74" fillId="0" borderId="23" xfId="0" applyFont="1" applyBorder="1"/>
    <xf numFmtId="3" fontId="75" fillId="0" borderId="1" xfId="0" applyNumberFormat="1" applyFont="1" applyBorder="1"/>
    <xf numFmtId="165" fontId="89" fillId="0" borderId="1" xfId="0" applyNumberFormat="1" applyFont="1" applyBorder="1"/>
    <xf numFmtId="10" fontId="75" fillId="0" borderId="23" xfId="0" applyNumberFormat="1" applyFont="1" applyBorder="1" applyProtection="1">
      <protection locked="0"/>
    </xf>
    <xf numFmtId="0" fontId="74" fillId="0" borderId="12" xfId="0" applyFont="1" applyBorder="1"/>
    <xf numFmtId="165" fontId="75" fillId="0" borderId="13" xfId="0" applyNumberFormat="1" applyFont="1" applyBorder="1"/>
    <xf numFmtId="165" fontId="75" fillId="0" borderId="12" xfId="0" applyNumberFormat="1" applyFont="1" applyBorder="1"/>
    <xf numFmtId="165" fontId="88" fillId="0" borderId="13" xfId="0" applyNumberFormat="1" applyFont="1" applyBorder="1" applyAlignment="1">
      <alignment horizontal="center"/>
    </xf>
    <xf numFmtId="10" fontId="89" fillId="0" borderId="12" xfId="0" applyNumberFormat="1" applyFont="1" applyBorder="1"/>
    <xf numFmtId="10" fontId="88" fillId="0" borderId="10" xfId="0" applyNumberFormat="1" applyFont="1" applyBorder="1"/>
    <xf numFmtId="167" fontId="75" fillId="0" borderId="13" xfId="0" applyNumberFormat="1" applyFont="1" applyBorder="1" applyProtection="1">
      <protection locked="0"/>
    </xf>
    <xf numFmtId="0" fontId="81" fillId="0" borderId="12" xfId="0" applyFont="1" applyBorder="1" applyProtection="1">
      <protection locked="0"/>
    </xf>
    <xf numFmtId="0" fontId="75" fillId="0" borderId="12" xfId="0" applyFont="1" applyBorder="1" applyProtection="1">
      <protection locked="0"/>
    </xf>
    <xf numFmtId="0" fontId="74" fillId="2" borderId="23" xfId="0" applyFont="1" applyFill="1" applyBorder="1" applyProtection="1">
      <protection locked="0"/>
    </xf>
    <xf numFmtId="165" fontId="75" fillId="2" borderId="23" xfId="0" applyNumberFormat="1" applyFont="1" applyFill="1" applyBorder="1"/>
    <xf numFmtId="165" fontId="75" fillId="2" borderId="23" xfId="0" applyNumberFormat="1" applyFont="1" applyFill="1" applyBorder="1" applyAlignment="1" applyProtection="1">
      <alignment horizontal="center"/>
      <protection locked="0"/>
    </xf>
    <xf numFmtId="165" fontId="89" fillId="2" borderId="23" xfId="0" applyNumberFormat="1" applyFont="1" applyFill="1" applyBorder="1" applyAlignment="1" applyProtection="1">
      <alignment horizontal="center"/>
      <protection locked="0"/>
    </xf>
    <xf numFmtId="165" fontId="75" fillId="2" borderId="23" xfId="0" applyNumberFormat="1" applyFont="1" applyFill="1" applyBorder="1" applyProtection="1">
      <protection locked="0"/>
    </xf>
    <xf numFmtId="0" fontId="81" fillId="2" borderId="23" xfId="0" applyFont="1" applyFill="1" applyBorder="1" applyProtection="1">
      <protection locked="0"/>
    </xf>
    <xf numFmtId="0" fontId="75" fillId="2" borderId="23" xfId="0" applyFont="1" applyFill="1" applyBorder="1" applyProtection="1">
      <protection locked="0"/>
    </xf>
    <xf numFmtId="0" fontId="75" fillId="2" borderId="23" xfId="0" applyFont="1" applyFill="1" applyBorder="1" applyAlignment="1" applyProtection="1">
      <alignment horizontal="left"/>
      <protection locked="0"/>
    </xf>
    <xf numFmtId="0" fontId="75" fillId="10" borderId="23" xfId="0" applyFont="1" applyFill="1" applyBorder="1"/>
    <xf numFmtId="0" fontId="74" fillId="2" borderId="0" xfId="0" applyFont="1" applyFill="1" applyProtection="1">
      <protection locked="0"/>
    </xf>
    <xf numFmtId="165" fontId="75" fillId="2" borderId="0" xfId="0" applyNumberFormat="1" applyFont="1" applyFill="1"/>
    <xf numFmtId="165" fontId="75" fillId="2" borderId="0" xfId="0" applyNumberFormat="1" applyFont="1" applyFill="1" applyProtection="1">
      <protection locked="0"/>
    </xf>
    <xf numFmtId="0" fontId="81" fillId="2" borderId="0" xfId="0" applyFont="1" applyFill="1" applyProtection="1">
      <protection locked="0"/>
    </xf>
    <xf numFmtId="0" fontId="75" fillId="2" borderId="0" xfId="0" applyFont="1" applyFill="1" applyProtection="1">
      <protection locked="0"/>
    </xf>
    <xf numFmtId="0" fontId="75" fillId="10" borderId="0" xfId="0" applyFont="1" applyFill="1"/>
    <xf numFmtId="0" fontId="74" fillId="2" borderId="21" xfId="0" applyFont="1" applyFill="1" applyBorder="1" applyProtection="1">
      <protection locked="0"/>
    </xf>
    <xf numFmtId="165" fontId="75" fillId="2" borderId="21" xfId="0" applyNumberFormat="1" applyFont="1" applyFill="1" applyBorder="1"/>
    <xf numFmtId="165" fontId="75" fillId="2" borderId="21" xfId="0" applyNumberFormat="1" applyFont="1" applyFill="1" applyBorder="1" applyProtection="1">
      <protection locked="0"/>
    </xf>
    <xf numFmtId="0" fontId="81" fillId="2" borderId="21" xfId="0" applyFont="1" applyFill="1" applyBorder="1" applyProtection="1">
      <protection locked="0"/>
    </xf>
    <xf numFmtId="0" fontId="75" fillId="2" borderId="21" xfId="0" applyFont="1" applyFill="1" applyBorder="1" applyProtection="1">
      <protection locked="0"/>
    </xf>
    <xf numFmtId="0" fontId="75" fillId="2" borderId="21" xfId="0" applyFont="1" applyFill="1" applyBorder="1" applyAlignment="1" applyProtection="1">
      <alignment horizontal="left"/>
      <protection locked="0"/>
    </xf>
    <xf numFmtId="0" fontId="75" fillId="10" borderId="21" xfId="0" applyFont="1" applyFill="1" applyBorder="1"/>
    <xf numFmtId="172" fontId="79" fillId="0" borderId="0" xfId="0" applyNumberFormat="1" applyFont="1" applyProtection="1">
      <protection locked="0"/>
    </xf>
    <xf numFmtId="165" fontId="108" fillId="0" borderId="0" xfId="0" applyNumberFormat="1" applyFont="1" applyProtection="1">
      <protection locked="0"/>
    </xf>
    <xf numFmtId="165" fontId="109" fillId="0" borderId="33" xfId="0" applyNumberFormat="1" applyFont="1" applyBorder="1" applyProtection="1">
      <protection locked="0"/>
    </xf>
    <xf numFmtId="0" fontId="109" fillId="0" borderId="33" xfId="0" applyFont="1" applyBorder="1" applyProtection="1">
      <protection locked="0"/>
    </xf>
    <xf numFmtId="165" fontId="109" fillId="0" borderId="33" xfId="0" applyNumberFormat="1" applyFont="1" applyBorder="1"/>
    <xf numFmtId="165" fontId="110" fillId="0" borderId="26" xfId="0" applyNumberFormat="1" applyFont="1" applyBorder="1" applyProtection="1">
      <protection locked="0"/>
    </xf>
    <xf numFmtId="165" fontId="111" fillId="0" borderId="33" xfId="0" applyNumberFormat="1" applyFont="1" applyBorder="1" applyProtection="1">
      <protection locked="0"/>
    </xf>
    <xf numFmtId="165" fontId="112" fillId="0" borderId="0" xfId="0" applyNumberFormat="1" applyFont="1"/>
    <xf numFmtId="165" fontId="110" fillId="0" borderId="33" xfId="0" applyNumberFormat="1" applyFont="1" applyBorder="1" applyProtection="1">
      <protection locked="0"/>
    </xf>
    <xf numFmtId="165" fontId="111" fillId="0" borderId="33" xfId="0" applyNumberFormat="1" applyFont="1" applyBorder="1"/>
    <xf numFmtId="0" fontId="111" fillId="0" borderId="33" xfId="0" applyFont="1" applyBorder="1" applyProtection="1">
      <protection locked="0"/>
    </xf>
    <xf numFmtId="0" fontId="111" fillId="0" borderId="25" xfId="0" applyFont="1" applyBorder="1" applyAlignment="1" applyProtection="1">
      <alignment horizontal="left"/>
      <protection locked="0"/>
    </xf>
    <xf numFmtId="0" fontId="113" fillId="0" borderId="0" xfId="0" applyFont="1"/>
    <xf numFmtId="165" fontId="114" fillId="0" borderId="0" xfId="0" applyNumberFormat="1" applyFont="1" applyProtection="1">
      <protection locked="0"/>
    </xf>
    <xf numFmtId="165" fontId="109" fillId="0" borderId="0" xfId="0" applyNumberFormat="1" applyFont="1" applyProtection="1">
      <protection locked="0"/>
    </xf>
    <xf numFmtId="0" fontId="109" fillId="0" borderId="0" xfId="0" applyFont="1" applyProtection="1">
      <protection locked="0"/>
    </xf>
    <xf numFmtId="165" fontId="109" fillId="0" borderId="0" xfId="0" applyNumberFormat="1" applyFont="1"/>
    <xf numFmtId="165" fontId="110" fillId="0" borderId="29" xfId="0" applyNumberFormat="1" applyFont="1" applyBorder="1" applyProtection="1">
      <protection locked="0"/>
    </xf>
    <xf numFmtId="165" fontId="115" fillId="0" borderId="0" xfId="0" applyNumberFormat="1" applyFont="1" applyProtection="1">
      <protection locked="0"/>
    </xf>
    <xf numFmtId="165" fontId="110" fillId="0" borderId="0" xfId="0" applyNumberFormat="1" applyFont="1" applyProtection="1">
      <protection locked="0"/>
    </xf>
    <xf numFmtId="165" fontId="111" fillId="0" borderId="0" xfId="0" applyNumberFormat="1" applyFont="1" applyProtection="1">
      <protection locked="0"/>
    </xf>
    <xf numFmtId="165" fontId="111" fillId="0" borderId="0" xfId="0" applyNumberFormat="1" applyFont="1"/>
    <xf numFmtId="0" fontId="111" fillId="0" borderId="0" xfId="0" applyFont="1" applyProtection="1">
      <protection locked="0"/>
    </xf>
    <xf numFmtId="165" fontId="111" fillId="0" borderId="28" xfId="0" applyNumberFormat="1" applyFont="1" applyBorder="1" applyAlignment="1" applyProtection="1">
      <alignment horizontal="left"/>
      <protection locked="0"/>
    </xf>
    <xf numFmtId="165" fontId="110" fillId="0" borderId="32" xfId="0" applyNumberFormat="1" applyFont="1" applyBorder="1" applyProtection="1">
      <protection locked="0"/>
    </xf>
    <xf numFmtId="165" fontId="115" fillId="0" borderId="21" xfId="0" applyNumberFormat="1" applyFont="1" applyBorder="1" applyProtection="1">
      <protection locked="0"/>
    </xf>
    <xf numFmtId="165" fontId="110" fillId="0" borderId="3" xfId="0" applyNumberFormat="1" applyFont="1" applyBorder="1" applyProtection="1">
      <protection locked="0"/>
    </xf>
    <xf numFmtId="165" fontId="111" fillId="0" borderId="21" xfId="0" applyNumberFormat="1" applyFont="1" applyBorder="1"/>
    <xf numFmtId="167" fontId="116" fillId="0" borderId="0" xfId="0" applyNumberFormat="1" applyFont="1"/>
    <xf numFmtId="0" fontId="117" fillId="10" borderId="27" xfId="0" applyFont="1" applyFill="1" applyBorder="1"/>
    <xf numFmtId="1" fontId="117" fillId="10" borderId="24" xfId="0" applyNumberFormat="1" applyFont="1" applyFill="1" applyBorder="1" applyAlignment="1">
      <alignment horizontal="center"/>
    </xf>
    <xf numFmtId="1" fontId="117" fillId="10" borderId="26" xfId="0" applyNumberFormat="1" applyFont="1" applyFill="1" applyBorder="1" applyAlignment="1">
      <alignment horizontal="center"/>
    </xf>
    <xf numFmtId="1" fontId="117" fillId="10" borderId="29" xfId="0" applyNumberFormat="1" applyFont="1" applyFill="1" applyBorder="1" applyAlignment="1">
      <alignment horizontal="center"/>
    </xf>
    <xf numFmtId="0" fontId="116" fillId="0" borderId="0" xfId="0" applyFont="1"/>
    <xf numFmtId="1" fontId="117" fillId="10" borderId="27" xfId="0" applyNumberFormat="1" applyFont="1" applyFill="1" applyBorder="1" applyAlignment="1">
      <alignment horizontal="center"/>
    </xf>
    <xf numFmtId="0" fontId="117" fillId="10" borderId="30" xfId="0" applyFont="1" applyFill="1" applyBorder="1"/>
    <xf numFmtId="1" fontId="117" fillId="10" borderId="30" xfId="0" applyNumberFormat="1" applyFont="1" applyFill="1" applyBorder="1" applyAlignment="1">
      <alignment horizontal="center"/>
    </xf>
    <xf numFmtId="1" fontId="117" fillId="10" borderId="32" xfId="0" applyNumberFormat="1" applyFont="1" applyFill="1" applyBorder="1" applyAlignment="1">
      <alignment horizontal="center"/>
    </xf>
    <xf numFmtId="0" fontId="118" fillId="0" borderId="27" xfId="0" applyFont="1" applyBorder="1"/>
    <xf numFmtId="165" fontId="112" fillId="0" borderId="27" xfId="0" applyNumberFormat="1" applyFont="1" applyBorder="1"/>
    <xf numFmtId="165" fontId="112" fillId="0" borderId="29" xfId="0" applyNumberFormat="1" applyFont="1" applyBorder="1"/>
    <xf numFmtId="165" fontId="112" fillId="0" borderId="26" xfId="0" applyNumberFormat="1" applyFont="1" applyBorder="1"/>
    <xf numFmtId="165" fontId="112" fillId="0" borderId="24" xfId="0" applyNumberFormat="1" applyFont="1" applyBorder="1"/>
    <xf numFmtId="165" fontId="112" fillId="0" borderId="25" xfId="0" applyNumberFormat="1" applyFont="1" applyBorder="1"/>
    <xf numFmtId="0" fontId="121" fillId="9" borderId="19" xfId="0" applyFont="1" applyFill="1" applyBorder="1"/>
    <xf numFmtId="0" fontId="121" fillId="9" borderId="23" xfId="0" applyFont="1" applyFill="1" applyBorder="1" applyAlignment="1">
      <alignment horizontal="center"/>
    </xf>
    <xf numFmtId="0" fontId="121" fillId="9" borderId="5" xfId="0" applyFont="1" applyFill="1" applyBorder="1" applyAlignment="1">
      <alignment horizontal="center"/>
    </xf>
    <xf numFmtId="165" fontId="112" fillId="0" borderId="28" xfId="0" applyNumberFormat="1" applyFont="1" applyBorder="1"/>
    <xf numFmtId="0" fontId="113" fillId="9" borderId="8" xfId="0" applyFont="1" applyFill="1" applyBorder="1"/>
    <xf numFmtId="0" fontId="113" fillId="9" borderId="0" xfId="0" applyFont="1" applyFill="1"/>
    <xf numFmtId="0" fontId="121" fillId="9" borderId="0" xfId="0" applyFont="1" applyFill="1" applyAlignment="1">
      <alignment horizontal="center"/>
    </xf>
    <xf numFmtId="0" fontId="113" fillId="9" borderId="6" xfId="0" applyFont="1" applyFill="1" applyBorder="1"/>
    <xf numFmtId="0" fontId="123" fillId="0" borderId="27" xfId="0" applyFont="1" applyBorder="1"/>
    <xf numFmtId="3" fontId="112" fillId="0" borderId="27" xfId="0" applyNumberFormat="1" applyFont="1" applyBorder="1"/>
    <xf numFmtId="10" fontId="112" fillId="0" borderId="28" xfId="3" applyNumberFormat="1" applyFont="1" applyBorder="1"/>
    <xf numFmtId="0" fontId="121" fillId="8" borderId="19" xfId="0" applyFont="1" applyFill="1" applyBorder="1"/>
    <xf numFmtId="0" fontId="113" fillId="8" borderId="23" xfId="0" applyFont="1" applyFill="1" applyBorder="1"/>
    <xf numFmtId="0" fontId="113" fillId="8" borderId="5" xfId="0" applyFont="1" applyFill="1" applyBorder="1"/>
    <xf numFmtId="165" fontId="113" fillId="0" borderId="0" xfId="0" applyNumberFormat="1" applyFont="1"/>
    <xf numFmtId="0" fontId="113" fillId="8" borderId="8" xfId="0" applyFont="1" applyFill="1" applyBorder="1"/>
    <xf numFmtId="165" fontId="113" fillId="8" borderId="0" xfId="0" applyNumberFormat="1" applyFont="1" applyFill="1"/>
    <xf numFmtId="2" fontId="113" fillId="8" borderId="6" xfId="0" applyNumberFormat="1" applyFont="1" applyFill="1" applyBorder="1" applyAlignment="1">
      <alignment horizontal="center"/>
    </xf>
    <xf numFmtId="165" fontId="123" fillId="0" borderId="27" xfId="0" applyNumberFormat="1" applyFont="1" applyBorder="1"/>
    <xf numFmtId="165" fontId="122" fillId="0" borderId="29" xfId="0" applyNumberFormat="1" applyFont="1" applyBorder="1"/>
    <xf numFmtId="0" fontId="121" fillId="8" borderId="8" xfId="0" applyFont="1" applyFill="1" applyBorder="1"/>
    <xf numFmtId="0" fontId="113" fillId="8" borderId="0" xfId="0" applyFont="1" applyFill="1"/>
    <xf numFmtId="0" fontId="113" fillId="8" borderId="6" xfId="0" applyFont="1" applyFill="1" applyBorder="1" applyAlignment="1">
      <alignment horizontal="center"/>
    </xf>
    <xf numFmtId="167" fontId="113" fillId="8" borderId="0" xfId="0" applyNumberFormat="1" applyFont="1" applyFill="1"/>
    <xf numFmtId="0" fontId="113" fillId="8" borderId="6" xfId="0" applyFont="1" applyFill="1" applyBorder="1"/>
    <xf numFmtId="0" fontId="121" fillId="8" borderId="8" xfId="0" applyFont="1" applyFill="1" applyBorder="1" applyAlignment="1">
      <alignment horizontal="center"/>
    </xf>
    <xf numFmtId="165" fontId="112" fillId="8" borderId="62" xfId="0" applyNumberFormat="1" applyFont="1" applyFill="1" applyBorder="1"/>
    <xf numFmtId="165" fontId="112" fillId="8" borderId="40" xfId="0" applyNumberFormat="1" applyFont="1" applyFill="1" applyBorder="1"/>
    <xf numFmtId="165" fontId="112" fillId="8" borderId="63" xfId="0" applyNumberFormat="1" applyFont="1" applyFill="1" applyBorder="1"/>
    <xf numFmtId="165" fontId="112" fillId="8" borderId="56" xfId="0" applyNumberFormat="1" applyFont="1" applyFill="1" applyBorder="1"/>
    <xf numFmtId="165" fontId="112" fillId="8" borderId="17" xfId="0" applyNumberFormat="1" applyFont="1" applyFill="1" applyBorder="1"/>
    <xf numFmtId="10" fontId="112" fillId="8" borderId="17" xfId="3" applyNumberFormat="1" applyFont="1" applyFill="1" applyBorder="1"/>
    <xf numFmtId="10" fontId="113" fillId="8" borderId="6" xfId="0" applyNumberFormat="1" applyFont="1" applyFill="1" applyBorder="1"/>
    <xf numFmtId="165" fontId="112" fillId="0" borderId="41" xfId="0" applyNumberFormat="1" applyFont="1" applyBorder="1"/>
    <xf numFmtId="165" fontId="112" fillId="0" borderId="69" xfId="0" applyNumberFormat="1" applyFont="1" applyBorder="1"/>
    <xf numFmtId="165" fontId="112" fillId="0" borderId="70" xfId="0" applyNumberFormat="1" applyFont="1" applyBorder="1"/>
    <xf numFmtId="165" fontId="124" fillId="0" borderId="28" xfId="0" applyNumberFormat="1" applyFont="1" applyBorder="1"/>
    <xf numFmtId="0" fontId="113" fillId="8" borderId="8" xfId="0" applyFont="1" applyFill="1" applyBorder="1" applyAlignment="1">
      <alignment horizontal="center"/>
    </xf>
    <xf numFmtId="0" fontId="123" fillId="0" borderId="34" xfId="0" applyFont="1" applyBorder="1"/>
    <xf numFmtId="165" fontId="112" fillId="0" borderId="34" xfId="0" applyNumberFormat="1" applyFont="1" applyBorder="1"/>
    <xf numFmtId="165" fontId="112" fillId="0" borderId="37" xfId="0" applyNumberFormat="1" applyFont="1" applyBorder="1"/>
    <xf numFmtId="165" fontId="112" fillId="8" borderId="20" xfId="0" applyNumberFormat="1" applyFont="1" applyFill="1" applyBorder="1"/>
    <xf numFmtId="165" fontId="112" fillId="8" borderId="15" xfId="0" applyNumberFormat="1" applyFont="1" applyFill="1" applyBorder="1"/>
    <xf numFmtId="165" fontId="126" fillId="8" borderId="56" xfId="0" applyNumberFormat="1" applyFont="1" applyFill="1" applyBorder="1"/>
    <xf numFmtId="165" fontId="127" fillId="8" borderId="56" xfId="0" applyNumberFormat="1" applyFont="1" applyFill="1" applyBorder="1"/>
    <xf numFmtId="165" fontId="112" fillId="8" borderId="34" xfId="0" applyNumberFormat="1" applyFont="1" applyFill="1" applyBorder="1"/>
    <xf numFmtId="0" fontId="118" fillId="0" borderId="34" xfId="0" applyFont="1" applyBorder="1"/>
    <xf numFmtId="165" fontId="112" fillId="0" borderId="15" xfId="0" applyNumberFormat="1" applyFont="1" applyBorder="1"/>
    <xf numFmtId="165" fontId="112" fillId="0" borderId="63" xfId="0" applyNumberFormat="1" applyFont="1" applyBorder="1"/>
    <xf numFmtId="165" fontId="112" fillId="0" borderId="40" xfId="0" applyNumberFormat="1" applyFont="1" applyBorder="1"/>
    <xf numFmtId="165" fontId="112" fillId="0" borderId="56" xfId="0" applyNumberFormat="1" applyFont="1" applyBorder="1"/>
    <xf numFmtId="0" fontId="121" fillId="8" borderId="11" xfId="0" applyFont="1" applyFill="1" applyBorder="1" applyAlignment="1">
      <alignment horizontal="center"/>
    </xf>
    <xf numFmtId="165" fontId="113" fillId="8" borderId="13" xfId="0" applyNumberFormat="1" applyFont="1" applyFill="1" applyBorder="1"/>
    <xf numFmtId="2" fontId="113" fillId="8" borderId="12" xfId="0" applyNumberFormat="1" applyFont="1" applyFill="1" applyBorder="1" applyAlignment="1">
      <alignment horizontal="center"/>
    </xf>
    <xf numFmtId="0" fontId="121" fillId="8" borderId="0" xfId="0" applyFont="1" applyFill="1"/>
    <xf numFmtId="3" fontId="113" fillId="8" borderId="0" xfId="0" applyNumberFormat="1" applyFont="1" applyFill="1"/>
    <xf numFmtId="165" fontId="113" fillId="0" borderId="28" xfId="0" applyNumberFormat="1" applyFont="1" applyBorder="1"/>
    <xf numFmtId="3" fontId="113" fillId="8" borderId="0" xfId="0" applyNumberFormat="1" applyFont="1" applyFill="1" applyAlignment="1">
      <alignment horizontal="right"/>
    </xf>
    <xf numFmtId="165" fontId="113" fillId="8" borderId="0" xfId="0" applyNumberFormat="1" applyFont="1" applyFill="1" applyAlignment="1">
      <alignment horizontal="right"/>
    </xf>
    <xf numFmtId="165" fontId="112" fillId="0" borderId="27" xfId="0" applyNumberFormat="1" applyFont="1" applyBorder="1" applyAlignment="1">
      <alignment horizontal="center"/>
    </xf>
    <xf numFmtId="165" fontId="112" fillId="0" borderId="29" xfId="0" applyNumberFormat="1" applyFont="1" applyBorder="1" applyAlignment="1">
      <alignment horizontal="center"/>
    </xf>
    <xf numFmtId="165" fontId="112" fillId="0" borderId="34" xfId="0" applyNumberFormat="1" applyFont="1" applyBorder="1" applyAlignment="1">
      <alignment horizontal="center"/>
    </xf>
    <xf numFmtId="174" fontId="128" fillId="0" borderId="28" xfId="0" applyNumberFormat="1" applyFont="1" applyBorder="1"/>
    <xf numFmtId="0" fontId="123" fillId="0" borderId="35" xfId="0" applyFont="1" applyBorder="1"/>
    <xf numFmtId="165" fontId="112" fillId="0" borderId="35" xfId="0" applyNumberFormat="1" applyFont="1" applyBorder="1"/>
    <xf numFmtId="165" fontId="112" fillId="0" borderId="38" xfId="0" applyNumberFormat="1" applyFont="1" applyBorder="1"/>
    <xf numFmtId="165" fontId="112" fillId="8" borderId="19" xfId="0" applyNumberFormat="1" applyFont="1" applyFill="1" applyBorder="1"/>
    <xf numFmtId="165" fontId="112" fillId="8" borderId="69" xfId="0" applyNumberFormat="1" applyFont="1" applyFill="1" applyBorder="1"/>
    <xf numFmtId="165" fontId="112" fillId="8" borderId="41" xfId="0" applyNumberFormat="1" applyFont="1" applyFill="1" applyBorder="1"/>
    <xf numFmtId="165" fontId="112" fillId="8" borderId="70" xfId="0" applyNumberFormat="1" applyFont="1" applyFill="1" applyBorder="1"/>
    <xf numFmtId="10" fontId="113" fillId="8" borderId="12" xfId="0" applyNumberFormat="1" applyFont="1" applyFill="1" applyBorder="1"/>
    <xf numFmtId="0" fontId="121" fillId="8" borderId="58" xfId="0" applyFont="1" applyFill="1" applyBorder="1" applyAlignment="1">
      <alignment horizontal="center"/>
    </xf>
    <xf numFmtId="165" fontId="121" fillId="8" borderId="51" xfId="0" applyNumberFormat="1" applyFont="1" applyFill="1" applyBorder="1"/>
    <xf numFmtId="0" fontId="113" fillId="8" borderId="51" xfId="0" applyFont="1" applyFill="1" applyBorder="1"/>
    <xf numFmtId="0" fontId="113" fillId="8" borderId="68" xfId="0" applyFont="1" applyFill="1" applyBorder="1"/>
    <xf numFmtId="165" fontId="112" fillId="0" borderId="32" xfId="0" applyNumberFormat="1" applyFont="1" applyBorder="1"/>
    <xf numFmtId="165" fontId="112" fillId="0" borderId="30" xfId="0" applyNumberFormat="1" applyFont="1" applyBorder="1"/>
    <xf numFmtId="165" fontId="112" fillId="0" borderId="31" xfId="0" applyNumberFormat="1" applyFont="1" applyBorder="1"/>
    <xf numFmtId="0" fontId="113" fillId="8" borderId="9" xfId="0" applyFont="1" applyFill="1" applyBorder="1"/>
    <xf numFmtId="0" fontId="113" fillId="8" borderId="3" xfId="0" applyFont="1" applyFill="1" applyBorder="1"/>
    <xf numFmtId="0" fontId="113" fillId="8" borderId="7" xfId="0" applyFont="1" applyFill="1" applyBorder="1"/>
    <xf numFmtId="0" fontId="123" fillId="0" borderId="36" xfId="0" applyFont="1" applyBorder="1"/>
    <xf numFmtId="165" fontId="112" fillId="0" borderId="36" xfId="0" applyNumberFormat="1" applyFont="1" applyBorder="1"/>
    <xf numFmtId="165" fontId="112" fillId="8" borderId="36" xfId="0" applyNumberFormat="1" applyFont="1" applyFill="1" applyBorder="1"/>
    <xf numFmtId="165" fontId="112" fillId="8" borderId="39" xfId="0" applyNumberFormat="1" applyFont="1" applyFill="1" applyBorder="1"/>
    <xf numFmtId="165" fontId="112" fillId="8" borderId="26" xfId="0" applyNumberFormat="1" applyFont="1" applyFill="1" applyBorder="1"/>
    <xf numFmtId="165" fontId="112" fillId="8" borderId="24" xfId="0" applyNumberFormat="1" applyFont="1" applyFill="1" applyBorder="1"/>
    <xf numFmtId="165" fontId="112" fillId="8" borderId="25" xfId="0" applyNumberFormat="1" applyFont="1" applyFill="1" applyBorder="1"/>
    <xf numFmtId="165" fontId="112" fillId="0" borderId="17" xfId="0" applyNumberFormat="1" applyFont="1" applyBorder="1"/>
    <xf numFmtId="165" fontId="130" fillId="0" borderId="26" xfId="0" applyNumberFormat="1" applyFont="1" applyBorder="1"/>
    <xf numFmtId="165" fontId="130" fillId="7" borderId="24" xfId="0" applyNumberFormat="1" applyFont="1" applyFill="1" applyBorder="1"/>
    <xf numFmtId="165" fontId="130" fillId="7" borderId="37" xfId="0" applyNumberFormat="1" applyFont="1" applyFill="1" applyBorder="1"/>
    <xf numFmtId="165" fontId="130" fillId="7" borderId="34" xfId="0" applyNumberFormat="1" applyFont="1" applyFill="1" applyBorder="1"/>
    <xf numFmtId="165" fontId="130" fillId="7" borderId="28" xfId="0" applyNumberFormat="1" applyFont="1" applyFill="1" applyBorder="1"/>
    <xf numFmtId="165" fontId="130" fillId="7" borderId="0" xfId="0" applyNumberFormat="1" applyFont="1" applyFill="1"/>
    <xf numFmtId="165" fontId="122" fillId="0" borderId="63" xfId="0" applyNumberFormat="1" applyFont="1" applyBorder="1"/>
    <xf numFmtId="165" fontId="122" fillId="0" borderId="37" xfId="0" applyNumberFormat="1" applyFont="1" applyBorder="1"/>
    <xf numFmtId="165" fontId="122" fillId="0" borderId="17" xfId="0" applyNumberFormat="1" applyFont="1" applyBorder="1"/>
    <xf numFmtId="165" fontId="114" fillId="0" borderId="17" xfId="0" applyNumberFormat="1" applyFont="1" applyBorder="1"/>
    <xf numFmtId="0" fontId="113" fillId="5" borderId="29" xfId="0" applyFont="1" applyFill="1" applyBorder="1"/>
    <xf numFmtId="0" fontId="113" fillId="5" borderId="0" xfId="0" applyFont="1" applyFill="1"/>
    <xf numFmtId="0" fontId="113" fillId="5" borderId="28" xfId="0" applyFont="1" applyFill="1" applyBorder="1"/>
    <xf numFmtId="165" fontId="120" fillId="0" borderId="27" xfId="0" applyNumberFormat="1" applyFont="1" applyBorder="1"/>
    <xf numFmtId="0" fontId="122" fillId="0" borderId="27" xfId="0" applyFont="1" applyBorder="1"/>
    <xf numFmtId="0" fontId="130" fillId="5" borderId="29" xfId="0" applyFont="1" applyFill="1" applyBorder="1"/>
    <xf numFmtId="165" fontId="122" fillId="0" borderId="27" xfId="0" applyNumberFormat="1" applyFont="1" applyBorder="1"/>
    <xf numFmtId="165" fontId="122" fillId="0" borderId="28" xfId="0" applyNumberFormat="1" applyFont="1" applyBorder="1"/>
    <xf numFmtId="165" fontId="122" fillId="0" borderId="0" xfId="0" applyNumberFormat="1" applyFont="1"/>
    <xf numFmtId="0" fontId="113" fillId="5" borderId="32" xfId="0" applyFont="1" applyFill="1" applyBorder="1"/>
    <xf numFmtId="0" fontId="113" fillId="5" borderId="21" xfId="0" applyFont="1" applyFill="1" applyBorder="1"/>
    <xf numFmtId="0" fontId="113" fillId="0" borderId="31" xfId="0" applyFont="1" applyBorder="1"/>
    <xf numFmtId="0" fontId="123" fillId="0" borderId="30" xfId="0" applyFont="1" applyBorder="1"/>
    <xf numFmtId="172" fontId="112" fillId="0" borderId="30" xfId="0" applyNumberFormat="1" applyFont="1" applyBorder="1"/>
    <xf numFmtId="172" fontId="112" fillId="0" borderId="32" xfId="0" applyNumberFormat="1" applyFont="1" applyBorder="1"/>
    <xf numFmtId="172" fontId="122" fillId="0" borderId="30" xfId="0" applyNumberFormat="1" applyFont="1" applyBorder="1"/>
    <xf numFmtId="172" fontId="122" fillId="0" borderId="32" xfId="0" applyNumberFormat="1" applyFont="1" applyBorder="1"/>
    <xf numFmtId="0" fontId="112" fillId="0" borderId="0" xfId="0" applyFont="1"/>
    <xf numFmtId="0" fontId="112" fillId="10" borderId="19" xfId="0" applyFont="1" applyFill="1" applyBorder="1"/>
    <xf numFmtId="0" fontId="112" fillId="10" borderId="23" xfId="0" applyFont="1" applyFill="1" applyBorder="1"/>
    <xf numFmtId="165" fontId="112" fillId="10" borderId="23" xfId="0" applyNumberFormat="1" applyFont="1" applyFill="1" applyBorder="1"/>
    <xf numFmtId="174" fontId="112" fillId="10" borderId="5" xfId="0" applyNumberFormat="1" applyFont="1" applyFill="1" applyBorder="1"/>
    <xf numFmtId="174" fontId="112" fillId="10" borderId="1" xfId="0" applyNumberFormat="1" applyFont="1" applyFill="1" applyBorder="1"/>
    <xf numFmtId="174" fontId="112" fillId="10" borderId="23" xfId="0" applyNumberFormat="1" applyFont="1" applyFill="1" applyBorder="1"/>
    <xf numFmtId="0" fontId="131" fillId="0" borderId="0" xfId="0" applyFont="1"/>
    <xf numFmtId="0" fontId="112" fillId="10" borderId="8" xfId="0" applyFont="1" applyFill="1" applyBorder="1"/>
    <xf numFmtId="0" fontId="112" fillId="10" borderId="0" xfId="0" applyFont="1" applyFill="1"/>
    <xf numFmtId="165" fontId="112" fillId="10" borderId="0" xfId="0" applyNumberFormat="1" applyFont="1" applyFill="1"/>
    <xf numFmtId="165" fontId="112" fillId="10" borderId="8" xfId="0" applyNumberFormat="1" applyFont="1" applyFill="1" applyBorder="1"/>
    <xf numFmtId="174" fontId="112" fillId="10" borderId="6" xfId="0" applyNumberFormat="1" applyFont="1" applyFill="1" applyBorder="1"/>
    <xf numFmtId="174" fontId="112" fillId="10" borderId="4" xfId="0" applyNumberFormat="1" applyFont="1" applyFill="1" applyBorder="1"/>
    <xf numFmtId="174" fontId="112" fillId="10" borderId="0" xfId="0" applyNumberFormat="1" applyFont="1" applyFill="1"/>
    <xf numFmtId="174" fontId="122" fillId="10" borderId="4" xfId="0" applyNumberFormat="1" applyFont="1" applyFill="1" applyBorder="1"/>
    <xf numFmtId="0" fontId="123" fillId="10" borderId="9" xfId="0" applyFont="1" applyFill="1" applyBorder="1"/>
    <xf numFmtId="0" fontId="112" fillId="10" borderId="3" xfId="0" applyFont="1" applyFill="1" applyBorder="1"/>
    <xf numFmtId="165" fontId="112" fillId="10" borderId="3" xfId="0" applyNumberFormat="1" applyFont="1" applyFill="1" applyBorder="1"/>
    <xf numFmtId="0" fontId="112" fillId="10" borderId="9" xfId="0" applyFont="1" applyFill="1" applyBorder="1"/>
    <xf numFmtId="174" fontId="130" fillId="10" borderId="7" xfId="0" applyNumberFormat="1" applyFont="1" applyFill="1" applyBorder="1"/>
    <xf numFmtId="174" fontId="126" fillId="10" borderId="7" xfId="0" applyNumberFormat="1" applyFont="1" applyFill="1" applyBorder="1"/>
    <xf numFmtId="174" fontId="126" fillId="10" borderId="2" xfId="0" applyNumberFormat="1" applyFont="1" applyFill="1" applyBorder="1"/>
    <xf numFmtId="174" fontId="130" fillId="10" borderId="2" xfId="0" applyNumberFormat="1" applyFont="1" applyFill="1" applyBorder="1"/>
    <xf numFmtId="0" fontId="123" fillId="0" borderId="0" xfId="0" applyFont="1"/>
    <xf numFmtId="174" fontId="112" fillId="0" borderId="0" xfId="0" applyNumberFormat="1" applyFont="1"/>
    <xf numFmtId="0" fontId="3" fillId="0" borderId="6" xfId="0" applyFont="1" applyBorder="1" applyProtection="1">
      <protection locked="0"/>
    </xf>
    <xf numFmtId="172" fontId="45" fillId="0" borderId="0" xfId="0" applyNumberFormat="1" applyFont="1"/>
    <xf numFmtId="177" fontId="35" fillId="0" borderId="0" xfId="0" applyNumberFormat="1" applyFont="1" applyProtection="1">
      <protection locked="0"/>
    </xf>
    <xf numFmtId="0" fontId="68" fillId="0" borderId="4" xfId="0" applyFont="1" applyBorder="1" applyProtection="1">
      <protection locked="0"/>
    </xf>
    <xf numFmtId="165" fontId="16" fillId="0" borderId="27" xfId="0" applyNumberFormat="1" applyFont="1" applyBorder="1"/>
    <xf numFmtId="165" fontId="16" fillId="0" borderId="29" xfId="0" applyNumberFormat="1" applyFont="1" applyBorder="1"/>
    <xf numFmtId="165" fontId="16" fillId="0" borderId="28" xfId="0" applyNumberFormat="1" applyFont="1" applyBorder="1"/>
    <xf numFmtId="0" fontId="17" fillId="8" borderId="8" xfId="0" applyFont="1" applyFill="1" applyBorder="1" applyAlignment="1">
      <alignment horizontal="center"/>
    </xf>
    <xf numFmtId="0" fontId="16" fillId="8" borderId="0" xfId="0" applyFont="1" applyFill="1"/>
    <xf numFmtId="10" fontId="16" fillId="8" borderId="6" xfId="0" applyNumberFormat="1" applyFont="1" applyFill="1" applyBorder="1" applyAlignment="1">
      <alignment horizontal="center"/>
    </xf>
    <xf numFmtId="165" fontId="16" fillId="0" borderId="0" xfId="0" applyNumberFormat="1" applyFont="1"/>
    <xf numFmtId="165" fontId="7" fillId="0" borderId="28" xfId="0" applyNumberFormat="1" applyFont="1" applyBorder="1"/>
    <xf numFmtId="167" fontId="7" fillId="15" borderId="0" xfId="4" applyFont="1" applyFill="1"/>
    <xf numFmtId="165" fontId="5" fillId="2" borderId="6" xfId="0" applyNumberFormat="1" applyFont="1" applyFill="1" applyBorder="1" applyAlignment="1" applyProtection="1">
      <alignment horizontal="center"/>
      <protection locked="0"/>
    </xf>
    <xf numFmtId="175" fontId="5" fillId="2" borderId="7" xfId="0" applyNumberFormat="1" applyFont="1" applyFill="1" applyBorder="1" applyAlignment="1" applyProtection="1">
      <alignment horizontal="center"/>
      <protection locked="0"/>
    </xf>
    <xf numFmtId="165" fontId="88" fillId="0" borderId="0" xfId="0" applyNumberFormat="1" applyFont="1" applyProtection="1">
      <protection locked="0"/>
    </xf>
    <xf numFmtId="165" fontId="88" fillId="0" borderId="6" xfId="0" applyNumberFormat="1" applyFont="1" applyBorder="1" applyAlignment="1" applyProtection="1">
      <alignment wrapText="1"/>
      <protection locked="0"/>
    </xf>
    <xf numFmtId="165" fontId="103" fillId="0" borderId="6" xfId="0" applyNumberFormat="1" applyFont="1" applyBorder="1" applyAlignment="1">
      <alignment horizontal="center" wrapText="1"/>
    </xf>
    <xf numFmtId="0" fontId="3" fillId="0" borderId="74" xfId="0" applyFont="1" applyBorder="1" applyAlignment="1">
      <alignment wrapText="1"/>
    </xf>
    <xf numFmtId="178" fontId="66" fillId="0" borderId="0" xfId="0" applyNumberFormat="1" applyFont="1"/>
    <xf numFmtId="165" fontId="148" fillId="0" borderId="6" xfId="0" applyNumberFormat="1" applyFont="1" applyBorder="1" applyProtection="1">
      <protection locked="0"/>
    </xf>
    <xf numFmtId="178" fontId="15" fillId="0" borderId="0" xfId="4" applyNumberFormat="1" applyFont="1"/>
    <xf numFmtId="10" fontId="6" fillId="0" borderId="12" xfId="0" applyNumberFormat="1" applyFont="1" applyBorder="1" applyProtection="1">
      <protection locked="0"/>
    </xf>
    <xf numFmtId="165" fontId="88" fillId="20" borderId="0" xfId="0" applyNumberFormat="1" applyFont="1" applyFill="1" applyProtection="1">
      <protection locked="0"/>
    </xf>
    <xf numFmtId="165" fontId="85" fillId="20" borderId="0" xfId="0" applyNumberFormat="1" applyFont="1" applyFill="1" applyAlignment="1">
      <alignment horizontal="center"/>
    </xf>
    <xf numFmtId="165" fontId="88" fillId="20" borderId="0" xfId="0" applyNumberFormat="1" applyFont="1" applyFill="1" applyAlignment="1">
      <alignment horizontal="center"/>
    </xf>
    <xf numFmtId="167" fontId="4" fillId="3" borderId="6" xfId="0" applyNumberFormat="1" applyFont="1" applyFill="1" applyBorder="1" applyAlignment="1" applyProtection="1">
      <alignment horizontal="centerContinuous"/>
      <protection locked="0"/>
    </xf>
    <xf numFmtId="10" fontId="75" fillId="0" borderId="4" xfId="3" applyNumberFormat="1" applyFont="1" applyBorder="1"/>
    <xf numFmtId="165" fontId="149" fillId="8" borderId="56" xfId="0" applyNumberFormat="1" applyFont="1" applyFill="1" applyBorder="1"/>
    <xf numFmtId="165" fontId="128" fillId="0" borderId="28" xfId="0" applyNumberFormat="1" applyFont="1" applyBorder="1"/>
    <xf numFmtId="0" fontId="4" fillId="0" borderId="4" xfId="0" applyFont="1" applyBorder="1" applyAlignment="1" applyProtection="1">
      <alignment horizontal="left"/>
      <protection locked="0"/>
    </xf>
    <xf numFmtId="165" fontId="88" fillId="15" borderId="6" xfId="0" applyNumberFormat="1" applyFont="1" applyFill="1" applyBorder="1" applyProtection="1">
      <protection locked="0"/>
    </xf>
    <xf numFmtId="10" fontId="66" fillId="0" borderId="8" xfId="0" applyNumberFormat="1" applyFont="1" applyBorder="1"/>
    <xf numFmtId="10" fontId="66" fillId="0" borderId="20" xfId="0" applyNumberFormat="1" applyFont="1" applyBorder="1"/>
    <xf numFmtId="165" fontId="88" fillId="20" borderId="6" xfId="0" applyNumberFormat="1" applyFont="1" applyFill="1" applyBorder="1" applyAlignment="1" applyProtection="1">
      <alignment horizontal="center"/>
      <protection locked="0"/>
    </xf>
    <xf numFmtId="165" fontId="82" fillId="20" borderId="4" xfId="0" applyNumberFormat="1" applyFont="1" applyFill="1" applyBorder="1" applyProtection="1">
      <protection locked="0"/>
    </xf>
    <xf numFmtId="165" fontId="81" fillId="0" borderId="5" xfId="0" applyNumberFormat="1" applyFont="1" applyBorder="1"/>
    <xf numFmtId="165" fontId="84" fillId="0" borderId="1" xfId="0" applyNumberFormat="1" applyFont="1" applyBorder="1"/>
    <xf numFmtId="165" fontId="85" fillId="0" borderId="5" xfId="0" applyNumberFormat="1" applyFont="1" applyBorder="1" applyAlignment="1">
      <alignment horizontal="center"/>
    </xf>
    <xf numFmtId="165" fontId="82" fillId="0" borderId="23" xfId="0" applyNumberFormat="1" applyFont="1" applyBorder="1" applyAlignment="1">
      <alignment horizontal="center"/>
    </xf>
    <xf numFmtId="165" fontId="82" fillId="0" borderId="5" xfId="0" applyNumberFormat="1" applyFont="1" applyBorder="1" applyAlignment="1">
      <alignment horizontal="center"/>
    </xf>
    <xf numFmtId="167" fontId="81" fillId="0" borderId="5" xfId="0" applyNumberFormat="1" applyFont="1" applyBorder="1" applyProtection="1">
      <protection locked="0"/>
    </xf>
    <xf numFmtId="14" fontId="75" fillId="0" borderId="1" xfId="0" applyNumberFormat="1" applyFont="1" applyBorder="1" applyAlignment="1" applyProtection="1">
      <alignment horizontal="left"/>
      <protection locked="0"/>
    </xf>
    <xf numFmtId="0" fontId="3" fillId="0" borderId="1" xfId="0" applyFont="1" applyBorder="1"/>
    <xf numFmtId="0" fontId="3" fillId="0" borderId="4" xfId="0" applyFont="1" applyBorder="1" applyProtection="1">
      <protection locked="0"/>
    </xf>
    <xf numFmtId="167" fontId="89" fillId="0" borderId="4" xfId="0" applyNumberFormat="1" applyFont="1" applyBorder="1" applyAlignment="1" applyProtection="1">
      <alignment horizontal="left"/>
      <protection locked="0"/>
    </xf>
    <xf numFmtId="0" fontId="14" fillId="0" borderId="30" xfId="0" applyFont="1" applyBorder="1" applyAlignment="1">
      <alignment horizontal="center"/>
    </xf>
    <xf numFmtId="167" fontId="65" fillId="0" borderId="0" xfId="0" applyNumberFormat="1" applyFont="1"/>
    <xf numFmtId="178" fontId="112" fillId="0" borderId="0" xfId="0" applyNumberFormat="1" applyFont="1"/>
    <xf numFmtId="0" fontId="112" fillId="52" borderId="0" xfId="0" applyFont="1" applyFill="1"/>
    <xf numFmtId="174" fontId="130" fillId="52" borderId="0" xfId="0" applyNumberFormat="1" applyFont="1" applyFill="1" applyAlignment="1">
      <alignment horizontal="center"/>
    </xf>
    <xf numFmtId="165" fontId="112" fillId="52" borderId="0" xfId="0" applyNumberFormat="1" applyFont="1" applyFill="1"/>
    <xf numFmtId="165" fontId="7" fillId="52" borderId="17" xfId="0" applyNumberFormat="1" applyFont="1" applyFill="1" applyBorder="1"/>
    <xf numFmtId="165" fontId="7" fillId="52" borderId="15" xfId="0" applyNumberFormat="1" applyFont="1" applyFill="1" applyBorder="1" applyAlignment="1">
      <alignment horizontal="left"/>
    </xf>
    <xf numFmtId="165" fontId="112" fillId="52" borderId="40" xfId="0" applyNumberFormat="1" applyFont="1" applyFill="1" applyBorder="1"/>
    <xf numFmtId="165" fontId="27" fillId="52" borderId="29" xfId="0" applyNumberFormat="1" applyFont="1" applyFill="1" applyBorder="1" applyAlignment="1">
      <alignment horizontal="right"/>
    </xf>
    <xf numFmtId="0" fontId="14" fillId="52" borderId="0" xfId="0" applyFont="1" applyFill="1" applyAlignment="1">
      <alignment horizontal="left"/>
    </xf>
    <xf numFmtId="165" fontId="150" fillId="0" borderId="0" xfId="0" applyNumberFormat="1" applyFont="1"/>
    <xf numFmtId="167" fontId="63" fillId="0" borderId="0" xfId="0" applyNumberFormat="1" applyFont="1"/>
    <xf numFmtId="0" fontId="68" fillId="2" borderId="2" xfId="0" applyFont="1" applyFill="1" applyBorder="1" applyProtection="1">
      <protection locked="0"/>
    </xf>
    <xf numFmtId="165" fontId="82" fillId="20" borderId="6" xfId="0" applyNumberFormat="1" applyFont="1" applyFill="1" applyBorder="1" applyProtection="1">
      <protection locked="0"/>
    </xf>
    <xf numFmtId="165" fontId="88" fillId="0" borderId="6" xfId="0" applyNumberFormat="1" applyFont="1" applyBorder="1"/>
    <xf numFmtId="165" fontId="89" fillId="0" borderId="6" xfId="0" applyNumberFormat="1" applyFont="1" applyBorder="1"/>
    <xf numFmtId="10" fontId="88" fillId="0" borderId="12" xfId="0" applyNumberFormat="1" applyFont="1" applyBorder="1"/>
    <xf numFmtId="167" fontId="66" fillId="0" borderId="88" xfId="0" applyNumberFormat="1" applyFont="1" applyBorder="1"/>
    <xf numFmtId="1" fontId="68" fillId="2" borderId="88" xfId="0" applyNumberFormat="1" applyFont="1" applyFill="1" applyBorder="1" applyAlignment="1">
      <alignment horizontal="center"/>
    </xf>
    <xf numFmtId="1" fontId="68" fillId="2" borderId="89" xfId="0" applyNumberFormat="1" applyFont="1" applyFill="1" applyBorder="1" applyAlignment="1">
      <alignment horizontal="center"/>
    </xf>
    <xf numFmtId="167" fontId="69" fillId="0" borderId="88" xfId="0" applyNumberFormat="1" applyFont="1" applyBorder="1"/>
    <xf numFmtId="167" fontId="66" fillId="0" borderId="90" xfId="0" applyNumberFormat="1" applyFont="1" applyBorder="1"/>
    <xf numFmtId="167" fontId="69" fillId="15" borderId="88" xfId="0" applyNumberFormat="1" applyFont="1" applyFill="1" applyBorder="1"/>
    <xf numFmtId="167" fontId="70" fillId="0" borderId="88" xfId="0" applyNumberFormat="1" applyFont="1" applyBorder="1"/>
    <xf numFmtId="167" fontId="66" fillId="0" borderId="91" xfId="0" applyNumberFormat="1" applyFont="1" applyBorder="1"/>
    <xf numFmtId="167" fontId="68" fillId="0" borderId="92" xfId="0" applyNumberFormat="1" applyFont="1" applyBorder="1"/>
    <xf numFmtId="167" fontId="66" fillId="0" borderId="93" xfId="0" applyNumberFormat="1" applyFont="1" applyBorder="1"/>
    <xf numFmtId="167" fontId="69" fillId="16" borderId="88" xfId="0" applyNumberFormat="1" applyFont="1" applyFill="1" applyBorder="1"/>
    <xf numFmtId="167" fontId="66" fillId="0" borderId="88" xfId="0" applyNumberFormat="1" applyFont="1" applyBorder="1" applyAlignment="1">
      <alignment horizontal="left" indent="1"/>
    </xf>
    <xf numFmtId="167" fontId="4" fillId="17" borderId="88" xfId="0" applyNumberFormat="1" applyFont="1" applyFill="1" applyBorder="1"/>
    <xf numFmtId="167" fontId="4" fillId="0" borderId="88" xfId="0" applyNumberFormat="1" applyFont="1" applyBorder="1"/>
    <xf numFmtId="167" fontId="72" fillId="0" borderId="88" xfId="0" applyNumberFormat="1" applyFont="1" applyBorder="1"/>
    <xf numFmtId="167" fontId="72" fillId="19" borderId="88" xfId="0" applyNumberFormat="1" applyFont="1" applyFill="1" applyBorder="1"/>
    <xf numFmtId="0" fontId="66" fillId="0" borderId="88" xfId="0" applyFont="1" applyBorder="1"/>
    <xf numFmtId="0" fontId="66" fillId="0" borderId="94" xfId="0" applyFont="1" applyBorder="1"/>
    <xf numFmtId="166" fontId="3" fillId="0" borderId="15" xfId="5" applyFont="1" applyBorder="1"/>
    <xf numFmtId="166" fontId="66" fillId="0" borderId="90" xfId="5" applyFont="1" applyBorder="1"/>
    <xf numFmtId="166" fontId="73" fillId="0" borderId="90" xfId="5" applyFont="1" applyBorder="1"/>
    <xf numFmtId="166" fontId="66" fillId="0" borderId="91" xfId="5" applyFont="1" applyBorder="1"/>
    <xf numFmtId="166" fontId="66" fillId="0" borderId="94" xfId="5" applyFont="1" applyBorder="1"/>
    <xf numFmtId="0" fontId="66" fillId="0" borderId="90" xfId="0" applyFont="1" applyBorder="1"/>
    <xf numFmtId="166" fontId="66" fillId="0" borderId="95" xfId="0" applyNumberFormat="1" applyFont="1" applyBorder="1"/>
    <xf numFmtId="0" fontId="66" fillId="0" borderId="96" xfId="0" applyFont="1" applyBorder="1"/>
    <xf numFmtId="0" fontId="66" fillId="0" borderId="17" xfId="0" applyFont="1" applyBorder="1"/>
    <xf numFmtId="166" fontId="66" fillId="0" borderId="17" xfId="0" applyNumberFormat="1" applyFont="1" applyBorder="1"/>
    <xf numFmtId="0" fontId="66" fillId="0" borderId="23" xfId="0" applyFont="1" applyBorder="1"/>
    <xf numFmtId="166" fontId="66" fillId="0" borderId="23" xfId="5" applyFont="1" applyBorder="1"/>
    <xf numFmtId="0" fontId="66" fillId="0" borderId="97" xfId="0" applyFont="1" applyBorder="1"/>
    <xf numFmtId="167" fontId="6" fillId="0" borderId="0" xfId="0" applyNumberFormat="1" applyFont="1"/>
    <xf numFmtId="167" fontId="68" fillId="0" borderId="0" xfId="0" applyNumberFormat="1" applyFont="1"/>
    <xf numFmtId="0" fontId="3" fillId="0" borderId="46" xfId="0" applyFont="1" applyBorder="1" applyAlignment="1">
      <alignment wrapText="1"/>
    </xf>
    <xf numFmtId="0" fontId="66" fillId="0" borderId="54" xfId="0" applyFont="1" applyBorder="1"/>
    <xf numFmtId="10" fontId="66" fillId="0" borderId="2" xfId="0" applyNumberFormat="1" applyFont="1" applyBorder="1"/>
    <xf numFmtId="10" fontId="66" fillId="0" borderId="1" xfId="0" applyNumberFormat="1" applyFont="1" applyBorder="1"/>
    <xf numFmtId="169" fontId="5" fillId="8" borderId="0" xfId="0" applyNumberFormat="1" applyFont="1" applyFill="1" applyAlignment="1">
      <alignment horizontal="center"/>
    </xf>
    <xf numFmtId="0" fontId="5" fillId="8" borderId="0" xfId="0" applyFont="1" applyFill="1" applyAlignment="1">
      <alignment horizontal="center"/>
    </xf>
    <xf numFmtId="167" fontId="5" fillId="8" borderId="0" xfId="0" applyNumberFormat="1" applyFont="1" applyFill="1" applyAlignment="1">
      <alignment horizontal="center"/>
    </xf>
    <xf numFmtId="180" fontId="66" fillId="0" borderId="1" xfId="5" applyNumberFormat="1" applyFont="1" applyBorder="1"/>
    <xf numFmtId="180" fontId="66" fillId="0" borderId="4" xfId="5" applyNumberFormat="1" applyFont="1" applyBorder="1"/>
    <xf numFmtId="10" fontId="66" fillId="0" borderId="4" xfId="0" applyNumberFormat="1" applyFont="1" applyBorder="1"/>
    <xf numFmtId="178" fontId="66" fillId="0" borderId="2" xfId="4" applyNumberFormat="1" applyFont="1" applyBorder="1"/>
    <xf numFmtId="0" fontId="3" fillId="0" borderId="0" xfId="0" applyFont="1"/>
    <xf numFmtId="167" fontId="151" fillId="0" borderId="0" xfId="0" applyNumberFormat="1" applyFont="1"/>
    <xf numFmtId="0" fontId="68" fillId="0" borderId="0" xfId="0" applyFont="1"/>
    <xf numFmtId="0" fontId="3" fillId="0" borderId="76" xfId="0" applyFont="1" applyBorder="1" applyAlignment="1">
      <alignment wrapText="1"/>
    </xf>
    <xf numFmtId="167" fontId="3" fillId="0" borderId="0" xfId="0" applyNumberFormat="1" applyFont="1"/>
    <xf numFmtId="167" fontId="65" fillId="0" borderId="4" xfId="0" applyNumberFormat="1" applyFont="1" applyBorder="1"/>
    <xf numFmtId="49" fontId="5" fillId="0" borderId="2" xfId="0" applyNumberFormat="1" applyFont="1" applyBorder="1" applyAlignment="1">
      <alignment horizontal="center"/>
    </xf>
    <xf numFmtId="0" fontId="4" fillId="0" borderId="6" xfId="0" applyFont="1" applyBorder="1" applyAlignment="1">
      <alignment horizontal="right"/>
    </xf>
    <xf numFmtId="0" fontId="4" fillId="0" borderId="5" xfId="0" applyFont="1" applyBorder="1" applyAlignment="1">
      <alignment horizontal="left"/>
    </xf>
    <xf numFmtId="167" fontId="4" fillId="0" borderId="1" xfId="0" applyNumberFormat="1" applyFont="1" applyBorder="1"/>
    <xf numFmtId="167" fontId="4" fillId="0" borderId="5" xfId="4" applyFont="1" applyBorder="1" applyAlignment="1">
      <alignment horizontal="center"/>
    </xf>
    <xf numFmtId="164" fontId="4" fillId="0" borderId="0" xfId="0" applyNumberFormat="1" applyFont="1"/>
    <xf numFmtId="0" fontId="152" fillId="0" borderId="4" xfId="0" applyFont="1" applyBorder="1" applyAlignment="1" applyProtection="1">
      <alignment horizontal="left"/>
      <protection locked="0"/>
    </xf>
    <xf numFmtId="166" fontId="3" fillId="0" borderId="17" xfId="5" applyFont="1" applyBorder="1"/>
    <xf numFmtId="166" fontId="66" fillId="0" borderId="17" xfId="5" applyFont="1" applyBorder="1"/>
    <xf numFmtId="166" fontId="73" fillId="0" borderId="17" xfId="5" applyFont="1" applyBorder="1"/>
    <xf numFmtId="167" fontId="19" fillId="0" borderId="0" xfId="4" applyFont="1"/>
    <xf numFmtId="167" fontId="3" fillId="0" borderId="8" xfId="0" applyNumberFormat="1" applyFont="1" applyBorder="1"/>
    <xf numFmtId="0" fontId="153" fillId="0" borderId="4" xfId="0" applyFont="1" applyBorder="1" applyProtection="1">
      <protection locked="0"/>
    </xf>
    <xf numFmtId="165" fontId="4" fillId="0" borderId="6" xfId="0" applyNumberFormat="1" applyFont="1" applyBorder="1"/>
    <xf numFmtId="165" fontId="63" fillId="0" borderId="20" xfId="0" applyNumberFormat="1" applyFont="1" applyBorder="1" applyProtection="1">
      <protection locked="0"/>
    </xf>
    <xf numFmtId="165" fontId="63" fillId="0" borderId="1" xfId="0" applyNumberFormat="1" applyFont="1" applyBorder="1" applyAlignment="1" applyProtection="1">
      <alignment wrapText="1"/>
      <protection locked="0"/>
    </xf>
    <xf numFmtId="165" fontId="4" fillId="0" borderId="6" xfId="3" applyNumberFormat="1" applyFont="1" applyBorder="1"/>
    <xf numFmtId="0" fontId="154" fillId="0" borderId="0" xfId="0" applyFont="1" applyAlignment="1" applyProtection="1">
      <alignment horizontal="center"/>
      <protection locked="0"/>
    </xf>
    <xf numFmtId="183" fontId="75" fillId="0" borderId="0" xfId="3" applyNumberFormat="1" applyFont="1" applyProtection="1">
      <protection locked="0"/>
    </xf>
    <xf numFmtId="165" fontId="4" fillId="0" borderId="0" xfId="0" applyNumberFormat="1" applyFont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165" fontId="4" fillId="0" borderId="0" xfId="0" applyNumberFormat="1" applyFont="1" applyProtection="1">
      <protection locked="0"/>
    </xf>
    <xf numFmtId="167" fontId="4" fillId="0" borderId="4" xfId="0" applyNumberFormat="1" applyFont="1" applyBorder="1" applyAlignment="1" applyProtection="1">
      <alignment horizontal="left"/>
      <protection locked="0"/>
    </xf>
    <xf numFmtId="0" fontId="24" fillId="0" borderId="29" xfId="0" applyFont="1" applyBorder="1" applyAlignment="1">
      <alignment horizontal="center"/>
    </xf>
    <xf numFmtId="178" fontId="19" fillId="0" borderId="28" xfId="4" applyNumberFormat="1" applyFont="1" applyBorder="1"/>
    <xf numFmtId="165" fontId="37" fillId="0" borderId="27" xfId="0" applyNumberFormat="1" applyFont="1" applyBorder="1"/>
    <xf numFmtId="165" fontId="63" fillId="0" borderId="1" xfId="0" applyNumberFormat="1" applyFont="1" applyBorder="1" applyProtection="1">
      <protection locked="0"/>
    </xf>
    <xf numFmtId="0" fontId="3" fillId="0" borderId="76" xfId="0" applyFont="1" applyBorder="1"/>
    <xf numFmtId="165" fontId="63" fillId="0" borderId="6" xfId="0" applyNumberFormat="1" applyFont="1" applyBorder="1" applyAlignment="1" applyProtection="1">
      <alignment wrapText="1"/>
      <protection locked="0"/>
    </xf>
    <xf numFmtId="0" fontId="15" fillId="53" borderId="24" xfId="0" applyFont="1" applyFill="1" applyBorder="1" applyAlignment="1">
      <alignment horizontal="center"/>
    </xf>
    <xf numFmtId="0" fontId="15" fillId="53" borderId="30" xfId="0" applyFont="1" applyFill="1" applyBorder="1" applyAlignment="1">
      <alignment horizontal="center"/>
    </xf>
    <xf numFmtId="0" fontId="5" fillId="0" borderId="4" xfId="0" applyFont="1" applyBorder="1" applyAlignment="1" applyProtection="1">
      <alignment horizontal="left"/>
      <protection locked="0"/>
    </xf>
    <xf numFmtId="180" fontId="66" fillId="0" borderId="8" xfId="5" applyNumberFormat="1" applyFont="1" applyBorder="1"/>
    <xf numFmtId="0" fontId="66" fillId="0" borderId="46" xfId="0" applyFont="1" applyBorder="1"/>
    <xf numFmtId="178" fontId="66" fillId="0" borderId="8" xfId="4" applyNumberFormat="1" applyFont="1" applyBorder="1"/>
    <xf numFmtId="10" fontId="3" fillId="0" borderId="8" xfId="3" applyNumberFormat="1" applyFont="1" applyBorder="1"/>
    <xf numFmtId="167" fontId="7" fillId="0" borderId="0" xfId="4" applyFont="1"/>
    <xf numFmtId="10" fontId="3" fillId="0" borderId="8" xfId="0" applyNumberFormat="1" applyFont="1" applyBorder="1"/>
    <xf numFmtId="0" fontId="4" fillId="0" borderId="0" xfId="0" applyFont="1" applyAlignment="1" applyProtection="1">
      <alignment horizontal="left"/>
      <protection locked="0"/>
    </xf>
    <xf numFmtId="165" fontId="88" fillId="54" borderId="6" xfId="0" applyNumberFormat="1" applyFont="1" applyFill="1" applyBorder="1" applyAlignment="1">
      <alignment horizontal="center"/>
    </xf>
    <xf numFmtId="165" fontId="148" fillId="54" borderId="6" xfId="0" applyNumberFormat="1" applyFont="1" applyFill="1" applyBorder="1" applyProtection="1">
      <protection locked="0"/>
    </xf>
    <xf numFmtId="165" fontId="85" fillId="54" borderId="6" xfId="0" applyNumberFormat="1" applyFont="1" applyFill="1" applyBorder="1" applyAlignment="1">
      <alignment horizontal="center"/>
    </xf>
    <xf numFmtId="165" fontId="88" fillId="54" borderId="2" xfId="0" applyNumberFormat="1" applyFont="1" applyFill="1" applyBorder="1" applyAlignment="1" applyProtection="1">
      <alignment horizontal="center"/>
      <protection locked="0"/>
    </xf>
    <xf numFmtId="165" fontId="88" fillId="54" borderId="6" xfId="0" applyNumberFormat="1" applyFont="1" applyFill="1" applyBorder="1" applyAlignment="1" applyProtection="1">
      <alignment horizontal="center"/>
      <protection locked="0"/>
    </xf>
    <xf numFmtId="1" fontId="156" fillId="10" borderId="26" xfId="0" applyNumberFormat="1" applyFont="1" applyFill="1" applyBorder="1" applyAlignment="1">
      <alignment horizontal="center"/>
    </xf>
    <xf numFmtId="1" fontId="156" fillId="10" borderId="29" xfId="0" applyNumberFormat="1" applyFont="1" applyFill="1" applyBorder="1" applyAlignment="1">
      <alignment horizontal="center"/>
    </xf>
    <xf numFmtId="1" fontId="156" fillId="10" borderId="32" xfId="0" applyNumberFormat="1" applyFont="1" applyFill="1" applyBorder="1" applyAlignment="1">
      <alignment horizontal="center"/>
    </xf>
    <xf numFmtId="165" fontId="10" fillId="0" borderId="25" xfId="0" applyNumberFormat="1" applyFont="1" applyBorder="1"/>
    <xf numFmtId="165" fontId="10" fillId="0" borderId="28" xfId="0" applyNumberFormat="1" applyFont="1" applyBorder="1"/>
    <xf numFmtId="165" fontId="157" fillId="0" borderId="28" xfId="0" applyNumberFormat="1" applyFont="1" applyBorder="1"/>
    <xf numFmtId="165" fontId="10" fillId="8" borderId="17" xfId="0" applyNumberFormat="1" applyFont="1" applyFill="1" applyBorder="1"/>
    <xf numFmtId="165" fontId="10" fillId="0" borderId="70" xfId="0" applyNumberFormat="1" applyFont="1" applyBorder="1"/>
    <xf numFmtId="165" fontId="157" fillId="0" borderId="28" xfId="0" quotePrefix="1" applyNumberFormat="1" applyFont="1" applyBorder="1" applyAlignment="1">
      <alignment wrapText="1"/>
    </xf>
    <xf numFmtId="167" fontId="0" fillId="0" borderId="0" xfId="4" applyFont="1"/>
    <xf numFmtId="0" fontId="158" fillId="0" borderId="0" xfId="0" applyFont="1"/>
    <xf numFmtId="167" fontId="7" fillId="54" borderId="0" xfId="4" applyFont="1" applyFill="1"/>
    <xf numFmtId="167" fontId="7" fillId="55" borderId="0" xfId="4" applyFont="1" applyFill="1"/>
    <xf numFmtId="167" fontId="7" fillId="0" borderId="0" xfId="0" applyNumberFormat="1" applyFont="1"/>
    <xf numFmtId="10" fontId="7" fillId="0" borderId="0" xfId="3" applyNumberFormat="1" applyFont="1"/>
    <xf numFmtId="184" fontId="104" fillId="0" borderId="6" xfId="0" quotePrefix="1" applyNumberFormat="1" applyFont="1" applyBorder="1" applyAlignment="1" applyProtection="1">
      <alignment horizontal="center"/>
      <protection locked="0"/>
    </xf>
    <xf numFmtId="0" fontId="155" fillId="0" borderId="4" xfId="0" applyFont="1" applyBorder="1" applyAlignment="1" applyProtection="1">
      <alignment horizontal="left"/>
      <protection locked="0"/>
    </xf>
    <xf numFmtId="14" fontId="4" fillId="0" borderId="4" xfId="0" applyNumberFormat="1" applyFont="1" applyBorder="1" applyAlignment="1" applyProtection="1">
      <alignment horizontal="left"/>
      <protection locked="0"/>
    </xf>
    <xf numFmtId="185" fontId="19" fillId="0" borderId="0" xfId="0" applyNumberFormat="1" applyFont="1" applyAlignment="1">
      <alignment horizontal="left" indent="6"/>
    </xf>
    <xf numFmtId="0" fontId="7" fillId="52" borderId="0" xfId="0" applyFont="1" applyFill="1"/>
    <xf numFmtId="165" fontId="34" fillId="0" borderId="27" xfId="0" applyNumberFormat="1" applyFont="1" applyBorder="1"/>
    <xf numFmtId="0" fontId="81" fillId="15" borderId="4" xfId="0" applyFont="1" applyFill="1" applyBorder="1" applyAlignment="1" applyProtection="1">
      <alignment horizontal="left"/>
      <protection locked="0"/>
    </xf>
    <xf numFmtId="165" fontId="7" fillId="52" borderId="0" xfId="0" applyNumberFormat="1" applyFont="1" applyFill="1" applyAlignment="1">
      <alignment horizontal="right"/>
    </xf>
    <xf numFmtId="165" fontId="27" fillId="52" borderId="0" xfId="0" applyNumberFormat="1" applyFont="1" applyFill="1" applyAlignment="1">
      <alignment horizontal="right"/>
    </xf>
    <xf numFmtId="0" fontId="123" fillId="52" borderId="0" xfId="0" applyFont="1" applyFill="1"/>
    <xf numFmtId="165" fontId="112" fillId="52" borderId="17" xfId="0" applyNumberFormat="1" applyFont="1" applyFill="1" applyBorder="1"/>
    <xf numFmtId="167" fontId="112" fillId="52" borderId="17" xfId="4" applyFont="1" applyFill="1" applyBorder="1"/>
    <xf numFmtId="0" fontId="123" fillId="52" borderId="17" xfId="0" applyFont="1" applyFill="1" applyBorder="1"/>
    <xf numFmtId="4" fontId="21" fillId="0" borderId="29" xfId="0" applyNumberFormat="1" applyFont="1" applyBorder="1"/>
    <xf numFmtId="184" fontId="4" fillId="0" borderId="4" xfId="0" applyNumberFormat="1" applyFont="1" applyBorder="1" applyAlignment="1" applyProtection="1">
      <alignment horizontal="left"/>
      <protection locked="0"/>
    </xf>
    <xf numFmtId="165" fontId="85" fillId="56" borderId="6" xfId="0" applyNumberFormat="1" applyFont="1" applyFill="1" applyBorder="1" applyAlignment="1" applyProtection="1">
      <alignment horizontal="center"/>
      <protection locked="0"/>
    </xf>
    <xf numFmtId="180" fontId="66" fillId="0" borderId="0" xfId="5" applyNumberFormat="1" applyFont="1" applyBorder="1"/>
    <xf numFmtId="172" fontId="35" fillId="0" borderId="0" xfId="0" applyNumberFormat="1" applyFont="1" applyProtection="1">
      <protection locked="0"/>
    </xf>
    <xf numFmtId="0" fontId="159" fillId="0" borderId="0" xfId="0" applyFont="1" applyProtection="1">
      <protection locked="0"/>
    </xf>
    <xf numFmtId="183" fontId="66" fillId="0" borderId="0" xfId="0" applyNumberFormat="1" applyFont="1"/>
    <xf numFmtId="167" fontId="66" fillId="0" borderId="23" xfId="5" applyNumberFormat="1" applyFont="1" applyBorder="1"/>
    <xf numFmtId="166" fontId="66" fillId="0" borderId="0" xfId="5" applyFont="1" applyBorder="1"/>
    <xf numFmtId="0" fontId="66" fillId="0" borderId="0" xfId="5" applyNumberFormat="1" applyFont="1" applyBorder="1"/>
    <xf numFmtId="186" fontId="79" fillId="0" borderId="0" xfId="0" applyNumberFormat="1" applyFont="1" applyProtection="1">
      <protection locked="0"/>
    </xf>
    <xf numFmtId="177" fontId="77" fillId="0" borderId="0" xfId="0" applyNumberFormat="1" applyFont="1"/>
    <xf numFmtId="10" fontId="112" fillId="8" borderId="25" xfId="3" applyNumberFormat="1" applyFont="1" applyFill="1" applyBorder="1"/>
    <xf numFmtId="10" fontId="112" fillId="0" borderId="0" xfId="3" applyNumberFormat="1" applyFont="1"/>
    <xf numFmtId="167" fontId="7" fillId="52" borderId="17" xfId="4" applyFont="1" applyFill="1" applyBorder="1"/>
    <xf numFmtId="165" fontId="116" fillId="0" borderId="0" xfId="0" applyNumberFormat="1" applyFont="1"/>
    <xf numFmtId="174" fontId="7" fillId="10" borderId="4" xfId="0" applyNumberFormat="1" applyFont="1" applyFill="1" applyBorder="1"/>
    <xf numFmtId="187" fontId="130" fillId="0" borderId="0" xfId="0" applyNumberFormat="1" applyFont="1"/>
    <xf numFmtId="3" fontId="19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38" fontId="15" fillId="0" borderId="28" xfId="0" applyNumberFormat="1" applyFont="1" applyBorder="1"/>
    <xf numFmtId="165" fontId="88" fillId="18" borderId="6" xfId="0" applyNumberFormat="1" applyFont="1" applyFill="1" applyBorder="1" applyAlignment="1" applyProtection="1">
      <alignment horizontal="center"/>
      <protection locked="0"/>
    </xf>
    <xf numFmtId="165" fontId="88" fillId="18" borderId="7" xfId="0" applyNumberFormat="1" applyFont="1" applyFill="1" applyBorder="1" applyAlignment="1" applyProtection="1">
      <alignment horizontal="center"/>
      <protection locked="0"/>
    </xf>
    <xf numFmtId="167" fontId="66" fillId="0" borderId="27" xfId="0" applyNumberFormat="1" applyFont="1" applyBorder="1"/>
    <xf numFmtId="1" fontId="68" fillId="2" borderId="27" xfId="0" applyNumberFormat="1" applyFont="1" applyFill="1" applyBorder="1" applyAlignment="1">
      <alignment horizontal="center"/>
    </xf>
    <xf numFmtId="1" fontId="68" fillId="2" borderId="34" xfId="0" applyNumberFormat="1" applyFont="1" applyFill="1" applyBorder="1" applyAlignment="1">
      <alignment horizontal="center"/>
    </xf>
    <xf numFmtId="167" fontId="69" fillId="0" borderId="27" xfId="0" applyNumberFormat="1" applyFont="1" applyBorder="1"/>
    <xf numFmtId="167" fontId="70" fillId="0" borderId="27" xfId="0" applyNumberFormat="1" applyFont="1" applyBorder="1"/>
    <xf numFmtId="167" fontId="66" fillId="0" borderId="63" xfId="0" applyNumberFormat="1" applyFont="1" applyBorder="1"/>
    <xf numFmtId="167" fontId="68" fillId="0" borderId="98" xfId="0" applyNumberFormat="1" applyFont="1" applyBorder="1"/>
    <xf numFmtId="167" fontId="66" fillId="0" borderId="27" xfId="0" applyNumberFormat="1" applyFont="1" applyBorder="1" applyAlignment="1">
      <alignment horizontal="left" indent="1"/>
    </xf>
    <xf numFmtId="167" fontId="4" fillId="17" borderId="27" xfId="0" applyNumberFormat="1" applyFont="1" applyFill="1" applyBorder="1"/>
    <xf numFmtId="167" fontId="4" fillId="0" borderId="27" xfId="0" applyNumberFormat="1" applyFont="1" applyBorder="1"/>
    <xf numFmtId="167" fontId="72" fillId="0" borderId="27" xfId="0" applyNumberFormat="1" applyFont="1" applyBorder="1"/>
    <xf numFmtId="167" fontId="4" fillId="16" borderId="27" xfId="0" applyNumberFormat="1" applyFont="1" applyFill="1" applyBorder="1"/>
    <xf numFmtId="167" fontId="72" fillId="16" borderId="27" xfId="0" applyNumberFormat="1" applyFont="1" applyFill="1" applyBorder="1"/>
    <xf numFmtId="0" fontId="66" fillId="0" borderId="27" xfId="0" applyFont="1" applyBorder="1"/>
    <xf numFmtId="177" fontId="88" fillId="0" borderId="0" xfId="0" applyNumberFormat="1" applyFont="1" applyAlignment="1" applyProtection="1">
      <alignment horizontal="center"/>
      <protection locked="0"/>
    </xf>
    <xf numFmtId="186" fontId="88" fillId="0" borderId="0" xfId="0" applyNumberFormat="1" applyFont="1" applyAlignment="1" applyProtection="1">
      <alignment horizontal="center"/>
      <protection locked="0"/>
    </xf>
    <xf numFmtId="167" fontId="160" fillId="0" borderId="0" xfId="4" applyFont="1"/>
    <xf numFmtId="189" fontId="79" fillId="0" borderId="0" xfId="3" applyNumberFormat="1" applyFont="1" applyProtection="1">
      <protection locked="0"/>
    </xf>
    <xf numFmtId="177" fontId="79" fillId="0" borderId="0" xfId="0" applyNumberFormat="1" applyFont="1" applyProtection="1">
      <protection locked="0"/>
    </xf>
    <xf numFmtId="188" fontId="113" fillId="57" borderId="0" xfId="3" applyNumberFormat="1" applyFont="1" applyFill="1"/>
    <xf numFmtId="1" fontId="116" fillId="0" borderId="0" xfId="0" applyNumberFormat="1" applyFont="1"/>
    <xf numFmtId="167" fontId="75" fillId="0" borderId="4" xfId="0" applyNumberFormat="1" applyFont="1" applyBorder="1" applyAlignment="1" applyProtection="1">
      <alignment horizontal="left"/>
      <protection locked="0"/>
    </xf>
    <xf numFmtId="0" fontId="4" fillId="0" borderId="10" xfId="0" applyFont="1" applyBorder="1" applyAlignment="1" applyProtection="1">
      <alignment horizontal="left"/>
      <protection locked="0"/>
    </xf>
    <xf numFmtId="186" fontId="75" fillId="0" borderId="6" xfId="0" applyNumberFormat="1" applyFont="1" applyBorder="1" applyAlignment="1" applyProtection="1">
      <alignment horizontal="center"/>
      <protection locked="0"/>
    </xf>
    <xf numFmtId="180" fontId="7" fillId="52" borderId="17" xfId="5" applyNumberFormat="1" applyFont="1" applyFill="1" applyBorder="1"/>
    <xf numFmtId="167" fontId="5" fillId="58" borderId="4" xfId="4" applyFont="1" applyFill="1" applyBorder="1" applyAlignment="1">
      <alignment horizontal="center"/>
    </xf>
    <xf numFmtId="165" fontId="85" fillId="0" borderId="3" xfId="0" applyNumberFormat="1" applyFont="1" applyBorder="1" applyAlignment="1" applyProtection="1">
      <alignment horizontal="center"/>
      <protection locked="0"/>
    </xf>
    <xf numFmtId="165" fontId="88" fillId="20" borderId="0" xfId="0" applyNumberFormat="1" applyFont="1" applyFill="1" applyAlignment="1" applyProtection="1">
      <alignment horizontal="center"/>
      <protection locked="0"/>
    </xf>
    <xf numFmtId="165" fontId="82" fillId="20" borderId="0" xfId="0" applyNumberFormat="1" applyFont="1" applyFill="1" applyProtection="1">
      <protection locked="0"/>
    </xf>
    <xf numFmtId="165" fontId="88" fillId="20" borderId="3" xfId="0" applyNumberFormat="1" applyFont="1" applyFill="1" applyBorder="1" applyAlignment="1" applyProtection="1">
      <alignment horizontal="center"/>
      <protection locked="0"/>
    </xf>
    <xf numFmtId="165" fontId="88" fillId="0" borderId="0" xfId="0" quotePrefix="1" applyNumberFormat="1" applyFont="1" applyProtection="1">
      <protection locked="0"/>
    </xf>
    <xf numFmtId="165" fontId="85" fillId="0" borderId="0" xfId="0" applyNumberFormat="1" applyFont="1"/>
    <xf numFmtId="165" fontId="85" fillId="7" borderId="11" xfId="0" applyNumberFormat="1" applyFont="1" applyFill="1" applyBorder="1"/>
    <xf numFmtId="165" fontId="85" fillId="0" borderId="9" xfId="0" applyNumberFormat="1" applyFont="1" applyBorder="1" applyAlignment="1" applyProtection="1">
      <alignment horizontal="center"/>
      <protection locked="0"/>
    </xf>
    <xf numFmtId="165" fontId="88" fillId="0" borderId="9" xfId="0" applyNumberFormat="1" applyFont="1" applyBorder="1" applyAlignment="1" applyProtection="1">
      <alignment horizontal="center"/>
      <protection locked="0"/>
    </xf>
    <xf numFmtId="165" fontId="85" fillId="0" borderId="0" xfId="0" applyNumberFormat="1" applyFont="1" applyAlignment="1">
      <alignment horizontal="center" wrapText="1"/>
    </xf>
    <xf numFmtId="165" fontId="91" fillId="0" borderId="0" xfId="0" applyNumberFormat="1" applyFont="1"/>
    <xf numFmtId="165" fontId="99" fillId="7" borderId="13" xfId="0" applyNumberFormat="1" applyFont="1" applyFill="1" applyBorder="1"/>
    <xf numFmtId="165" fontId="82" fillId="7" borderId="13" xfId="0" applyNumberFormat="1" applyFont="1" applyFill="1" applyBorder="1" applyAlignment="1" applyProtection="1">
      <alignment horizontal="center"/>
      <protection locked="0"/>
    </xf>
    <xf numFmtId="186" fontId="75" fillId="0" borderId="0" xfId="0" applyNumberFormat="1" applyFont="1" applyAlignment="1" applyProtection="1">
      <alignment horizontal="center"/>
      <protection locked="0"/>
    </xf>
    <xf numFmtId="165" fontId="85" fillId="0" borderId="23" xfId="0" applyNumberFormat="1" applyFont="1" applyBorder="1" applyAlignment="1">
      <alignment horizontal="center"/>
    </xf>
    <xf numFmtId="165" fontId="75" fillId="0" borderId="3" xfId="0" applyNumberFormat="1" applyFont="1" applyBorder="1" applyAlignment="1" applyProtection="1">
      <alignment horizontal="center"/>
      <protection locked="0"/>
    </xf>
    <xf numFmtId="165" fontId="88" fillId="0" borderId="0" xfId="0" applyNumberFormat="1" applyFont="1"/>
    <xf numFmtId="165" fontId="85" fillId="7" borderId="13" xfId="0" applyNumberFormat="1" applyFont="1" applyFill="1" applyBorder="1"/>
    <xf numFmtId="165" fontId="89" fillId="0" borderId="0" xfId="0" applyNumberFormat="1" applyFont="1"/>
    <xf numFmtId="165" fontId="88" fillId="54" borderId="0" xfId="0" applyNumberFormat="1" applyFont="1" applyFill="1" applyAlignment="1">
      <alignment horizontal="center"/>
    </xf>
    <xf numFmtId="165" fontId="85" fillId="54" borderId="0" xfId="0" applyNumberFormat="1" applyFont="1" applyFill="1" applyAlignment="1">
      <alignment horizontal="center"/>
    </xf>
    <xf numFmtId="165" fontId="148" fillId="54" borderId="0" xfId="0" applyNumberFormat="1" applyFont="1" applyFill="1" applyProtection="1">
      <protection locked="0"/>
    </xf>
    <xf numFmtId="165" fontId="88" fillId="54" borderId="9" xfId="0" applyNumberFormat="1" applyFont="1" applyFill="1" applyBorder="1" applyAlignment="1" applyProtection="1">
      <alignment horizontal="center"/>
      <protection locked="0"/>
    </xf>
    <xf numFmtId="165" fontId="88" fillId="54" borderId="0" xfId="0" applyNumberFormat="1" applyFont="1" applyFill="1" applyAlignment="1" applyProtection="1">
      <alignment horizontal="center"/>
      <protection locked="0"/>
    </xf>
    <xf numFmtId="165" fontId="88" fillId="0" borderId="3" xfId="0" applyNumberFormat="1" applyFont="1" applyBorder="1" applyAlignment="1">
      <alignment horizontal="center"/>
    </xf>
    <xf numFmtId="165" fontId="85" fillId="7" borderId="11" xfId="0" applyNumberFormat="1" applyFont="1" applyFill="1" applyBorder="1" applyAlignment="1">
      <alignment horizontal="center"/>
    </xf>
    <xf numFmtId="165" fontId="95" fillId="7" borderId="58" xfId="0" applyNumberFormat="1" applyFont="1" applyFill="1" applyBorder="1"/>
    <xf numFmtId="165" fontId="88" fillId="0" borderId="15" xfId="0" applyNumberFormat="1" applyFont="1" applyBorder="1" applyAlignment="1" applyProtection="1">
      <alignment horizontal="center"/>
      <protection locked="0"/>
    </xf>
    <xf numFmtId="165" fontId="85" fillId="0" borderId="17" xfId="0" applyNumberFormat="1" applyFont="1" applyBorder="1" applyAlignment="1">
      <alignment horizontal="center"/>
    </xf>
    <xf numFmtId="165" fontId="95" fillId="7" borderId="11" xfId="0" applyNumberFormat="1" applyFont="1" applyFill="1" applyBorder="1"/>
    <xf numFmtId="165" fontId="85" fillId="7" borderId="13" xfId="0" applyNumberFormat="1" applyFont="1" applyFill="1" applyBorder="1" applyAlignment="1" applyProtection="1">
      <alignment horizontal="center"/>
      <protection locked="0"/>
    </xf>
    <xf numFmtId="165" fontId="104" fillId="0" borderId="0" xfId="0" quotePrefix="1" applyNumberFormat="1" applyFont="1" applyAlignment="1" applyProtection="1">
      <alignment horizontal="center"/>
      <protection locked="0"/>
    </xf>
    <xf numFmtId="168" fontId="75" fillId="3" borderId="99" xfId="0" applyNumberFormat="1" applyFont="1" applyFill="1" applyBorder="1" applyAlignment="1" applyProtection="1">
      <alignment horizontal="center"/>
      <protection locked="0"/>
    </xf>
    <xf numFmtId="168" fontId="75" fillId="3" borderId="100" xfId="0" applyNumberFormat="1" applyFont="1" applyFill="1" applyBorder="1" applyAlignment="1" applyProtection="1">
      <alignment horizontal="center"/>
      <protection locked="0"/>
    </xf>
    <xf numFmtId="165" fontId="75" fillId="0" borderId="101" xfId="0" applyNumberFormat="1" applyFont="1" applyBorder="1" applyAlignment="1" applyProtection="1">
      <alignment horizontal="center"/>
      <protection locked="0"/>
    </xf>
    <xf numFmtId="165" fontId="88" fillId="0" borderId="101" xfId="0" applyNumberFormat="1" applyFont="1" applyBorder="1" applyAlignment="1">
      <alignment horizontal="center"/>
    </xf>
    <xf numFmtId="165" fontId="85" fillId="0" borderId="102" xfId="0" applyNumberFormat="1" applyFont="1" applyBorder="1" applyAlignment="1" applyProtection="1">
      <alignment horizontal="center"/>
      <protection locked="0"/>
    </xf>
    <xf numFmtId="165" fontId="88" fillId="0" borderId="101" xfId="0" applyNumberFormat="1" applyFont="1" applyBorder="1" applyProtection="1">
      <protection locked="0"/>
    </xf>
    <xf numFmtId="165" fontId="85" fillId="0" borderId="101" xfId="0" applyNumberFormat="1" applyFont="1" applyBorder="1" applyAlignment="1">
      <alignment horizontal="center"/>
    </xf>
    <xf numFmtId="165" fontId="88" fillId="0" borderId="102" xfId="0" applyNumberFormat="1" applyFont="1" applyBorder="1" applyAlignment="1" applyProtection="1">
      <alignment horizontal="center"/>
      <protection locked="0"/>
    </xf>
    <xf numFmtId="165" fontId="88" fillId="0" borderId="101" xfId="0" applyNumberFormat="1" applyFont="1" applyBorder="1" applyAlignment="1" applyProtection="1">
      <alignment horizontal="center"/>
      <protection locked="0"/>
    </xf>
    <xf numFmtId="165" fontId="88" fillId="20" borderId="101" xfId="0" applyNumberFormat="1" applyFont="1" applyFill="1" applyBorder="1" applyAlignment="1" applyProtection="1">
      <alignment horizontal="center"/>
      <protection locked="0"/>
    </xf>
    <xf numFmtId="165" fontId="88" fillId="20" borderId="101" xfId="0" applyNumberFormat="1" applyFont="1" applyFill="1" applyBorder="1" applyAlignment="1">
      <alignment horizontal="center"/>
    </xf>
    <xf numFmtId="165" fontId="82" fillId="20" borderId="101" xfId="0" applyNumberFormat="1" applyFont="1" applyFill="1" applyBorder="1" applyProtection="1">
      <protection locked="0"/>
    </xf>
    <xf numFmtId="165" fontId="88" fillId="20" borderId="102" xfId="0" applyNumberFormat="1" applyFont="1" applyFill="1" applyBorder="1" applyAlignment="1" applyProtection="1">
      <alignment horizontal="center"/>
      <protection locked="0"/>
    </xf>
    <xf numFmtId="165" fontId="85" fillId="0" borderId="101" xfId="0" applyNumberFormat="1" applyFont="1" applyBorder="1" applyAlignment="1" applyProtection="1">
      <alignment horizontal="center"/>
      <protection locked="0"/>
    </xf>
    <xf numFmtId="165" fontId="88" fillId="0" borderId="101" xfId="0" quotePrefix="1" applyNumberFormat="1" applyFont="1" applyBorder="1" applyProtection="1">
      <protection locked="0"/>
    </xf>
    <xf numFmtId="165" fontId="85" fillId="0" borderId="101" xfId="0" applyNumberFormat="1" applyFont="1" applyBorder="1"/>
    <xf numFmtId="165" fontId="85" fillId="7" borderId="103" xfId="0" applyNumberFormat="1" applyFont="1" applyFill="1" applyBorder="1"/>
    <xf numFmtId="165" fontId="85" fillId="0" borderId="102" xfId="0" applyNumberFormat="1" applyFont="1" applyBorder="1" applyAlignment="1">
      <alignment horizontal="center"/>
    </xf>
    <xf numFmtId="165" fontId="85" fillId="0" borderId="101" xfId="0" applyNumberFormat="1" applyFont="1" applyBorder="1" applyAlignment="1">
      <alignment horizontal="center" wrapText="1"/>
    </xf>
    <xf numFmtId="165" fontId="91" fillId="0" borderId="101" xfId="0" applyNumberFormat="1" applyFont="1" applyBorder="1"/>
    <xf numFmtId="165" fontId="99" fillId="7" borderId="103" xfId="0" applyNumberFormat="1" applyFont="1" applyFill="1" applyBorder="1"/>
    <xf numFmtId="165" fontId="82" fillId="7" borderId="103" xfId="0" applyNumberFormat="1" applyFont="1" applyFill="1" applyBorder="1" applyAlignment="1" applyProtection="1">
      <alignment horizontal="center"/>
      <protection locked="0"/>
    </xf>
    <xf numFmtId="186" fontId="75" fillId="0" borderId="101" xfId="0" applyNumberFormat="1" applyFont="1" applyBorder="1" applyAlignment="1" applyProtection="1">
      <alignment horizontal="center"/>
      <protection locked="0"/>
    </xf>
    <xf numFmtId="165" fontId="85" fillId="0" borderId="104" xfId="0" applyNumberFormat="1" applyFont="1" applyBorder="1" applyAlignment="1">
      <alignment horizontal="center"/>
    </xf>
    <xf numFmtId="165" fontId="75" fillId="0" borderId="102" xfId="0" applyNumberFormat="1" applyFont="1" applyBorder="1" applyAlignment="1" applyProtection="1">
      <alignment horizontal="center"/>
      <protection locked="0"/>
    </xf>
    <xf numFmtId="165" fontId="88" fillId="0" borderId="101" xfId="0" applyNumberFormat="1" applyFont="1" applyBorder="1"/>
    <xf numFmtId="0" fontId="75" fillId="20" borderId="105" xfId="0" applyFont="1" applyFill="1" applyBorder="1"/>
    <xf numFmtId="165" fontId="75" fillId="20" borderId="105" xfId="0" applyNumberFormat="1" applyFont="1" applyFill="1" applyBorder="1" applyProtection="1">
      <protection locked="0"/>
    </xf>
    <xf numFmtId="165" fontId="89" fillId="0" borderId="101" xfId="0" applyNumberFormat="1" applyFont="1" applyBorder="1"/>
    <xf numFmtId="165" fontId="82" fillId="0" borderId="101" xfId="0" applyNumberFormat="1" applyFont="1" applyBorder="1" applyAlignment="1" applyProtection="1">
      <alignment horizontal="center"/>
      <protection locked="0"/>
    </xf>
    <xf numFmtId="165" fontId="88" fillId="54" borderId="101" xfId="0" applyNumberFormat="1" applyFont="1" applyFill="1" applyBorder="1" applyAlignment="1">
      <alignment horizontal="center"/>
    </xf>
    <xf numFmtId="165" fontId="85" fillId="54" borderId="101" xfId="0" applyNumberFormat="1" applyFont="1" applyFill="1" applyBorder="1" applyAlignment="1">
      <alignment horizontal="center"/>
    </xf>
    <xf numFmtId="165" fontId="148" fillId="54" borderId="101" xfId="0" applyNumberFormat="1" applyFont="1" applyFill="1" applyBorder="1" applyProtection="1">
      <protection locked="0"/>
    </xf>
    <xf numFmtId="165" fontId="88" fillId="54" borderId="102" xfId="0" applyNumberFormat="1" applyFont="1" applyFill="1" applyBorder="1" applyAlignment="1" applyProtection="1">
      <alignment horizontal="center"/>
      <protection locked="0"/>
    </xf>
    <xf numFmtId="165" fontId="88" fillId="54" borderId="101" xfId="0" applyNumberFormat="1" applyFont="1" applyFill="1" applyBorder="1" applyAlignment="1" applyProtection="1">
      <alignment horizontal="center"/>
      <protection locked="0"/>
    </xf>
    <xf numFmtId="165" fontId="88" fillId="0" borderId="102" xfId="0" applyNumberFormat="1" applyFont="1" applyBorder="1" applyAlignment="1">
      <alignment horizontal="center"/>
    </xf>
    <xf numFmtId="165" fontId="85" fillId="7" borderId="103" xfId="0" applyNumberFormat="1" applyFont="1" applyFill="1" applyBorder="1" applyAlignment="1">
      <alignment horizontal="center"/>
    </xf>
    <xf numFmtId="165" fontId="95" fillId="7" borderId="106" xfId="0" applyNumberFormat="1" applyFont="1" applyFill="1" applyBorder="1"/>
    <xf numFmtId="165" fontId="88" fillId="0" borderId="105" xfId="0" applyNumberFormat="1" applyFont="1" applyBorder="1" applyAlignment="1" applyProtection="1">
      <alignment horizontal="center"/>
      <protection locked="0"/>
    </xf>
    <xf numFmtId="165" fontId="75" fillId="0" borderId="105" xfId="0" applyNumberFormat="1" applyFont="1" applyBorder="1" applyAlignment="1" applyProtection="1">
      <alignment horizontal="center"/>
      <protection locked="0"/>
    </xf>
    <xf numFmtId="165" fontId="88" fillId="0" borderId="107" xfId="0" applyNumberFormat="1" applyFont="1" applyBorder="1" applyAlignment="1" applyProtection="1">
      <alignment horizontal="center"/>
      <protection locked="0"/>
    </xf>
    <xf numFmtId="165" fontId="85" fillId="0" borderId="107" xfId="0" applyNumberFormat="1" applyFont="1" applyBorder="1" applyAlignment="1">
      <alignment horizontal="center"/>
    </xf>
    <xf numFmtId="165" fontId="95" fillId="7" borderId="103" xfId="0" applyNumberFormat="1" applyFont="1" applyFill="1" applyBorder="1"/>
    <xf numFmtId="165" fontId="85" fillId="0" borderId="105" xfId="0" applyNumberFormat="1" applyFont="1" applyBorder="1" applyAlignment="1" applyProtection="1">
      <alignment horizontal="center"/>
      <protection locked="0"/>
    </xf>
    <xf numFmtId="165" fontId="85" fillId="7" borderId="103" xfId="0" applyNumberFormat="1" applyFont="1" applyFill="1" applyBorder="1" applyAlignment="1" applyProtection="1">
      <alignment horizontal="center"/>
      <protection locked="0"/>
    </xf>
    <xf numFmtId="165" fontId="85" fillId="0" borderId="100" xfId="0" applyNumberFormat="1" applyFont="1" applyBorder="1" applyAlignment="1" applyProtection="1">
      <alignment horizontal="center"/>
      <protection locked="0"/>
    </xf>
    <xf numFmtId="165" fontId="104" fillId="0" borderId="101" xfId="0" quotePrefix="1" applyNumberFormat="1" applyFont="1" applyBorder="1" applyAlignment="1" applyProtection="1">
      <alignment horizontal="center"/>
      <protection locked="0"/>
    </xf>
    <xf numFmtId="168" fontId="162" fillId="3" borderId="21" xfId="0" applyNumberFormat="1" applyFont="1" applyFill="1" applyBorder="1" applyAlignment="1" applyProtection="1">
      <alignment horizontal="center"/>
      <protection locked="0"/>
    </xf>
    <xf numFmtId="165" fontId="154" fillId="0" borderId="33" xfId="0" applyNumberFormat="1" applyFont="1" applyBorder="1"/>
    <xf numFmtId="165" fontId="154" fillId="0" borderId="0" xfId="0" applyNumberFormat="1" applyFont="1"/>
    <xf numFmtId="165" fontId="154" fillId="0" borderId="21" xfId="0" applyNumberFormat="1" applyFont="1" applyBorder="1"/>
    <xf numFmtId="168" fontId="30" fillId="3" borderId="33" xfId="0" applyNumberFormat="1" applyFont="1" applyFill="1" applyBorder="1" applyAlignment="1" applyProtection="1">
      <alignment horizontal="center"/>
      <protection locked="0"/>
    </xf>
    <xf numFmtId="168" fontId="30" fillId="3" borderId="21" xfId="0" applyNumberFormat="1" applyFont="1" applyFill="1" applyBorder="1" applyAlignment="1" applyProtection="1">
      <alignment horizontal="center"/>
      <protection locked="0"/>
    </xf>
    <xf numFmtId="165" fontId="30" fillId="0" borderId="6" xfId="0" applyNumberFormat="1" applyFont="1" applyBorder="1" applyAlignment="1" applyProtection="1">
      <alignment horizontal="center"/>
      <protection locked="0"/>
    </xf>
    <xf numFmtId="165" fontId="167" fillId="0" borderId="6" xfId="0" applyNumberFormat="1" applyFont="1" applyBorder="1" applyAlignment="1">
      <alignment horizontal="center"/>
    </xf>
    <xf numFmtId="165" fontId="168" fillId="0" borderId="7" xfId="0" applyNumberFormat="1" applyFont="1" applyBorder="1" applyAlignment="1" applyProtection="1">
      <alignment horizontal="center"/>
      <protection locked="0"/>
    </xf>
    <xf numFmtId="165" fontId="167" fillId="0" borderId="6" xfId="0" applyNumberFormat="1" applyFont="1" applyBorder="1" applyProtection="1">
      <protection locked="0"/>
    </xf>
    <xf numFmtId="165" fontId="168" fillId="0" borderId="6" xfId="0" applyNumberFormat="1" applyFont="1" applyBorder="1" applyAlignment="1">
      <alignment horizontal="center"/>
    </xf>
    <xf numFmtId="165" fontId="167" fillId="0" borderId="7" xfId="0" applyNumberFormat="1" applyFont="1" applyBorder="1" applyAlignment="1" applyProtection="1">
      <alignment horizontal="center"/>
      <protection locked="0"/>
    </xf>
    <xf numFmtId="165" fontId="167" fillId="0" borderId="6" xfId="0" applyNumberFormat="1" applyFont="1" applyBorder="1" applyAlignment="1" applyProtection="1">
      <alignment horizontal="center"/>
      <protection locked="0"/>
    </xf>
    <xf numFmtId="165" fontId="167" fillId="20" borderId="6" xfId="0" applyNumberFormat="1" applyFont="1" applyFill="1" applyBorder="1" applyAlignment="1" applyProtection="1">
      <alignment horizontal="center"/>
      <protection locked="0"/>
    </xf>
    <xf numFmtId="165" fontId="167" fillId="20" borderId="6" xfId="0" applyNumberFormat="1" applyFont="1" applyFill="1" applyBorder="1" applyAlignment="1">
      <alignment horizontal="center"/>
    </xf>
    <xf numFmtId="165" fontId="154" fillId="20" borderId="6" xfId="0" applyNumberFormat="1" applyFont="1" applyFill="1" applyBorder="1" applyProtection="1">
      <protection locked="0"/>
    </xf>
    <xf numFmtId="165" fontId="167" fillId="20" borderId="7" xfId="0" applyNumberFormat="1" applyFont="1" applyFill="1" applyBorder="1" applyAlignment="1" applyProtection="1">
      <alignment horizontal="center"/>
      <protection locked="0"/>
    </xf>
    <xf numFmtId="165" fontId="168" fillId="0" borderId="6" xfId="0" applyNumberFormat="1" applyFont="1" applyBorder="1" applyAlignment="1" applyProtection="1">
      <alignment horizontal="center"/>
      <protection locked="0"/>
    </xf>
    <xf numFmtId="165" fontId="168" fillId="0" borderId="4" xfId="0" applyNumberFormat="1" applyFont="1" applyBorder="1" applyAlignment="1">
      <alignment horizontal="center"/>
    </xf>
    <xf numFmtId="165" fontId="167" fillId="0" borderId="6" xfId="0" quotePrefix="1" applyNumberFormat="1" applyFont="1" applyBorder="1" applyProtection="1">
      <protection locked="0"/>
    </xf>
    <xf numFmtId="165" fontId="168" fillId="0" borderId="6" xfId="0" applyNumberFormat="1" applyFont="1" applyBorder="1"/>
    <xf numFmtId="165" fontId="168" fillId="7" borderId="10" xfId="0" applyNumberFormat="1" applyFont="1" applyFill="1" applyBorder="1"/>
    <xf numFmtId="165" fontId="168" fillId="0" borderId="2" xfId="0" applyNumberFormat="1" applyFont="1" applyBorder="1" applyAlignment="1" applyProtection="1">
      <alignment horizontal="center"/>
      <protection locked="0"/>
    </xf>
    <xf numFmtId="165" fontId="167" fillId="0" borderId="2" xfId="0" applyNumberFormat="1" applyFont="1" applyBorder="1" applyAlignment="1" applyProtection="1">
      <alignment horizontal="center"/>
      <protection locked="0"/>
    </xf>
    <xf numFmtId="165" fontId="168" fillId="0" borderId="7" xfId="0" applyNumberFormat="1" applyFont="1" applyBorder="1" applyAlignment="1">
      <alignment horizontal="center"/>
    </xf>
    <xf numFmtId="165" fontId="168" fillId="0" borderId="6" xfId="0" applyNumberFormat="1" applyFont="1" applyBorder="1" applyAlignment="1">
      <alignment horizontal="center" wrapText="1"/>
    </xf>
    <xf numFmtId="165" fontId="169" fillId="0" borderId="6" xfId="0" applyNumberFormat="1" applyFont="1" applyBorder="1"/>
    <xf numFmtId="165" fontId="170" fillId="7" borderId="12" xfId="0" applyNumberFormat="1" applyFont="1" applyFill="1" applyBorder="1"/>
    <xf numFmtId="165" fontId="154" fillId="7" borderId="12" xfId="0" applyNumberFormat="1" applyFont="1" applyFill="1" applyBorder="1" applyAlignment="1" applyProtection="1">
      <alignment horizontal="center"/>
      <protection locked="0"/>
    </xf>
    <xf numFmtId="186" fontId="30" fillId="0" borderId="6" xfId="0" applyNumberFormat="1" applyFont="1" applyBorder="1" applyAlignment="1" applyProtection="1">
      <alignment horizontal="center"/>
      <protection locked="0"/>
    </xf>
    <xf numFmtId="165" fontId="168" fillId="0" borderId="5" xfId="0" applyNumberFormat="1" applyFont="1" applyBorder="1" applyAlignment="1">
      <alignment horizontal="center"/>
    </xf>
    <xf numFmtId="165" fontId="30" fillId="0" borderId="7" xfId="0" applyNumberFormat="1" applyFont="1" applyBorder="1" applyAlignment="1" applyProtection="1">
      <alignment horizontal="center"/>
      <protection locked="0"/>
    </xf>
    <xf numFmtId="165" fontId="168" fillId="0" borderId="4" xfId="0" applyNumberFormat="1" applyFont="1" applyBorder="1"/>
    <xf numFmtId="165" fontId="167" fillId="0" borderId="6" xfId="0" applyNumberFormat="1" applyFont="1" applyBorder="1"/>
    <xf numFmtId="165" fontId="168" fillId="7" borderId="12" xfId="0" applyNumberFormat="1" applyFont="1" applyFill="1" applyBorder="1"/>
    <xf numFmtId="0" fontId="30" fillId="20" borderId="0" xfId="0" applyFont="1" applyFill="1"/>
    <xf numFmtId="165" fontId="30" fillId="20" borderId="0" xfId="0" applyNumberFormat="1" applyFont="1" applyFill="1" applyProtection="1">
      <protection locked="0"/>
    </xf>
    <xf numFmtId="165" fontId="171" fillId="0" borderId="6" xfId="0" applyNumberFormat="1" applyFont="1" applyBorder="1"/>
    <xf numFmtId="165" fontId="154" fillId="0" borderId="6" xfId="0" applyNumberFormat="1" applyFont="1" applyBorder="1" applyAlignment="1" applyProtection="1">
      <alignment horizontal="center"/>
      <protection locked="0"/>
    </xf>
    <xf numFmtId="165" fontId="167" fillId="0" borderId="4" xfId="0" applyNumberFormat="1" applyFont="1" applyBorder="1" applyAlignment="1">
      <alignment horizontal="center"/>
    </xf>
    <xf numFmtId="165" fontId="167" fillId="54" borderId="6" xfId="0" applyNumberFormat="1" applyFont="1" applyFill="1" applyBorder="1" applyAlignment="1">
      <alignment horizontal="center"/>
    </xf>
    <xf numFmtId="165" fontId="168" fillId="54" borderId="6" xfId="0" applyNumberFormat="1" applyFont="1" applyFill="1" applyBorder="1" applyAlignment="1">
      <alignment horizontal="center"/>
    </xf>
    <xf numFmtId="165" fontId="172" fillId="54" borderId="6" xfId="0" applyNumberFormat="1" applyFont="1" applyFill="1" applyBorder="1" applyProtection="1">
      <protection locked="0"/>
    </xf>
    <xf numFmtId="165" fontId="167" fillId="54" borderId="2" xfId="0" applyNumberFormat="1" applyFont="1" applyFill="1" applyBorder="1" applyAlignment="1" applyProtection="1">
      <alignment horizontal="center"/>
      <protection locked="0"/>
    </xf>
    <xf numFmtId="165" fontId="167" fillId="54" borderId="6" xfId="0" applyNumberFormat="1" applyFont="1" applyFill="1" applyBorder="1" applyAlignment="1" applyProtection="1">
      <alignment horizontal="center"/>
      <protection locked="0"/>
    </xf>
    <xf numFmtId="165" fontId="167" fillId="0" borderId="7" xfId="0" applyNumberFormat="1" applyFont="1" applyBorder="1" applyAlignment="1">
      <alignment horizontal="center"/>
    </xf>
    <xf numFmtId="165" fontId="168" fillId="7" borderId="10" xfId="0" applyNumberFormat="1" applyFont="1" applyFill="1" applyBorder="1" applyAlignment="1">
      <alignment horizontal="center"/>
    </xf>
    <xf numFmtId="165" fontId="173" fillId="7" borderId="48" xfId="0" applyNumberFormat="1" applyFont="1" applyFill="1" applyBorder="1"/>
    <xf numFmtId="165" fontId="167" fillId="0" borderId="0" xfId="0" applyNumberFormat="1" applyFont="1" applyAlignment="1" applyProtection="1">
      <alignment horizontal="center"/>
      <protection locked="0"/>
    </xf>
    <xf numFmtId="165" fontId="30" fillId="0" borderId="0" xfId="0" applyNumberFormat="1" applyFont="1" applyAlignment="1" applyProtection="1">
      <alignment horizontal="center"/>
      <protection locked="0"/>
    </xf>
    <xf numFmtId="165" fontId="167" fillId="0" borderId="20" xfId="0" applyNumberFormat="1" applyFont="1" applyBorder="1" applyAlignment="1" applyProtection="1">
      <alignment horizontal="center"/>
      <protection locked="0"/>
    </xf>
    <xf numFmtId="165" fontId="168" fillId="0" borderId="16" xfId="0" applyNumberFormat="1" applyFont="1" applyBorder="1" applyAlignment="1">
      <alignment horizontal="center"/>
    </xf>
    <xf numFmtId="165" fontId="173" fillId="7" borderId="10" xfId="0" applyNumberFormat="1" applyFont="1" applyFill="1" applyBorder="1"/>
    <xf numFmtId="165" fontId="168" fillId="0" borderId="0" xfId="0" applyNumberFormat="1" applyFont="1" applyAlignment="1" applyProtection="1">
      <alignment horizontal="center"/>
      <protection locked="0"/>
    </xf>
    <xf numFmtId="165" fontId="168" fillId="7" borderId="12" xfId="0" applyNumberFormat="1" applyFont="1" applyFill="1" applyBorder="1" applyAlignment="1" applyProtection="1">
      <alignment horizontal="center"/>
      <protection locked="0"/>
    </xf>
    <xf numFmtId="165" fontId="168" fillId="0" borderId="21" xfId="0" applyNumberFormat="1" applyFont="1" applyBorder="1" applyAlignment="1" applyProtection="1">
      <alignment horizontal="center"/>
      <protection locked="0"/>
    </xf>
    <xf numFmtId="165" fontId="174" fillId="0" borderId="6" xfId="0" quotePrefix="1" applyNumberFormat="1" applyFont="1" applyBorder="1" applyAlignment="1" applyProtection="1">
      <alignment horizontal="center"/>
      <protection locked="0"/>
    </xf>
    <xf numFmtId="165" fontId="30" fillId="0" borderId="0" xfId="0" applyNumberFormat="1" applyFont="1" applyProtection="1">
      <protection locked="0"/>
    </xf>
    <xf numFmtId="168" fontId="75" fillId="3" borderId="25" xfId="0" applyNumberFormat="1" applyFont="1" applyFill="1" applyBorder="1" applyAlignment="1" applyProtection="1">
      <alignment horizontal="center"/>
      <protection locked="0"/>
    </xf>
    <xf numFmtId="168" fontId="75" fillId="3" borderId="31" xfId="0" applyNumberFormat="1" applyFont="1" applyFill="1" applyBorder="1" applyAlignment="1" applyProtection="1">
      <alignment horizontal="center"/>
      <protection locked="0"/>
    </xf>
    <xf numFmtId="165" fontId="75" fillId="0" borderId="28" xfId="0" applyNumberFormat="1" applyFont="1" applyBorder="1" applyAlignment="1" applyProtection="1">
      <alignment horizontal="center"/>
      <protection locked="0"/>
    </xf>
    <xf numFmtId="165" fontId="88" fillId="0" borderId="28" xfId="0" applyNumberFormat="1" applyFont="1" applyBorder="1" applyAlignment="1">
      <alignment horizontal="center"/>
    </xf>
    <xf numFmtId="165" fontId="85" fillId="0" borderId="52" xfId="0" applyNumberFormat="1" applyFont="1" applyBorder="1" applyAlignment="1" applyProtection="1">
      <alignment horizontal="center"/>
      <protection locked="0"/>
    </xf>
    <xf numFmtId="165" fontId="88" fillId="0" borderId="28" xfId="0" applyNumberFormat="1" applyFont="1" applyBorder="1" applyProtection="1">
      <protection locked="0"/>
    </xf>
    <xf numFmtId="165" fontId="85" fillId="0" borderId="28" xfId="0" applyNumberFormat="1" applyFont="1" applyBorder="1" applyAlignment="1">
      <alignment horizontal="center"/>
    </xf>
    <xf numFmtId="165" fontId="88" fillId="0" borderId="52" xfId="0" applyNumberFormat="1" applyFont="1" applyBorder="1" applyAlignment="1" applyProtection="1">
      <alignment horizontal="center"/>
      <protection locked="0"/>
    </xf>
    <xf numFmtId="165" fontId="88" fillId="0" borderId="28" xfId="0" applyNumberFormat="1" applyFont="1" applyBorder="1" applyAlignment="1" applyProtection="1">
      <alignment horizontal="center"/>
      <protection locked="0"/>
    </xf>
    <xf numFmtId="165" fontId="88" fillId="20" borderId="28" xfId="0" applyNumberFormat="1" applyFont="1" applyFill="1" applyBorder="1" applyAlignment="1" applyProtection="1">
      <alignment horizontal="center"/>
      <protection locked="0"/>
    </xf>
    <xf numFmtId="165" fontId="88" fillId="20" borderId="28" xfId="0" applyNumberFormat="1" applyFont="1" applyFill="1" applyBorder="1" applyAlignment="1">
      <alignment horizontal="center"/>
    </xf>
    <xf numFmtId="165" fontId="82" fillId="20" borderId="28" xfId="0" applyNumberFormat="1" applyFont="1" applyFill="1" applyBorder="1" applyProtection="1">
      <protection locked="0"/>
    </xf>
    <xf numFmtId="165" fontId="88" fillId="20" borderId="52" xfId="0" applyNumberFormat="1" applyFont="1" applyFill="1" applyBorder="1" applyAlignment="1" applyProtection="1">
      <alignment horizontal="center"/>
      <protection locked="0"/>
    </xf>
    <xf numFmtId="165" fontId="85" fillId="0" borderId="28" xfId="0" applyNumberFormat="1" applyFont="1" applyBorder="1" applyAlignment="1" applyProtection="1">
      <alignment horizontal="center"/>
      <protection locked="0"/>
    </xf>
    <xf numFmtId="165" fontId="85" fillId="0" borderId="44" xfId="0" applyNumberFormat="1" applyFont="1" applyBorder="1" applyAlignment="1">
      <alignment horizontal="center"/>
    </xf>
    <xf numFmtId="165" fontId="88" fillId="0" borderId="28" xfId="0" quotePrefix="1" applyNumberFormat="1" applyFont="1" applyBorder="1" applyProtection="1">
      <protection locked="0"/>
    </xf>
    <xf numFmtId="165" fontId="85" fillId="0" borderId="28" xfId="0" applyNumberFormat="1" applyFont="1" applyBorder="1"/>
    <xf numFmtId="165" fontId="85" fillId="7" borderId="108" xfId="0" applyNumberFormat="1" applyFont="1" applyFill="1" applyBorder="1"/>
    <xf numFmtId="165" fontId="85" fillId="0" borderId="45" xfId="0" applyNumberFormat="1" applyFont="1" applyBorder="1" applyAlignment="1" applyProtection="1">
      <alignment horizontal="center"/>
      <protection locked="0"/>
    </xf>
    <xf numFmtId="165" fontId="88" fillId="0" borderId="45" xfId="0" applyNumberFormat="1" applyFont="1" applyBorder="1" applyAlignment="1" applyProtection="1">
      <alignment horizontal="center"/>
      <protection locked="0"/>
    </xf>
    <xf numFmtId="165" fontId="85" fillId="0" borderId="52" xfId="0" applyNumberFormat="1" applyFont="1" applyBorder="1" applyAlignment="1">
      <alignment horizontal="center"/>
    </xf>
    <xf numFmtId="165" fontId="85" fillId="0" borderId="28" xfId="0" applyNumberFormat="1" applyFont="1" applyBorder="1" applyAlignment="1">
      <alignment horizontal="center" wrapText="1"/>
    </xf>
    <xf numFmtId="165" fontId="91" fillId="0" borderId="28" xfId="0" applyNumberFormat="1" applyFont="1" applyBorder="1"/>
    <xf numFmtId="165" fontId="99" fillId="7" borderId="109" xfId="0" applyNumberFormat="1" applyFont="1" applyFill="1" applyBorder="1"/>
    <xf numFmtId="165" fontId="82" fillId="7" borderId="109" xfId="0" applyNumberFormat="1" applyFont="1" applyFill="1" applyBorder="1" applyAlignment="1" applyProtection="1">
      <alignment horizontal="center"/>
      <protection locked="0"/>
    </xf>
    <xf numFmtId="186" fontId="75" fillId="0" borderId="28" xfId="0" applyNumberFormat="1" applyFont="1" applyBorder="1" applyAlignment="1" applyProtection="1">
      <alignment horizontal="center"/>
      <protection locked="0"/>
    </xf>
    <xf numFmtId="165" fontId="85" fillId="0" borderId="70" xfId="0" applyNumberFormat="1" applyFont="1" applyBorder="1" applyAlignment="1">
      <alignment horizontal="center"/>
    </xf>
    <xf numFmtId="165" fontId="75" fillId="0" borderId="52" xfId="0" applyNumberFormat="1" applyFont="1" applyBorder="1" applyAlignment="1" applyProtection="1">
      <alignment horizontal="center"/>
      <protection locked="0"/>
    </xf>
    <xf numFmtId="165" fontId="85" fillId="0" borderId="44" xfId="0" applyNumberFormat="1" applyFont="1" applyBorder="1"/>
    <xf numFmtId="165" fontId="88" fillId="0" borderId="28" xfId="0" applyNumberFormat="1" applyFont="1" applyBorder="1"/>
    <xf numFmtId="165" fontId="85" fillId="7" borderId="109" xfId="0" applyNumberFormat="1" applyFont="1" applyFill="1" applyBorder="1"/>
    <xf numFmtId="0" fontId="75" fillId="20" borderId="28" xfId="0" applyFont="1" applyFill="1" applyBorder="1"/>
    <xf numFmtId="165" fontId="75" fillId="20" borderId="28" xfId="0" applyNumberFormat="1" applyFont="1" applyFill="1" applyBorder="1" applyProtection="1">
      <protection locked="0"/>
    </xf>
    <xf numFmtId="165" fontId="89" fillId="0" borderId="28" xfId="0" applyNumberFormat="1" applyFont="1" applyBorder="1"/>
    <xf numFmtId="165" fontId="82" fillId="0" borderId="28" xfId="0" applyNumberFormat="1" applyFont="1" applyBorder="1" applyAlignment="1" applyProtection="1">
      <alignment horizontal="center"/>
      <protection locked="0"/>
    </xf>
    <xf numFmtId="165" fontId="88" fillId="0" borderId="44" xfId="0" applyNumberFormat="1" applyFont="1" applyBorder="1" applyAlignment="1">
      <alignment horizontal="center"/>
    </xf>
    <xf numFmtId="165" fontId="88" fillId="54" borderId="28" xfId="0" applyNumberFormat="1" applyFont="1" applyFill="1" applyBorder="1" applyAlignment="1">
      <alignment horizontal="center"/>
    </xf>
    <xf numFmtId="165" fontId="85" fillId="54" borderId="28" xfId="0" applyNumberFormat="1" applyFont="1" applyFill="1" applyBorder="1" applyAlignment="1">
      <alignment horizontal="center"/>
    </xf>
    <xf numFmtId="165" fontId="148" fillId="54" borderId="28" xfId="0" applyNumberFormat="1" applyFont="1" applyFill="1" applyBorder="1" applyProtection="1">
      <protection locked="0"/>
    </xf>
    <xf numFmtId="165" fontId="88" fillId="54" borderId="45" xfId="0" applyNumberFormat="1" applyFont="1" applyFill="1" applyBorder="1" applyAlignment="1" applyProtection="1">
      <alignment horizontal="center"/>
      <protection locked="0"/>
    </xf>
    <xf numFmtId="165" fontId="88" fillId="54" borderId="28" xfId="0" applyNumberFormat="1" applyFont="1" applyFill="1" applyBorder="1" applyAlignment="1" applyProtection="1">
      <alignment horizontal="center"/>
      <protection locked="0"/>
    </xf>
    <xf numFmtId="165" fontId="88" fillId="0" borderId="52" xfId="0" applyNumberFormat="1" applyFont="1" applyBorder="1" applyAlignment="1">
      <alignment horizontal="center"/>
    </xf>
    <xf numFmtId="165" fontId="85" fillId="7" borderId="108" xfId="0" applyNumberFormat="1" applyFont="1" applyFill="1" applyBorder="1" applyAlignment="1">
      <alignment horizontal="center"/>
    </xf>
    <xf numFmtId="165" fontId="95" fillId="7" borderId="47" xfId="0" applyNumberFormat="1" applyFont="1" applyFill="1" applyBorder="1"/>
    <xf numFmtId="165" fontId="88" fillId="0" borderId="62" xfId="0" applyNumberFormat="1" applyFont="1" applyBorder="1" applyAlignment="1" applyProtection="1">
      <alignment horizontal="center"/>
      <protection locked="0"/>
    </xf>
    <xf numFmtId="165" fontId="85" fillId="0" borderId="56" xfId="0" applyNumberFormat="1" applyFont="1" applyBorder="1" applyAlignment="1">
      <alignment horizontal="center"/>
    </xf>
    <xf numFmtId="165" fontId="95" fillId="7" borderId="108" xfId="0" applyNumberFormat="1" applyFont="1" applyFill="1" applyBorder="1"/>
    <xf numFmtId="165" fontId="85" fillId="7" borderId="109" xfId="0" applyNumberFormat="1" applyFont="1" applyFill="1" applyBorder="1" applyAlignment="1" applyProtection="1">
      <alignment horizontal="center"/>
      <protection locked="0"/>
    </xf>
    <xf numFmtId="165" fontId="85" fillId="0" borderId="31" xfId="0" applyNumberFormat="1" applyFont="1" applyBorder="1" applyAlignment="1" applyProtection="1">
      <alignment horizontal="center"/>
      <protection locked="0"/>
    </xf>
    <xf numFmtId="165" fontId="104" fillId="0" borderId="28" xfId="0" quotePrefix="1" applyNumberFormat="1" applyFont="1" applyBorder="1" applyAlignment="1" applyProtection="1">
      <alignment horizontal="center"/>
      <protection locked="0"/>
    </xf>
    <xf numFmtId="165" fontId="167" fillId="0" borderId="5" xfId="0" applyNumberFormat="1" applyFont="1" applyBorder="1" applyAlignment="1" applyProtection="1">
      <alignment horizontal="center"/>
      <protection locked="0"/>
    </xf>
    <xf numFmtId="165" fontId="88" fillId="0" borderId="5" xfId="0" applyNumberFormat="1" applyFont="1" applyBorder="1" applyAlignment="1" applyProtection="1">
      <alignment horizontal="center"/>
      <protection locked="0"/>
    </xf>
    <xf numFmtId="165" fontId="88" fillId="0" borderId="23" xfId="0" applyNumberFormat="1" applyFont="1" applyBorder="1" applyAlignment="1" applyProtection="1">
      <alignment horizontal="center"/>
      <protection locked="0"/>
    </xf>
    <xf numFmtId="165" fontId="88" fillId="0" borderId="104" xfId="0" applyNumberFormat="1" applyFont="1" applyBorder="1" applyAlignment="1" applyProtection="1">
      <alignment horizontal="center"/>
      <protection locked="0"/>
    </xf>
    <xf numFmtId="165" fontId="88" fillId="0" borderId="70" xfId="0" applyNumberFormat="1" applyFont="1" applyBorder="1" applyAlignment="1" applyProtection="1">
      <alignment horizontal="center"/>
      <protection locked="0"/>
    </xf>
    <xf numFmtId="188" fontId="113" fillId="0" borderId="0" xfId="3" applyNumberFormat="1" applyFont="1" applyFill="1"/>
    <xf numFmtId="3" fontId="17" fillId="18" borderId="27" xfId="0" applyNumberFormat="1" applyFont="1" applyFill="1" applyBorder="1" applyAlignment="1">
      <alignment horizontal="center"/>
    </xf>
    <xf numFmtId="3" fontId="17" fillId="18" borderId="30" xfId="0" applyNumberFormat="1" applyFont="1" applyFill="1" applyBorder="1" applyAlignment="1">
      <alignment horizontal="center"/>
    </xf>
    <xf numFmtId="3" fontId="16" fillId="18" borderId="27" xfId="0" applyNumberFormat="1" applyFont="1" applyFill="1" applyBorder="1"/>
    <xf numFmtId="3" fontId="17" fillId="18" borderId="27" xfId="0" applyNumberFormat="1" applyFont="1" applyFill="1" applyBorder="1"/>
    <xf numFmtId="0" fontId="163" fillId="18" borderId="4" xfId="0" applyFont="1" applyFill="1" applyBorder="1" applyProtection="1">
      <protection locked="0"/>
    </xf>
    <xf numFmtId="165" fontId="5" fillId="18" borderId="6" xfId="0" applyNumberFormat="1" applyFont="1" applyFill="1" applyBorder="1" applyAlignment="1" applyProtection="1">
      <alignment horizontal="center"/>
      <protection locked="0"/>
    </xf>
    <xf numFmtId="165" fontId="5" fillId="18" borderId="0" xfId="0" applyNumberFormat="1" applyFont="1" applyFill="1" applyAlignment="1" applyProtection="1">
      <alignment horizontal="center"/>
      <protection locked="0"/>
    </xf>
    <xf numFmtId="165" fontId="5" fillId="18" borderId="101" xfId="0" applyNumberFormat="1" applyFont="1" applyFill="1" applyBorder="1" applyAlignment="1" applyProtection="1">
      <alignment horizontal="center"/>
      <protection locked="0"/>
    </xf>
    <xf numFmtId="165" fontId="5" fillId="18" borderId="28" xfId="0" applyNumberFormat="1" applyFont="1" applyFill="1" applyBorder="1" applyAlignment="1" applyProtection="1">
      <alignment horizontal="center"/>
      <protection locked="0"/>
    </xf>
    <xf numFmtId="165" fontId="31" fillId="18" borderId="6" xfId="0" applyNumberFormat="1" applyFont="1" applyFill="1" applyBorder="1" applyAlignment="1" applyProtection="1">
      <alignment horizontal="center"/>
      <protection locked="0"/>
    </xf>
    <xf numFmtId="165" fontId="31" fillId="18" borderId="0" xfId="0" applyNumberFormat="1" applyFont="1" applyFill="1" applyAlignment="1" applyProtection="1">
      <alignment horizontal="center"/>
      <protection locked="0"/>
    </xf>
    <xf numFmtId="165" fontId="31" fillId="18" borderId="101" xfId="0" applyNumberFormat="1" applyFont="1" applyFill="1" applyBorder="1" applyAlignment="1" applyProtection="1">
      <alignment horizontal="center"/>
      <protection locked="0"/>
    </xf>
    <xf numFmtId="165" fontId="31" fillId="18" borderId="28" xfId="0" applyNumberFormat="1" applyFont="1" applyFill="1" applyBorder="1" applyAlignment="1" applyProtection="1">
      <alignment horizontal="center"/>
      <protection locked="0"/>
    </xf>
    <xf numFmtId="165" fontId="25" fillId="18" borderId="6" xfId="0" applyNumberFormat="1" applyFont="1" applyFill="1" applyBorder="1" applyAlignment="1" applyProtection="1">
      <alignment horizontal="center"/>
      <protection locked="0"/>
    </xf>
    <xf numFmtId="175" fontId="31" fillId="18" borderId="7" xfId="0" applyNumberFormat="1" applyFont="1" applyFill="1" applyBorder="1" applyAlignment="1" applyProtection="1">
      <alignment horizontal="center"/>
      <protection locked="0"/>
    </xf>
    <xf numFmtId="175" fontId="31" fillId="18" borderId="3" xfId="0" applyNumberFormat="1" applyFont="1" applyFill="1" applyBorder="1" applyAlignment="1" applyProtection="1">
      <alignment horizontal="center"/>
      <protection locked="0"/>
    </xf>
    <xf numFmtId="175" fontId="31" fillId="18" borderId="102" xfId="0" applyNumberFormat="1" applyFont="1" applyFill="1" applyBorder="1" applyAlignment="1" applyProtection="1">
      <alignment horizontal="center"/>
      <protection locked="0"/>
    </xf>
    <xf numFmtId="175" fontId="31" fillId="18" borderId="52" xfId="0" applyNumberFormat="1" applyFont="1" applyFill="1" applyBorder="1" applyAlignment="1" applyProtection="1">
      <alignment horizontal="center"/>
      <protection locked="0"/>
    </xf>
    <xf numFmtId="0" fontId="159" fillId="0" borderId="0" xfId="0" applyFont="1"/>
    <xf numFmtId="0" fontId="163" fillId="0" borderId="0" xfId="0" applyFont="1"/>
    <xf numFmtId="0" fontId="163" fillId="9" borderId="1" xfId="0" applyFont="1" applyFill="1" applyBorder="1" applyAlignment="1">
      <alignment horizontal="center"/>
    </xf>
    <xf numFmtId="0" fontId="163" fillId="9" borderId="2" xfId="0" applyFont="1" applyFill="1" applyBorder="1" applyAlignment="1">
      <alignment horizontal="center"/>
    </xf>
    <xf numFmtId="0" fontId="163" fillId="2" borderId="4" xfId="0" applyFont="1" applyFill="1" applyBorder="1"/>
    <xf numFmtId="165" fontId="31" fillId="2" borderId="6" xfId="0" applyNumberFormat="1" applyFont="1" applyFill="1" applyBorder="1" applyAlignment="1">
      <alignment horizontal="center"/>
    </xf>
    <xf numFmtId="0" fontId="164" fillId="2" borderId="4" xfId="0" applyFont="1" applyFill="1" applyBorder="1"/>
    <xf numFmtId="0" fontId="164" fillId="2" borderId="2" xfId="0" applyFont="1" applyFill="1" applyBorder="1"/>
    <xf numFmtId="175" fontId="31" fillId="2" borderId="7" xfId="0" applyNumberFormat="1" applyFont="1" applyFill="1" applyBorder="1" applyAlignment="1">
      <alignment horizontal="center"/>
    </xf>
    <xf numFmtId="0" fontId="164" fillId="0" borderId="4" xfId="0" applyFont="1" applyBorder="1"/>
    <xf numFmtId="165" fontId="30" fillId="0" borderId="6" xfId="0" applyNumberFormat="1" applyFont="1" applyBorder="1" applyAlignment="1">
      <alignment horizontal="center"/>
    </xf>
    <xf numFmtId="0" fontId="163" fillId="0" borderId="4" xfId="0" applyFont="1" applyBorder="1"/>
    <xf numFmtId="0" fontId="164" fillId="0" borderId="2" xfId="0" applyFont="1" applyBorder="1"/>
    <xf numFmtId="0" fontId="163" fillId="0" borderId="2" xfId="0" applyFont="1" applyBorder="1"/>
    <xf numFmtId="165" fontId="154" fillId="20" borderId="6" xfId="0" applyNumberFormat="1" applyFont="1" applyFill="1" applyBorder="1"/>
    <xf numFmtId="165" fontId="167" fillId="20" borderId="7" xfId="0" applyNumberFormat="1" applyFont="1" applyFill="1" applyBorder="1" applyAlignment="1">
      <alignment horizontal="center"/>
    </xf>
    <xf numFmtId="0" fontId="31" fillId="0" borderId="4" xfId="0" applyFont="1" applyBorder="1"/>
    <xf numFmtId="0" fontId="164" fillId="0" borderId="6" xfId="0" applyFont="1" applyBorder="1"/>
    <xf numFmtId="165" fontId="163" fillId="0" borderId="7" xfId="0" applyNumberFormat="1" applyFont="1" applyBorder="1"/>
    <xf numFmtId="0" fontId="163" fillId="0" borderId="9" xfId="0" applyFont="1" applyBorder="1"/>
    <xf numFmtId="165" fontId="167" fillId="0" borderId="6" xfId="0" quotePrefix="1" applyNumberFormat="1" applyFont="1" applyBorder="1"/>
    <xf numFmtId="0" fontId="163" fillId="0" borderId="1" xfId="0" applyFont="1" applyBorder="1"/>
    <xf numFmtId="165" fontId="167" fillId="0" borderId="5" xfId="0" applyNumberFormat="1" applyFont="1" applyBorder="1" applyAlignment="1">
      <alignment horizontal="center"/>
    </xf>
    <xf numFmtId="0" fontId="164" fillId="0" borderId="10" xfId="0" applyFont="1" applyBorder="1"/>
    <xf numFmtId="165" fontId="168" fillId="0" borderId="2" xfId="0" applyNumberFormat="1" applyFont="1" applyBorder="1" applyAlignment="1">
      <alignment horizontal="center"/>
    </xf>
    <xf numFmtId="165" fontId="167" fillId="0" borderId="2" xfId="0" applyNumberFormat="1" applyFont="1" applyBorder="1" applyAlignment="1">
      <alignment horizontal="center"/>
    </xf>
    <xf numFmtId="0" fontId="30" fillId="0" borderId="7" xfId="0" applyFont="1" applyBorder="1"/>
    <xf numFmtId="3" fontId="163" fillId="0" borderId="0" xfId="0" applyNumberFormat="1" applyFont="1"/>
    <xf numFmtId="165" fontId="154" fillId="7" borderId="12" xfId="0" applyNumberFormat="1" applyFont="1" applyFill="1" applyBorder="1" applyAlignment="1">
      <alignment horizontal="center"/>
    </xf>
    <xf numFmtId="186" fontId="30" fillId="0" borderId="6" xfId="0" applyNumberFormat="1" applyFont="1" applyBorder="1" applyAlignment="1">
      <alignment horizontal="center"/>
    </xf>
    <xf numFmtId="165" fontId="30" fillId="0" borderId="7" xfId="0" applyNumberFormat="1" applyFont="1" applyBorder="1" applyAlignment="1">
      <alignment horizontal="center"/>
    </xf>
    <xf numFmtId="0" fontId="163" fillId="0" borderId="6" xfId="0" applyFont="1" applyBorder="1"/>
    <xf numFmtId="165" fontId="30" fillId="20" borderId="0" xfId="0" applyNumberFormat="1" applyFont="1" applyFill="1"/>
    <xf numFmtId="165" fontId="154" fillId="0" borderId="6" xfId="0" applyNumberFormat="1" applyFont="1" applyBorder="1" applyAlignment="1">
      <alignment horizontal="center"/>
    </xf>
    <xf numFmtId="0" fontId="30" fillId="0" borderId="6" xfId="0" applyFont="1" applyBorder="1"/>
    <xf numFmtId="0" fontId="165" fillId="0" borderId="6" xfId="0" applyFont="1" applyBorder="1"/>
    <xf numFmtId="165" fontId="172" fillId="54" borderId="6" xfId="0" applyNumberFormat="1" applyFont="1" applyFill="1" applyBorder="1"/>
    <xf numFmtId="165" fontId="167" fillId="54" borderId="2" xfId="0" applyNumberFormat="1" applyFont="1" applyFill="1" applyBorder="1" applyAlignment="1">
      <alignment horizontal="center"/>
    </xf>
    <xf numFmtId="0" fontId="164" fillId="0" borderId="4" xfId="0" applyFont="1" applyBorder="1" applyAlignment="1">
      <alignment horizontal="center"/>
    </xf>
    <xf numFmtId="0" fontId="166" fillId="0" borderId="4" xfId="0" applyFont="1" applyBorder="1"/>
    <xf numFmtId="165" fontId="167" fillId="0" borderId="0" xfId="0" applyNumberFormat="1" applyFont="1" applyAlignment="1">
      <alignment horizontal="center"/>
    </xf>
    <xf numFmtId="165" fontId="30" fillId="0" borderId="0" xfId="0" applyNumberFormat="1" applyFont="1" applyAlignment="1">
      <alignment horizontal="center"/>
    </xf>
    <xf numFmtId="0" fontId="164" fillId="0" borderId="15" xfId="0" applyFont="1" applyBorder="1"/>
    <xf numFmtId="165" fontId="167" fillId="0" borderId="20" xfId="0" applyNumberFormat="1" applyFont="1" applyBorder="1" applyAlignment="1">
      <alignment horizontal="center"/>
    </xf>
    <xf numFmtId="0" fontId="164" fillId="0" borderId="0" xfId="0" applyFont="1"/>
    <xf numFmtId="165" fontId="168" fillId="0" borderId="0" xfId="0" applyNumberFormat="1" applyFont="1" applyAlignment="1">
      <alignment horizontal="center"/>
    </xf>
    <xf numFmtId="165" fontId="168" fillId="7" borderId="12" xfId="0" applyNumberFormat="1" applyFont="1" applyFill="1" applyBorder="1" applyAlignment="1">
      <alignment horizontal="center"/>
    </xf>
    <xf numFmtId="0" fontId="164" fillId="0" borderId="21" xfId="0" applyFont="1" applyBorder="1"/>
    <xf numFmtId="165" fontId="168" fillId="0" borderId="21" xfId="0" applyNumberFormat="1" applyFont="1" applyBorder="1" applyAlignment="1">
      <alignment horizontal="center"/>
    </xf>
    <xf numFmtId="0" fontId="164" fillId="0" borderId="8" xfId="0" applyFont="1" applyBorder="1"/>
    <xf numFmtId="165" fontId="174" fillId="0" borderId="6" xfId="0" quotePrefix="1" applyNumberFormat="1" applyFont="1" applyBorder="1" applyAlignment="1">
      <alignment horizontal="center"/>
    </xf>
    <xf numFmtId="0" fontId="164" fillId="0" borderId="9" xfId="0" applyFont="1" applyBorder="1"/>
    <xf numFmtId="0" fontId="164" fillId="0" borderId="12" xfId="0" applyFont="1" applyBorder="1"/>
    <xf numFmtId="0" fontId="164" fillId="0" borderId="18" xfId="0" applyFont="1" applyBorder="1"/>
    <xf numFmtId="165" fontId="30" fillId="0" borderId="0" xfId="0" applyNumberFormat="1" applyFont="1"/>
    <xf numFmtId="0" fontId="154" fillId="0" borderId="0" xfId="0" applyFont="1" applyAlignment="1">
      <alignment horizontal="center"/>
    </xf>
    <xf numFmtId="3" fontId="25" fillId="0" borderId="110" xfId="0" applyNumberFormat="1" applyFont="1" applyBorder="1"/>
    <xf numFmtId="3" fontId="175" fillId="0" borderId="111" xfId="0" applyNumberFormat="1" applyFont="1" applyBorder="1"/>
    <xf numFmtId="14" fontId="175" fillId="0" borderId="111" xfId="0" applyNumberFormat="1" applyFont="1" applyBorder="1"/>
    <xf numFmtId="3" fontId="25" fillId="0" borderId="112" xfId="0" applyNumberFormat="1" applyFont="1" applyBorder="1"/>
    <xf numFmtId="3" fontId="175" fillId="0" borderId="113" xfId="0" applyNumberFormat="1" applyFont="1" applyBorder="1" applyAlignment="1">
      <alignment wrapText="1"/>
    </xf>
    <xf numFmtId="14" fontId="175" fillId="0" borderId="113" xfId="0" applyNumberFormat="1" applyFont="1" applyBorder="1"/>
    <xf numFmtId="3" fontId="175" fillId="0" borderId="113" xfId="0" applyNumberFormat="1" applyFont="1" applyBorder="1"/>
    <xf numFmtId="3" fontId="176" fillId="0" borderId="113" xfId="0" applyNumberFormat="1" applyFont="1" applyBorder="1" applyAlignment="1">
      <alignment horizontal="left"/>
    </xf>
    <xf numFmtId="178" fontId="175" fillId="0" borderId="113" xfId="0" applyNumberFormat="1" applyFont="1" applyBorder="1"/>
    <xf numFmtId="0" fontId="175" fillId="0" borderId="113" xfId="0" applyFont="1" applyBorder="1"/>
    <xf numFmtId="3" fontId="175" fillId="0" borderId="113" xfId="0" applyNumberFormat="1" applyFont="1" applyBorder="1" applyAlignment="1">
      <alignment horizontal="left"/>
    </xf>
    <xf numFmtId="181" fontId="25" fillId="0" borderId="112" xfId="0" applyNumberFormat="1" applyFont="1" applyBorder="1"/>
    <xf numFmtId="3" fontId="25" fillId="0" borderId="114" xfId="0" applyNumberFormat="1" applyFont="1" applyBorder="1"/>
    <xf numFmtId="3" fontId="175" fillId="0" borderId="115" xfId="0" applyNumberFormat="1" applyFont="1" applyBorder="1"/>
    <xf numFmtId="14" fontId="175" fillId="0" borderId="115" xfId="0" applyNumberFormat="1" applyFont="1" applyBorder="1"/>
    <xf numFmtId="0" fontId="16" fillId="0" borderId="29" xfId="0" applyFont="1" applyBorder="1" applyProtection="1">
      <protection locked="0"/>
    </xf>
    <xf numFmtId="0" fontId="24" fillId="0" borderId="29" xfId="0" applyFont="1" applyBorder="1" applyAlignment="1" applyProtection="1">
      <alignment horizontal="center"/>
      <protection locked="0"/>
    </xf>
    <xf numFmtId="3" fontId="16" fillId="2" borderId="26" xfId="0" applyNumberFormat="1" applyFont="1" applyFill="1" applyBorder="1" applyProtection="1">
      <protection locked="0"/>
    </xf>
    <xf numFmtId="3" fontId="17" fillId="2" borderId="29" xfId="0" applyNumberFormat="1" applyFont="1" applyFill="1" applyBorder="1" applyProtection="1">
      <protection locked="0"/>
    </xf>
    <xf numFmtId="3" fontId="18" fillId="2" borderId="29" xfId="0" applyNumberFormat="1" applyFont="1" applyFill="1" applyBorder="1" applyProtection="1">
      <protection locked="0"/>
    </xf>
    <xf numFmtId="3" fontId="17" fillId="2" borderId="32" xfId="0" applyNumberFormat="1" applyFont="1" applyFill="1" applyBorder="1" applyProtection="1">
      <protection locked="0"/>
    </xf>
    <xf numFmtId="3" fontId="25" fillId="0" borderId="26" xfId="0" applyNumberFormat="1" applyFont="1" applyBorder="1" applyProtection="1">
      <protection locked="0"/>
    </xf>
    <xf numFmtId="3" fontId="25" fillId="0" borderId="110" xfId="0" applyNumberFormat="1" applyFont="1" applyBorder="1" applyProtection="1">
      <protection locked="0"/>
    </xf>
    <xf numFmtId="3" fontId="25" fillId="0" borderId="29" xfId="0" applyNumberFormat="1" applyFont="1" applyBorder="1" applyProtection="1">
      <protection locked="0"/>
    </xf>
    <xf numFmtId="3" fontId="25" fillId="0" borderId="112" xfId="0" applyNumberFormat="1" applyFont="1" applyBorder="1" applyProtection="1">
      <protection locked="0"/>
    </xf>
    <xf numFmtId="181" fontId="25" fillId="0" borderId="112" xfId="0" applyNumberFormat="1" applyFont="1" applyBorder="1" applyProtection="1">
      <protection locked="0"/>
    </xf>
    <xf numFmtId="3" fontId="25" fillId="0" borderId="114" xfId="0" applyNumberFormat="1" applyFont="1" applyBorder="1" applyProtection="1">
      <protection locked="0"/>
    </xf>
    <xf numFmtId="3" fontId="16" fillId="0" borderId="29" xfId="0" applyNumberFormat="1" applyFont="1" applyBorder="1" applyProtection="1">
      <protection locked="0"/>
    </xf>
    <xf numFmtId="3" fontId="19" fillId="0" borderId="27" xfId="0" applyNumberFormat="1" applyFont="1" applyBorder="1" applyProtection="1">
      <protection locked="0"/>
    </xf>
    <xf numFmtId="0" fontId="19" fillId="0" borderId="28" xfId="0" applyFont="1" applyBorder="1" applyProtection="1">
      <protection locked="0"/>
    </xf>
    <xf numFmtId="165" fontId="19" fillId="0" borderId="27" xfId="0" applyNumberFormat="1" applyFont="1" applyBorder="1" applyProtection="1">
      <protection locked="0"/>
    </xf>
    <xf numFmtId="165" fontId="19" fillId="0" borderId="0" xfId="0" applyNumberFormat="1" applyFont="1" applyProtection="1">
      <protection locked="0"/>
    </xf>
    <xf numFmtId="3" fontId="19" fillId="0" borderId="28" xfId="0" applyNumberFormat="1" applyFont="1" applyBorder="1" applyProtection="1">
      <protection locked="0"/>
    </xf>
    <xf numFmtId="0" fontId="19" fillId="0" borderId="0" xfId="0" applyFont="1" applyProtection="1">
      <protection locked="0"/>
    </xf>
    <xf numFmtId="165" fontId="34" fillId="0" borderId="0" xfId="0" applyNumberFormat="1" applyFont="1" applyProtection="1">
      <protection locked="0"/>
    </xf>
    <xf numFmtId="165" fontId="19" fillId="0" borderId="29" xfId="0" applyNumberFormat="1" applyFont="1" applyBorder="1" applyProtection="1">
      <protection locked="0"/>
    </xf>
    <xf numFmtId="165" fontId="34" fillId="0" borderId="28" xfId="0" applyNumberFormat="1" applyFont="1" applyBorder="1" applyProtection="1">
      <protection locked="0"/>
    </xf>
    <xf numFmtId="165" fontId="19" fillId="0" borderId="28" xfId="0" applyNumberFormat="1" applyFont="1" applyBorder="1" applyProtection="1">
      <protection locked="0"/>
    </xf>
    <xf numFmtId="0" fontId="19" fillId="0" borderId="27" xfId="0" applyFont="1" applyBorder="1" applyProtection="1">
      <protection locked="0"/>
    </xf>
    <xf numFmtId="165" fontId="56" fillId="0" borderId="0" xfId="0" applyNumberFormat="1" applyFont="1" applyProtection="1">
      <protection locked="0"/>
    </xf>
    <xf numFmtId="165" fontId="21" fillId="0" borderId="63" xfId="0" applyNumberFormat="1" applyFont="1" applyBorder="1" applyProtection="1">
      <protection locked="0"/>
    </xf>
    <xf numFmtId="0" fontId="16" fillId="0" borderId="37" xfId="0" applyFont="1" applyBorder="1" applyProtection="1">
      <protection locked="0"/>
    </xf>
    <xf numFmtId="3" fontId="19" fillId="0" borderId="30" xfId="0" applyNumberFormat="1" applyFont="1" applyBorder="1" applyProtection="1">
      <protection locked="0"/>
    </xf>
    <xf numFmtId="0" fontId="19" fillId="0" borderId="31" xfId="0" applyFont="1" applyBorder="1" applyProtection="1">
      <protection locked="0"/>
    </xf>
    <xf numFmtId="165" fontId="19" fillId="0" borderId="37" xfId="0" applyNumberFormat="1" applyFont="1" applyBorder="1" applyProtection="1">
      <protection locked="0"/>
    </xf>
    <xf numFmtId="165" fontId="19" fillId="0" borderId="34" xfId="0" applyNumberFormat="1" applyFont="1" applyBorder="1" applyProtection="1">
      <protection locked="0"/>
    </xf>
    <xf numFmtId="165" fontId="19" fillId="0" borderId="52" xfId="0" applyNumberFormat="1" applyFont="1" applyBorder="1" applyProtection="1">
      <protection locked="0"/>
    </xf>
    <xf numFmtId="3" fontId="17" fillId="0" borderId="32" xfId="0" applyNumberFormat="1" applyFont="1" applyBorder="1" applyProtection="1">
      <protection locked="0"/>
    </xf>
    <xf numFmtId="3" fontId="19" fillId="0" borderId="21" xfId="0" applyNumberFormat="1" applyFont="1" applyBorder="1" applyProtection="1">
      <protection locked="0"/>
    </xf>
    <xf numFmtId="165" fontId="19" fillId="0" borderId="32" xfId="0" applyNumberFormat="1" applyFont="1" applyBorder="1" applyProtection="1">
      <protection locked="0"/>
    </xf>
    <xf numFmtId="3" fontId="17" fillId="0" borderId="24" xfId="0" applyNumberFormat="1" applyFont="1" applyBorder="1" applyProtection="1">
      <protection locked="0"/>
    </xf>
    <xf numFmtId="3" fontId="19" fillId="0" borderId="29" xfId="0" applyNumberFormat="1" applyFont="1" applyBorder="1" applyProtection="1">
      <protection locked="0"/>
    </xf>
    <xf numFmtId="3" fontId="17" fillId="3" borderId="27" xfId="0" applyNumberFormat="1" applyFont="1" applyFill="1" applyBorder="1" applyProtection="1">
      <protection locked="0"/>
    </xf>
    <xf numFmtId="3" fontId="19" fillId="3" borderId="29" xfId="0" applyNumberFormat="1" applyFont="1" applyFill="1" applyBorder="1" applyProtection="1">
      <protection locked="0"/>
    </xf>
    <xf numFmtId="3" fontId="17" fillId="0" borderId="27" xfId="0" applyNumberFormat="1" applyFont="1" applyBorder="1" applyProtection="1">
      <protection locked="0"/>
    </xf>
    <xf numFmtId="3" fontId="16" fillId="0" borderId="27" xfId="0" applyNumberFormat="1" applyFont="1" applyBorder="1" applyProtection="1">
      <protection locked="0"/>
    </xf>
    <xf numFmtId="3" fontId="19" fillId="0" borderId="27" xfId="0" quotePrefix="1" applyNumberFormat="1" applyFont="1" applyBorder="1" applyProtection="1">
      <protection locked="0"/>
    </xf>
    <xf numFmtId="3" fontId="21" fillId="0" borderId="29" xfId="0" applyNumberFormat="1" applyFont="1" applyBorder="1" applyProtection="1">
      <protection locked="0"/>
    </xf>
    <xf numFmtId="165" fontId="37" fillId="0" borderId="29" xfId="0" applyNumberFormat="1" applyFont="1" applyBorder="1" applyProtection="1">
      <protection locked="0"/>
    </xf>
    <xf numFmtId="4" fontId="21" fillId="0" borderId="29" xfId="0" applyNumberFormat="1" applyFont="1" applyBorder="1" applyProtection="1">
      <protection locked="0"/>
    </xf>
    <xf numFmtId="165" fontId="37" fillId="0" borderId="27" xfId="0" applyNumberFormat="1" applyFont="1" applyBorder="1" applyProtection="1">
      <protection locked="0"/>
    </xf>
    <xf numFmtId="3" fontId="19" fillId="0" borderId="34" xfId="0" applyNumberFormat="1" applyFont="1" applyBorder="1" applyProtection="1">
      <protection locked="0"/>
    </xf>
    <xf numFmtId="3" fontId="17" fillId="3" borderId="60" xfId="0" applyNumberFormat="1" applyFont="1" applyFill="1" applyBorder="1" applyProtection="1">
      <protection locked="0"/>
    </xf>
    <xf numFmtId="3" fontId="19" fillId="0" borderId="41" xfId="0" applyNumberFormat="1" applyFont="1" applyBorder="1" applyProtection="1">
      <protection locked="0"/>
    </xf>
    <xf numFmtId="3" fontId="17" fillId="0" borderId="39" xfId="0" applyNumberFormat="1" applyFont="1" applyBorder="1" applyProtection="1">
      <protection locked="0"/>
    </xf>
    <xf numFmtId="3" fontId="21" fillId="0" borderId="39" xfId="0" applyNumberFormat="1" applyFont="1" applyBorder="1" applyProtection="1">
      <protection locked="0"/>
    </xf>
    <xf numFmtId="0" fontId="16" fillId="0" borderId="0" xfId="0" applyFont="1" applyProtection="1">
      <protection locked="0"/>
    </xf>
    <xf numFmtId="3" fontId="19" fillId="0" borderId="0" xfId="0" applyNumberFormat="1" applyFont="1" applyProtection="1">
      <protection locked="0"/>
    </xf>
    <xf numFmtId="3" fontId="23" fillId="0" borderId="0" xfId="0" applyNumberFormat="1" applyFont="1" applyProtection="1">
      <protection locked="0"/>
    </xf>
    <xf numFmtId="0" fontId="0" fillId="0" borderId="0" xfId="0" applyProtection="1">
      <protection locked="0"/>
    </xf>
    <xf numFmtId="165" fontId="0" fillId="0" borderId="0" xfId="0" applyNumberFormat="1" applyProtection="1">
      <protection locked="0"/>
    </xf>
    <xf numFmtId="3" fontId="0" fillId="0" borderId="0" xfId="0" applyNumberFormat="1" applyProtection="1">
      <protection locked="0"/>
    </xf>
    <xf numFmtId="17" fontId="88" fillId="0" borderId="6" xfId="0" quotePrefix="1" applyNumberFormat="1" applyFont="1" applyBorder="1" applyProtection="1">
      <protection locked="0"/>
    </xf>
    <xf numFmtId="165" fontId="47" fillId="0" borderId="101" xfId="0" applyNumberFormat="1" applyFont="1" applyBorder="1" applyProtection="1">
      <protection locked="0"/>
    </xf>
    <xf numFmtId="165" fontId="47" fillId="0" borderId="101" xfId="0" applyNumberFormat="1" applyFont="1" applyBorder="1" applyAlignment="1">
      <alignment horizontal="center"/>
    </xf>
    <xf numFmtId="165" fontId="48" fillId="0" borderId="101" xfId="0" applyNumberFormat="1" applyFont="1" applyBorder="1" applyAlignment="1">
      <alignment horizontal="center"/>
    </xf>
    <xf numFmtId="16" fontId="88" fillId="0" borderId="28" xfId="0" applyNumberFormat="1" applyFont="1" applyBorder="1" applyProtection="1">
      <protection locked="0"/>
    </xf>
    <xf numFmtId="165" fontId="88" fillId="15" borderId="101" xfId="0" applyNumberFormat="1" applyFont="1" applyFill="1" applyBorder="1" applyProtection="1">
      <protection locked="0"/>
    </xf>
    <xf numFmtId="165" fontId="7" fillId="15" borderId="0" xfId="0" applyNumberFormat="1" applyFont="1" applyFill="1"/>
    <xf numFmtId="0" fontId="0" fillId="59" borderId="0" xfId="0" applyFill="1"/>
    <xf numFmtId="0" fontId="31" fillId="59" borderId="0" xfId="0" applyFont="1" applyFill="1"/>
    <xf numFmtId="165" fontId="167" fillId="60" borderId="6" xfId="0" applyNumberFormat="1" applyFont="1" applyFill="1" applyBorder="1" applyAlignment="1">
      <alignment horizontal="center"/>
    </xf>
    <xf numFmtId="165" fontId="167" fillId="60" borderId="6" xfId="0" applyNumberFormat="1" applyFont="1" applyFill="1" applyBorder="1" applyAlignment="1" applyProtection="1">
      <alignment horizontal="center"/>
      <protection locked="0"/>
    </xf>
    <xf numFmtId="165" fontId="88" fillId="60" borderId="6" xfId="0" applyNumberFormat="1" applyFont="1" applyFill="1" applyBorder="1" applyAlignment="1" applyProtection="1">
      <alignment horizontal="center"/>
      <protection locked="0"/>
    </xf>
    <xf numFmtId="165" fontId="88" fillId="60" borderId="0" xfId="0" applyNumberFormat="1" applyFont="1" applyFill="1" applyAlignment="1" applyProtection="1">
      <alignment horizontal="center"/>
      <protection locked="0"/>
    </xf>
    <xf numFmtId="165" fontId="88" fillId="60" borderId="101" xfId="0" applyNumberFormat="1" applyFont="1" applyFill="1" applyBorder="1" applyAlignment="1" applyProtection="1">
      <alignment horizontal="center"/>
      <protection locked="0"/>
    </xf>
    <xf numFmtId="165" fontId="88" fillId="60" borderId="28" xfId="0" applyNumberFormat="1" applyFont="1" applyFill="1" applyBorder="1" applyAlignment="1" applyProtection="1">
      <alignment horizontal="center"/>
      <protection locked="0"/>
    </xf>
    <xf numFmtId="165" fontId="88" fillId="60" borderId="6" xfId="0" applyNumberFormat="1" applyFont="1" applyFill="1" applyBorder="1" applyAlignment="1">
      <alignment horizontal="center"/>
    </xf>
    <xf numFmtId="165" fontId="88" fillId="60" borderId="0" xfId="0" applyNumberFormat="1" applyFont="1" applyFill="1" applyAlignment="1">
      <alignment horizontal="center"/>
    </xf>
    <xf numFmtId="165" fontId="88" fillId="60" borderId="101" xfId="0" applyNumberFormat="1" applyFont="1" applyFill="1" applyBorder="1" applyAlignment="1">
      <alignment horizontal="center"/>
    </xf>
    <xf numFmtId="165" fontId="88" fillId="60" borderId="28" xfId="0" applyNumberFormat="1" applyFont="1" applyFill="1" applyBorder="1" applyAlignment="1">
      <alignment horizontal="center"/>
    </xf>
    <xf numFmtId="165" fontId="168" fillId="60" borderId="6" xfId="0" applyNumberFormat="1" applyFont="1" applyFill="1" applyBorder="1" applyAlignment="1">
      <alignment horizontal="center"/>
    </xf>
    <xf numFmtId="165" fontId="85" fillId="60" borderId="6" xfId="0" applyNumberFormat="1" applyFont="1" applyFill="1" applyBorder="1" applyAlignment="1">
      <alignment horizontal="center"/>
    </xf>
    <xf numFmtId="165" fontId="85" fillId="60" borderId="0" xfId="0" applyNumberFormat="1" applyFont="1" applyFill="1" applyAlignment="1">
      <alignment horizontal="center"/>
    </xf>
    <xf numFmtId="165" fontId="85" fillId="60" borderId="101" xfId="0" applyNumberFormat="1" applyFont="1" applyFill="1" applyBorder="1" applyAlignment="1">
      <alignment horizontal="center"/>
    </xf>
    <xf numFmtId="165" fontId="85" fillId="60" borderId="28" xfId="0" applyNumberFormat="1" applyFont="1" applyFill="1" applyBorder="1" applyAlignment="1">
      <alignment horizontal="center"/>
    </xf>
    <xf numFmtId="165" fontId="167" fillId="60" borderId="7" xfId="0" applyNumberFormat="1" applyFont="1" applyFill="1" applyBorder="1" applyAlignment="1">
      <alignment horizontal="center"/>
    </xf>
    <xf numFmtId="165" fontId="167" fillId="60" borderId="7" xfId="0" applyNumberFormat="1" applyFont="1" applyFill="1" applyBorder="1" applyAlignment="1" applyProtection="1">
      <alignment horizontal="center"/>
      <protection locked="0"/>
    </xf>
    <xf numFmtId="165" fontId="88" fillId="60" borderId="7" xfId="0" applyNumberFormat="1" applyFont="1" applyFill="1" applyBorder="1" applyAlignment="1" applyProtection="1">
      <alignment horizontal="center"/>
      <protection locked="0"/>
    </xf>
    <xf numFmtId="165" fontId="88" fillId="60" borderId="3" xfId="0" applyNumberFormat="1" applyFont="1" applyFill="1" applyBorder="1" applyAlignment="1" applyProtection="1">
      <alignment horizontal="center"/>
      <protection locked="0"/>
    </xf>
    <xf numFmtId="165" fontId="88" fillId="60" borderId="102" xfId="0" applyNumberFormat="1" applyFont="1" applyFill="1" applyBorder="1" applyAlignment="1" applyProtection="1">
      <alignment horizontal="center"/>
      <protection locked="0"/>
    </xf>
    <xf numFmtId="165" fontId="88" fillId="60" borderId="52" xfId="0" applyNumberFormat="1" applyFont="1" applyFill="1" applyBorder="1" applyAlignment="1" applyProtection="1">
      <alignment horizontal="center"/>
      <protection locked="0"/>
    </xf>
    <xf numFmtId="165" fontId="167" fillId="60" borderId="6" xfId="0" applyNumberFormat="1" applyFont="1" applyFill="1" applyBorder="1"/>
    <xf numFmtId="165" fontId="167" fillId="60" borderId="6" xfId="0" applyNumberFormat="1" applyFont="1" applyFill="1" applyBorder="1" applyProtection="1">
      <protection locked="0"/>
    </xf>
    <xf numFmtId="165" fontId="88" fillId="60" borderId="6" xfId="0" applyNumberFormat="1" applyFont="1" applyFill="1" applyBorder="1" applyProtection="1">
      <protection locked="0"/>
    </xf>
    <xf numFmtId="165" fontId="88" fillId="60" borderId="0" xfId="0" applyNumberFormat="1" applyFont="1" applyFill="1" applyProtection="1">
      <protection locked="0"/>
    </xf>
    <xf numFmtId="165" fontId="88" fillId="60" borderId="101" xfId="0" applyNumberFormat="1" applyFont="1" applyFill="1" applyBorder="1" applyProtection="1">
      <protection locked="0"/>
    </xf>
    <xf numFmtId="165" fontId="88" fillId="60" borderId="28" xfId="0" applyNumberFormat="1" applyFont="1" applyFill="1" applyBorder="1" applyProtection="1">
      <protection locked="0"/>
    </xf>
    <xf numFmtId="165" fontId="168" fillId="60" borderId="6" xfId="0" applyNumberFormat="1" applyFont="1" applyFill="1" applyBorder="1" applyAlignment="1" applyProtection="1">
      <alignment horizontal="center"/>
      <protection locked="0"/>
    </xf>
    <xf numFmtId="165" fontId="85" fillId="60" borderId="6" xfId="0" applyNumberFormat="1" applyFont="1" applyFill="1" applyBorder="1" applyAlignment="1" applyProtection="1">
      <alignment horizontal="center"/>
      <protection locked="0"/>
    </xf>
    <xf numFmtId="165" fontId="85" fillId="60" borderId="0" xfId="0" applyNumberFormat="1" applyFont="1" applyFill="1" applyAlignment="1" applyProtection="1">
      <alignment horizontal="center"/>
      <protection locked="0"/>
    </xf>
    <xf numFmtId="165" fontId="85" fillId="60" borderId="101" xfId="0" applyNumberFormat="1" applyFont="1" applyFill="1" applyBorder="1" applyAlignment="1" applyProtection="1">
      <alignment horizontal="center"/>
      <protection locked="0"/>
    </xf>
    <xf numFmtId="165" fontId="85" fillId="60" borderId="28" xfId="0" applyNumberFormat="1" applyFont="1" applyFill="1" applyBorder="1" applyAlignment="1" applyProtection="1">
      <alignment horizontal="center"/>
      <protection locked="0"/>
    </xf>
    <xf numFmtId="165" fontId="167" fillId="60" borderId="2" xfId="0" applyNumberFormat="1" applyFont="1" applyFill="1" applyBorder="1" applyAlignment="1">
      <alignment horizontal="center"/>
    </xf>
    <xf numFmtId="165" fontId="167" fillId="60" borderId="2" xfId="0" applyNumberFormat="1" applyFont="1" applyFill="1" applyBorder="1" applyAlignment="1" applyProtection="1">
      <alignment horizontal="center"/>
      <protection locked="0"/>
    </xf>
    <xf numFmtId="165" fontId="88" fillId="60" borderId="2" xfId="0" applyNumberFormat="1" applyFont="1" applyFill="1" applyBorder="1" applyAlignment="1" applyProtection="1">
      <alignment horizontal="center"/>
      <protection locked="0"/>
    </xf>
    <xf numFmtId="165" fontId="88" fillId="60" borderId="9" xfId="0" applyNumberFormat="1" applyFont="1" applyFill="1" applyBorder="1" applyAlignment="1" applyProtection="1">
      <alignment horizontal="center"/>
      <protection locked="0"/>
    </xf>
    <xf numFmtId="165" fontId="88" fillId="60" borderId="45" xfId="0" applyNumberFormat="1" applyFont="1" applyFill="1" applyBorder="1" applyAlignment="1" applyProtection="1">
      <alignment horizontal="center"/>
      <protection locked="0"/>
    </xf>
    <xf numFmtId="165" fontId="168" fillId="60" borderId="7" xfId="0" applyNumberFormat="1" applyFont="1" applyFill="1" applyBorder="1" applyAlignment="1">
      <alignment horizontal="center"/>
    </xf>
    <xf numFmtId="165" fontId="85" fillId="60" borderId="7" xfId="0" applyNumberFormat="1" applyFont="1" applyFill="1" applyBorder="1" applyAlignment="1">
      <alignment horizontal="center"/>
    </xf>
    <xf numFmtId="165" fontId="85" fillId="60" borderId="3" xfId="0" applyNumberFormat="1" applyFont="1" applyFill="1" applyBorder="1" applyAlignment="1">
      <alignment horizontal="center"/>
    </xf>
    <xf numFmtId="165" fontId="85" fillId="60" borderId="102" xfId="0" applyNumberFormat="1" applyFont="1" applyFill="1" applyBorder="1" applyAlignment="1">
      <alignment horizontal="center"/>
    </xf>
    <xf numFmtId="165" fontId="85" fillId="60" borderId="52" xfId="0" applyNumberFormat="1" applyFont="1" applyFill="1" applyBorder="1" applyAlignment="1">
      <alignment horizontal="center"/>
    </xf>
    <xf numFmtId="165" fontId="168" fillId="60" borderId="7" xfId="0" applyNumberFormat="1" applyFont="1" applyFill="1" applyBorder="1" applyAlignment="1" applyProtection="1">
      <alignment horizontal="center"/>
      <protection locked="0"/>
    </xf>
    <xf numFmtId="165" fontId="85" fillId="60" borderId="7" xfId="0" applyNumberFormat="1" applyFont="1" applyFill="1" applyBorder="1" applyAlignment="1" applyProtection="1">
      <alignment horizontal="center"/>
      <protection locked="0"/>
    </xf>
    <xf numFmtId="165" fontId="85" fillId="60" borderId="3" xfId="0" applyNumberFormat="1" applyFont="1" applyFill="1" applyBorder="1" applyAlignment="1" applyProtection="1">
      <alignment horizontal="center"/>
      <protection locked="0"/>
    </xf>
    <xf numFmtId="165" fontId="85" fillId="60" borderId="102" xfId="0" applyNumberFormat="1" applyFont="1" applyFill="1" applyBorder="1" applyAlignment="1" applyProtection="1">
      <alignment horizontal="center"/>
      <protection locked="0"/>
    </xf>
    <xf numFmtId="165" fontId="85" fillId="60" borderId="52" xfId="0" applyNumberFormat="1" applyFont="1" applyFill="1" applyBorder="1" applyAlignment="1" applyProtection="1">
      <alignment horizontal="center"/>
      <protection locked="0"/>
    </xf>
    <xf numFmtId="0" fontId="75" fillId="8" borderId="0" xfId="0" applyFont="1" applyFill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5" fillId="2" borderId="0" xfId="0" applyFont="1" applyFill="1" applyAlignment="1" applyProtection="1">
      <alignment horizontal="center"/>
      <protection locked="0"/>
    </xf>
    <xf numFmtId="178" fontId="77" fillId="0" borderId="33" xfId="4" applyNumberFormat="1" applyFont="1" applyBorder="1" applyAlignment="1" applyProtection="1">
      <alignment horizontal="left"/>
      <protection locked="0"/>
    </xf>
    <xf numFmtId="178" fontId="75" fillId="8" borderId="0" xfId="4" applyNumberFormat="1" applyFont="1" applyFill="1" applyAlignment="1">
      <alignment horizontal="center"/>
    </xf>
    <xf numFmtId="178" fontId="75" fillId="8" borderId="0" xfId="4" applyNumberFormat="1" applyFont="1" applyFill="1" applyBorder="1" applyAlignment="1" applyProtection="1">
      <alignment horizontal="center"/>
      <protection locked="0"/>
    </xf>
    <xf numFmtId="178" fontId="75" fillId="2" borderId="0" xfId="4" applyNumberFormat="1" applyFont="1" applyFill="1" applyAlignment="1" applyProtection="1">
      <alignment horizontal="left"/>
      <protection locked="0"/>
    </xf>
    <xf numFmtId="178" fontId="5" fillId="2" borderId="0" xfId="4" applyNumberFormat="1" applyFont="1" applyFill="1" applyBorder="1" applyAlignment="1" applyProtection="1">
      <alignment horizontal="center"/>
      <protection locked="0"/>
    </xf>
    <xf numFmtId="178" fontId="75" fillId="0" borderId="0" xfId="4" applyNumberFormat="1" applyFont="1" applyBorder="1" applyAlignment="1" applyProtection="1">
      <alignment horizontal="left"/>
      <protection locked="0"/>
    </xf>
    <xf numFmtId="178" fontId="75" fillId="0" borderId="0" xfId="4" applyNumberFormat="1" applyFont="1" applyProtection="1">
      <protection locked="0"/>
    </xf>
    <xf numFmtId="178" fontId="75" fillId="0" borderId="0" xfId="4" applyNumberFormat="1" applyFont="1" applyAlignment="1" applyProtection="1">
      <alignment horizontal="left"/>
      <protection locked="0"/>
    </xf>
    <xf numFmtId="14" fontId="4" fillId="0" borderId="0" xfId="0" applyNumberFormat="1" applyFont="1" applyAlignment="1" applyProtection="1">
      <alignment horizontal="center"/>
      <protection locked="0"/>
    </xf>
    <xf numFmtId="0" fontId="77" fillId="0" borderId="33" xfId="0" applyFont="1" applyBorder="1" applyAlignment="1" applyProtection="1">
      <alignment horizontal="center"/>
      <protection locked="0"/>
    </xf>
    <xf numFmtId="0" fontId="75" fillId="2" borderId="0" xfId="0" applyFont="1" applyFill="1" applyAlignment="1" applyProtection="1">
      <alignment horizontal="center"/>
      <protection locked="0"/>
    </xf>
    <xf numFmtId="0" fontId="75" fillId="0" borderId="0" xfId="0" applyFont="1" applyAlignment="1" applyProtection="1">
      <alignment horizontal="center"/>
      <protection locked="0"/>
    </xf>
    <xf numFmtId="14" fontId="75" fillId="0" borderId="0" xfId="0" applyNumberFormat="1" applyFont="1" applyAlignment="1" applyProtection="1">
      <alignment horizontal="center"/>
      <protection locked="0"/>
    </xf>
    <xf numFmtId="167" fontId="4" fillId="0" borderId="0" xfId="0" applyNumberFormat="1" applyFont="1" applyAlignment="1" applyProtection="1">
      <alignment horizontal="center"/>
      <protection locked="0"/>
    </xf>
    <xf numFmtId="0" fontId="89" fillId="0" borderId="0" xfId="0" applyFont="1" applyAlignment="1" applyProtection="1">
      <alignment horizontal="center"/>
      <protection locked="0"/>
    </xf>
    <xf numFmtId="0" fontId="81" fillId="0" borderId="0" xfId="0" applyFont="1" applyAlignment="1" applyProtection="1">
      <alignment horizontal="center"/>
      <protection locked="0"/>
    </xf>
    <xf numFmtId="0" fontId="155" fillId="0" borderId="0" xfId="0" applyFont="1" applyAlignment="1" applyProtection="1">
      <alignment horizontal="center"/>
      <protection locked="0"/>
    </xf>
    <xf numFmtId="14" fontId="94" fillId="0" borderId="0" xfId="0" applyNumberFormat="1" applyFont="1" applyAlignment="1" applyProtection="1">
      <alignment horizontal="center"/>
      <protection locked="0"/>
    </xf>
    <xf numFmtId="165" fontId="81" fillId="0" borderId="0" xfId="0" applyNumberFormat="1" applyFont="1" applyAlignment="1" applyProtection="1">
      <alignment horizontal="center"/>
      <protection locked="0"/>
    </xf>
    <xf numFmtId="3" fontId="75" fillId="0" borderId="0" xfId="0" applyNumberFormat="1" applyFont="1" applyAlignment="1" applyProtection="1">
      <alignment horizontal="center"/>
      <protection locked="0"/>
    </xf>
    <xf numFmtId="14" fontId="89" fillId="0" borderId="0" xfId="0" applyNumberFormat="1" applyFont="1" applyAlignment="1" applyProtection="1">
      <alignment horizontal="center"/>
      <protection locked="0"/>
    </xf>
    <xf numFmtId="167" fontId="89" fillId="0" borderId="0" xfId="0" applyNumberFormat="1" applyFont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94" fillId="0" borderId="0" xfId="0" applyFont="1" applyAlignment="1" applyProtection="1">
      <alignment horizontal="center"/>
      <protection locked="0"/>
    </xf>
    <xf numFmtId="0" fontId="152" fillId="0" borderId="0" xfId="0" applyFont="1" applyAlignment="1" applyProtection="1">
      <alignment horizontal="center"/>
      <protection locked="0"/>
    </xf>
    <xf numFmtId="2" fontId="75" fillId="0" borderId="0" xfId="0" applyNumberFormat="1" applyFont="1" applyAlignment="1" applyProtection="1">
      <alignment horizontal="center"/>
      <protection locked="0"/>
    </xf>
    <xf numFmtId="16" fontId="75" fillId="0" borderId="0" xfId="0" applyNumberFormat="1" applyFont="1" applyAlignment="1" applyProtection="1">
      <alignment horizontal="center"/>
      <protection locked="0"/>
    </xf>
    <xf numFmtId="16" fontId="94" fillId="0" borderId="0" xfId="0" applyNumberFormat="1" applyFont="1" applyAlignment="1" applyProtection="1">
      <alignment horizontal="center"/>
      <protection locked="0"/>
    </xf>
    <xf numFmtId="180" fontId="63" fillId="0" borderId="0" xfId="5" applyNumberFormat="1" applyFont="1" applyBorder="1" applyAlignment="1" applyProtection="1">
      <alignment horizontal="center"/>
      <protection locked="0"/>
    </xf>
    <xf numFmtId="164" fontId="75" fillId="0" borderId="0" xfId="0" applyNumberFormat="1" applyFont="1" applyAlignment="1" applyProtection="1">
      <alignment horizontal="center"/>
      <protection locked="0"/>
    </xf>
    <xf numFmtId="0" fontId="81" fillId="3" borderId="4" xfId="0" applyFont="1" applyFill="1" applyBorder="1" applyAlignment="1" applyProtection="1">
      <alignment horizontal="center"/>
      <protection locked="0"/>
    </xf>
    <xf numFmtId="0" fontId="75" fillId="0" borderId="6" xfId="0" applyFont="1" applyBorder="1" applyAlignment="1" applyProtection="1">
      <alignment horizontal="center"/>
      <protection locked="0"/>
    </xf>
    <xf numFmtId="0" fontId="75" fillId="0" borderId="23" xfId="0" applyFont="1" applyBorder="1" applyAlignment="1" applyProtection="1">
      <alignment horizontal="center"/>
      <protection locked="0"/>
    </xf>
    <xf numFmtId="0" fontId="75" fillId="0" borderId="12" xfId="0" applyFont="1" applyBorder="1" applyAlignment="1" applyProtection="1">
      <alignment horizontal="center"/>
      <protection locked="0"/>
    </xf>
    <xf numFmtId="0" fontId="75" fillId="0" borderId="0" xfId="0" applyFont="1" applyAlignment="1">
      <alignment horizontal="center"/>
    </xf>
    <xf numFmtId="0" fontId="75" fillId="10" borderId="0" xfId="0" applyFont="1" applyFill="1" applyAlignment="1">
      <alignment horizontal="center"/>
    </xf>
    <xf numFmtId="165" fontId="77" fillId="0" borderId="33" xfId="0" applyNumberFormat="1" applyFont="1" applyBorder="1" applyAlignment="1">
      <alignment horizontal="center"/>
    </xf>
    <xf numFmtId="165" fontId="77" fillId="0" borderId="0" xfId="0" applyNumberFormat="1" applyFont="1" applyAlignment="1">
      <alignment horizontal="center"/>
    </xf>
    <xf numFmtId="165" fontId="77" fillId="0" borderId="21" xfId="0" applyNumberFormat="1" applyFont="1" applyBorder="1" applyAlignment="1">
      <alignment horizontal="center"/>
    </xf>
    <xf numFmtId="165" fontId="82" fillId="20" borderId="0" xfId="0" applyNumberFormat="1" applyFont="1" applyFill="1" applyAlignment="1" applyProtection="1">
      <alignment horizontal="center"/>
      <protection locked="0"/>
    </xf>
    <xf numFmtId="165" fontId="91" fillId="0" borderId="0" xfId="0" applyNumberFormat="1" applyFont="1" applyAlignment="1">
      <alignment horizontal="center"/>
    </xf>
    <xf numFmtId="165" fontId="99" fillId="7" borderId="13" xfId="0" applyNumberFormat="1" applyFont="1" applyFill="1" applyBorder="1" applyAlignment="1">
      <alignment horizontal="center"/>
    </xf>
    <xf numFmtId="165" fontId="85" fillId="7" borderId="13" xfId="0" applyNumberFormat="1" applyFont="1" applyFill="1" applyBorder="1" applyAlignment="1">
      <alignment horizontal="center"/>
    </xf>
    <xf numFmtId="0" fontId="75" fillId="20" borderId="0" xfId="0" applyFont="1" applyFill="1" applyAlignment="1">
      <alignment horizontal="center"/>
    </xf>
    <xf numFmtId="165" fontId="75" fillId="20" borderId="0" xfId="0" applyNumberFormat="1" applyFont="1" applyFill="1" applyAlignment="1" applyProtection="1">
      <alignment horizontal="center"/>
      <protection locked="0"/>
    </xf>
    <xf numFmtId="165" fontId="148" fillId="54" borderId="0" xfId="0" applyNumberFormat="1" applyFont="1" applyFill="1" applyAlignment="1" applyProtection="1">
      <alignment horizontal="center"/>
      <protection locked="0"/>
    </xf>
    <xf numFmtId="165" fontId="95" fillId="7" borderId="58" xfId="0" applyNumberFormat="1" applyFont="1" applyFill="1" applyBorder="1" applyAlignment="1">
      <alignment horizontal="center"/>
    </xf>
    <xf numFmtId="165" fontId="95" fillId="7" borderId="1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" fontId="167" fillId="0" borderId="28" xfId="0" applyNumberFormat="1" applyFont="1" applyBorder="1" applyProtection="1">
      <protection locked="0"/>
    </xf>
    <xf numFmtId="16" fontId="165" fillId="0" borderId="3" xfId="0" applyNumberFormat="1" applyFont="1" applyBorder="1" applyAlignment="1" applyProtection="1">
      <alignment horizontal="center"/>
      <protection locked="0"/>
    </xf>
    <xf numFmtId="16" fontId="167" fillId="0" borderId="0" xfId="0" applyNumberFormat="1" applyFont="1" applyAlignment="1" applyProtection="1">
      <alignment horizontal="center"/>
      <protection locked="0"/>
    </xf>
    <xf numFmtId="165" fontId="4" fillId="2" borderId="23" xfId="0" applyNumberFormat="1" applyFont="1" applyFill="1" applyBorder="1" applyProtection="1">
      <protection locked="0"/>
    </xf>
    <xf numFmtId="165" fontId="4" fillId="2" borderId="0" xfId="0" applyNumberFormat="1" applyFont="1" applyFill="1" applyProtection="1">
      <protection locked="0"/>
    </xf>
    <xf numFmtId="165" fontId="4" fillId="2" borderId="21" xfId="0" applyNumberFormat="1" applyFont="1" applyFill="1" applyBorder="1" applyProtection="1">
      <protection locked="0"/>
    </xf>
    <xf numFmtId="16" fontId="175" fillId="0" borderId="113" xfId="0" applyNumberFormat="1" applyFont="1" applyBorder="1"/>
    <xf numFmtId="165" fontId="177" fillId="0" borderId="6" xfId="0" applyNumberFormat="1" applyFont="1" applyBorder="1" applyAlignment="1">
      <alignment horizontal="center"/>
    </xf>
    <xf numFmtId="16" fontId="177" fillId="0" borderId="0" xfId="0" applyNumberFormat="1" applyFont="1" applyAlignment="1">
      <alignment horizontal="center"/>
    </xf>
    <xf numFmtId="16" fontId="16" fillId="0" borderId="27" xfId="0" applyNumberFormat="1" applyFont="1" applyBorder="1"/>
    <xf numFmtId="3" fontId="178" fillId="0" borderId="29" xfId="0" applyNumberFormat="1" applyFont="1" applyBorder="1"/>
    <xf numFmtId="165" fontId="178" fillId="0" borderId="28" xfId="0" applyNumberFormat="1" applyFont="1" applyBorder="1"/>
    <xf numFmtId="3" fontId="179" fillId="0" borderId="29" xfId="0" applyNumberFormat="1" applyFont="1" applyBorder="1"/>
    <xf numFmtId="3" fontId="180" fillId="0" borderId="27" xfId="0" applyNumberFormat="1" applyFont="1" applyBorder="1"/>
    <xf numFmtId="3" fontId="180" fillId="0" borderId="29" xfId="0" applyNumberFormat="1" applyFont="1" applyBorder="1"/>
    <xf numFmtId="165" fontId="180" fillId="0" borderId="29" xfId="0" applyNumberFormat="1" applyFont="1" applyBorder="1"/>
    <xf numFmtId="3" fontId="181" fillId="3" borderId="29" xfId="0" applyNumberFormat="1" applyFont="1" applyFill="1" applyBorder="1"/>
    <xf numFmtId="167" fontId="4" fillId="0" borderId="6" xfId="4" applyFont="1" applyFill="1" applyBorder="1" applyAlignment="1">
      <alignment horizontal="center"/>
    </xf>
    <xf numFmtId="190" fontId="7" fillId="0" borderId="0" xfId="0" applyNumberFormat="1" applyFont="1"/>
    <xf numFmtId="3" fontId="180" fillId="0" borderId="41" xfId="0" applyNumberFormat="1" applyFont="1" applyBorder="1"/>
    <xf numFmtId="3" fontId="180" fillId="0" borderId="34" xfId="0" applyNumberFormat="1" applyFont="1" applyBorder="1"/>
    <xf numFmtId="165" fontId="112" fillId="15" borderId="28" xfId="0" applyNumberFormat="1" applyFont="1" applyFill="1" applyBorder="1"/>
    <xf numFmtId="178" fontId="7" fillId="0" borderId="0" xfId="4" applyNumberFormat="1" applyFont="1" applyFill="1"/>
    <xf numFmtId="167" fontId="66" fillId="15" borderId="0" xfId="0" applyNumberFormat="1" applyFont="1" applyFill="1"/>
    <xf numFmtId="0" fontId="75" fillId="3" borderId="33" xfId="0" applyFont="1" applyFill="1" applyBorder="1" applyAlignment="1" applyProtection="1">
      <alignment horizontal="center"/>
      <protection locked="0"/>
    </xf>
    <xf numFmtId="0" fontId="75" fillId="3" borderId="21" xfId="0" applyFont="1" applyFill="1" applyBorder="1" applyAlignment="1" applyProtection="1">
      <alignment horizontal="center"/>
      <protection locked="0"/>
    </xf>
    <xf numFmtId="0" fontId="5" fillId="2" borderId="6" xfId="0" applyFont="1" applyFill="1" applyBorder="1" applyAlignment="1" applyProtection="1">
      <alignment horizontal="center"/>
      <protection locked="0"/>
    </xf>
    <xf numFmtId="0" fontId="5" fillId="2" borderId="7" xfId="0" applyFont="1" applyFill="1" applyBorder="1" applyAlignment="1" applyProtection="1">
      <alignment horizontal="center"/>
      <protection locked="0"/>
    </xf>
    <xf numFmtId="0" fontId="5" fillId="0" borderId="6" xfId="3" applyNumberFormat="1" applyFont="1" applyBorder="1" applyAlignment="1">
      <alignment horizontal="center"/>
    </xf>
    <xf numFmtId="0" fontId="4" fillId="0" borderId="7" xfId="3" applyNumberFormat="1" applyFont="1" applyBorder="1" applyAlignment="1" applyProtection="1">
      <alignment horizontal="center"/>
      <protection locked="0"/>
    </xf>
    <xf numFmtId="0" fontId="4" fillId="0" borderId="6" xfId="3" applyNumberFormat="1" applyFont="1" applyBorder="1" applyAlignment="1" applyProtection="1">
      <alignment horizontal="center"/>
      <protection locked="0"/>
    </xf>
    <xf numFmtId="0" fontId="4" fillId="0" borderId="6" xfId="3" applyNumberFormat="1" applyFont="1" applyBorder="1" applyAlignment="1">
      <alignment horizontal="center"/>
    </xf>
    <xf numFmtId="0" fontId="5" fillId="0" borderId="7" xfId="3" applyNumberFormat="1" applyFont="1" applyBorder="1" applyAlignment="1" applyProtection="1">
      <alignment horizontal="center"/>
      <protection locked="0"/>
    </xf>
    <xf numFmtId="0" fontId="5" fillId="0" borderId="6" xfId="3" applyNumberFormat="1" applyFont="1" applyBorder="1" applyAlignment="1" applyProtection="1">
      <alignment horizontal="center"/>
      <protection locked="0"/>
    </xf>
    <xf numFmtId="0" fontId="5" fillId="0" borderId="4" xfId="3" applyNumberFormat="1" applyFont="1" applyBorder="1" applyAlignment="1">
      <alignment horizontal="center"/>
    </xf>
    <xf numFmtId="0" fontId="77" fillId="0" borderId="33" xfId="0" applyFont="1" applyBorder="1" applyAlignment="1">
      <alignment horizontal="center"/>
    </xf>
    <xf numFmtId="0" fontId="77" fillId="0" borderId="0" xfId="0" applyFont="1" applyAlignment="1">
      <alignment horizontal="center"/>
    </xf>
    <xf numFmtId="0" fontId="77" fillId="0" borderId="21" xfId="0" applyFont="1" applyBorder="1" applyAlignment="1">
      <alignment horizontal="center"/>
    </xf>
    <xf numFmtId="182" fontId="35" fillId="0" borderId="0" xfId="0" applyNumberFormat="1" applyFont="1" applyProtection="1">
      <protection locked="0"/>
    </xf>
    <xf numFmtId="191" fontId="113" fillId="0" borderId="0" xfId="0" applyNumberFormat="1" applyFont="1"/>
    <xf numFmtId="10" fontId="113" fillId="0" borderId="0" xfId="3" applyNumberFormat="1" applyFont="1"/>
    <xf numFmtId="43" fontId="113" fillId="0" borderId="0" xfId="0" applyNumberFormat="1" applyFont="1"/>
    <xf numFmtId="0" fontId="182" fillId="0" borderId="0" xfId="0" applyFont="1"/>
    <xf numFmtId="0" fontId="103" fillId="0" borderId="0" xfId="0" applyFont="1"/>
    <xf numFmtId="0" fontId="103" fillId="0" borderId="88" xfId="0" applyFont="1" applyBorder="1"/>
    <xf numFmtId="167" fontId="103" fillId="0" borderId="0" xfId="0" applyNumberFormat="1" applyFont="1"/>
    <xf numFmtId="167" fontId="103" fillId="0" borderId="27" xfId="4" applyFont="1" applyBorder="1"/>
    <xf numFmtId="3" fontId="183" fillId="0" borderId="0" xfId="0" applyNumberFormat="1" applyFont="1"/>
    <xf numFmtId="10" fontId="112" fillId="0" borderId="70" xfId="3" applyNumberFormat="1" applyFont="1" applyBorder="1"/>
    <xf numFmtId="10" fontId="124" fillId="0" borderId="28" xfId="3" applyNumberFormat="1" applyFont="1" applyBorder="1"/>
    <xf numFmtId="10" fontId="128" fillId="0" borderId="28" xfId="3" applyNumberFormat="1" applyFont="1" applyBorder="1"/>
    <xf numFmtId="10" fontId="149" fillId="8" borderId="56" xfId="3" applyNumberFormat="1" applyFont="1" applyFill="1" applyBorder="1"/>
    <xf numFmtId="10" fontId="112" fillId="8" borderId="63" xfId="3" applyNumberFormat="1" applyFont="1" applyFill="1" applyBorder="1"/>
    <xf numFmtId="10" fontId="112" fillId="0" borderId="56" xfId="3" applyNumberFormat="1" applyFont="1" applyBorder="1"/>
    <xf numFmtId="10" fontId="112" fillId="0" borderId="28" xfId="3" applyNumberFormat="1" applyFont="1" applyFill="1" applyBorder="1"/>
    <xf numFmtId="10" fontId="112" fillId="15" borderId="28" xfId="3" applyNumberFormat="1" applyFont="1" applyFill="1" applyBorder="1"/>
    <xf numFmtId="10" fontId="112" fillId="0" borderId="31" xfId="3" applyNumberFormat="1" applyFont="1" applyBorder="1"/>
    <xf numFmtId="10" fontId="130" fillId="7" borderId="0" xfId="3" applyNumberFormat="1" applyFont="1" applyFill="1"/>
    <xf numFmtId="165" fontId="4" fillId="0" borderId="6" xfId="3" applyNumberFormat="1" applyFont="1" applyBorder="1" applyAlignment="1" applyProtection="1">
      <alignment horizontal="center"/>
      <protection locked="0"/>
    </xf>
    <xf numFmtId="10" fontId="155" fillId="0" borderId="6" xfId="3" applyNumberFormat="1" applyFont="1" applyBorder="1" applyAlignment="1" applyProtection="1">
      <protection locked="0"/>
    </xf>
    <xf numFmtId="10" fontId="155" fillId="0" borderId="6" xfId="3" applyNumberFormat="1" applyFont="1" applyBorder="1" applyAlignment="1"/>
    <xf numFmtId="10" fontId="184" fillId="0" borderId="7" xfId="3" applyNumberFormat="1" applyFont="1" applyBorder="1" applyAlignment="1" applyProtection="1">
      <protection locked="0"/>
    </xf>
    <xf numFmtId="10" fontId="184" fillId="0" borderId="6" xfId="3" applyNumberFormat="1" applyFont="1" applyBorder="1" applyAlignment="1"/>
    <xf numFmtId="10" fontId="155" fillId="0" borderId="7" xfId="3" applyNumberFormat="1" applyFont="1" applyBorder="1" applyAlignment="1" applyProtection="1">
      <protection locked="0"/>
    </xf>
    <xf numFmtId="10" fontId="155" fillId="20" borderId="6" xfId="3" applyNumberFormat="1" applyFont="1" applyFill="1" applyBorder="1" applyAlignment="1" applyProtection="1">
      <protection locked="0"/>
    </xf>
    <xf numFmtId="10" fontId="155" fillId="20" borderId="6" xfId="3" applyNumberFormat="1" applyFont="1" applyFill="1" applyBorder="1" applyAlignment="1"/>
    <xf numFmtId="10" fontId="184" fillId="20" borderId="6" xfId="3" applyNumberFormat="1" applyFont="1" applyFill="1" applyBorder="1" applyAlignment="1" applyProtection="1">
      <protection locked="0"/>
    </xf>
    <xf numFmtId="10" fontId="155" fillId="20" borderId="7" xfId="3" applyNumberFormat="1" applyFont="1" applyFill="1" applyBorder="1" applyAlignment="1" applyProtection="1">
      <protection locked="0"/>
    </xf>
    <xf numFmtId="10" fontId="184" fillId="0" borderId="6" xfId="3" applyNumberFormat="1" applyFont="1" applyBorder="1" applyAlignment="1" applyProtection="1">
      <protection locked="0"/>
    </xf>
    <xf numFmtId="10" fontId="184" fillId="0" borderId="4" xfId="3" applyNumberFormat="1" applyFont="1" applyBorder="1" applyAlignment="1"/>
    <xf numFmtId="10" fontId="155" fillId="0" borderId="6" xfId="3" quotePrefix="1" applyNumberFormat="1" applyFont="1" applyBorder="1" applyAlignment="1" applyProtection="1">
      <protection locked="0"/>
    </xf>
    <xf numFmtId="10" fontId="184" fillId="7" borderId="10" xfId="3" applyNumberFormat="1" applyFont="1" applyFill="1" applyBorder="1" applyAlignment="1"/>
    <xf numFmtId="10" fontId="184" fillId="0" borderId="2" xfId="3" applyNumberFormat="1" applyFont="1" applyBorder="1" applyAlignment="1" applyProtection="1">
      <protection locked="0"/>
    </xf>
    <xf numFmtId="10" fontId="155" fillId="0" borderId="2" xfId="3" applyNumberFormat="1" applyFont="1" applyBorder="1" applyAlignment="1" applyProtection="1">
      <protection locked="0"/>
    </xf>
    <xf numFmtId="10" fontId="155" fillId="15" borderId="6" xfId="3" applyNumberFormat="1" applyFont="1" applyFill="1" applyBorder="1" applyAlignment="1" applyProtection="1">
      <protection locked="0"/>
    </xf>
    <xf numFmtId="10" fontId="184" fillId="0" borderId="7" xfId="3" applyNumberFormat="1" applyFont="1" applyBorder="1" applyAlignment="1"/>
    <xf numFmtId="10" fontId="184" fillId="0" borderId="6" xfId="3" applyNumberFormat="1" applyFont="1" applyBorder="1" applyAlignment="1">
      <alignment wrapText="1"/>
    </xf>
    <xf numFmtId="10" fontId="184" fillId="7" borderId="12" xfId="3" applyNumberFormat="1" applyFont="1" applyFill="1" applyBorder="1" applyAlignment="1"/>
    <xf numFmtId="10" fontId="184" fillId="7" borderId="12" xfId="3" applyNumberFormat="1" applyFont="1" applyFill="1" applyBorder="1" applyAlignment="1" applyProtection="1">
      <protection locked="0"/>
    </xf>
    <xf numFmtId="10" fontId="184" fillId="0" borderId="5" xfId="3" applyNumberFormat="1" applyFont="1" applyBorder="1" applyAlignment="1"/>
    <xf numFmtId="10" fontId="155" fillId="20" borderId="0" xfId="3" applyNumberFormat="1" applyFont="1" applyFill="1" applyAlignment="1"/>
    <xf numFmtId="10" fontId="155" fillId="20" borderId="0" xfId="3" applyNumberFormat="1" applyFont="1" applyFill="1" applyAlignment="1" applyProtection="1">
      <protection locked="0"/>
    </xf>
    <xf numFmtId="10" fontId="155" fillId="0" borderId="4" xfId="3" applyNumberFormat="1" applyFont="1" applyBorder="1" applyAlignment="1"/>
    <xf numFmtId="10" fontId="155" fillId="0" borderId="6" xfId="3" applyNumberFormat="1" applyFont="1" applyFill="1" applyBorder="1" applyAlignment="1"/>
    <xf numFmtId="10" fontId="184" fillId="0" borderId="6" xfId="3" applyNumberFormat="1" applyFont="1" applyFill="1" applyBorder="1" applyAlignment="1"/>
    <xf numFmtId="10" fontId="155" fillId="54" borderId="6" xfId="3" applyNumberFormat="1" applyFont="1" applyFill="1" applyBorder="1" applyAlignment="1"/>
    <xf numFmtId="10" fontId="184" fillId="54" borderId="6" xfId="3" applyNumberFormat="1" applyFont="1" applyFill="1" applyBorder="1" applyAlignment="1"/>
    <xf numFmtId="10" fontId="155" fillId="54" borderId="6" xfId="3" applyNumberFormat="1" applyFont="1" applyFill="1" applyBorder="1" applyAlignment="1" applyProtection="1">
      <protection locked="0"/>
    </xf>
    <xf numFmtId="10" fontId="155" fillId="54" borderId="2" xfId="3" applyNumberFormat="1" applyFont="1" applyFill="1" applyBorder="1" applyAlignment="1" applyProtection="1">
      <protection locked="0"/>
    </xf>
    <xf numFmtId="10" fontId="155" fillId="0" borderId="7" xfId="3" applyNumberFormat="1" applyFont="1" applyBorder="1" applyAlignment="1"/>
    <xf numFmtId="10" fontId="184" fillId="7" borderId="48" xfId="3" applyNumberFormat="1" applyFont="1" applyFill="1" applyBorder="1" applyAlignment="1"/>
    <xf numFmtId="10" fontId="155" fillId="0" borderId="0" xfId="3" applyNumberFormat="1" applyFont="1" applyAlignment="1" applyProtection="1">
      <protection locked="0"/>
    </xf>
    <xf numFmtId="10" fontId="155" fillId="0" borderId="20" xfId="3" applyNumberFormat="1" applyFont="1" applyBorder="1" applyAlignment="1" applyProtection="1">
      <protection locked="0"/>
    </xf>
    <xf numFmtId="10" fontId="184" fillId="0" borderId="16" xfId="3" applyNumberFormat="1" applyFont="1" applyBorder="1" applyAlignment="1"/>
    <xf numFmtId="10" fontId="184" fillId="0" borderId="0" xfId="3" applyNumberFormat="1" applyFont="1" applyAlignment="1" applyProtection="1">
      <protection locked="0"/>
    </xf>
    <xf numFmtId="10" fontId="184" fillId="0" borderId="21" xfId="3" applyNumberFormat="1" applyFont="1" applyBorder="1" applyAlignment="1" applyProtection="1">
      <protection locked="0"/>
    </xf>
    <xf numFmtId="10" fontId="184" fillId="0" borderId="6" xfId="3" quotePrefix="1" applyNumberFormat="1" applyFont="1" applyBorder="1" applyAlignment="1" applyProtection="1">
      <protection locked="0"/>
    </xf>
    <xf numFmtId="10" fontId="75" fillId="0" borderId="0" xfId="3" applyNumberFormat="1" applyFont="1" applyProtection="1">
      <protection locked="0"/>
    </xf>
    <xf numFmtId="165" fontId="104" fillId="15" borderId="6" xfId="0" quotePrefix="1" applyNumberFormat="1" applyFont="1" applyFill="1" applyBorder="1" applyAlignment="1" applyProtection="1">
      <alignment horizontal="center"/>
      <protection locked="0"/>
    </xf>
    <xf numFmtId="0" fontId="185" fillId="0" borderId="0" xfId="0" applyFont="1" applyAlignment="1">
      <alignment horizontal="center" wrapText="1"/>
    </xf>
    <xf numFmtId="0" fontId="186" fillId="0" borderId="0" xfId="0" applyFont="1" applyAlignment="1">
      <alignment horizontal="right" vertical="center" wrapText="1" indent="2"/>
    </xf>
    <xf numFmtId="1" fontId="186" fillId="0" borderId="0" xfId="0" applyNumberFormat="1" applyFont="1" applyAlignment="1">
      <alignment horizontal="center" vertical="center" wrapText="1"/>
    </xf>
    <xf numFmtId="0" fontId="186" fillId="0" borderId="0" xfId="0" applyFont="1" applyAlignment="1">
      <alignment horizontal="right" vertical="center" wrapText="1" indent="1"/>
    </xf>
    <xf numFmtId="0" fontId="186" fillId="0" borderId="3" xfId="0" applyFont="1" applyBorder="1" applyAlignment="1">
      <alignment horizontal="right" vertical="center" wrapText="1" indent="1"/>
    </xf>
    <xf numFmtId="1" fontId="186" fillId="0" borderId="3" xfId="0" applyNumberFormat="1" applyFont="1" applyBorder="1" applyAlignment="1">
      <alignment horizontal="center" vertical="center" wrapText="1"/>
    </xf>
    <xf numFmtId="1" fontId="185" fillId="0" borderId="3" xfId="0" applyNumberFormat="1" applyFont="1" applyBorder="1" applyAlignment="1">
      <alignment horizontal="center" vertical="center" wrapText="1"/>
    </xf>
    <xf numFmtId="0" fontId="186" fillId="0" borderId="23" xfId="0" applyFont="1" applyBorder="1" applyAlignment="1">
      <alignment horizontal="right" vertical="center" wrapText="1" indent="1"/>
    </xf>
    <xf numFmtId="1" fontId="186" fillId="0" borderId="23" xfId="0" applyNumberFormat="1" applyFont="1" applyBorder="1" applyAlignment="1">
      <alignment horizontal="center" vertical="center" wrapText="1"/>
    </xf>
    <xf numFmtId="0" fontId="185" fillId="0" borderId="0" xfId="0" applyFont="1" applyAlignment="1">
      <alignment horizontal="right" wrapText="1"/>
    </xf>
    <xf numFmtId="0" fontId="24" fillId="0" borderId="0" xfId="0" applyFont="1" applyAlignment="1">
      <alignment horizontal="right"/>
    </xf>
    <xf numFmtId="0" fontId="187" fillId="0" borderId="0" xfId="0" applyFont="1" applyAlignment="1">
      <alignment horizontal="right" vertical="center" wrapText="1" indent="2"/>
    </xf>
    <xf numFmtId="0" fontId="187" fillId="0" borderId="0" xfId="0" applyFont="1" applyAlignment="1">
      <alignment horizontal="left" vertical="center" wrapText="1" indent="7"/>
    </xf>
    <xf numFmtId="0" fontId="187" fillId="0" borderId="0" xfId="0" applyFont="1" applyAlignment="1">
      <alignment horizontal="center" vertical="center" wrapText="1"/>
    </xf>
    <xf numFmtId="0" fontId="187" fillId="0" borderId="6" xfId="0" applyFont="1" applyBorder="1" applyAlignment="1">
      <alignment horizontal="center" vertical="center" wrapText="1"/>
    </xf>
    <xf numFmtId="0" fontId="188" fillId="0" borderId="0" xfId="0" applyFont="1" applyAlignment="1">
      <alignment horizontal="left" vertical="center" wrapText="1" indent="7"/>
    </xf>
    <xf numFmtId="10" fontId="188" fillId="0" borderId="0" xfId="0" applyNumberFormat="1" applyFont="1" applyAlignment="1">
      <alignment horizontal="right" vertical="center" wrapText="1"/>
    </xf>
    <xf numFmtId="10" fontId="188" fillId="0" borderId="6" xfId="0" applyNumberFormat="1" applyFont="1" applyBorder="1" applyAlignment="1">
      <alignment horizontal="right" vertical="center" wrapText="1"/>
    </xf>
    <xf numFmtId="10" fontId="0" fillId="0" borderId="0" xfId="3" applyNumberFormat="1" applyFont="1"/>
    <xf numFmtId="3" fontId="30" fillId="0" borderId="23" xfId="39" applyNumberFormat="1" applyFont="1" applyBorder="1" applyAlignment="1">
      <alignment horizontal="right" vertical="center" wrapText="1" indent="1"/>
    </xf>
    <xf numFmtId="192" fontId="30" fillId="0" borderId="23" xfId="39" applyNumberFormat="1" applyFont="1" applyBorder="1" applyAlignment="1">
      <alignment horizontal="center" vertical="center" wrapText="1"/>
    </xf>
    <xf numFmtId="192" fontId="30" fillId="0" borderId="23" xfId="39" applyNumberFormat="1" applyFont="1" applyBorder="1" applyAlignment="1">
      <alignment horizontal="left" vertical="center" wrapText="1" indent="1"/>
    </xf>
    <xf numFmtId="3" fontId="30" fillId="0" borderId="3" xfId="39" applyNumberFormat="1" applyFont="1" applyBorder="1" applyAlignment="1">
      <alignment horizontal="right" vertical="center" wrapText="1" indent="1"/>
    </xf>
    <xf numFmtId="192" fontId="30" fillId="0" borderId="3" xfId="39" applyNumberFormat="1" applyFont="1" applyBorder="1" applyAlignment="1">
      <alignment horizontal="center" vertical="center" wrapText="1"/>
    </xf>
    <xf numFmtId="193" fontId="30" fillId="0" borderId="3" xfId="39" applyNumberFormat="1" applyFont="1" applyBorder="1" applyAlignment="1">
      <alignment horizontal="left" vertical="center" wrapText="1" indent="1"/>
    </xf>
    <xf numFmtId="192" fontId="30" fillId="0" borderId="3" xfId="39" applyNumberFormat="1" applyFont="1" applyBorder="1" applyAlignment="1">
      <alignment horizontal="right" vertical="center" wrapText="1" indent="2"/>
    </xf>
    <xf numFmtId="0" fontId="31" fillId="0" borderId="3" xfId="39" applyFont="1" applyBorder="1" applyAlignment="1">
      <alignment vertical="center" wrapText="1"/>
    </xf>
    <xf numFmtId="0" fontId="25" fillId="0" borderId="0" xfId="0" applyFont="1" applyAlignment="1">
      <alignment horizontal="right"/>
    </xf>
    <xf numFmtId="0" fontId="189" fillId="15" borderId="0" xfId="0" applyFont="1" applyFill="1" applyAlignment="1">
      <alignment horizontal="left" vertical="center" wrapText="1" indent="7"/>
    </xf>
    <xf numFmtId="0" fontId="0" fillId="15" borderId="0" xfId="0" applyFill="1"/>
    <xf numFmtId="183" fontId="24" fillId="15" borderId="0" xfId="3" applyNumberFormat="1" applyFont="1" applyFill="1"/>
    <xf numFmtId="0" fontId="188" fillId="0" borderId="0" xfId="0" applyFont="1" applyFill="1" applyBorder="1" applyAlignment="1">
      <alignment horizontal="right" vertical="center" wrapText="1" indent="1"/>
    </xf>
    <xf numFmtId="183" fontId="7" fillId="0" borderId="0" xfId="3" applyNumberFormat="1" applyFont="1"/>
    <xf numFmtId="194" fontId="0" fillId="0" borderId="0" xfId="0" applyNumberFormat="1"/>
    <xf numFmtId="10" fontId="0" fillId="0" borderId="0" xfId="0" applyNumberFormat="1"/>
    <xf numFmtId="0" fontId="75" fillId="0" borderId="23" xfId="0" applyFont="1" applyBorder="1" applyAlignment="1" applyProtection="1">
      <alignment horizontal="left"/>
      <protection locked="0"/>
    </xf>
    <xf numFmtId="0" fontId="75" fillId="10" borderId="0" xfId="0" applyFont="1" applyFill="1" applyBorder="1"/>
    <xf numFmtId="165" fontId="19" fillId="0" borderId="0" xfId="0" applyNumberFormat="1" applyFont="1" applyBorder="1"/>
    <xf numFmtId="165" fontId="56" fillId="0" borderId="0" xfId="0" applyNumberFormat="1" applyFont="1" applyBorder="1"/>
    <xf numFmtId="165" fontId="190" fillId="0" borderId="27" xfId="0" applyNumberFormat="1" applyFont="1" applyBorder="1"/>
    <xf numFmtId="165" fontId="7" fillId="55" borderId="28" xfId="0" applyNumberFormat="1" applyFont="1" applyFill="1" applyBorder="1"/>
    <xf numFmtId="10" fontId="7" fillId="55" borderId="28" xfId="3" applyNumberFormat="1" applyFont="1" applyFill="1" applyBorder="1"/>
    <xf numFmtId="178" fontId="4" fillId="0" borderId="0" xfId="4" applyNumberFormat="1" applyFont="1" applyBorder="1" applyAlignment="1" applyProtection="1">
      <alignment horizontal="left"/>
      <protection locked="0"/>
    </xf>
    <xf numFmtId="196" fontId="77" fillId="0" borderId="0" xfId="0" applyNumberFormat="1" applyFont="1"/>
    <xf numFmtId="0" fontId="192" fillId="0" borderId="0" xfId="0" applyFont="1"/>
    <xf numFmtId="0" fontId="111" fillId="0" borderId="0" xfId="0" applyFont="1" applyBorder="1" applyProtection="1">
      <protection locked="0"/>
    </xf>
    <xf numFmtId="0" fontId="192" fillId="0" borderId="0" xfId="0" applyFont="1" applyBorder="1" applyAlignment="1">
      <alignment wrapText="1"/>
    </xf>
    <xf numFmtId="0" fontId="192" fillId="0" borderId="0" xfId="0" applyFont="1" applyAlignment="1">
      <alignment wrapText="1"/>
    </xf>
    <xf numFmtId="0" fontId="195" fillId="0" borderId="0" xfId="39" applyFont="1" applyAlignment="1">
      <alignment horizontal="center" vertical="center"/>
    </xf>
    <xf numFmtId="0" fontId="196" fillId="0" borderId="0" xfId="39" applyFont="1" applyAlignment="1">
      <alignment horizontal="center" vertical="center"/>
    </xf>
    <xf numFmtId="0" fontId="197" fillId="0" borderId="0" xfId="39" applyFont="1" applyAlignment="1">
      <alignment horizontal="center" vertical="center"/>
    </xf>
    <xf numFmtId="0" fontId="198" fillId="0" borderId="0" xfId="39" applyFont="1" applyAlignment="1">
      <alignment horizontal="center" vertical="center"/>
    </xf>
    <xf numFmtId="167" fontId="195" fillId="61" borderId="0" xfId="39" applyNumberFormat="1" applyFont="1" applyFill="1" applyAlignment="1">
      <alignment horizontal="center" vertical="center"/>
    </xf>
    <xf numFmtId="10" fontId="195" fillId="61" borderId="0" xfId="39" applyNumberFormat="1" applyFont="1" applyFill="1" applyAlignment="1">
      <alignment horizontal="center" vertical="center"/>
    </xf>
    <xf numFmtId="0" fontId="196" fillId="61" borderId="0" xfId="39" applyFont="1" applyFill="1" applyAlignment="1">
      <alignment horizontal="center" vertical="center"/>
    </xf>
    <xf numFmtId="167" fontId="195" fillId="62" borderId="0" xfId="39" applyNumberFormat="1" applyFont="1" applyFill="1" applyAlignment="1">
      <alignment horizontal="center" vertical="center"/>
    </xf>
    <xf numFmtId="0" fontId="196" fillId="62" borderId="0" xfId="39" applyFont="1" applyFill="1" applyAlignment="1">
      <alignment horizontal="center" vertical="center"/>
    </xf>
    <xf numFmtId="0" fontId="199" fillId="62" borderId="0" xfId="39" applyFont="1" applyFill="1" applyAlignment="1">
      <alignment vertical="center"/>
    </xf>
    <xf numFmtId="167" fontId="200" fillId="62" borderId="0" xfId="39" applyNumberFormat="1" applyFont="1" applyFill="1" applyAlignment="1">
      <alignment horizontal="center" vertical="center"/>
    </xf>
    <xf numFmtId="167" fontId="195" fillId="63" borderId="0" xfId="39" applyNumberFormat="1" applyFont="1" applyFill="1" applyAlignment="1">
      <alignment horizontal="center" vertical="center"/>
    </xf>
    <xf numFmtId="167" fontId="196" fillId="15" borderId="0" xfId="39" applyNumberFormat="1" applyFont="1" applyFill="1" applyAlignment="1">
      <alignment horizontal="center" vertical="center"/>
    </xf>
    <xf numFmtId="0" fontId="195" fillId="63" borderId="0" xfId="39" applyFont="1" applyFill="1" applyAlignment="1">
      <alignment horizontal="center" vertical="center"/>
    </xf>
    <xf numFmtId="167" fontId="200" fillId="63" borderId="0" xfId="39" applyNumberFormat="1" applyFont="1" applyFill="1" applyAlignment="1">
      <alignment horizontal="center" vertical="center"/>
    </xf>
    <xf numFmtId="167" fontId="195" fillId="64" borderId="0" xfId="39" applyNumberFormat="1" applyFont="1" applyFill="1" applyAlignment="1">
      <alignment horizontal="center" vertical="center"/>
    </xf>
    <xf numFmtId="167" fontId="195" fillId="65" borderId="0" xfId="39" applyNumberFormat="1" applyFont="1" applyFill="1" applyAlignment="1">
      <alignment horizontal="center" vertical="center"/>
    </xf>
    <xf numFmtId="0" fontId="195" fillId="65" borderId="0" xfId="39" applyFont="1" applyFill="1" applyAlignment="1">
      <alignment horizontal="center" vertical="center"/>
    </xf>
    <xf numFmtId="167" fontId="195" fillId="66" borderId="0" xfId="39" applyNumberFormat="1" applyFont="1" applyFill="1" applyAlignment="1">
      <alignment horizontal="center" vertical="center"/>
    </xf>
    <xf numFmtId="0" fontId="195" fillId="66" borderId="0" xfId="39" applyFont="1" applyFill="1" applyAlignment="1">
      <alignment horizontal="center" vertical="center"/>
    </xf>
    <xf numFmtId="49" fontId="195" fillId="66" borderId="0" xfId="39" applyNumberFormat="1" applyFont="1" applyFill="1" applyAlignment="1">
      <alignment horizontal="center" vertical="center"/>
    </xf>
    <xf numFmtId="0" fontId="201" fillId="66" borderId="0" xfId="39" applyFont="1" applyFill="1" applyAlignment="1">
      <alignment horizontal="center" vertical="center"/>
    </xf>
    <xf numFmtId="167" fontId="195" fillId="20" borderId="0" xfId="39" applyNumberFormat="1" applyFont="1" applyFill="1" applyAlignment="1">
      <alignment horizontal="center" vertical="center"/>
    </xf>
    <xf numFmtId="167" fontId="195" fillId="19" borderId="0" xfId="39" applyNumberFormat="1" applyFont="1" applyFill="1" applyAlignment="1">
      <alignment horizontal="center" vertical="center"/>
    </xf>
    <xf numFmtId="167" fontId="202" fillId="67" borderId="0" xfId="39" applyNumberFormat="1" applyFont="1" applyFill="1" applyAlignment="1">
      <alignment horizontal="center" vertical="center"/>
    </xf>
    <xf numFmtId="198" fontId="203" fillId="54" borderId="0" xfId="39" applyNumberFormat="1" applyFont="1" applyFill="1" applyAlignment="1">
      <alignment horizontal="center" vertical="center"/>
    </xf>
    <xf numFmtId="198" fontId="204" fillId="54" borderId="0" xfId="39" applyNumberFormat="1" applyFont="1" applyFill="1" applyAlignment="1">
      <alignment horizontal="center" vertical="center"/>
    </xf>
    <xf numFmtId="167" fontId="195" fillId="54" borderId="0" xfId="39" applyNumberFormat="1" applyFont="1" applyFill="1" applyAlignment="1">
      <alignment horizontal="center" vertical="center"/>
    </xf>
    <xf numFmtId="178" fontId="195" fillId="54" borderId="0" xfId="39" applyNumberFormat="1" applyFont="1" applyFill="1" applyAlignment="1">
      <alignment horizontal="center" vertical="center"/>
    </xf>
    <xf numFmtId="0" fontId="196" fillId="0" borderId="0" xfId="39" applyFont="1" applyAlignment="1">
      <alignment horizontal="center" vertical="center" wrapText="1"/>
    </xf>
    <xf numFmtId="0" fontId="197" fillId="0" borderId="0" xfId="39" applyFont="1" applyAlignment="1">
      <alignment horizontal="center" vertical="center" wrapText="1"/>
    </xf>
    <xf numFmtId="0" fontId="198" fillId="0" borderId="0" xfId="39" applyFont="1" applyAlignment="1">
      <alignment horizontal="center" vertical="center" wrapText="1"/>
    </xf>
    <xf numFmtId="167" fontId="195" fillId="61" borderId="0" xfId="39" applyNumberFormat="1" applyFont="1" applyFill="1" applyAlignment="1">
      <alignment horizontal="center" vertical="center" wrapText="1"/>
    </xf>
    <xf numFmtId="10" fontId="205" fillId="61" borderId="0" xfId="39" applyNumberFormat="1" applyFont="1" applyFill="1" applyAlignment="1">
      <alignment horizontal="center" vertical="center" wrapText="1"/>
    </xf>
    <xf numFmtId="0" fontId="195" fillId="61" borderId="0" xfId="39" applyFont="1" applyFill="1" applyAlignment="1">
      <alignment horizontal="center" vertical="center" wrapText="1"/>
    </xf>
    <xf numFmtId="167" fontId="206" fillId="61" borderId="0" xfId="39" applyNumberFormat="1" applyFont="1" applyFill="1" applyAlignment="1">
      <alignment horizontal="center" vertical="center" wrapText="1"/>
    </xf>
    <xf numFmtId="0" fontId="196" fillId="61" borderId="0" xfId="39" applyFont="1" applyFill="1" applyAlignment="1">
      <alignment horizontal="center" vertical="center" wrapText="1"/>
    </xf>
    <xf numFmtId="167" fontId="196" fillId="0" borderId="0" xfId="39" applyNumberFormat="1" applyFont="1" applyAlignment="1">
      <alignment horizontal="center" vertical="center" wrapText="1"/>
    </xf>
    <xf numFmtId="167" fontId="195" fillId="62" borderId="0" xfId="39" applyNumberFormat="1" applyFont="1" applyFill="1" applyAlignment="1">
      <alignment horizontal="center" vertical="center" wrapText="1"/>
    </xf>
    <xf numFmtId="10" fontId="205" fillId="62" borderId="0" xfId="39" applyNumberFormat="1" applyFont="1" applyFill="1" applyAlignment="1">
      <alignment horizontal="center" vertical="center" wrapText="1"/>
    </xf>
    <xf numFmtId="0" fontId="195" fillId="62" borderId="0" xfId="39" applyFont="1" applyFill="1" applyAlignment="1">
      <alignment horizontal="center" vertical="center" wrapText="1"/>
    </xf>
    <xf numFmtId="167" fontId="206" fillId="62" borderId="0" xfId="39" applyNumberFormat="1" applyFont="1" applyFill="1" applyAlignment="1">
      <alignment horizontal="center" vertical="center" wrapText="1"/>
    </xf>
    <xf numFmtId="0" fontId="196" fillId="62" borderId="0" xfId="39" applyFont="1" applyFill="1" applyAlignment="1">
      <alignment horizontal="center" vertical="center" wrapText="1"/>
    </xf>
    <xf numFmtId="167" fontId="207" fillId="0" borderId="0" xfId="39" applyNumberFormat="1" applyFont="1" applyAlignment="1">
      <alignment horizontal="center" vertical="center" wrapText="1"/>
    </xf>
    <xf numFmtId="167" fontId="195" fillId="63" borderId="0" xfId="39" applyNumberFormat="1" applyFont="1" applyFill="1" applyAlignment="1">
      <alignment horizontal="center" vertical="center" wrapText="1"/>
    </xf>
    <xf numFmtId="167" fontId="196" fillId="15" borderId="0" xfId="39" applyNumberFormat="1" applyFont="1" applyFill="1" applyAlignment="1">
      <alignment horizontal="center" vertical="center" wrapText="1"/>
    </xf>
    <xf numFmtId="10" fontId="200" fillId="63" borderId="0" xfId="39" applyNumberFormat="1" applyFont="1" applyFill="1" applyAlignment="1">
      <alignment horizontal="center" vertical="center" wrapText="1"/>
    </xf>
    <xf numFmtId="0" fontId="195" fillId="63" borderId="0" xfId="39" applyFont="1" applyFill="1" applyAlignment="1">
      <alignment horizontal="center" vertical="center" wrapText="1"/>
    </xf>
    <xf numFmtId="167" fontId="201" fillId="0" borderId="0" xfId="39" applyNumberFormat="1" applyFont="1" applyAlignment="1">
      <alignment horizontal="center" vertical="center" wrapText="1"/>
    </xf>
    <xf numFmtId="167" fontId="208" fillId="0" borderId="0" xfId="39" applyNumberFormat="1" applyFont="1" applyAlignment="1">
      <alignment horizontal="center" vertical="center" wrapText="1"/>
    </xf>
    <xf numFmtId="0" fontId="195" fillId="0" borderId="0" xfId="39" applyFont="1" applyAlignment="1">
      <alignment horizontal="center" vertical="center" wrapText="1"/>
    </xf>
    <xf numFmtId="167" fontId="195" fillId="65" borderId="0" xfId="39" applyNumberFormat="1" applyFont="1" applyFill="1" applyAlignment="1">
      <alignment horizontal="center" vertical="center" wrapText="1"/>
    </xf>
    <xf numFmtId="10" fontId="200" fillId="65" borderId="0" xfId="39" applyNumberFormat="1" applyFont="1" applyFill="1" applyAlignment="1">
      <alignment horizontal="center" vertical="center" wrapText="1"/>
    </xf>
    <xf numFmtId="0" fontId="195" fillId="65" borderId="0" xfId="39" applyFont="1" applyFill="1" applyAlignment="1">
      <alignment horizontal="center" vertical="center" wrapText="1"/>
    </xf>
    <xf numFmtId="167" fontId="195" fillId="66" borderId="0" xfId="39" applyNumberFormat="1" applyFont="1" applyFill="1" applyAlignment="1">
      <alignment horizontal="center" vertical="center" wrapText="1"/>
    </xf>
    <xf numFmtId="10" fontId="200" fillId="66" borderId="0" xfId="39" applyNumberFormat="1" applyFont="1" applyFill="1" applyAlignment="1">
      <alignment horizontal="center" vertical="center" wrapText="1"/>
    </xf>
    <xf numFmtId="0" fontId="195" fillId="66" borderId="0" xfId="39" applyFont="1" applyFill="1" applyAlignment="1">
      <alignment horizontal="center" vertical="center" wrapText="1"/>
    </xf>
    <xf numFmtId="49" fontId="195" fillId="66" borderId="0" xfId="39" applyNumberFormat="1" applyFont="1" applyFill="1" applyAlignment="1">
      <alignment horizontal="center" vertical="center" wrapText="1"/>
    </xf>
    <xf numFmtId="0" fontId="201" fillId="66" borderId="0" xfId="39" applyFont="1" applyFill="1" applyAlignment="1">
      <alignment horizontal="center" vertical="center" wrapText="1"/>
    </xf>
    <xf numFmtId="167" fontId="195" fillId="20" borderId="0" xfId="39" applyNumberFormat="1" applyFont="1" applyFill="1" applyAlignment="1">
      <alignment horizontal="center" vertical="center" wrapText="1"/>
    </xf>
    <xf numFmtId="10" fontId="200" fillId="20" borderId="0" xfId="39" applyNumberFormat="1" applyFont="1" applyFill="1" applyAlignment="1">
      <alignment horizontal="center" vertical="center" wrapText="1"/>
    </xf>
    <xf numFmtId="0" fontId="195" fillId="20" borderId="0" xfId="39" applyFont="1" applyFill="1" applyAlignment="1">
      <alignment horizontal="center" vertical="center" wrapText="1"/>
    </xf>
    <xf numFmtId="10" fontId="208" fillId="19" borderId="0" xfId="39" applyNumberFormat="1" applyFont="1" applyFill="1" applyAlignment="1">
      <alignment horizontal="center" vertical="center" wrapText="1"/>
    </xf>
    <xf numFmtId="10" fontId="209" fillId="67" borderId="0" xfId="39" applyNumberFormat="1" applyFont="1" applyFill="1" applyAlignment="1">
      <alignment horizontal="center" vertical="center" wrapText="1"/>
    </xf>
    <xf numFmtId="198" fontId="210" fillId="54" borderId="0" xfId="39" applyNumberFormat="1" applyFont="1" applyFill="1" applyAlignment="1">
      <alignment horizontal="center" vertical="center" wrapText="1"/>
    </xf>
    <xf numFmtId="9" fontId="210" fillId="54" borderId="0" xfId="51" applyFont="1" applyFill="1" applyAlignment="1">
      <alignment horizontal="center" vertical="center" wrapText="1"/>
    </xf>
    <xf numFmtId="10" fontId="208" fillId="54" borderId="0" xfId="39" applyNumberFormat="1" applyFont="1" applyFill="1" applyAlignment="1">
      <alignment horizontal="center" vertical="center" wrapText="1"/>
    </xf>
    <xf numFmtId="178" fontId="208" fillId="54" borderId="0" xfId="39" applyNumberFormat="1" applyFont="1" applyFill="1" applyAlignment="1">
      <alignment horizontal="center" vertical="center" wrapText="1"/>
    </xf>
    <xf numFmtId="0" fontId="199" fillId="0" borderId="0" xfId="39" applyFont="1" applyAlignment="1">
      <alignment horizontal="center" vertical="center"/>
    </xf>
    <xf numFmtId="0" fontId="211" fillId="0" borderId="0" xfId="39" applyFont="1" applyAlignment="1">
      <alignment horizontal="center" vertical="center"/>
    </xf>
    <xf numFmtId="0" fontId="212" fillId="0" borderId="0" xfId="39" applyFont="1" applyAlignment="1">
      <alignment horizontal="center" vertical="center"/>
    </xf>
    <xf numFmtId="167" fontId="203" fillId="61" borderId="0" xfId="39" applyNumberFormat="1" applyFont="1" applyFill="1" applyAlignment="1">
      <alignment horizontal="center" vertical="center"/>
    </xf>
    <xf numFmtId="10" fontId="213" fillId="61" borderId="0" xfId="39" applyNumberFormat="1" applyFont="1" applyFill="1" applyAlignment="1">
      <alignment horizontal="center" vertical="center"/>
    </xf>
    <xf numFmtId="0" fontId="203" fillId="61" borderId="0" xfId="39" applyFont="1" applyFill="1" applyAlignment="1">
      <alignment horizontal="center" vertical="center"/>
    </xf>
    <xf numFmtId="167" fontId="214" fillId="61" borderId="0" xfId="39" applyNumberFormat="1" applyFont="1" applyFill="1" applyAlignment="1">
      <alignment horizontal="center" vertical="center"/>
    </xf>
    <xf numFmtId="0" fontId="199" fillId="61" borderId="0" xfId="39" applyFont="1" applyFill="1" applyAlignment="1">
      <alignment horizontal="center" vertical="center"/>
    </xf>
    <xf numFmtId="167" fontId="199" fillId="0" borderId="0" xfId="39" applyNumberFormat="1" applyFont="1" applyAlignment="1">
      <alignment horizontal="center" vertical="center"/>
    </xf>
    <xf numFmtId="167" fontId="203" fillId="62" borderId="0" xfId="39" applyNumberFormat="1" applyFont="1" applyFill="1" applyAlignment="1">
      <alignment horizontal="center" vertical="center"/>
    </xf>
    <xf numFmtId="10" fontId="213" fillId="62" borderId="0" xfId="39" applyNumberFormat="1" applyFont="1" applyFill="1" applyAlignment="1">
      <alignment horizontal="center" vertical="center"/>
    </xf>
    <xf numFmtId="0" fontId="203" fillId="62" borderId="0" xfId="39" applyFont="1" applyFill="1" applyAlignment="1">
      <alignment horizontal="center" vertical="center"/>
    </xf>
    <xf numFmtId="167" fontId="214" fillId="62" borderId="0" xfId="39" applyNumberFormat="1" applyFont="1" applyFill="1" applyAlignment="1">
      <alignment horizontal="center" vertical="center"/>
    </xf>
    <xf numFmtId="0" fontId="199" fillId="62" borderId="0" xfId="39" applyFont="1" applyFill="1" applyAlignment="1">
      <alignment horizontal="center" vertical="center"/>
    </xf>
    <xf numFmtId="167" fontId="215" fillId="0" borderId="0" xfId="39" applyNumberFormat="1" applyFont="1" applyAlignment="1">
      <alignment horizontal="center" vertical="center"/>
    </xf>
    <xf numFmtId="167" fontId="203" fillId="63" borderId="0" xfId="39" applyNumberFormat="1" applyFont="1" applyFill="1" applyAlignment="1">
      <alignment horizontal="center" vertical="center"/>
    </xf>
    <xf numFmtId="167" fontId="199" fillId="15" borderId="0" xfId="39" applyNumberFormat="1" applyFont="1" applyFill="1" applyAlignment="1">
      <alignment horizontal="center" vertical="center"/>
    </xf>
    <xf numFmtId="10" fontId="216" fillId="63" borderId="0" xfId="39" applyNumberFormat="1" applyFont="1" applyFill="1" applyAlignment="1">
      <alignment horizontal="center" vertical="center"/>
    </xf>
    <xf numFmtId="0" fontId="203" fillId="63" borderId="0" xfId="39" applyFont="1" applyFill="1" applyAlignment="1">
      <alignment horizontal="center" vertical="center"/>
    </xf>
    <xf numFmtId="167" fontId="204" fillId="0" borderId="0" xfId="39" applyNumberFormat="1" applyFont="1" applyAlignment="1">
      <alignment horizontal="center" vertical="center"/>
    </xf>
    <xf numFmtId="167" fontId="210" fillId="0" borderId="0" xfId="39" applyNumberFormat="1" applyFont="1" applyAlignment="1">
      <alignment horizontal="center" vertical="center"/>
    </xf>
    <xf numFmtId="0" fontId="203" fillId="0" borderId="0" xfId="39" applyFont="1" applyAlignment="1">
      <alignment horizontal="center" vertical="center"/>
    </xf>
    <xf numFmtId="167" fontId="203" fillId="65" borderId="0" xfId="39" applyNumberFormat="1" applyFont="1" applyFill="1" applyAlignment="1">
      <alignment horizontal="center" vertical="center"/>
    </xf>
    <xf numFmtId="10" fontId="216" fillId="65" borderId="0" xfId="39" applyNumberFormat="1" applyFont="1" applyFill="1" applyAlignment="1">
      <alignment horizontal="center" vertical="center"/>
    </xf>
    <xf numFmtId="0" fontId="203" fillId="65" borderId="0" xfId="39" applyFont="1" applyFill="1" applyAlignment="1">
      <alignment horizontal="center" vertical="center"/>
    </xf>
    <xf numFmtId="167" fontId="203" fillId="66" borderId="0" xfId="39" applyNumberFormat="1" applyFont="1" applyFill="1" applyAlignment="1">
      <alignment horizontal="center" vertical="center"/>
    </xf>
    <xf numFmtId="10" fontId="216" fillId="66" borderId="0" xfId="39" applyNumberFormat="1" applyFont="1" applyFill="1" applyAlignment="1">
      <alignment horizontal="center" vertical="center"/>
    </xf>
    <xf numFmtId="0" fontId="203" fillId="66" borderId="0" xfId="39" applyFont="1" applyFill="1" applyAlignment="1">
      <alignment horizontal="center" vertical="center"/>
    </xf>
    <xf numFmtId="49" fontId="203" fillId="66" borderId="0" xfId="39" applyNumberFormat="1" applyFont="1" applyFill="1" applyAlignment="1">
      <alignment horizontal="center" vertical="center"/>
    </xf>
    <xf numFmtId="0" fontId="204" fillId="66" borderId="0" xfId="39" applyFont="1" applyFill="1" applyAlignment="1">
      <alignment horizontal="center" vertical="center"/>
    </xf>
    <xf numFmtId="167" fontId="217" fillId="20" borderId="0" xfId="39" applyNumberFormat="1" applyFont="1" applyFill="1" applyAlignment="1">
      <alignment horizontal="center" vertical="center"/>
    </xf>
    <xf numFmtId="167" fontId="203" fillId="20" borderId="0" xfId="39" applyNumberFormat="1" applyFont="1" applyFill="1" applyAlignment="1">
      <alignment horizontal="center" vertical="center"/>
    </xf>
    <xf numFmtId="10" fontId="216" fillId="20" borderId="0" xfId="39" applyNumberFormat="1" applyFont="1" applyFill="1" applyAlignment="1">
      <alignment horizontal="center" vertical="center"/>
    </xf>
    <xf numFmtId="0" fontId="203" fillId="20" borderId="0" xfId="39" applyFont="1" applyFill="1" applyAlignment="1">
      <alignment horizontal="center" vertical="center"/>
    </xf>
    <xf numFmtId="10" fontId="216" fillId="19" borderId="0" xfId="39" applyNumberFormat="1" applyFont="1" applyFill="1" applyAlignment="1">
      <alignment horizontal="center" vertical="center"/>
    </xf>
    <xf numFmtId="10" fontId="218" fillId="67" borderId="0" xfId="39" applyNumberFormat="1" applyFont="1" applyFill="1" applyAlignment="1">
      <alignment horizontal="center" vertical="center"/>
    </xf>
    <xf numFmtId="198" fontId="216" fillId="54" borderId="0" xfId="39" applyNumberFormat="1" applyFont="1" applyFill="1" applyAlignment="1">
      <alignment horizontal="center" vertical="center"/>
    </xf>
    <xf numFmtId="10" fontId="216" fillId="54" borderId="0" xfId="39" applyNumberFormat="1" applyFont="1" applyFill="1" applyAlignment="1">
      <alignment horizontal="center" vertical="center"/>
    </xf>
    <xf numFmtId="178" fontId="216" fillId="54" borderId="0" xfId="39" applyNumberFormat="1" applyFont="1" applyFill="1" applyAlignment="1">
      <alignment horizontal="center" vertical="center"/>
    </xf>
    <xf numFmtId="0" fontId="219" fillId="68" borderId="0" xfId="39" applyFont="1" applyFill="1" applyAlignment="1">
      <alignment horizontal="left" vertical="center"/>
    </xf>
    <xf numFmtId="0" fontId="195" fillId="68" borderId="0" xfId="39" applyFont="1" applyFill="1" applyAlignment="1">
      <alignment vertical="center"/>
    </xf>
    <xf numFmtId="0" fontId="205" fillId="68" borderId="0" xfId="39" applyFont="1" applyFill="1" applyAlignment="1">
      <alignment horizontal="center" vertical="center"/>
    </xf>
    <xf numFmtId="0" fontId="206" fillId="68" borderId="0" xfId="39" applyFont="1" applyFill="1" applyAlignment="1">
      <alignment horizontal="center" vertical="center"/>
    </xf>
    <xf numFmtId="167" fontId="195" fillId="68" borderId="0" xfId="39" applyNumberFormat="1" applyFont="1" applyFill="1" applyAlignment="1">
      <alignment vertical="center"/>
    </xf>
    <xf numFmtId="10" fontId="205" fillId="68" borderId="0" xfId="39" applyNumberFormat="1" applyFont="1" applyFill="1" applyAlignment="1">
      <alignment vertical="center"/>
    </xf>
    <xf numFmtId="0" fontId="199" fillId="0" borderId="0" xfId="39" applyFont="1" applyAlignment="1">
      <alignment vertical="center"/>
    </xf>
    <xf numFmtId="167" fontId="206" fillId="68" borderId="0" xfId="39" applyNumberFormat="1" applyFont="1" applyFill="1" applyAlignment="1">
      <alignment vertical="center"/>
    </xf>
    <xf numFmtId="167" fontId="200" fillId="68" borderId="0" xfId="39" applyNumberFormat="1" applyFont="1" applyFill="1" applyAlignment="1">
      <alignment vertical="center"/>
    </xf>
    <xf numFmtId="167" fontId="198" fillId="68" borderId="0" xfId="39" applyNumberFormat="1" applyFont="1" applyFill="1" applyAlignment="1">
      <alignment vertical="center"/>
    </xf>
    <xf numFmtId="167" fontId="203" fillId="68" borderId="0" xfId="39" applyNumberFormat="1" applyFont="1" applyFill="1" applyAlignment="1">
      <alignment vertical="center"/>
    </xf>
    <xf numFmtId="167" fontId="201" fillId="68" borderId="0" xfId="39" applyNumberFormat="1" applyFont="1" applyFill="1" applyAlignment="1">
      <alignment vertical="center"/>
    </xf>
    <xf numFmtId="10" fontId="220" fillId="68" borderId="0" xfId="39" applyNumberFormat="1" applyFont="1" applyFill="1" applyAlignment="1">
      <alignment vertical="center"/>
    </xf>
    <xf numFmtId="0" fontId="204" fillId="0" borderId="0" xfId="39" applyFont="1" applyAlignment="1">
      <alignment vertical="center"/>
    </xf>
    <xf numFmtId="49" fontId="221" fillId="68" borderId="0" xfId="39" applyNumberFormat="1" applyFont="1" applyFill="1" applyAlignment="1">
      <alignment vertical="center"/>
    </xf>
    <xf numFmtId="10" fontId="222" fillId="19" borderId="0" xfId="39" applyNumberFormat="1" applyFont="1" applyFill="1" applyAlignment="1">
      <alignment vertical="center"/>
    </xf>
    <xf numFmtId="10" fontId="220" fillId="54" borderId="0" xfId="39" applyNumberFormat="1" applyFont="1" applyFill="1" applyAlignment="1">
      <alignment horizontal="center" vertical="center"/>
    </xf>
    <xf numFmtId="198" fontId="222" fillId="54" borderId="0" xfId="39" applyNumberFormat="1" applyFont="1" applyFill="1" applyAlignment="1">
      <alignment vertical="center"/>
    </xf>
    <xf numFmtId="10" fontId="220" fillId="54" borderId="0" xfId="39" applyNumberFormat="1" applyFont="1" applyFill="1" applyAlignment="1">
      <alignment vertical="center"/>
    </xf>
    <xf numFmtId="0" fontId="223" fillId="67" borderId="0" xfId="39" applyFont="1" applyFill="1" applyAlignment="1">
      <alignment horizontal="left" vertical="center"/>
    </xf>
    <xf numFmtId="0" fontId="195" fillId="67" borderId="0" xfId="39" applyFont="1" applyFill="1" applyAlignment="1">
      <alignment vertical="center"/>
    </xf>
    <xf numFmtId="0" fontId="205" fillId="67" borderId="0" xfId="39" applyFont="1" applyFill="1" applyAlignment="1">
      <alignment horizontal="center" vertical="center"/>
    </xf>
    <xf numFmtId="0" fontId="206" fillId="67" borderId="0" xfId="39" applyFont="1" applyFill="1" applyAlignment="1">
      <alignment horizontal="center" vertical="center"/>
    </xf>
    <xf numFmtId="167" fontId="195" fillId="67" borderId="0" xfId="39" applyNumberFormat="1" applyFont="1" applyFill="1" applyAlignment="1">
      <alignment vertical="center"/>
    </xf>
    <xf numFmtId="10" fontId="205" fillId="67" borderId="0" xfId="39" applyNumberFormat="1" applyFont="1" applyFill="1" applyAlignment="1">
      <alignment vertical="center"/>
    </xf>
    <xf numFmtId="167" fontId="206" fillId="67" borderId="0" xfId="39" applyNumberFormat="1" applyFont="1" applyFill="1" applyAlignment="1">
      <alignment vertical="center"/>
    </xf>
    <xf numFmtId="167" fontId="200" fillId="67" borderId="0" xfId="39" applyNumberFormat="1" applyFont="1" applyFill="1" applyAlignment="1">
      <alignment vertical="center"/>
    </xf>
    <xf numFmtId="167" fontId="198" fillId="67" borderId="0" xfId="39" applyNumberFormat="1" applyFont="1" applyFill="1" applyAlignment="1">
      <alignment vertical="center"/>
    </xf>
    <xf numFmtId="167" fontId="203" fillId="67" borderId="0" xfId="39" applyNumberFormat="1" applyFont="1" applyFill="1" applyAlignment="1">
      <alignment vertical="center"/>
    </xf>
    <xf numFmtId="167" fontId="201" fillId="67" borderId="0" xfId="39" applyNumberFormat="1" applyFont="1" applyFill="1" applyAlignment="1">
      <alignment vertical="center"/>
    </xf>
    <xf numFmtId="10" fontId="220" fillId="67" borderId="0" xfId="39" applyNumberFormat="1" applyFont="1" applyFill="1" applyAlignment="1">
      <alignment vertical="center"/>
    </xf>
    <xf numFmtId="49" fontId="221" fillId="67" borderId="0" xfId="39" applyNumberFormat="1" applyFont="1" applyFill="1" applyAlignment="1">
      <alignment vertical="center"/>
    </xf>
    <xf numFmtId="167" fontId="199" fillId="0" borderId="0" xfId="39" applyNumberFormat="1" applyFont="1" applyAlignment="1">
      <alignment vertical="center"/>
    </xf>
    <xf numFmtId="167" fontId="199" fillId="69" borderId="0" xfId="39" applyNumberFormat="1" applyFont="1" applyFill="1" applyAlignment="1">
      <alignment vertical="center"/>
    </xf>
    <xf numFmtId="10" fontId="211" fillId="0" borderId="0" xfId="39" applyNumberFormat="1" applyFont="1" applyAlignment="1">
      <alignment vertical="center"/>
    </xf>
    <xf numFmtId="167" fontId="212" fillId="69" borderId="0" xfId="39" applyNumberFormat="1" applyFont="1" applyFill="1" applyAlignment="1">
      <alignment vertical="center"/>
    </xf>
    <xf numFmtId="167" fontId="199" fillId="15" borderId="0" xfId="39" applyNumberFormat="1" applyFont="1" applyFill="1" applyAlignment="1">
      <alignment vertical="center"/>
    </xf>
    <xf numFmtId="167" fontId="215" fillId="0" borderId="0" xfId="39" applyNumberFormat="1" applyFont="1" applyAlignment="1">
      <alignment vertical="center"/>
    </xf>
    <xf numFmtId="167" fontId="204" fillId="0" borderId="0" xfId="39" applyNumberFormat="1" applyFont="1" applyAlignment="1">
      <alignment vertical="center"/>
    </xf>
    <xf numFmtId="10" fontId="222" fillId="0" borderId="0" xfId="39" applyNumberFormat="1" applyFont="1" applyAlignment="1">
      <alignment vertical="center"/>
    </xf>
    <xf numFmtId="167" fontId="204" fillId="69" borderId="0" xfId="39" applyNumberFormat="1" applyFont="1" applyFill="1" applyAlignment="1">
      <alignment vertical="center"/>
    </xf>
    <xf numFmtId="49" fontId="224" fillId="69" borderId="0" xfId="39" applyNumberFormat="1" applyFont="1" applyFill="1" applyAlignment="1">
      <alignment vertical="center"/>
    </xf>
    <xf numFmtId="10" fontId="222" fillId="69" borderId="0" xfId="39" applyNumberFormat="1" applyFont="1" applyFill="1" applyAlignment="1">
      <alignment vertical="center"/>
    </xf>
    <xf numFmtId="10" fontId="222" fillId="54" borderId="0" xfId="39" applyNumberFormat="1" applyFont="1" applyFill="1" applyAlignment="1">
      <alignment vertical="center"/>
    </xf>
    <xf numFmtId="167" fontId="222" fillId="54" borderId="0" xfId="39" applyNumberFormat="1" applyFont="1" applyFill="1" applyAlignment="1">
      <alignment vertical="center"/>
    </xf>
    <xf numFmtId="0" fontId="196" fillId="70" borderId="0" xfId="39" applyFont="1" applyFill="1" applyAlignment="1">
      <alignment horizontal="center" vertical="center"/>
    </xf>
    <xf numFmtId="0" fontId="196" fillId="70" borderId="0" xfId="39" applyFont="1" applyFill="1" applyAlignment="1">
      <alignment vertical="center"/>
    </xf>
    <xf numFmtId="0" fontId="197" fillId="70" borderId="0" xfId="39" applyFont="1" applyFill="1" applyAlignment="1">
      <alignment horizontal="center" vertical="center"/>
    </xf>
    <xf numFmtId="0" fontId="198" fillId="70" borderId="0" xfId="39" applyFont="1" applyFill="1" applyAlignment="1">
      <alignment horizontal="center" vertical="center"/>
    </xf>
    <xf numFmtId="167" fontId="196" fillId="70" borderId="0" xfId="39" applyNumberFormat="1" applyFont="1" applyFill="1" applyAlignment="1">
      <alignment vertical="center"/>
    </xf>
    <xf numFmtId="10" fontId="197" fillId="71" borderId="0" xfId="39" applyNumberFormat="1" applyFont="1" applyFill="1" applyAlignment="1">
      <alignment vertical="center"/>
    </xf>
    <xf numFmtId="0" fontId="196" fillId="0" borderId="0" xfId="39" applyFont="1" applyAlignment="1">
      <alignment vertical="center"/>
    </xf>
    <xf numFmtId="167" fontId="198" fillId="70" borderId="0" xfId="39" applyNumberFormat="1" applyFont="1" applyFill="1" applyAlignment="1">
      <alignment vertical="center"/>
    </xf>
    <xf numFmtId="167" fontId="207" fillId="70" borderId="0" xfId="39" applyNumberFormat="1" applyFont="1" applyFill="1" applyAlignment="1">
      <alignment vertical="center"/>
    </xf>
    <xf numFmtId="167" fontId="199" fillId="70" borderId="0" xfId="39" applyNumberFormat="1" applyFont="1" applyFill="1" applyAlignment="1">
      <alignment vertical="center"/>
    </xf>
    <xf numFmtId="167" fontId="201" fillId="70" borderId="0" xfId="39" applyNumberFormat="1" applyFont="1" applyFill="1" applyAlignment="1">
      <alignment vertical="center"/>
    </xf>
    <xf numFmtId="10" fontId="220" fillId="71" borderId="0" xfId="39" applyNumberFormat="1" applyFont="1" applyFill="1" applyAlignment="1">
      <alignment vertical="center"/>
    </xf>
    <xf numFmtId="0" fontId="201" fillId="0" borderId="0" xfId="39" applyFont="1" applyAlignment="1">
      <alignment vertical="center"/>
    </xf>
    <xf numFmtId="49" fontId="221" fillId="70" borderId="0" xfId="39" applyNumberFormat="1" applyFont="1" applyFill="1" applyAlignment="1">
      <alignment vertical="center"/>
    </xf>
    <xf numFmtId="167" fontId="212" fillId="0" borderId="0" xfId="39" applyNumberFormat="1" applyFont="1" applyAlignment="1">
      <alignment vertical="center"/>
    </xf>
    <xf numFmtId="49" fontId="224" fillId="0" borderId="0" xfId="39" applyNumberFormat="1" applyFont="1" applyAlignment="1">
      <alignment vertical="center"/>
    </xf>
    <xf numFmtId="0" fontId="196" fillId="19" borderId="0" xfId="39" applyFont="1" applyFill="1" applyAlignment="1">
      <alignment horizontal="center" vertical="center"/>
    </xf>
    <xf numFmtId="0" fontId="196" fillId="19" borderId="0" xfId="39" applyFont="1" applyFill="1" applyAlignment="1">
      <alignment vertical="center"/>
    </xf>
    <xf numFmtId="0" fontId="197" fillId="19" borderId="0" xfId="39" applyFont="1" applyFill="1" applyAlignment="1">
      <alignment horizontal="center" vertical="center"/>
    </xf>
    <xf numFmtId="0" fontId="198" fillId="19" borderId="0" xfId="39" applyFont="1" applyFill="1" applyAlignment="1">
      <alignment horizontal="center" vertical="center"/>
    </xf>
    <xf numFmtId="0" fontId="196" fillId="19" borderId="0" xfId="39" applyFont="1" applyFill="1" applyAlignment="1">
      <alignment horizontal="right" vertical="center"/>
    </xf>
    <xf numFmtId="167" fontId="196" fillId="19" borderId="0" xfId="39" applyNumberFormat="1" applyFont="1" applyFill="1" applyAlignment="1">
      <alignment vertical="center"/>
    </xf>
    <xf numFmtId="10" fontId="197" fillId="19" borderId="0" xfId="39" applyNumberFormat="1" applyFont="1" applyFill="1" applyAlignment="1">
      <alignment vertical="center"/>
    </xf>
    <xf numFmtId="167" fontId="198" fillId="19" borderId="0" xfId="39" applyNumberFormat="1" applyFont="1" applyFill="1" applyAlignment="1">
      <alignment vertical="center"/>
    </xf>
    <xf numFmtId="167" fontId="207" fillId="19" borderId="0" xfId="39" applyNumberFormat="1" applyFont="1" applyFill="1" applyAlignment="1">
      <alignment vertical="center"/>
    </xf>
    <xf numFmtId="167" fontId="199" fillId="19" borderId="0" xfId="39" applyNumberFormat="1" applyFont="1" applyFill="1" applyAlignment="1">
      <alignment vertical="center"/>
    </xf>
    <xf numFmtId="167" fontId="201" fillId="19" borderId="0" xfId="39" applyNumberFormat="1" applyFont="1" applyFill="1" applyAlignment="1">
      <alignment vertical="center"/>
    </xf>
    <xf numFmtId="10" fontId="220" fillId="19" borderId="0" xfId="39" applyNumberFormat="1" applyFont="1" applyFill="1" applyAlignment="1">
      <alignment vertical="center"/>
    </xf>
    <xf numFmtId="49" fontId="221" fillId="19" borderId="0" xfId="39" applyNumberFormat="1" applyFont="1" applyFill="1" applyAlignment="1">
      <alignment vertical="center"/>
    </xf>
    <xf numFmtId="195" fontId="225" fillId="67" borderId="0" xfId="39" applyNumberFormat="1" applyFont="1" applyFill="1" applyAlignment="1">
      <alignment vertical="center"/>
    </xf>
    <xf numFmtId="10" fontId="226" fillId="67" borderId="0" xfId="39" applyNumberFormat="1" applyFont="1" applyFill="1" applyAlignment="1">
      <alignment horizontal="center" vertical="center"/>
    </xf>
    <xf numFmtId="178" fontId="222" fillId="54" borderId="0" xfId="39" applyNumberFormat="1" applyFont="1" applyFill="1" applyAlignment="1">
      <alignment vertical="center"/>
    </xf>
    <xf numFmtId="167" fontId="227" fillId="69" borderId="0" xfId="39" applyNumberFormat="1" applyFont="1" applyFill="1" applyAlignment="1">
      <alignment vertical="center"/>
    </xf>
    <xf numFmtId="49" fontId="228" fillId="69" borderId="0" xfId="39" applyNumberFormat="1" applyFont="1" applyFill="1" applyAlignment="1">
      <alignment vertical="center"/>
    </xf>
    <xf numFmtId="0" fontId="229" fillId="0" borderId="0" xfId="39" applyFont="1" applyAlignment="1">
      <alignment horizontal="center" vertical="center"/>
    </xf>
    <xf numFmtId="0" fontId="229" fillId="0" borderId="0" xfId="39" applyFont="1" applyAlignment="1">
      <alignment vertical="center"/>
    </xf>
    <xf numFmtId="0" fontId="230" fillId="0" borderId="0" xfId="39" applyFont="1" applyAlignment="1">
      <alignment horizontal="center" vertical="center"/>
    </xf>
    <xf numFmtId="0" fontId="231" fillId="0" borderId="0" xfId="39" applyFont="1" applyAlignment="1">
      <alignment horizontal="center" vertical="center"/>
    </xf>
    <xf numFmtId="167" fontId="229" fillId="69" borderId="0" xfId="39" applyNumberFormat="1" applyFont="1" applyFill="1" applyAlignment="1">
      <alignment vertical="center"/>
    </xf>
    <xf numFmtId="197" fontId="220" fillId="54" borderId="0" xfId="39" applyNumberFormat="1" applyFont="1" applyFill="1" applyAlignment="1">
      <alignment horizontal="center" vertical="center"/>
    </xf>
    <xf numFmtId="167" fontId="199" fillId="0" borderId="3" xfId="39" applyNumberFormat="1" applyFont="1" applyBorder="1" applyAlignment="1">
      <alignment vertical="center"/>
    </xf>
    <xf numFmtId="167" fontId="199" fillId="69" borderId="3" xfId="39" applyNumberFormat="1" applyFont="1" applyFill="1" applyBorder="1" applyAlignment="1">
      <alignment vertical="center"/>
    </xf>
    <xf numFmtId="10" fontId="211" fillId="0" borderId="3" xfId="39" applyNumberFormat="1" applyFont="1" applyBorder="1" applyAlignment="1">
      <alignment vertical="center"/>
    </xf>
    <xf numFmtId="167" fontId="212" fillId="69" borderId="3" xfId="39" applyNumberFormat="1" applyFont="1" applyFill="1" applyBorder="1" applyAlignment="1">
      <alignment vertical="center"/>
    </xf>
    <xf numFmtId="167" fontId="199" fillId="15" borderId="3" xfId="39" applyNumberFormat="1" applyFont="1" applyFill="1" applyBorder="1" applyAlignment="1">
      <alignment vertical="center"/>
    </xf>
    <xf numFmtId="167" fontId="215" fillId="0" borderId="3" xfId="39" applyNumberFormat="1" applyFont="1" applyBorder="1" applyAlignment="1">
      <alignment vertical="center"/>
    </xf>
    <xf numFmtId="167" fontId="204" fillId="0" borderId="3" xfId="39" applyNumberFormat="1" applyFont="1" applyBorder="1" applyAlignment="1">
      <alignment vertical="center"/>
    </xf>
    <xf numFmtId="10" fontId="222" fillId="0" borderId="3" xfId="39" applyNumberFormat="1" applyFont="1" applyBorder="1" applyAlignment="1">
      <alignment vertical="center"/>
    </xf>
    <xf numFmtId="167" fontId="204" fillId="69" borderId="3" xfId="39" applyNumberFormat="1" applyFont="1" applyFill="1" applyBorder="1" applyAlignment="1">
      <alignment vertical="center"/>
    </xf>
    <xf numFmtId="49" fontId="224" fillId="69" borderId="3" xfId="39" applyNumberFormat="1" applyFont="1" applyFill="1" applyBorder="1" applyAlignment="1">
      <alignment vertical="center"/>
    </xf>
    <xf numFmtId="10" fontId="222" fillId="69" borderId="3" xfId="39" applyNumberFormat="1" applyFont="1" applyFill="1" applyBorder="1" applyAlignment="1">
      <alignment vertical="center"/>
    </xf>
    <xf numFmtId="167" fontId="232" fillId="69" borderId="0" xfId="39" applyNumberFormat="1" applyFont="1" applyFill="1" applyAlignment="1">
      <alignment vertical="center"/>
    </xf>
    <xf numFmtId="49" fontId="233" fillId="69" borderId="0" xfId="39" applyNumberFormat="1" applyFont="1" applyFill="1" applyAlignment="1">
      <alignment vertical="center"/>
    </xf>
    <xf numFmtId="0" fontId="196" fillId="71" borderId="0" xfId="39" applyFont="1" applyFill="1" applyAlignment="1">
      <alignment horizontal="center" vertical="center"/>
    </xf>
    <xf numFmtId="0" fontId="196" fillId="71" borderId="0" xfId="39" applyFont="1" applyFill="1" applyAlignment="1">
      <alignment vertical="center"/>
    </xf>
    <xf numFmtId="0" fontId="197" fillId="71" borderId="0" xfId="39" applyFont="1" applyFill="1" applyAlignment="1">
      <alignment horizontal="center" vertical="center"/>
    </xf>
    <xf numFmtId="0" fontId="198" fillId="71" borderId="0" xfId="39" applyFont="1" applyFill="1" applyAlignment="1">
      <alignment horizontal="center" vertical="center"/>
    </xf>
    <xf numFmtId="167" fontId="196" fillId="71" borderId="0" xfId="39" applyNumberFormat="1" applyFont="1" applyFill="1" applyAlignment="1">
      <alignment vertical="center"/>
    </xf>
    <xf numFmtId="167" fontId="198" fillId="71" borderId="0" xfId="39" applyNumberFormat="1" applyFont="1" applyFill="1" applyAlignment="1">
      <alignment vertical="center"/>
    </xf>
    <xf numFmtId="167" fontId="207" fillId="71" borderId="0" xfId="39" applyNumberFormat="1" applyFont="1" applyFill="1" applyAlignment="1">
      <alignment vertical="center"/>
    </xf>
    <xf numFmtId="167" fontId="199" fillId="71" borderId="0" xfId="39" applyNumberFormat="1" applyFont="1" applyFill="1" applyAlignment="1">
      <alignment vertical="center"/>
    </xf>
    <xf numFmtId="167" fontId="201" fillId="71" borderId="0" xfId="39" applyNumberFormat="1" applyFont="1" applyFill="1" applyAlignment="1">
      <alignment vertical="center"/>
    </xf>
    <xf numFmtId="49" fontId="221" fillId="71" borderId="0" xfId="39" applyNumberFormat="1" applyFont="1" applyFill="1" applyAlignment="1">
      <alignment vertical="center"/>
    </xf>
    <xf numFmtId="167" fontId="199" fillId="72" borderId="0" xfId="39" applyNumberFormat="1" applyFont="1" applyFill="1" applyAlignment="1">
      <alignment vertical="center"/>
    </xf>
    <xf numFmtId="167" fontId="234" fillId="69" borderId="0" xfId="39" applyNumberFormat="1" applyFont="1" applyFill="1" applyAlignment="1">
      <alignment vertical="center"/>
    </xf>
    <xf numFmtId="49" fontId="235" fillId="69" borderId="0" xfId="39" applyNumberFormat="1" applyFont="1" applyFill="1" applyAlignment="1">
      <alignment vertical="center"/>
    </xf>
    <xf numFmtId="195" fontId="222" fillId="54" borderId="0" xfId="51" applyNumberFormat="1" applyFont="1" applyFill="1" applyAlignment="1">
      <alignment vertical="center"/>
    </xf>
    <xf numFmtId="0" fontId="236" fillId="0" borderId="0" xfId="39" applyFont="1" applyAlignment="1">
      <alignment vertical="center"/>
    </xf>
    <xf numFmtId="49" fontId="232" fillId="69" borderId="0" xfId="39" applyNumberFormat="1" applyFont="1" applyFill="1" applyAlignment="1">
      <alignment vertical="center"/>
    </xf>
    <xf numFmtId="10" fontId="211" fillId="71" borderId="0" xfId="39" applyNumberFormat="1" applyFont="1" applyFill="1" applyAlignment="1">
      <alignment vertical="center"/>
    </xf>
    <xf numFmtId="167" fontId="196" fillId="0" borderId="0" xfId="39" applyNumberFormat="1" applyFont="1" applyAlignment="1">
      <alignment vertical="center"/>
    </xf>
    <xf numFmtId="10" fontId="197" fillId="0" borderId="0" xfId="39" applyNumberFormat="1" applyFont="1" applyAlignment="1">
      <alignment vertical="center"/>
    </xf>
    <xf numFmtId="167" fontId="198" fillId="0" borderId="0" xfId="39" applyNumberFormat="1" applyFont="1" applyAlignment="1">
      <alignment vertical="center"/>
    </xf>
    <xf numFmtId="167" fontId="207" fillId="0" borderId="0" xfId="39" applyNumberFormat="1" applyFont="1" applyAlignment="1">
      <alignment vertical="center"/>
    </xf>
    <xf numFmtId="167" fontId="201" fillId="0" borderId="0" xfId="39" applyNumberFormat="1" applyFont="1" applyAlignment="1">
      <alignment vertical="center"/>
    </xf>
    <xf numFmtId="10" fontId="220" fillId="0" borderId="0" xfId="39" applyNumberFormat="1" applyFont="1" applyAlignment="1">
      <alignment vertical="center"/>
    </xf>
    <xf numFmtId="49" fontId="221" fillId="0" borderId="0" xfId="39" applyNumberFormat="1" applyFont="1" applyAlignment="1">
      <alignment vertical="center"/>
    </xf>
    <xf numFmtId="0" fontId="207" fillId="0" borderId="0" xfId="39" applyFont="1" applyAlignment="1">
      <alignment vertical="center"/>
    </xf>
    <xf numFmtId="167" fontId="229" fillId="0" borderId="0" xfId="39" applyNumberFormat="1" applyFont="1" applyAlignment="1">
      <alignment vertical="center"/>
    </xf>
    <xf numFmtId="167" fontId="238" fillId="0" borderId="0" xfId="39" applyNumberFormat="1" applyFont="1" applyAlignment="1">
      <alignment vertical="center"/>
    </xf>
    <xf numFmtId="10" fontId="211" fillId="19" borderId="0" xfId="39" applyNumberFormat="1" applyFont="1" applyFill="1" applyAlignment="1">
      <alignment vertical="center"/>
    </xf>
    <xf numFmtId="167" fontId="199" fillId="0" borderId="23" xfId="39" applyNumberFormat="1" applyFont="1" applyBorder="1" applyAlignment="1">
      <alignment vertical="center"/>
    </xf>
    <xf numFmtId="10" fontId="211" fillId="0" borderId="23" xfId="39" applyNumberFormat="1" applyFont="1" applyBorder="1" applyAlignment="1">
      <alignment vertical="center"/>
    </xf>
    <xf numFmtId="167" fontId="212" fillId="0" borderId="23" xfId="39" applyNumberFormat="1" applyFont="1" applyBorder="1" applyAlignment="1">
      <alignment vertical="center"/>
    </xf>
    <xf numFmtId="167" fontId="215" fillId="0" borderId="23" xfId="39" applyNumberFormat="1" applyFont="1" applyBorder="1" applyAlignment="1">
      <alignment vertical="center"/>
    </xf>
    <xf numFmtId="167" fontId="204" fillId="0" borderId="23" xfId="39" applyNumberFormat="1" applyFont="1" applyBorder="1" applyAlignment="1">
      <alignment vertical="center"/>
    </xf>
    <xf numFmtId="10" fontId="222" fillId="0" borderId="23" xfId="39" applyNumberFormat="1" applyFont="1" applyBorder="1" applyAlignment="1">
      <alignment vertical="center"/>
    </xf>
    <xf numFmtId="49" fontId="224" fillId="0" borderId="23" xfId="39" applyNumberFormat="1" applyFont="1" applyBorder="1" applyAlignment="1">
      <alignment vertical="center"/>
    </xf>
    <xf numFmtId="167" fontId="224" fillId="69" borderId="0" xfId="39" applyNumberFormat="1" applyFont="1" applyFill="1" applyAlignment="1">
      <alignment vertical="center"/>
    </xf>
    <xf numFmtId="167" fontId="239" fillId="15" borderId="0" xfId="39" applyNumberFormat="1" applyFont="1" applyFill="1" applyAlignment="1">
      <alignment vertical="center"/>
    </xf>
    <xf numFmtId="167" fontId="196" fillId="67" borderId="0" xfId="39" applyNumberFormat="1" applyFont="1" applyFill="1" applyAlignment="1">
      <alignment vertical="center"/>
    </xf>
    <xf numFmtId="167" fontId="207" fillId="67" borderId="0" xfId="39" applyNumberFormat="1" applyFont="1" applyFill="1" applyAlignment="1">
      <alignment vertical="center"/>
    </xf>
    <xf numFmtId="167" fontId="199" fillId="67" borderId="0" xfId="39" applyNumberFormat="1" applyFont="1" applyFill="1" applyAlignment="1">
      <alignment vertical="center"/>
    </xf>
    <xf numFmtId="167" fontId="204" fillId="15" borderId="0" xfId="39" applyNumberFormat="1" applyFont="1" applyFill="1" applyAlignment="1">
      <alignment vertical="center"/>
    </xf>
    <xf numFmtId="167" fontId="196" fillId="69" borderId="0" xfId="39" applyNumberFormat="1" applyFont="1" applyFill="1" applyAlignment="1">
      <alignment vertical="center"/>
    </xf>
    <xf numFmtId="0" fontId="240" fillId="0" borderId="0" xfId="39" applyFont="1" applyAlignment="1">
      <alignment vertical="center"/>
    </xf>
    <xf numFmtId="167" fontId="233" fillId="69" borderId="0" xfId="39" applyNumberFormat="1" applyFont="1" applyFill="1" applyAlignment="1">
      <alignment vertical="center"/>
    </xf>
    <xf numFmtId="167" fontId="204" fillId="72" borderId="0" xfId="39" applyNumberFormat="1" applyFont="1" applyFill="1" applyAlignment="1">
      <alignment vertical="center"/>
    </xf>
    <xf numFmtId="167" fontId="199" fillId="73" borderId="0" xfId="39" applyNumberFormat="1" applyFont="1" applyFill="1" applyAlignment="1">
      <alignment vertical="center"/>
    </xf>
    <xf numFmtId="49" fontId="222" fillId="69" borderId="0" xfId="39" applyNumberFormat="1" applyFont="1" applyFill="1" applyAlignment="1">
      <alignment vertical="center"/>
    </xf>
    <xf numFmtId="167" fontId="199" fillId="0" borderId="1" xfId="39" applyNumberFormat="1" applyFont="1" applyBorder="1" applyAlignment="1">
      <alignment vertical="center"/>
    </xf>
    <xf numFmtId="167" fontId="199" fillId="0" borderId="2" xfId="39" applyNumberFormat="1" applyFont="1" applyBorder="1" applyAlignment="1">
      <alignment vertical="center"/>
    </xf>
    <xf numFmtId="0" fontId="241" fillId="0" borderId="0" xfId="39" quotePrefix="1" applyFont="1" applyAlignment="1">
      <alignment horizontal="left" vertical="center"/>
    </xf>
    <xf numFmtId="167" fontId="232" fillId="69" borderId="0" xfId="39" quotePrefix="1" applyNumberFormat="1" applyFont="1" applyFill="1" applyAlignment="1">
      <alignment horizontal="left" vertical="center"/>
    </xf>
    <xf numFmtId="167" fontId="212" fillId="69" borderId="0" xfId="39" quotePrefix="1" applyNumberFormat="1" applyFont="1" applyFill="1" applyAlignment="1">
      <alignment horizontal="left" vertical="center"/>
    </xf>
    <xf numFmtId="167" fontId="204" fillId="74" borderId="0" xfId="39" applyNumberFormat="1" applyFont="1" applyFill="1" applyAlignment="1">
      <alignment vertical="center"/>
    </xf>
    <xf numFmtId="49" fontId="237" fillId="69" borderId="0" xfId="39" applyNumberFormat="1" applyFont="1" applyFill="1" applyAlignment="1">
      <alignment vertical="center"/>
    </xf>
    <xf numFmtId="0" fontId="241" fillId="0" borderId="0" xfId="39" applyFont="1" applyAlignment="1">
      <alignment vertical="center"/>
    </xf>
    <xf numFmtId="0" fontId="199" fillId="0" borderId="0" xfId="39" quotePrefix="1" applyFont="1" applyAlignment="1">
      <alignment horizontal="left" vertical="center"/>
    </xf>
    <xf numFmtId="0" fontId="196" fillId="71" borderId="0" xfId="39" applyFont="1" applyFill="1" applyAlignment="1">
      <alignment horizontal="right" vertical="center"/>
    </xf>
    <xf numFmtId="167" fontId="212" fillId="71" borderId="0" xfId="39" applyNumberFormat="1" applyFont="1" applyFill="1" applyAlignment="1">
      <alignment vertical="center"/>
    </xf>
    <xf numFmtId="167" fontId="197" fillId="71" borderId="0" xfId="39" applyNumberFormat="1" applyFont="1" applyFill="1" applyAlignment="1">
      <alignment horizontal="center" vertical="center"/>
    </xf>
    <xf numFmtId="49" fontId="220" fillId="71" borderId="0" xfId="39" applyNumberFormat="1" applyFont="1" applyFill="1" applyAlignment="1">
      <alignment horizontal="center" vertical="center"/>
    </xf>
    <xf numFmtId="167" fontId="197" fillId="0" borderId="0" xfId="39" applyNumberFormat="1" applyFont="1" applyAlignment="1">
      <alignment horizontal="center" vertical="center"/>
    </xf>
    <xf numFmtId="49" fontId="220" fillId="0" borderId="0" xfId="39" applyNumberFormat="1" applyFont="1" applyAlignment="1">
      <alignment horizontal="center" vertical="center"/>
    </xf>
    <xf numFmtId="49" fontId="220" fillId="19" borderId="0" xfId="39" applyNumberFormat="1" applyFont="1" applyFill="1" applyAlignment="1">
      <alignment horizontal="center" vertical="center"/>
    </xf>
    <xf numFmtId="167" fontId="232" fillId="69" borderId="3" xfId="39" applyNumberFormat="1" applyFont="1" applyFill="1" applyBorder="1" applyAlignment="1">
      <alignment vertical="center"/>
    </xf>
    <xf numFmtId="167" fontId="244" fillId="69" borderId="0" xfId="39" applyNumberFormat="1" applyFont="1" applyFill="1" applyAlignment="1">
      <alignment vertical="center"/>
    </xf>
    <xf numFmtId="49" fontId="41" fillId="69" borderId="0" xfId="39" applyNumberFormat="1" applyFont="1" applyFill="1" applyAlignment="1">
      <alignment vertical="center"/>
    </xf>
    <xf numFmtId="49" fontId="212" fillId="69" borderId="0" xfId="39" applyNumberFormat="1" applyFont="1" applyFill="1" applyAlignment="1">
      <alignment vertical="center"/>
    </xf>
    <xf numFmtId="167" fontId="246" fillId="15" borderId="0" xfId="39" applyNumberFormat="1" applyFont="1" applyFill="1" applyAlignment="1">
      <alignment vertical="center"/>
    </xf>
    <xf numFmtId="167" fontId="248" fillId="15" borderId="0" xfId="39" applyNumberFormat="1" applyFont="1" applyFill="1" applyAlignment="1">
      <alignment vertical="center"/>
    </xf>
    <xf numFmtId="49" fontId="204" fillId="69" borderId="0" xfId="39" applyNumberFormat="1" applyFont="1" applyFill="1" applyAlignment="1">
      <alignment vertical="center"/>
    </xf>
    <xf numFmtId="0" fontId="249" fillId="0" borderId="0" xfId="52" quotePrefix="1" applyAlignment="1">
      <alignment horizontal="center" vertical="center"/>
    </xf>
    <xf numFmtId="49" fontId="250" fillId="69" borderId="0" xfId="39" applyNumberFormat="1" applyFont="1" applyFill="1" applyAlignment="1">
      <alignment vertical="center"/>
    </xf>
    <xf numFmtId="0" fontId="223" fillId="68" borderId="0" xfId="39" applyFont="1" applyFill="1" applyAlignment="1">
      <alignment horizontal="left" vertical="center"/>
    </xf>
    <xf numFmtId="0" fontId="223" fillId="0" borderId="0" xfId="39" applyFont="1" applyAlignment="1">
      <alignment horizontal="left" vertical="center"/>
    </xf>
    <xf numFmtId="0" fontId="195" fillId="0" borderId="0" xfId="39" applyFont="1" applyAlignment="1">
      <alignment vertical="center"/>
    </xf>
    <xf numFmtId="0" fontId="205" fillId="0" borderId="0" xfId="39" applyFont="1" applyAlignment="1">
      <alignment horizontal="center" vertical="center"/>
    </xf>
    <xf numFmtId="0" fontId="206" fillId="0" borderId="0" xfId="39" applyFont="1" applyAlignment="1">
      <alignment horizontal="center" vertical="center"/>
    </xf>
    <xf numFmtId="167" fontId="195" fillId="0" borderId="0" xfId="39" applyNumberFormat="1" applyFont="1" applyAlignment="1">
      <alignment vertical="center"/>
    </xf>
    <xf numFmtId="10" fontId="205" fillId="0" borderId="0" xfId="39" applyNumberFormat="1" applyFont="1" applyAlignment="1">
      <alignment vertical="center"/>
    </xf>
    <xf numFmtId="167" fontId="240" fillId="0" borderId="0" xfId="39" applyNumberFormat="1" applyFont="1" applyAlignment="1">
      <alignment vertical="center"/>
    </xf>
    <xf numFmtId="167" fontId="206" fillId="0" borderId="0" xfId="39" applyNumberFormat="1" applyFont="1" applyAlignment="1">
      <alignment vertical="center"/>
    </xf>
    <xf numFmtId="167" fontId="251" fillId="0" borderId="0" xfId="39" applyNumberFormat="1" applyFont="1" applyAlignment="1">
      <alignment vertical="center"/>
    </xf>
    <xf numFmtId="167" fontId="203" fillId="0" borderId="0" xfId="39" applyNumberFormat="1" applyFont="1" applyAlignment="1">
      <alignment vertical="center"/>
    </xf>
    <xf numFmtId="0" fontId="222" fillId="0" borderId="0" xfId="39" applyFont="1" applyAlignment="1">
      <alignment horizontal="center" vertical="center"/>
    </xf>
    <xf numFmtId="0" fontId="224" fillId="0" borderId="0" xfId="39" applyFont="1" applyAlignment="1">
      <alignment horizontal="center" vertical="center"/>
    </xf>
    <xf numFmtId="167" fontId="248" fillId="15" borderId="3" xfId="39" applyNumberFormat="1" applyFont="1" applyFill="1" applyBorder="1" applyAlignment="1">
      <alignment vertical="center"/>
    </xf>
    <xf numFmtId="167" fontId="250" fillId="69" borderId="0" xfId="39" applyNumberFormat="1" applyFont="1" applyFill="1" applyAlignment="1">
      <alignment vertical="center"/>
    </xf>
    <xf numFmtId="167" fontId="252" fillId="69" borderId="0" xfId="39" applyNumberFormat="1" applyFont="1" applyFill="1" applyAlignment="1">
      <alignment vertical="center"/>
    </xf>
    <xf numFmtId="167" fontId="144" fillId="0" borderId="0" xfId="39" applyNumberFormat="1" applyFont="1" applyAlignment="1">
      <alignment vertical="center"/>
    </xf>
    <xf numFmtId="167" fontId="1" fillId="69" borderId="0" xfId="39" applyNumberFormat="1" applyFill="1" applyAlignment="1">
      <alignment vertical="center"/>
    </xf>
    <xf numFmtId="167" fontId="253" fillId="69" borderId="0" xfId="39" applyNumberFormat="1" applyFont="1" applyFill="1" applyAlignment="1">
      <alignment vertical="center"/>
    </xf>
    <xf numFmtId="167" fontId="1" fillId="0" borderId="0" xfId="39" applyNumberFormat="1" applyAlignment="1">
      <alignment vertical="center"/>
    </xf>
    <xf numFmtId="49" fontId="254" fillId="69" borderId="0" xfId="39" applyNumberFormat="1" applyFont="1" applyFill="1" applyAlignment="1">
      <alignment vertical="center"/>
    </xf>
    <xf numFmtId="167" fontId="199" fillId="54" borderId="0" xfId="39" applyNumberFormat="1" applyFont="1" applyFill="1" applyAlignment="1">
      <alignment vertical="center"/>
    </xf>
    <xf numFmtId="167" fontId="198" fillId="69" borderId="0" xfId="39" applyNumberFormat="1" applyFont="1" applyFill="1" applyAlignment="1">
      <alignment vertical="center"/>
    </xf>
    <xf numFmtId="167" fontId="243" fillId="69" borderId="0" xfId="39" applyNumberFormat="1" applyFont="1" applyFill="1" applyAlignment="1">
      <alignment vertical="center"/>
    </xf>
    <xf numFmtId="167" fontId="207" fillId="15" borderId="0" xfId="39" applyNumberFormat="1" applyFont="1" applyFill="1" applyAlignment="1">
      <alignment vertical="center"/>
    </xf>
    <xf numFmtId="49" fontId="221" fillId="69" borderId="0" xfId="39" applyNumberFormat="1" applyFont="1" applyFill="1" applyAlignment="1">
      <alignment vertical="center"/>
    </xf>
    <xf numFmtId="167" fontId="252" fillId="0" borderId="23" xfId="39" applyNumberFormat="1" applyFont="1" applyBorder="1" applyAlignment="1">
      <alignment vertical="center"/>
    </xf>
    <xf numFmtId="167" fontId="252" fillId="0" borderId="0" xfId="39" applyNumberFormat="1" applyFont="1" applyAlignment="1">
      <alignment vertical="center"/>
    </xf>
    <xf numFmtId="167" fontId="210" fillId="0" borderId="23" xfId="39" applyNumberFormat="1" applyFont="1" applyBorder="1" applyAlignment="1">
      <alignment vertical="center"/>
    </xf>
    <xf numFmtId="10" fontId="199" fillId="0" borderId="0" xfId="51" applyNumberFormat="1" applyFont="1" applyFill="1" applyAlignment="1">
      <alignment vertical="center"/>
    </xf>
    <xf numFmtId="10" fontId="204" fillId="0" borderId="0" xfId="51" applyNumberFormat="1" applyFont="1" applyFill="1" applyAlignment="1">
      <alignment vertical="center"/>
    </xf>
    <xf numFmtId="167" fontId="204" fillId="0" borderId="0" xfId="51" applyNumberFormat="1" applyFont="1" applyFill="1" applyAlignment="1">
      <alignment vertical="center"/>
    </xf>
    <xf numFmtId="167" fontId="215" fillId="15" borderId="0" xfId="39" applyNumberFormat="1" applyFont="1" applyFill="1" applyAlignment="1">
      <alignment vertical="center"/>
    </xf>
    <xf numFmtId="167" fontId="215" fillId="72" borderId="0" xfId="39" applyNumberFormat="1" applyFont="1" applyFill="1" applyAlignment="1">
      <alignment vertical="center"/>
    </xf>
    <xf numFmtId="49" fontId="212" fillId="72" borderId="0" xfId="39" applyNumberFormat="1" applyFont="1" applyFill="1" applyAlignment="1">
      <alignment vertical="center"/>
    </xf>
    <xf numFmtId="49" fontId="224" fillId="69" borderId="0" xfId="39" quotePrefix="1" applyNumberFormat="1" applyFont="1" applyFill="1" applyAlignment="1">
      <alignment horizontal="left" vertical="center"/>
    </xf>
    <xf numFmtId="167" fontId="212" fillId="72" borderId="0" xfId="39" applyNumberFormat="1" applyFont="1" applyFill="1" applyAlignment="1">
      <alignment vertical="center"/>
    </xf>
    <xf numFmtId="167" fontId="237" fillId="69" borderId="0" xfId="39" quotePrefix="1" applyNumberFormat="1" applyFont="1" applyFill="1" applyAlignment="1">
      <alignment horizontal="left" vertical="center"/>
    </xf>
    <xf numFmtId="49" fontId="232" fillId="69" borderId="0" xfId="39" quotePrefix="1" applyNumberFormat="1" applyFont="1" applyFill="1" applyAlignment="1">
      <alignment horizontal="left" vertical="center"/>
    </xf>
    <xf numFmtId="167" fontId="212" fillId="69" borderId="3" xfId="39" quotePrefix="1" applyNumberFormat="1" applyFont="1" applyFill="1" applyBorder="1" applyAlignment="1">
      <alignment horizontal="left" vertical="center"/>
    </xf>
    <xf numFmtId="0" fontId="204" fillId="0" borderId="3" xfId="39" applyFont="1" applyBorder="1" applyAlignment="1">
      <alignment vertical="center"/>
    </xf>
    <xf numFmtId="49" fontId="204" fillId="0" borderId="0" xfId="39" applyNumberFormat="1" applyFont="1" applyAlignment="1">
      <alignment vertical="center"/>
    </xf>
    <xf numFmtId="167" fontId="245" fillId="69" borderId="0" xfId="39" applyNumberFormat="1" applyFont="1" applyFill="1" applyAlignment="1">
      <alignment vertical="center"/>
    </xf>
    <xf numFmtId="49" fontId="256" fillId="69" borderId="0" xfId="39" applyNumberFormat="1" applyFont="1" applyFill="1" applyAlignment="1">
      <alignment vertical="center"/>
    </xf>
    <xf numFmtId="167" fontId="236" fillId="69" borderId="0" xfId="39" applyNumberFormat="1" applyFont="1" applyFill="1" applyAlignment="1">
      <alignment vertical="center"/>
    </xf>
    <xf numFmtId="167" fontId="236" fillId="0" borderId="0" xfId="39" applyNumberFormat="1" applyFont="1" applyAlignment="1">
      <alignment vertical="center"/>
    </xf>
    <xf numFmtId="167" fontId="257" fillId="0" borderId="0" xfId="39" applyNumberFormat="1" applyFont="1" applyAlignment="1">
      <alignment vertical="center"/>
    </xf>
    <xf numFmtId="10" fontId="198" fillId="19" borderId="0" xfId="39" applyNumberFormat="1" applyFont="1" applyFill="1" applyAlignment="1">
      <alignment vertical="center"/>
    </xf>
    <xf numFmtId="167" fontId="196" fillId="15" borderId="0" xfId="39" applyNumberFormat="1" applyFont="1" applyFill="1" applyAlignment="1">
      <alignment vertical="center"/>
    </xf>
    <xf numFmtId="167" fontId="246" fillId="69" borderId="0" xfId="39" applyNumberFormat="1" applyFont="1" applyFill="1" applyAlignment="1">
      <alignment vertical="center"/>
    </xf>
    <xf numFmtId="0" fontId="196" fillId="71" borderId="0" xfId="39" applyFont="1" applyFill="1" applyAlignment="1">
      <alignment horizontal="left" vertical="center"/>
    </xf>
    <xf numFmtId="167" fontId="237" fillId="69" borderId="0" xfId="39" applyNumberFormat="1" applyFont="1" applyFill="1" applyAlignment="1">
      <alignment vertical="center"/>
    </xf>
    <xf numFmtId="167" fontId="200" fillId="0" borderId="0" xfId="39" applyNumberFormat="1" applyFont="1" applyAlignment="1">
      <alignment vertical="center"/>
    </xf>
    <xf numFmtId="199" fontId="211" fillId="0" borderId="0" xfId="39" applyNumberFormat="1" applyFont="1" applyAlignment="1">
      <alignment vertical="center"/>
    </xf>
    <xf numFmtId="199" fontId="222" fillId="69" borderId="0" xfId="39" applyNumberFormat="1" applyFont="1" applyFill="1" applyAlignment="1">
      <alignment vertical="center"/>
    </xf>
    <xf numFmtId="167" fontId="201" fillId="69" borderId="0" xfId="39" applyNumberFormat="1" applyFont="1" applyFill="1" applyAlignment="1">
      <alignment vertical="center"/>
    </xf>
    <xf numFmtId="167" fontId="229" fillId="15" borderId="0" xfId="39" applyNumberFormat="1" applyFont="1" applyFill="1" applyAlignment="1">
      <alignment vertical="center"/>
    </xf>
    <xf numFmtId="167" fontId="236" fillId="15" borderId="0" xfId="39" applyNumberFormat="1" applyFont="1" applyFill="1" applyAlignment="1">
      <alignment vertical="center"/>
    </xf>
    <xf numFmtId="167" fontId="196" fillId="75" borderId="0" xfId="39" applyNumberFormat="1" applyFont="1" applyFill="1" applyAlignment="1">
      <alignment vertical="center"/>
    </xf>
    <xf numFmtId="10" fontId="197" fillId="75" borderId="0" xfId="39" applyNumberFormat="1" applyFont="1" applyFill="1" applyAlignment="1">
      <alignment vertical="center"/>
    </xf>
    <xf numFmtId="167" fontId="198" fillId="75" borderId="0" xfId="39" applyNumberFormat="1" applyFont="1" applyFill="1" applyAlignment="1">
      <alignment vertical="center"/>
    </xf>
    <xf numFmtId="167" fontId="208" fillId="71" borderId="0" xfId="39" applyNumberFormat="1" applyFont="1" applyFill="1" applyAlignment="1">
      <alignment vertical="center"/>
    </xf>
    <xf numFmtId="167" fontId="220" fillId="67" borderId="0" xfId="39" applyNumberFormat="1" applyFont="1" applyFill="1" applyAlignment="1">
      <alignment vertical="center"/>
    </xf>
    <xf numFmtId="167" fontId="204" fillId="64" borderId="0" xfId="39" applyNumberFormat="1" applyFont="1" applyFill="1" applyAlignment="1">
      <alignment vertical="center"/>
    </xf>
    <xf numFmtId="0" fontId="236" fillId="0" borderId="0" xfId="39" applyFont="1" applyAlignment="1">
      <alignment horizontal="center" vertical="center"/>
    </xf>
    <xf numFmtId="0" fontId="243" fillId="0" borderId="0" xfId="39" applyFont="1" applyAlignment="1">
      <alignment horizontal="center" vertical="center"/>
    </xf>
    <xf numFmtId="0" fontId="232" fillId="0" borderId="0" xfId="39" applyFont="1" applyAlignment="1">
      <alignment horizontal="center" vertical="center"/>
    </xf>
    <xf numFmtId="0" fontId="232" fillId="0" borderId="0" xfId="39" applyFont="1" applyAlignment="1">
      <alignment vertical="center"/>
    </xf>
    <xf numFmtId="0" fontId="196" fillId="0" borderId="0" xfId="39" applyFont="1" applyAlignment="1">
      <alignment horizontal="left" vertical="center"/>
    </xf>
    <xf numFmtId="167" fontId="196" fillId="69" borderId="3" xfId="39" applyNumberFormat="1" applyFont="1" applyFill="1" applyBorder="1" applyAlignment="1">
      <alignment vertical="center"/>
    </xf>
    <xf numFmtId="167" fontId="196" fillId="0" borderId="3" xfId="39" applyNumberFormat="1" applyFont="1" applyBorder="1" applyAlignment="1">
      <alignment vertical="center"/>
    </xf>
    <xf numFmtId="167" fontId="258" fillId="69" borderId="0" xfId="39" applyNumberFormat="1" applyFont="1" applyFill="1" applyAlignment="1">
      <alignment vertical="center" wrapText="1"/>
    </xf>
    <xf numFmtId="167" fontId="212" fillId="15" borderId="0" xfId="39" applyNumberFormat="1" applyFont="1" applyFill="1" applyAlignment="1">
      <alignment vertical="center"/>
    </xf>
    <xf numFmtId="167" fontId="199" fillId="0" borderId="0" xfId="50" applyFont="1" applyAlignment="1">
      <alignment vertical="center"/>
    </xf>
    <xf numFmtId="167" fontId="199" fillId="0" borderId="23" xfId="50" applyFont="1" applyBorder="1" applyAlignment="1">
      <alignment vertical="center"/>
    </xf>
    <xf numFmtId="0" fontId="199" fillId="0" borderId="0" xfId="39" applyFont="1" applyAlignment="1">
      <alignment horizontal="right" vertical="center"/>
    </xf>
    <xf numFmtId="167" fontId="196" fillId="0" borderId="23" xfId="50" applyFont="1" applyBorder="1" applyAlignment="1">
      <alignment vertical="center"/>
    </xf>
    <xf numFmtId="167" fontId="211" fillId="69" borderId="0" xfId="39" applyNumberFormat="1" applyFont="1" applyFill="1" applyAlignment="1">
      <alignment horizontal="center" vertical="center"/>
    </xf>
    <xf numFmtId="49" fontId="222" fillId="69" borderId="0" xfId="39" applyNumberFormat="1" applyFont="1" applyFill="1" applyAlignment="1">
      <alignment horizontal="center" vertical="center"/>
    </xf>
    <xf numFmtId="10" fontId="240" fillId="0" borderId="0" xfId="39" applyNumberFormat="1" applyFont="1" applyAlignment="1">
      <alignment vertical="center"/>
    </xf>
    <xf numFmtId="10" fontId="201" fillId="0" borderId="0" xfId="39" applyNumberFormat="1" applyFont="1" applyAlignment="1">
      <alignment vertical="center"/>
    </xf>
    <xf numFmtId="0" fontId="248" fillId="0" borderId="0" xfId="39" applyFont="1" applyAlignment="1">
      <alignment vertical="center"/>
    </xf>
    <xf numFmtId="167" fontId="259" fillId="69" borderId="0" xfId="39" applyNumberFormat="1" applyFont="1" applyFill="1" applyAlignment="1">
      <alignment vertical="center"/>
    </xf>
    <xf numFmtId="167" fontId="260" fillId="69" borderId="0" xfId="39" applyNumberFormat="1" applyFont="1" applyFill="1" applyAlignment="1">
      <alignment vertical="center"/>
    </xf>
    <xf numFmtId="167" fontId="248" fillId="69" borderId="0" xfId="39" applyNumberFormat="1" applyFont="1" applyFill="1" applyAlignment="1">
      <alignment vertical="center"/>
    </xf>
    <xf numFmtId="0" fontId="207" fillId="0" borderId="0" xfId="39" applyFont="1" applyAlignment="1">
      <alignment horizontal="center" vertical="center"/>
    </xf>
    <xf numFmtId="167" fontId="207" fillId="69" borderId="0" xfId="39" applyNumberFormat="1" applyFont="1" applyFill="1" applyAlignment="1">
      <alignment vertical="center"/>
    </xf>
    <xf numFmtId="167" fontId="197" fillId="69" borderId="0" xfId="39" applyNumberFormat="1" applyFont="1" applyFill="1" applyAlignment="1">
      <alignment vertical="center"/>
    </xf>
    <xf numFmtId="167" fontId="261" fillId="69" borderId="0" xfId="39" applyNumberFormat="1" applyFont="1" applyFill="1" applyAlignment="1">
      <alignment vertical="center"/>
    </xf>
    <xf numFmtId="0" fontId="208" fillId="0" borderId="0" xfId="39" applyFont="1" applyAlignment="1">
      <alignment vertical="center"/>
    </xf>
    <xf numFmtId="10" fontId="220" fillId="69" borderId="0" xfId="39" applyNumberFormat="1" applyFont="1" applyFill="1" applyAlignment="1">
      <alignment vertical="center"/>
    </xf>
    <xf numFmtId="0" fontId="262" fillId="0" borderId="0" xfId="39" applyFont="1" applyAlignment="1">
      <alignment horizontal="left" vertical="center"/>
    </xf>
    <xf numFmtId="0" fontId="220" fillId="0" borderId="0" xfId="39" applyFont="1" applyAlignment="1">
      <alignment horizontal="center" vertical="center"/>
    </xf>
    <xf numFmtId="0" fontId="221" fillId="0" borderId="0" xfId="39" applyFont="1" applyAlignment="1">
      <alignment horizontal="center" vertical="center"/>
    </xf>
    <xf numFmtId="167" fontId="221" fillId="0" borderId="0" xfId="39" applyNumberFormat="1" applyFont="1" applyAlignment="1">
      <alignment vertical="center"/>
    </xf>
    <xf numFmtId="10" fontId="197" fillId="55" borderId="0" xfId="39" applyNumberFormat="1" applyFont="1" applyFill="1" applyAlignment="1">
      <alignment vertical="center"/>
    </xf>
    <xf numFmtId="167" fontId="208" fillId="0" borderId="0" xfId="39" applyNumberFormat="1" applyFont="1" applyAlignment="1">
      <alignment vertical="center"/>
    </xf>
    <xf numFmtId="10" fontId="220" fillId="55" borderId="0" xfId="39" applyNumberFormat="1" applyFont="1" applyFill="1" applyAlignment="1">
      <alignment vertical="center"/>
    </xf>
    <xf numFmtId="167" fontId="195" fillId="67" borderId="0" xfId="39" applyNumberFormat="1" applyFont="1" applyFill="1" applyAlignment="1">
      <alignment horizontal="center" vertical="center"/>
    </xf>
    <xf numFmtId="167" fontId="200" fillId="67" borderId="0" xfId="39" applyNumberFormat="1" applyFont="1" applyFill="1" applyAlignment="1">
      <alignment horizontal="center" vertical="center"/>
    </xf>
    <xf numFmtId="167" fontId="224" fillId="69" borderId="0" xfId="39" quotePrefix="1" applyNumberFormat="1" applyFont="1" applyFill="1" applyAlignment="1">
      <alignment horizontal="left" vertical="center"/>
    </xf>
    <xf numFmtId="0" fontId="262" fillId="0" borderId="97" xfId="39" applyFont="1" applyBorder="1" applyAlignment="1">
      <alignment horizontal="left" vertical="center"/>
    </xf>
    <xf numFmtId="0" fontId="201" fillId="0" borderId="97" xfId="39" applyFont="1" applyBorder="1" applyAlignment="1">
      <alignment vertical="center"/>
    </xf>
    <xf numFmtId="0" fontId="220" fillId="0" borderId="97" xfId="39" applyFont="1" applyBorder="1" applyAlignment="1">
      <alignment horizontal="center" vertical="center"/>
    </xf>
    <xf numFmtId="0" fontId="221" fillId="0" borderId="97" xfId="39" applyFont="1" applyBorder="1" applyAlignment="1">
      <alignment horizontal="center" vertical="center"/>
    </xf>
    <xf numFmtId="167" fontId="201" fillId="0" borderId="97" xfId="39" applyNumberFormat="1" applyFont="1" applyBorder="1" applyAlignment="1">
      <alignment vertical="center"/>
    </xf>
    <xf numFmtId="10" fontId="220" fillId="0" borderId="97" xfId="39" applyNumberFormat="1" applyFont="1" applyBorder="1" applyAlignment="1">
      <alignment vertical="center"/>
    </xf>
    <xf numFmtId="167" fontId="221" fillId="0" borderId="97" xfId="39" applyNumberFormat="1" applyFont="1" applyBorder="1" applyAlignment="1">
      <alignment vertical="center"/>
    </xf>
    <xf numFmtId="10" fontId="197" fillId="55" borderId="97" xfId="39" applyNumberFormat="1" applyFont="1" applyFill="1" applyBorder="1" applyAlignment="1">
      <alignment vertical="center"/>
    </xf>
    <xf numFmtId="167" fontId="198" fillId="0" borderId="97" xfId="39" applyNumberFormat="1" applyFont="1" applyBorder="1" applyAlignment="1">
      <alignment vertical="center"/>
    </xf>
    <xf numFmtId="167" fontId="204" fillId="0" borderId="97" xfId="39" applyNumberFormat="1" applyFont="1" applyBorder="1" applyAlignment="1">
      <alignment vertical="center"/>
    </xf>
    <xf numFmtId="10" fontId="220" fillId="55" borderId="97" xfId="39" applyNumberFormat="1" applyFont="1" applyFill="1" applyBorder="1" applyAlignment="1">
      <alignment vertical="center"/>
    </xf>
    <xf numFmtId="49" fontId="221" fillId="0" borderId="97" xfId="39" applyNumberFormat="1" applyFont="1" applyBorder="1" applyAlignment="1">
      <alignment vertical="center"/>
    </xf>
    <xf numFmtId="10" fontId="211" fillId="0" borderId="0" xfId="39" applyNumberFormat="1" applyFont="1" applyAlignment="1">
      <alignment horizontal="center" vertical="center"/>
    </xf>
    <xf numFmtId="167" fontId="250" fillId="54" borderId="0" xfId="39" applyNumberFormat="1" applyFont="1" applyFill="1" applyAlignment="1">
      <alignment horizontal="right" vertical="center"/>
    </xf>
    <xf numFmtId="167" fontId="263" fillId="54" borderId="0" xfId="39" applyNumberFormat="1" applyFont="1" applyFill="1" applyAlignment="1">
      <alignment vertical="center"/>
    </xf>
    <xf numFmtId="167" fontId="263" fillId="0" borderId="0" xfId="39" applyNumberFormat="1" applyFont="1" applyAlignment="1">
      <alignment vertical="center"/>
    </xf>
    <xf numFmtId="10" fontId="225" fillId="67" borderId="0" xfId="39" applyNumberFormat="1" applyFont="1" applyFill="1" applyAlignment="1">
      <alignment vertical="center"/>
    </xf>
    <xf numFmtId="10" fontId="225" fillId="67" borderId="0" xfId="39" applyNumberFormat="1" applyFont="1" applyFill="1" applyAlignment="1">
      <alignment horizontal="center" vertical="center"/>
    </xf>
    <xf numFmtId="198" fontId="211" fillId="54" borderId="0" xfId="39" applyNumberFormat="1" applyFont="1" applyFill="1" applyAlignment="1">
      <alignment vertical="center"/>
    </xf>
    <xf numFmtId="10" fontId="211" fillId="54" borderId="0" xfId="39" applyNumberFormat="1" applyFont="1" applyFill="1" applyAlignment="1">
      <alignment vertical="center"/>
    </xf>
    <xf numFmtId="178" fontId="211" fillId="54" borderId="0" xfId="39" applyNumberFormat="1" applyFont="1" applyFill="1" applyAlignment="1">
      <alignment vertical="center"/>
    </xf>
    <xf numFmtId="49" fontId="212" fillId="0" borderId="0" xfId="39" applyNumberFormat="1" applyFont="1" applyAlignment="1">
      <alignment vertical="center"/>
    </xf>
    <xf numFmtId="178" fontId="225" fillId="67" borderId="0" xfId="39" applyNumberFormat="1" applyFont="1" applyFill="1" applyAlignment="1">
      <alignment vertical="center"/>
    </xf>
    <xf numFmtId="166" fontId="203" fillId="61" borderId="0" xfId="39" applyNumberFormat="1" applyFont="1" applyFill="1" applyAlignment="1">
      <alignment horizontal="right" vertical="center"/>
    </xf>
    <xf numFmtId="167" fontId="203" fillId="61" borderId="0" xfId="39" applyNumberFormat="1" applyFont="1" applyFill="1" applyAlignment="1">
      <alignment vertical="center"/>
    </xf>
    <xf numFmtId="167" fontId="199" fillId="61" borderId="0" xfId="39" applyNumberFormat="1" applyFont="1" applyFill="1" applyAlignment="1">
      <alignment horizontal="center" vertical="center"/>
    </xf>
    <xf numFmtId="167" fontId="214" fillId="76" borderId="0" xfId="39" applyNumberFormat="1" applyFont="1" applyFill="1" applyAlignment="1">
      <alignment horizontal="center" vertical="center"/>
    </xf>
    <xf numFmtId="166" fontId="203" fillId="76" borderId="0" xfId="39" applyNumberFormat="1" applyFont="1" applyFill="1" applyAlignment="1">
      <alignment horizontal="right" vertical="center"/>
    </xf>
    <xf numFmtId="167" fontId="203" fillId="76" borderId="0" xfId="39" applyNumberFormat="1" applyFont="1" applyFill="1" applyAlignment="1">
      <alignment vertical="center"/>
    </xf>
    <xf numFmtId="167" fontId="215" fillId="77" borderId="0" xfId="39" applyNumberFormat="1" applyFont="1" applyFill="1" applyAlignment="1">
      <alignment horizontal="center" vertical="center"/>
    </xf>
    <xf numFmtId="167" fontId="214" fillId="63" borderId="0" xfId="39" applyNumberFormat="1" applyFont="1" applyFill="1" applyAlignment="1">
      <alignment horizontal="center" vertical="center"/>
    </xf>
    <xf numFmtId="166" fontId="203" fillId="63" borderId="0" xfId="39" applyNumberFormat="1" applyFont="1" applyFill="1" applyAlignment="1">
      <alignment horizontal="right" vertical="center"/>
    </xf>
    <xf numFmtId="167" fontId="203" fillId="63" borderId="0" xfId="39" applyNumberFormat="1" applyFont="1" applyFill="1" applyAlignment="1">
      <alignment vertical="center"/>
    </xf>
    <xf numFmtId="167" fontId="208" fillId="63" borderId="0" xfId="39" applyNumberFormat="1" applyFont="1" applyFill="1" applyAlignment="1">
      <alignment vertical="center"/>
    </xf>
    <xf numFmtId="167" fontId="203" fillId="64" borderId="0" xfId="39" applyNumberFormat="1" applyFont="1" applyFill="1" applyAlignment="1">
      <alignment vertical="center"/>
    </xf>
    <xf numFmtId="167" fontId="201" fillId="65" borderId="0" xfId="39" applyNumberFormat="1" applyFont="1" applyFill="1" applyAlignment="1">
      <alignment vertical="center"/>
    </xf>
    <xf numFmtId="167" fontId="199" fillId="65" borderId="0" xfId="39" applyNumberFormat="1" applyFont="1" applyFill="1" applyAlignment="1">
      <alignment horizontal="right" vertical="center" indent="1"/>
    </xf>
    <xf numFmtId="167" fontId="199" fillId="65" borderId="0" xfId="50" applyFont="1" applyFill="1" applyAlignment="1">
      <alignment vertical="center"/>
    </xf>
    <xf numFmtId="10" fontId="211" fillId="65" borderId="0" xfId="39" applyNumberFormat="1" applyFont="1" applyFill="1" applyAlignment="1">
      <alignment vertical="center"/>
    </xf>
    <xf numFmtId="0" fontId="199" fillId="65" borderId="0" xfId="39" applyFont="1" applyFill="1" applyAlignment="1">
      <alignment vertical="center"/>
    </xf>
    <xf numFmtId="167" fontId="199" fillId="65" borderId="0" xfId="39" applyNumberFormat="1" applyFont="1" applyFill="1" applyAlignment="1">
      <alignment vertical="center"/>
    </xf>
    <xf numFmtId="167" fontId="214" fillId="65" borderId="0" xfId="39" applyNumberFormat="1" applyFont="1" applyFill="1" applyAlignment="1">
      <alignment vertical="center"/>
    </xf>
    <xf numFmtId="0" fontId="203" fillId="65" borderId="0" xfId="39" applyFont="1" applyFill="1" applyAlignment="1">
      <alignment vertical="center"/>
    </xf>
    <xf numFmtId="167" fontId="203" fillId="65" borderId="0" xfId="39" applyNumberFormat="1" applyFont="1" applyFill="1" applyAlignment="1">
      <alignment vertical="center"/>
    </xf>
    <xf numFmtId="167" fontId="201" fillId="66" borderId="0" xfId="39" applyNumberFormat="1" applyFont="1" applyFill="1" applyAlignment="1">
      <alignment vertical="center"/>
    </xf>
    <xf numFmtId="167" fontId="199" fillId="66" borderId="0" xfId="39" applyNumberFormat="1" applyFont="1" applyFill="1" applyAlignment="1">
      <alignment horizontal="right" vertical="center" indent="1"/>
    </xf>
    <xf numFmtId="167" fontId="199" fillId="66" borderId="0" xfId="50" applyFont="1" applyFill="1" applyAlignment="1">
      <alignment vertical="center"/>
    </xf>
    <xf numFmtId="10" fontId="211" fillId="66" borderId="0" xfId="39" applyNumberFormat="1" applyFont="1" applyFill="1" applyAlignment="1">
      <alignment vertical="center"/>
    </xf>
    <xf numFmtId="0" fontId="199" fillId="66" borderId="0" xfId="39" applyFont="1" applyFill="1" applyAlignment="1">
      <alignment vertical="center"/>
    </xf>
    <xf numFmtId="167" fontId="199" fillId="66" borderId="0" xfId="39" applyNumberFormat="1" applyFont="1" applyFill="1" applyAlignment="1">
      <alignment vertical="center"/>
    </xf>
    <xf numFmtId="49" fontId="214" fillId="66" borderId="0" xfId="39" applyNumberFormat="1" applyFont="1" applyFill="1" applyAlignment="1">
      <alignment vertical="center"/>
    </xf>
    <xf numFmtId="0" fontId="203" fillId="66" borderId="0" xfId="39" applyFont="1" applyFill="1" applyAlignment="1">
      <alignment vertical="center"/>
    </xf>
    <xf numFmtId="167" fontId="203" fillId="66" borderId="0" xfId="39" applyNumberFormat="1" applyFont="1" applyFill="1" applyAlignment="1">
      <alignment vertical="center"/>
    </xf>
    <xf numFmtId="167" fontId="204" fillId="65" borderId="0" xfId="39" applyNumberFormat="1" applyFont="1" applyFill="1" applyAlignment="1">
      <alignment horizontal="center" vertical="center"/>
    </xf>
    <xf numFmtId="167" fontId="204" fillId="66" borderId="0" xfId="39" applyNumberFormat="1" applyFont="1" applyFill="1" applyAlignment="1">
      <alignment horizontal="center" vertical="center"/>
    </xf>
    <xf numFmtId="167" fontId="214" fillId="61" borderId="0" xfId="39" applyNumberFormat="1" applyFont="1" applyFill="1" applyAlignment="1">
      <alignment vertical="center"/>
    </xf>
    <xf numFmtId="167" fontId="214" fillId="76" borderId="0" xfId="39" applyNumberFormat="1" applyFont="1" applyFill="1" applyAlignment="1">
      <alignment vertical="center"/>
    </xf>
    <xf numFmtId="167" fontId="214" fillId="63" borderId="0" xfId="39" applyNumberFormat="1" applyFont="1" applyFill="1" applyAlignment="1">
      <alignment vertical="center"/>
    </xf>
    <xf numFmtId="167" fontId="212" fillId="65" borderId="0" xfId="39" applyNumberFormat="1" applyFont="1" applyFill="1" applyAlignment="1">
      <alignment horizontal="right" vertical="center"/>
    </xf>
    <xf numFmtId="166" fontId="199" fillId="65" borderId="0" xfId="39" applyNumberFormat="1" applyFont="1" applyFill="1" applyAlignment="1">
      <alignment horizontal="right" vertical="center"/>
    </xf>
    <xf numFmtId="166" fontId="214" fillId="65" borderId="0" xfId="39" applyNumberFormat="1" applyFont="1" applyFill="1" applyAlignment="1">
      <alignment vertical="center"/>
    </xf>
    <xf numFmtId="166" fontId="203" fillId="65" borderId="0" xfId="39" applyNumberFormat="1" applyFont="1" applyFill="1" applyAlignment="1">
      <alignment horizontal="right" vertical="center"/>
    </xf>
    <xf numFmtId="167" fontId="214" fillId="67" borderId="0" xfId="39" applyNumberFormat="1" applyFont="1" applyFill="1" applyAlignment="1">
      <alignment vertical="center"/>
    </xf>
    <xf numFmtId="167" fontId="212" fillId="66" borderId="0" xfId="39" applyNumberFormat="1" applyFont="1" applyFill="1" applyAlignment="1">
      <alignment horizontal="right" vertical="center"/>
    </xf>
    <xf numFmtId="166" fontId="199" fillId="66" borderId="0" xfId="39" applyNumberFormat="1" applyFont="1" applyFill="1" applyAlignment="1">
      <alignment horizontal="right" vertical="center"/>
    </xf>
    <xf numFmtId="166" fontId="203" fillId="66" borderId="0" xfId="39" applyNumberFormat="1" applyFont="1" applyFill="1" applyAlignment="1">
      <alignment horizontal="right" vertical="center"/>
    </xf>
    <xf numFmtId="167" fontId="199" fillId="0" borderId="0" xfId="39" applyNumberFormat="1" applyFont="1" applyAlignment="1">
      <alignment horizontal="right" vertical="center"/>
    </xf>
    <xf numFmtId="167" fontId="203" fillId="61" borderId="23" xfId="39" applyNumberFormat="1" applyFont="1" applyFill="1" applyBorder="1" applyAlignment="1">
      <alignment vertical="center"/>
    </xf>
    <xf numFmtId="167" fontId="203" fillId="76" borderId="23" xfId="39" applyNumberFormat="1" applyFont="1" applyFill="1" applyBorder="1" applyAlignment="1">
      <alignment vertical="center"/>
    </xf>
    <xf numFmtId="167" fontId="203" fillId="63" borderId="23" xfId="39" applyNumberFormat="1" applyFont="1" applyFill="1" applyBorder="1" applyAlignment="1">
      <alignment vertical="center"/>
    </xf>
    <xf numFmtId="167" fontId="203" fillId="64" borderId="23" xfId="39" applyNumberFormat="1" applyFont="1" applyFill="1" applyBorder="1" applyAlignment="1">
      <alignment vertical="center"/>
    </xf>
    <xf numFmtId="167" fontId="199" fillId="65" borderId="23" xfId="39" applyNumberFormat="1" applyFont="1" applyFill="1" applyBorder="1" applyAlignment="1">
      <alignment vertical="center"/>
    </xf>
    <xf numFmtId="167" fontId="199" fillId="66" borderId="23" xfId="39" applyNumberFormat="1" applyFont="1" applyFill="1" applyBorder="1" applyAlignment="1">
      <alignment vertical="center"/>
    </xf>
    <xf numFmtId="167" fontId="203" fillId="67" borderId="23" xfId="39" applyNumberFormat="1" applyFont="1" applyFill="1" applyBorder="1" applyAlignment="1">
      <alignment vertical="center"/>
    </xf>
    <xf numFmtId="167" fontId="199" fillId="65" borderId="23" xfId="50" applyFont="1" applyFill="1" applyBorder="1" applyAlignment="1">
      <alignment vertical="center"/>
    </xf>
    <xf numFmtId="167" fontId="214" fillId="67" borderId="23" xfId="39" applyNumberFormat="1" applyFont="1" applyFill="1" applyBorder="1" applyAlignment="1">
      <alignment vertical="center"/>
    </xf>
    <xf numFmtId="167" fontId="199" fillId="66" borderId="23" xfId="50" applyFont="1" applyFill="1" applyBorder="1" applyAlignment="1">
      <alignment vertical="center"/>
    </xf>
    <xf numFmtId="167" fontId="212" fillId="65" borderId="0" xfId="39" applyNumberFormat="1" applyFont="1" applyFill="1" applyAlignment="1">
      <alignment horizontal="right" vertical="center" indent="1"/>
    </xf>
    <xf numFmtId="10" fontId="199" fillId="65" borderId="0" xfId="39" applyNumberFormat="1" applyFont="1" applyFill="1" applyAlignment="1">
      <alignment vertical="center"/>
    </xf>
    <xf numFmtId="167" fontId="212" fillId="66" borderId="0" xfId="39" applyNumberFormat="1" applyFont="1" applyFill="1" applyAlignment="1">
      <alignment horizontal="right" vertical="center" indent="1"/>
    </xf>
    <xf numFmtId="10" fontId="199" fillId="66" borderId="0" xfId="39" applyNumberFormat="1" applyFont="1" applyFill="1" applyAlignment="1">
      <alignment vertical="center"/>
    </xf>
    <xf numFmtId="167" fontId="199" fillId="61" borderId="0" xfId="39" applyNumberFormat="1" applyFont="1" applyFill="1" applyAlignment="1">
      <alignment vertical="center"/>
    </xf>
    <xf numFmtId="167" fontId="215" fillId="77" borderId="0" xfId="39" applyNumberFormat="1" applyFont="1" applyFill="1" applyAlignment="1">
      <alignment vertical="center"/>
    </xf>
    <xf numFmtId="167" fontId="215" fillId="63" borderId="0" xfId="39" applyNumberFormat="1" applyFont="1" applyFill="1" applyAlignment="1">
      <alignment vertical="center"/>
    </xf>
    <xf numFmtId="167" fontId="199" fillId="64" borderId="0" xfId="39" applyNumberFormat="1" applyFont="1" applyFill="1" applyAlignment="1">
      <alignment vertical="center"/>
    </xf>
    <xf numFmtId="167" fontId="203" fillId="65" borderId="23" xfId="39" applyNumberFormat="1" applyFont="1" applyFill="1" applyBorder="1" applyAlignment="1">
      <alignment vertical="center"/>
    </xf>
    <xf numFmtId="167" fontId="212" fillId="65" borderId="0" xfId="39" applyNumberFormat="1" applyFont="1" applyFill="1" applyAlignment="1">
      <alignment vertical="center"/>
    </xf>
    <xf numFmtId="167" fontId="203" fillId="66" borderId="23" xfId="39" applyNumberFormat="1" applyFont="1" applyFill="1" applyBorder="1" applyAlignment="1">
      <alignment vertical="center"/>
    </xf>
    <xf numFmtId="0" fontId="203" fillId="61" borderId="0" xfId="39" applyFont="1" applyFill="1" applyAlignment="1">
      <alignment horizontal="right" vertical="center"/>
    </xf>
    <xf numFmtId="167" fontId="203" fillId="61" borderId="0" xfId="39" applyNumberFormat="1" applyFont="1" applyFill="1" applyAlignment="1">
      <alignment horizontal="right" vertical="center"/>
    </xf>
    <xf numFmtId="0" fontId="203" fillId="76" borderId="0" xfId="39" applyFont="1" applyFill="1" applyAlignment="1">
      <alignment horizontal="right" vertical="center"/>
    </xf>
    <xf numFmtId="167" fontId="203" fillId="76" borderId="0" xfId="39" applyNumberFormat="1" applyFont="1" applyFill="1" applyAlignment="1">
      <alignment horizontal="right" vertical="center"/>
    </xf>
    <xf numFmtId="0" fontId="203" fillId="63" borderId="0" xfId="39" applyFont="1" applyFill="1" applyAlignment="1">
      <alignment horizontal="right" vertical="center"/>
    </xf>
    <xf numFmtId="167" fontId="203" fillId="63" borderId="0" xfId="39" applyNumberFormat="1" applyFont="1" applyFill="1" applyAlignment="1">
      <alignment horizontal="right" vertical="center"/>
    </xf>
    <xf numFmtId="167" fontId="203" fillId="64" borderId="0" xfId="39" applyNumberFormat="1" applyFont="1" applyFill="1" applyAlignment="1">
      <alignment horizontal="right" vertical="center"/>
    </xf>
    <xf numFmtId="167" fontId="199" fillId="65" borderId="0" xfId="39" applyNumberFormat="1" applyFont="1" applyFill="1" applyAlignment="1">
      <alignment horizontal="center" vertical="center"/>
    </xf>
    <xf numFmtId="167" fontId="203" fillId="65" borderId="0" xfId="39" applyNumberFormat="1" applyFont="1" applyFill="1" applyAlignment="1">
      <alignment horizontal="right" vertical="center"/>
    </xf>
    <xf numFmtId="167" fontId="199" fillId="66" borderId="0" xfId="39" applyNumberFormat="1" applyFont="1" applyFill="1" applyAlignment="1">
      <alignment horizontal="center" vertical="center"/>
    </xf>
    <xf numFmtId="167" fontId="203" fillId="66" borderId="0" xfId="39" applyNumberFormat="1" applyFont="1" applyFill="1" applyAlignment="1">
      <alignment horizontal="right" vertical="center"/>
    </xf>
    <xf numFmtId="0" fontId="117" fillId="10" borderId="26" xfId="0" applyFont="1" applyFill="1" applyBorder="1"/>
    <xf numFmtId="0" fontId="5" fillId="10" borderId="29" xfId="0" applyFont="1" applyFill="1" applyBorder="1" applyAlignment="1">
      <alignment horizontal="center"/>
    </xf>
    <xf numFmtId="0" fontId="5" fillId="10" borderId="32" xfId="0" applyFont="1" applyFill="1" applyBorder="1" applyAlignment="1">
      <alignment horizontal="center"/>
    </xf>
    <xf numFmtId="0" fontId="119" fillId="0" borderId="29" xfId="0" applyFont="1" applyBorder="1" applyProtection="1">
      <protection locked="0"/>
    </xf>
    <xf numFmtId="0" fontId="122" fillId="0" borderId="0" xfId="0" applyFont="1" applyBorder="1"/>
    <xf numFmtId="10" fontId="15" fillId="0" borderId="29" xfId="3" applyNumberFormat="1" applyFont="1" applyBorder="1" applyAlignment="1">
      <alignment horizontal="center" wrapText="1"/>
    </xf>
    <xf numFmtId="0" fontId="27" fillId="0" borderId="29" xfId="3" applyNumberFormat="1" applyFont="1" applyBorder="1" applyAlignment="1">
      <alignment horizontal="center" wrapText="1"/>
    </xf>
    <xf numFmtId="0" fontId="14" fillId="0" borderId="29" xfId="0" applyFont="1" applyBorder="1" applyAlignment="1">
      <alignment horizontal="center" wrapText="1"/>
    </xf>
    <xf numFmtId="0" fontId="14" fillId="0" borderId="29" xfId="0" applyFont="1" applyBorder="1" applyAlignment="1">
      <alignment horizontal="center"/>
    </xf>
    <xf numFmtId="0" fontId="5" fillId="0" borderId="29" xfId="0" applyFont="1" applyBorder="1" applyAlignment="1">
      <alignment horizontal="center" wrapText="1"/>
    </xf>
    <xf numFmtId="0" fontId="123" fillId="0" borderId="29" xfId="0" applyFont="1" applyBorder="1"/>
    <xf numFmtId="10" fontId="123" fillId="0" borderId="37" xfId="3" applyNumberFormat="1" applyFont="1" applyBorder="1"/>
    <xf numFmtId="165" fontId="123" fillId="0" borderId="29" xfId="0" applyNumberFormat="1" applyFont="1" applyBorder="1"/>
    <xf numFmtId="0" fontId="125" fillId="0" borderId="29" xfId="0" applyFont="1" applyBorder="1"/>
    <xf numFmtId="0" fontId="112" fillId="0" borderId="29" xfId="0" applyFont="1" applyBorder="1"/>
    <xf numFmtId="165" fontId="124" fillId="0" borderId="29" xfId="0" applyNumberFormat="1" applyFont="1" applyBorder="1"/>
    <xf numFmtId="0" fontId="161" fillId="0" borderId="29" xfId="0" applyFont="1" applyBorder="1" applyAlignment="1">
      <alignment horizontal="center"/>
    </xf>
    <xf numFmtId="0" fontId="27" fillId="0" borderId="29" xfId="0" applyFont="1" applyBorder="1" applyAlignment="1">
      <alignment horizontal="center"/>
    </xf>
    <xf numFmtId="167" fontId="123" fillId="0" borderId="38" xfId="0" applyNumberFormat="1" applyFont="1" applyBorder="1"/>
    <xf numFmtId="0" fontId="32" fillId="0" borderId="29" xfId="0" applyFont="1" applyBorder="1" applyAlignment="1">
      <alignment wrapText="1"/>
    </xf>
    <xf numFmtId="0" fontId="129" fillId="0" borderId="29" xfId="0" applyFont="1" applyBorder="1" applyAlignment="1">
      <alignment wrapText="1"/>
    </xf>
    <xf numFmtId="0" fontId="162" fillId="0" borderId="39" xfId="0" applyFont="1" applyBorder="1" applyAlignment="1" applyProtection="1">
      <alignment horizontal="center"/>
      <protection locked="0"/>
    </xf>
    <xf numFmtId="0" fontId="162" fillId="0" borderId="61" xfId="0" applyFont="1" applyBorder="1" applyAlignment="1" applyProtection="1">
      <alignment horizontal="center"/>
      <protection locked="0"/>
    </xf>
    <xf numFmtId="0" fontId="162" fillId="0" borderId="64" xfId="0" applyFont="1" applyBorder="1" applyAlignment="1" applyProtection="1">
      <alignment horizontal="center"/>
      <protection locked="0"/>
    </xf>
    <xf numFmtId="0" fontId="116" fillId="0" borderId="29" xfId="0" applyFont="1" applyBorder="1"/>
    <xf numFmtId="0" fontId="116" fillId="0" borderId="0" xfId="0" applyFont="1" applyBorder="1"/>
    <xf numFmtId="0" fontId="193" fillId="0" borderId="0" xfId="0" applyFont="1" applyBorder="1"/>
    <xf numFmtId="0" fontId="192" fillId="0" borderId="0" xfId="0" applyFont="1" applyBorder="1"/>
    <xf numFmtId="0" fontId="113" fillId="0" borderId="0" xfId="0" applyFont="1" applyBorder="1"/>
    <xf numFmtId="0" fontId="194" fillId="0" borderId="0" xfId="0" applyFont="1" applyBorder="1"/>
    <xf numFmtId="178" fontId="116" fillId="0" borderId="29" xfId="0" applyNumberFormat="1" applyFont="1" applyBorder="1"/>
    <xf numFmtId="178" fontId="116" fillId="0" borderId="0" xfId="0" applyNumberFormat="1" applyFont="1" applyBorder="1"/>
    <xf numFmtId="178" fontId="193" fillId="0" borderId="0" xfId="0" applyNumberFormat="1" applyFont="1" applyBorder="1"/>
    <xf numFmtId="165" fontId="103" fillId="0" borderId="32" xfId="0" applyNumberFormat="1" applyFont="1" applyBorder="1"/>
    <xf numFmtId="165" fontId="103" fillId="0" borderId="21" xfId="0" applyNumberFormat="1" applyFont="1" applyBorder="1"/>
    <xf numFmtId="0" fontId="5" fillId="0" borderId="33" xfId="0" applyFont="1" applyBorder="1" applyAlignment="1" applyProtection="1">
      <alignment horizontal="center" vertical="center" wrapText="1"/>
      <protection locked="0"/>
    </xf>
    <xf numFmtId="0" fontId="5" fillId="0" borderId="0" xfId="0" applyFont="1" applyBorder="1" applyAlignment="1" applyProtection="1">
      <alignment horizontal="center" vertical="center" wrapText="1"/>
      <protection locked="0"/>
    </xf>
    <xf numFmtId="178" fontId="268" fillId="0" borderId="0" xfId="4" applyNumberFormat="1" applyFont="1" applyBorder="1"/>
    <xf numFmtId="0" fontId="268" fillId="0" borderId="0" xfId="0" applyFont="1" applyBorder="1"/>
    <xf numFmtId="178" fontId="269" fillId="0" borderId="29" xfId="4" applyNumberFormat="1" applyFont="1" applyBorder="1"/>
    <xf numFmtId="178" fontId="269" fillId="0" borderId="0" xfId="4" applyNumberFormat="1" applyFont="1" applyBorder="1"/>
    <xf numFmtId="43" fontId="270" fillId="0" borderId="0" xfId="4" applyNumberFormat="1" applyFont="1" applyBorder="1"/>
    <xf numFmtId="0" fontId="269" fillId="0" borderId="0" xfId="0" applyFont="1" applyBorder="1"/>
    <xf numFmtId="0" fontId="270" fillId="0" borderId="0" xfId="0" applyFont="1" applyBorder="1"/>
    <xf numFmtId="0" fontId="269" fillId="0" borderId="29" xfId="0" applyFont="1" applyBorder="1"/>
    <xf numFmtId="184" fontId="270" fillId="0" borderId="0" xfId="0" applyNumberFormat="1" applyFont="1" applyBorder="1"/>
    <xf numFmtId="178" fontId="270" fillId="0" borderId="0" xfId="4" applyNumberFormat="1" applyFont="1" applyBorder="1" applyAlignment="1">
      <alignment horizontal="left" indent="2"/>
    </xf>
    <xf numFmtId="0" fontId="271" fillId="0" borderId="0" xfId="0" applyFont="1"/>
    <xf numFmtId="0" fontId="264" fillId="0" borderId="26" xfId="0" applyFont="1" applyBorder="1" applyAlignment="1">
      <alignment horizontal="center" vertical="center" wrapText="1"/>
    </xf>
    <xf numFmtId="0" fontId="264" fillId="0" borderId="29" xfId="0" applyFont="1" applyBorder="1" applyAlignment="1">
      <alignment horizontal="center" vertical="center" wrapText="1"/>
    </xf>
    <xf numFmtId="9" fontId="264" fillId="0" borderId="29" xfId="0" applyNumberFormat="1" applyFont="1" applyBorder="1" applyAlignment="1">
      <alignment horizontal="center" vertical="center" wrapText="1"/>
    </xf>
    <xf numFmtId="0" fontId="272" fillId="0" borderId="0" xfId="0" applyFont="1"/>
    <xf numFmtId="165" fontId="103" fillId="68" borderId="21" xfId="0" applyNumberFormat="1" applyFont="1" applyFill="1" applyBorder="1"/>
    <xf numFmtId="0" fontId="116" fillId="68" borderId="21" xfId="0" applyFont="1" applyFill="1" applyBorder="1"/>
    <xf numFmtId="165" fontId="103" fillId="0" borderId="21" xfId="0" applyNumberFormat="1" applyFont="1" applyFill="1" applyBorder="1"/>
    <xf numFmtId="0" fontId="273" fillId="0" borderId="0" xfId="0" applyFont="1"/>
    <xf numFmtId="0" fontId="184" fillId="14" borderId="26" xfId="0" applyFont="1" applyFill="1" applyBorder="1" applyAlignment="1" applyProtection="1">
      <alignment horizontal="center"/>
      <protection locked="0"/>
    </xf>
    <xf numFmtId="0" fontId="184" fillId="14" borderId="33" xfId="0" applyFont="1" applyFill="1" applyBorder="1" applyAlignment="1" applyProtection="1">
      <alignment horizontal="center"/>
      <protection locked="0"/>
    </xf>
    <xf numFmtId="0" fontId="184" fillId="14" borderId="25" xfId="0" applyFont="1" applyFill="1" applyBorder="1" applyAlignment="1" applyProtection="1">
      <alignment horizontal="center" wrapText="1"/>
      <protection locked="0"/>
    </xf>
    <xf numFmtId="0" fontId="111" fillId="14" borderId="29" xfId="0" applyFont="1" applyFill="1" applyBorder="1" applyProtection="1">
      <protection locked="0"/>
    </xf>
    <xf numFmtId="178" fontId="10" fillId="14" borderId="23" xfId="4" applyNumberFormat="1" applyFont="1" applyFill="1" applyBorder="1" applyAlignment="1">
      <alignment horizontal="left" vertical="center" wrapText="1" indent="1"/>
    </xf>
    <xf numFmtId="10" fontId="274" fillId="14" borderId="0" xfId="0" applyNumberFormat="1" applyFont="1" applyFill="1" applyBorder="1" applyProtection="1">
      <protection locked="0"/>
    </xf>
    <xf numFmtId="178" fontId="274" fillId="14" borderId="0" xfId="4" applyNumberFormat="1" applyFont="1" applyFill="1" applyBorder="1" applyProtection="1">
      <protection locked="0"/>
    </xf>
    <xf numFmtId="178" fontId="191" fillId="0" borderId="0" xfId="0" applyNumberFormat="1" applyFont="1" applyBorder="1"/>
    <xf numFmtId="178" fontId="191" fillId="14" borderId="0" xfId="0" applyNumberFormat="1" applyFont="1" applyFill="1" applyBorder="1"/>
    <xf numFmtId="0" fontId="267" fillId="14" borderId="0" xfId="0" applyFont="1" applyFill="1" applyBorder="1"/>
    <xf numFmtId="0" fontId="151" fillId="14" borderId="0" xfId="0" applyFont="1" applyFill="1" applyBorder="1"/>
    <xf numFmtId="178" fontId="157" fillId="14" borderId="0" xfId="4" applyNumberFormat="1" applyFont="1" applyFill="1" applyBorder="1"/>
    <xf numFmtId="0" fontId="157" fillId="14" borderId="0" xfId="0" applyFont="1" applyFill="1" applyBorder="1"/>
    <xf numFmtId="0" fontId="275" fillId="14" borderId="0" xfId="0" applyFont="1" applyFill="1" applyBorder="1" applyAlignment="1">
      <alignment horizontal="center"/>
    </xf>
    <xf numFmtId="0" fontId="31" fillId="0" borderId="0" xfId="39" applyFont="1" applyBorder="1" applyAlignment="1">
      <alignment vertical="center" wrapText="1"/>
    </xf>
    <xf numFmtId="180" fontId="30" fillId="0" borderId="0" xfId="5" applyNumberFormat="1" applyFont="1" applyBorder="1" applyAlignment="1">
      <alignment vertical="center" wrapText="1"/>
    </xf>
    <xf numFmtId="0" fontId="31" fillId="0" borderId="0" xfId="39" applyFont="1" applyFill="1" applyBorder="1" applyAlignment="1">
      <alignment vertical="center" wrapText="1"/>
    </xf>
    <xf numFmtId="0" fontId="31" fillId="15" borderId="0" xfId="0" applyFont="1" applyFill="1"/>
    <xf numFmtId="194" fontId="0" fillId="15" borderId="0" xfId="0" applyNumberFormat="1" applyFill="1"/>
    <xf numFmtId="180" fontId="0" fillId="15" borderId="0" xfId="5" applyNumberFormat="1" applyFont="1" applyFill="1"/>
    <xf numFmtId="0" fontId="0" fillId="15" borderId="0" xfId="0" applyFont="1" applyFill="1"/>
    <xf numFmtId="43" fontId="0" fillId="0" borderId="0" xfId="0" applyNumberFormat="1"/>
    <xf numFmtId="0" fontId="30" fillId="0" borderId="0" xfId="0" applyFont="1" applyAlignment="1">
      <alignment horizontal="right"/>
    </xf>
    <xf numFmtId="180" fontId="0" fillId="0" borderId="0" xfId="0" applyNumberFormat="1"/>
    <xf numFmtId="192" fontId="0" fillId="0" borderId="0" xfId="0" applyNumberFormat="1"/>
    <xf numFmtId="10" fontId="30" fillId="0" borderId="0" xfId="0" applyNumberFormat="1" applyFont="1"/>
    <xf numFmtId="9" fontId="0" fillId="0" borderId="0" xfId="3" applyFont="1"/>
    <xf numFmtId="43" fontId="274" fillId="14" borderId="28" xfId="4" applyNumberFormat="1" applyFont="1" applyFill="1" applyBorder="1" applyProtection="1">
      <protection locked="0"/>
    </xf>
    <xf numFmtId="165" fontId="19" fillId="0" borderId="27" xfId="0" applyNumberFormat="1" applyFont="1" applyFill="1" applyBorder="1"/>
    <xf numFmtId="3" fontId="19" fillId="0" borderId="27" xfId="0" applyNumberFormat="1" applyFont="1" applyFill="1" applyBorder="1"/>
    <xf numFmtId="10" fontId="7" fillId="0" borderId="28" xfId="3" applyNumberFormat="1" applyFont="1" applyFill="1" applyBorder="1"/>
    <xf numFmtId="165" fontId="19" fillId="0" borderId="29" xfId="0" applyNumberFormat="1" applyFont="1" applyFill="1" applyBorder="1"/>
    <xf numFmtId="165" fontId="19" fillId="0" borderId="0" xfId="0" applyNumberFormat="1" applyFont="1" applyFill="1" applyBorder="1"/>
    <xf numFmtId="178" fontId="19" fillId="0" borderId="0" xfId="4" applyNumberFormat="1" applyFont="1" applyFill="1" applyBorder="1"/>
    <xf numFmtId="165" fontId="19" fillId="0" borderId="28" xfId="0" applyNumberFormat="1" applyFont="1" applyFill="1" applyBorder="1"/>
    <xf numFmtId="178" fontId="19" fillId="0" borderId="28" xfId="4" applyNumberFormat="1" applyFont="1" applyFill="1" applyBorder="1"/>
    <xf numFmtId="178" fontId="75" fillId="0" borderId="0" xfId="4" applyNumberFormat="1" applyFont="1" applyFill="1" applyBorder="1" applyAlignment="1" applyProtection="1">
      <alignment horizontal="left"/>
      <protection locked="0"/>
    </xf>
    <xf numFmtId="165" fontId="85" fillId="0" borderId="0" xfId="0" applyNumberFormat="1" applyFont="1" applyBorder="1" applyAlignment="1">
      <alignment horizontal="center"/>
    </xf>
    <xf numFmtId="16" fontId="165" fillId="0" borderId="116" xfId="0" applyNumberFormat="1" applyFont="1" applyBorder="1" applyAlignment="1" applyProtection="1">
      <alignment horizontal="center"/>
      <protection locked="0"/>
    </xf>
    <xf numFmtId="165" fontId="276" fillId="0" borderId="6" xfId="0" applyNumberFormat="1" applyFont="1" applyBorder="1" applyAlignment="1" applyProtection="1">
      <alignment horizontal="center"/>
      <protection locked="0"/>
    </xf>
    <xf numFmtId="165" fontId="276" fillId="0" borderId="6" xfId="0" applyNumberFormat="1" applyFont="1" applyBorder="1" applyAlignment="1">
      <alignment horizontal="center"/>
    </xf>
    <xf numFmtId="165" fontId="277" fillId="0" borderId="7" xfId="0" applyNumberFormat="1" applyFont="1" applyBorder="1" applyAlignment="1" applyProtection="1">
      <alignment horizontal="center"/>
      <protection locked="0"/>
    </xf>
    <xf numFmtId="165" fontId="276" fillId="0" borderId="6" xfId="0" applyNumberFormat="1" applyFont="1" applyBorder="1" applyProtection="1">
      <protection locked="0"/>
    </xf>
    <xf numFmtId="165" fontId="277" fillId="0" borderId="6" xfId="0" applyNumberFormat="1" applyFont="1" applyBorder="1" applyAlignment="1">
      <alignment horizontal="center"/>
    </xf>
    <xf numFmtId="165" fontId="276" fillId="0" borderId="7" xfId="0" applyNumberFormat="1" applyFont="1" applyBorder="1" applyAlignment="1" applyProtection="1">
      <alignment horizontal="center"/>
      <protection locked="0"/>
    </xf>
    <xf numFmtId="165" fontId="276" fillId="20" borderId="6" xfId="0" applyNumberFormat="1" applyFont="1" applyFill="1" applyBorder="1" applyAlignment="1" applyProtection="1">
      <alignment horizontal="center"/>
      <protection locked="0"/>
    </xf>
    <xf numFmtId="165" fontId="276" fillId="20" borderId="6" xfId="0" applyNumberFormat="1" applyFont="1" applyFill="1" applyBorder="1" applyAlignment="1">
      <alignment horizontal="center"/>
    </xf>
    <xf numFmtId="165" fontId="277" fillId="20" borderId="6" xfId="0" applyNumberFormat="1" applyFont="1" applyFill="1" applyBorder="1" applyProtection="1">
      <protection locked="0"/>
    </xf>
    <xf numFmtId="165" fontId="276" fillId="20" borderId="7" xfId="0" applyNumberFormat="1" applyFont="1" applyFill="1" applyBorder="1" applyAlignment="1" applyProtection="1">
      <alignment horizontal="center"/>
      <protection locked="0"/>
    </xf>
    <xf numFmtId="165" fontId="277" fillId="0" borderId="6" xfId="0" applyNumberFormat="1" applyFont="1" applyBorder="1" applyAlignment="1" applyProtection="1">
      <alignment horizontal="center"/>
      <protection locked="0"/>
    </xf>
    <xf numFmtId="165" fontId="276" fillId="0" borderId="6" xfId="0" quotePrefix="1" applyNumberFormat="1" applyFont="1" applyBorder="1" applyProtection="1">
      <protection locked="0"/>
    </xf>
    <xf numFmtId="165" fontId="276" fillId="0" borderId="5" xfId="0" applyNumberFormat="1" applyFont="1" applyBorder="1" applyAlignment="1" applyProtection="1">
      <alignment horizontal="center"/>
      <protection locked="0"/>
    </xf>
    <xf numFmtId="165" fontId="277" fillId="0" borderId="6" xfId="0" applyNumberFormat="1" applyFont="1" applyBorder="1"/>
    <xf numFmtId="165" fontId="277" fillId="7" borderId="10" xfId="0" applyNumberFormat="1" applyFont="1" applyFill="1" applyBorder="1"/>
    <xf numFmtId="165" fontId="277" fillId="0" borderId="2" xfId="0" applyNumberFormat="1" applyFont="1" applyBorder="1" applyAlignment="1" applyProtection="1">
      <alignment horizontal="center"/>
      <protection locked="0"/>
    </xf>
    <xf numFmtId="165" fontId="276" fillId="0" borderId="2" xfId="0" applyNumberFormat="1" applyFont="1" applyBorder="1" applyAlignment="1" applyProtection="1">
      <alignment horizontal="center"/>
      <protection locked="0"/>
    </xf>
    <xf numFmtId="165" fontId="277" fillId="0" borderId="7" xfId="0" applyNumberFormat="1" applyFont="1" applyBorder="1" applyAlignment="1">
      <alignment horizontal="center"/>
    </xf>
    <xf numFmtId="165" fontId="277" fillId="0" borderId="6" xfId="0" applyNumberFormat="1" applyFont="1" applyBorder="1" applyAlignment="1">
      <alignment horizontal="center" wrapText="1"/>
    </xf>
    <xf numFmtId="165" fontId="277" fillId="7" borderId="12" xfId="0" applyNumberFormat="1" applyFont="1" applyFill="1" applyBorder="1"/>
    <xf numFmtId="165" fontId="277" fillId="7" borderId="12" xfId="0" applyNumberFormat="1" applyFont="1" applyFill="1" applyBorder="1" applyAlignment="1" applyProtection="1">
      <alignment horizontal="center"/>
      <protection locked="0"/>
    </xf>
    <xf numFmtId="186" fontId="276" fillId="0" borderId="6" xfId="0" applyNumberFormat="1" applyFont="1" applyBorder="1" applyAlignment="1" applyProtection="1">
      <alignment horizontal="center"/>
      <protection locked="0"/>
    </xf>
    <xf numFmtId="165" fontId="277" fillId="0" borderId="5" xfId="0" applyNumberFormat="1" applyFont="1" applyBorder="1" applyAlignment="1">
      <alignment horizontal="center"/>
    </xf>
    <xf numFmtId="165" fontId="277" fillId="0" borderId="4" xfId="0" applyNumberFormat="1" applyFont="1" applyBorder="1"/>
    <xf numFmtId="165" fontId="276" fillId="0" borderId="6" xfId="0" applyNumberFormat="1" applyFont="1" applyBorder="1"/>
    <xf numFmtId="0" fontId="276" fillId="20" borderId="0" xfId="0" applyFont="1" applyFill="1"/>
    <xf numFmtId="165" fontId="276" fillId="20" borderId="0" xfId="0" applyNumberFormat="1" applyFont="1" applyFill="1" applyProtection="1">
      <protection locked="0"/>
    </xf>
    <xf numFmtId="165" fontId="277" fillId="0" borderId="4" xfId="0" applyNumberFormat="1" applyFont="1" applyBorder="1" applyAlignment="1">
      <alignment horizontal="center"/>
    </xf>
    <xf numFmtId="165" fontId="276" fillId="0" borderId="4" xfId="0" applyNumberFormat="1" applyFont="1" applyBorder="1" applyAlignment="1">
      <alignment horizontal="center"/>
    </xf>
    <xf numFmtId="165" fontId="276" fillId="54" borderId="6" xfId="0" applyNumberFormat="1" applyFont="1" applyFill="1" applyBorder="1" applyAlignment="1">
      <alignment horizontal="center"/>
    </xf>
    <xf numFmtId="165" fontId="277" fillId="54" borderId="6" xfId="0" applyNumberFormat="1" applyFont="1" applyFill="1" applyBorder="1" applyAlignment="1">
      <alignment horizontal="center"/>
    </xf>
    <xf numFmtId="165" fontId="276" fillId="54" borderId="6" xfId="0" applyNumberFormat="1" applyFont="1" applyFill="1" applyBorder="1" applyProtection="1">
      <protection locked="0"/>
    </xf>
    <xf numFmtId="165" fontId="276" fillId="54" borderId="2" xfId="0" applyNumberFormat="1" applyFont="1" applyFill="1" applyBorder="1" applyAlignment="1" applyProtection="1">
      <alignment horizontal="center"/>
      <protection locked="0"/>
    </xf>
    <xf numFmtId="165" fontId="276" fillId="54" borderId="6" xfId="0" applyNumberFormat="1" applyFont="1" applyFill="1" applyBorder="1" applyAlignment="1" applyProtection="1">
      <alignment horizontal="center"/>
      <protection locked="0"/>
    </xf>
    <xf numFmtId="165" fontId="276" fillId="0" borderId="7" xfId="0" applyNumberFormat="1" applyFont="1" applyBorder="1" applyAlignment="1">
      <alignment horizontal="center"/>
    </xf>
    <xf numFmtId="165" fontId="277" fillId="7" borderId="10" xfId="0" applyNumberFormat="1" applyFont="1" applyFill="1" applyBorder="1" applyAlignment="1">
      <alignment horizontal="center"/>
    </xf>
    <xf numFmtId="165" fontId="277" fillId="7" borderId="48" xfId="0" applyNumberFormat="1" applyFont="1" applyFill="1" applyBorder="1"/>
    <xf numFmtId="165" fontId="276" fillId="0" borderId="0" xfId="0" applyNumberFormat="1" applyFont="1" applyAlignment="1" applyProtection="1">
      <alignment horizontal="center"/>
      <protection locked="0"/>
    </xf>
    <xf numFmtId="165" fontId="276" fillId="0" borderId="20" xfId="0" applyNumberFormat="1" applyFont="1" applyBorder="1" applyAlignment="1" applyProtection="1">
      <alignment horizontal="center"/>
      <protection locked="0"/>
    </xf>
    <xf numFmtId="165" fontId="277" fillId="0" borderId="16" xfId="0" applyNumberFormat="1" applyFont="1" applyBorder="1" applyAlignment="1">
      <alignment horizontal="center"/>
    </xf>
    <xf numFmtId="165" fontId="277" fillId="0" borderId="0" xfId="0" applyNumberFormat="1" applyFont="1" applyAlignment="1" applyProtection="1">
      <alignment horizontal="center"/>
      <protection locked="0"/>
    </xf>
    <xf numFmtId="165" fontId="277" fillId="0" borderId="21" xfId="0" applyNumberFormat="1" applyFont="1" applyBorder="1" applyAlignment="1" applyProtection="1">
      <alignment horizontal="center"/>
      <protection locked="0"/>
    </xf>
    <xf numFmtId="165" fontId="277" fillId="0" borderId="6" xfId="0" quotePrefix="1" applyNumberFormat="1" applyFont="1" applyBorder="1" applyAlignment="1" applyProtection="1">
      <alignment horizontal="center"/>
      <protection locked="0"/>
    </xf>
    <xf numFmtId="200" fontId="4" fillId="0" borderId="0" xfId="0" quotePrefix="1" applyNumberFormat="1" applyFont="1" applyAlignment="1" applyProtection="1">
      <alignment horizontal="center"/>
      <protection locked="0"/>
    </xf>
    <xf numFmtId="200" fontId="0" fillId="0" borderId="0" xfId="0" applyNumberFormat="1"/>
    <xf numFmtId="200" fontId="88" fillId="0" borderId="0" xfId="0" quotePrefix="1" applyNumberFormat="1" applyFont="1" applyAlignment="1">
      <alignment horizontal="center"/>
    </xf>
    <xf numFmtId="200" fontId="88" fillId="0" borderId="0" xfId="0" applyNumberFormat="1" applyFont="1" applyAlignment="1" applyProtection="1">
      <alignment horizontal="center"/>
      <protection locked="0"/>
    </xf>
    <xf numFmtId="200" fontId="88" fillId="0" borderId="0" xfId="0" quotePrefix="1" applyNumberFormat="1" applyFont="1" applyAlignment="1" applyProtection="1">
      <alignment horizontal="center"/>
      <protection locked="0"/>
    </xf>
    <xf numFmtId="200" fontId="168" fillId="0" borderId="0" xfId="0" applyNumberFormat="1" applyFont="1" applyAlignment="1">
      <alignment horizontal="center"/>
    </xf>
    <xf numFmtId="200" fontId="88" fillId="0" borderId="28" xfId="0" applyNumberFormat="1" applyFont="1" applyBorder="1" applyAlignment="1">
      <alignment horizontal="center"/>
    </xf>
    <xf numFmtId="200" fontId="82" fillId="7" borderId="109" xfId="0" applyNumberFormat="1" applyFont="1" applyFill="1" applyBorder="1" applyAlignment="1" applyProtection="1">
      <alignment horizontal="center"/>
      <protection locked="0"/>
    </xf>
    <xf numFmtId="165" fontId="88" fillId="0" borderId="6" xfId="0" quotePrefix="1" applyNumberFormat="1" applyFont="1" applyBorder="1" applyAlignment="1">
      <alignment horizontal="center"/>
    </xf>
    <xf numFmtId="200" fontId="154" fillId="7" borderId="13" xfId="0" applyNumberFormat="1" applyFont="1" applyFill="1" applyBorder="1" applyAlignment="1" applyProtection="1">
      <alignment horizontal="center"/>
      <protection locked="0"/>
    </xf>
    <xf numFmtId="3" fontId="278" fillId="0" borderId="113" xfId="0" applyNumberFormat="1" applyFont="1" applyBorder="1" applyAlignment="1">
      <alignment horizontal="center"/>
    </xf>
    <xf numFmtId="178" fontId="278" fillId="0" borderId="113" xfId="0" applyNumberFormat="1" applyFont="1" applyBorder="1" applyAlignment="1">
      <alignment horizontal="center"/>
    </xf>
    <xf numFmtId="0" fontId="278" fillId="0" borderId="113" xfId="0" applyFont="1" applyBorder="1" applyAlignment="1">
      <alignment horizontal="center"/>
    </xf>
    <xf numFmtId="16" fontId="4" fillId="0" borderId="0" xfId="0" applyNumberFormat="1" applyFont="1" applyAlignment="1" applyProtection="1">
      <alignment horizontal="center"/>
      <protection locked="0"/>
    </xf>
    <xf numFmtId="190" fontId="278" fillId="0" borderId="113" xfId="0" quotePrefix="1" applyNumberFormat="1" applyFont="1" applyBorder="1" applyAlignment="1">
      <alignment horizontal="center"/>
    </xf>
    <xf numFmtId="3" fontId="175" fillId="0" borderId="113" xfId="0" quotePrefix="1" applyNumberFormat="1" applyFont="1" applyBorder="1" applyAlignment="1">
      <alignment horizontal="center"/>
    </xf>
    <xf numFmtId="0" fontId="175" fillId="0" borderId="113" xfId="0" quotePrefix="1" applyFont="1" applyBorder="1" applyAlignment="1">
      <alignment horizontal="center"/>
    </xf>
    <xf numFmtId="3" fontId="25" fillId="0" borderId="111" xfId="0" applyNumberFormat="1" applyFont="1" applyBorder="1" applyProtection="1">
      <protection locked="0"/>
    </xf>
    <xf numFmtId="3" fontId="25" fillId="0" borderId="113" xfId="0" applyNumberFormat="1" applyFont="1" applyBorder="1" applyProtection="1">
      <protection locked="0"/>
    </xf>
    <xf numFmtId="200" fontId="25" fillId="0" borderId="113" xfId="0" applyNumberFormat="1" applyFont="1" applyBorder="1" applyProtection="1">
      <protection locked="0"/>
    </xf>
    <xf numFmtId="200" fontId="25" fillId="0" borderId="113" xfId="0" applyNumberFormat="1" applyFont="1" applyBorder="1" applyAlignment="1" applyProtection="1">
      <alignment horizontal="center"/>
      <protection locked="0"/>
    </xf>
    <xf numFmtId="3" fontId="25" fillId="0" borderId="112" xfId="0" applyNumberFormat="1" applyFont="1" applyBorder="1" applyAlignment="1" applyProtection="1">
      <alignment horizontal="center"/>
      <protection locked="0"/>
    </xf>
    <xf numFmtId="167" fontId="252" fillId="69" borderId="1" xfId="39" applyNumberFormat="1" applyFont="1" applyFill="1" applyBorder="1" applyAlignment="1">
      <alignment horizontal="center" vertical="center" wrapText="1"/>
    </xf>
    <xf numFmtId="167" fontId="252" fillId="69" borderId="4" xfId="39" applyNumberFormat="1" applyFont="1" applyFill="1" applyBorder="1" applyAlignment="1">
      <alignment horizontal="center" vertical="center" wrapText="1"/>
    </xf>
    <xf numFmtId="167" fontId="252" fillId="69" borderId="2" xfId="39" applyNumberFormat="1" applyFont="1" applyFill="1" applyBorder="1" applyAlignment="1">
      <alignment horizontal="center" vertical="center" wrapText="1"/>
    </xf>
    <xf numFmtId="49" fontId="224" fillId="69" borderId="0" xfId="39" applyNumberFormat="1" applyFont="1" applyFill="1" applyAlignment="1">
      <alignment horizontal="center" vertical="center" wrapText="1"/>
    </xf>
    <xf numFmtId="0" fontId="156" fillId="14" borderId="33" xfId="0" applyFont="1" applyFill="1" applyBorder="1" applyAlignment="1">
      <alignment horizontal="center" vertical="center" wrapText="1"/>
    </xf>
    <xf numFmtId="0" fontId="156" fillId="14" borderId="0" xfId="0" applyFont="1" applyFill="1" applyBorder="1" applyAlignment="1">
      <alignment horizontal="center" vertical="center" wrapText="1"/>
    </xf>
    <xf numFmtId="0" fontId="264" fillId="0" borderId="33" xfId="0" applyFont="1" applyBorder="1" applyAlignment="1" applyProtection="1">
      <alignment horizontal="center" vertical="center" wrapText="1"/>
      <protection locked="0"/>
    </xf>
    <xf numFmtId="0" fontId="264" fillId="0" borderId="0" xfId="0" applyFont="1" applyBorder="1" applyAlignment="1" applyProtection="1">
      <alignment horizontal="center" vertical="center" wrapText="1"/>
      <protection locked="0"/>
    </xf>
    <xf numFmtId="0" fontId="265" fillId="0" borderId="33" xfId="0" applyFont="1" applyBorder="1" applyAlignment="1" applyProtection="1">
      <alignment horizontal="center" vertical="center" wrapText="1"/>
      <protection locked="0"/>
    </xf>
    <xf numFmtId="0" fontId="265" fillId="0" borderId="0" xfId="0" applyFont="1" applyBorder="1" applyAlignment="1" applyProtection="1">
      <alignment horizontal="center" vertical="center" wrapText="1"/>
      <protection locked="0"/>
    </xf>
    <xf numFmtId="0" fontId="266" fillId="0" borderId="33" xfId="0" applyFont="1" applyBorder="1" applyAlignment="1">
      <alignment horizontal="center" vertical="center" wrapText="1"/>
    </xf>
    <xf numFmtId="0" fontId="266" fillId="0" borderId="0" xfId="0" applyFont="1" applyBorder="1" applyAlignment="1">
      <alignment horizontal="center" vertical="center" wrapText="1"/>
    </xf>
    <xf numFmtId="0" fontId="15" fillId="52" borderId="15" xfId="0" applyFont="1" applyFill="1" applyBorder="1" applyAlignment="1">
      <alignment horizontal="left" wrapText="1"/>
    </xf>
    <xf numFmtId="0" fontId="15" fillId="52" borderId="17" xfId="0" applyFont="1" applyFill="1" applyBorder="1" applyAlignment="1">
      <alignment horizontal="left"/>
    </xf>
    <xf numFmtId="1" fontId="5" fillId="10" borderId="29" xfId="0" applyNumberFormat="1" applyFont="1" applyFill="1" applyBorder="1" applyAlignment="1">
      <alignment horizontal="center"/>
    </xf>
    <xf numFmtId="1" fontId="5" fillId="10" borderId="28" xfId="0" applyNumberFormat="1" applyFont="1" applyFill="1" applyBorder="1" applyAlignment="1">
      <alignment horizontal="center"/>
    </xf>
    <xf numFmtId="1" fontId="117" fillId="10" borderId="26" xfId="0" applyNumberFormat="1" applyFont="1" applyFill="1" applyBorder="1" applyAlignment="1">
      <alignment horizontal="center"/>
    </xf>
    <xf numFmtId="1" fontId="117" fillId="10" borderId="25" xfId="0" applyNumberFormat="1" applyFont="1" applyFill="1" applyBorder="1" applyAlignment="1">
      <alignment horizontal="center"/>
    </xf>
  </cellXfs>
  <cellStyles count="53">
    <cellStyle name="20% - Accent1" xfId="22" builtinId="30" customBuiltin="1"/>
    <cellStyle name="20% - Accent2" xfId="25" builtinId="34" customBuiltin="1"/>
    <cellStyle name="20% - Accent3" xfId="28" builtinId="38" customBuiltin="1"/>
    <cellStyle name="20% - Accent4" xfId="31" builtinId="42" customBuiltin="1"/>
    <cellStyle name="20% - Accent5" xfId="34" builtinId="46" customBuiltin="1"/>
    <cellStyle name="20% - Accent6" xfId="37" builtinId="50" customBuiltin="1"/>
    <cellStyle name="40% - Accent1" xfId="23" builtinId="31" customBuiltin="1"/>
    <cellStyle name="40% - Accent2" xfId="26" builtinId="35" customBuiltin="1"/>
    <cellStyle name="40% - Accent3" xfId="29" builtinId="39" customBuiltin="1"/>
    <cellStyle name="40% - Accent4" xfId="32" builtinId="43" customBuiltin="1"/>
    <cellStyle name="40% - Accent5" xfId="35" builtinId="47" customBuiltin="1"/>
    <cellStyle name="40% - Accent6" xfId="38" builtinId="51" customBuiltin="1"/>
    <cellStyle name="60% - Accent1 2" xfId="43"/>
    <cellStyle name="60% - Accent2 2" xfId="44"/>
    <cellStyle name="60% - Accent3 2" xfId="45"/>
    <cellStyle name="60% - Accent4 2" xfId="46"/>
    <cellStyle name="60% - Accent5 2" xfId="47"/>
    <cellStyle name="60% - Accent6 2" xfId="48"/>
    <cellStyle name="Accent1" xfId="21" builtinId="29" customBuiltin="1"/>
    <cellStyle name="Accent2" xfId="24" builtinId="33" customBuiltin="1"/>
    <cellStyle name="Accent3" xfId="27" builtinId="37" customBuiltin="1"/>
    <cellStyle name="Accent4" xfId="30" builtinId="41" customBuiltin="1"/>
    <cellStyle name="Accent5" xfId="33" builtinId="45" customBuiltin="1"/>
    <cellStyle name="Accent6" xfId="36" builtinId="49" customBuiltin="1"/>
    <cellStyle name="Bad" xfId="12" builtinId="27" customBuiltin="1"/>
    <cellStyle name="Calculation" xfId="15" builtinId="22" customBuiltin="1"/>
    <cellStyle name="Check Cell" xfId="17" builtinId="23" customBuiltin="1"/>
    <cellStyle name="Comma" xfId="4" builtinId="3"/>
    <cellStyle name="Comma 2" xfId="50"/>
    <cellStyle name="Comma 7" xfId="6"/>
    <cellStyle name="Currency" xfId="5" builtinId="4"/>
    <cellStyle name="Currency 2" xfId="49"/>
    <cellStyle name="Explanatory Text" xfId="19" builtinId="53" customBuiltin="1"/>
    <cellStyle name="Followed Hyperlink" xfId="2" builtinId="9" hidden="1"/>
    <cellStyle name="Good" xfId="11" builtinId="26" customBuiltin="1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" xfId="1" builtinId="8" hidden="1"/>
    <cellStyle name="Hyperlink 2" xfId="52"/>
    <cellStyle name="Input" xfId="13" builtinId="20" customBuiltin="1"/>
    <cellStyle name="Linked Cell" xfId="16" builtinId="24" customBuiltin="1"/>
    <cellStyle name="Neutral 2" xfId="41"/>
    <cellStyle name="Normal" xfId="0" builtinId="0"/>
    <cellStyle name="Normal 2" xfId="39"/>
    <cellStyle name="Note 2" xfId="42"/>
    <cellStyle name="Output" xfId="14" builtinId="21" customBuiltin="1"/>
    <cellStyle name="Percent" xfId="3" builtinId="5"/>
    <cellStyle name="Percent 2" xfId="51"/>
    <cellStyle name="Title 2" xfId="40"/>
    <cellStyle name="Total" xfId="20" builtinId="25" customBuiltin="1"/>
    <cellStyle name="Warning Text" xfId="18" builtinId="11" customBuiltin="1"/>
  </cellStyles>
  <dxfs count="3"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/>
  <colors>
    <mruColors>
      <color rgb="FF0000FF"/>
      <color rgb="FFFFFF99"/>
      <color rgb="FFFF00FF"/>
      <color rgb="FF00FFFF"/>
      <color rgb="FFDA9694"/>
      <color rgb="FFFF6600"/>
      <color rgb="FF66FF66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152400</xdr:colOff>
      <xdr:row>9</xdr:row>
      <xdr:rowOff>152400</xdr:rowOff>
    </xdr:from>
    <xdr:to>
      <xdr:col>47</xdr:col>
      <xdr:colOff>161925</xdr:colOff>
      <xdr:row>11</xdr:row>
      <xdr:rowOff>0</xdr:rowOff>
    </xdr:to>
    <xdr:sp macro="" textlink="">
      <xdr:nvSpPr>
        <xdr:cNvPr id="1534" name="Line 1">
          <a:extLst>
            <a:ext uri="{FF2B5EF4-FFF2-40B4-BE49-F238E27FC236}">
              <a16:creationId xmlns:a16="http://schemas.microsoft.com/office/drawing/2014/main" xmlns="" id="{00000000-0008-0000-0500-0000FE050000}"/>
            </a:ext>
          </a:extLst>
        </xdr:cNvPr>
        <xdr:cNvSpPr>
          <a:spLocks noChangeShapeType="1"/>
        </xdr:cNvSpPr>
      </xdr:nvSpPr>
      <xdr:spPr bwMode="auto">
        <a:xfrm>
          <a:off x="10601325" y="933450"/>
          <a:ext cx="0" cy="133350"/>
        </a:xfrm>
        <a:prstGeom prst="line">
          <a:avLst/>
        </a:prstGeom>
        <a:noFill/>
        <a:ln w="1">
          <a:solidFill>
            <a:srgbClr val="000000"/>
          </a:solidFill>
          <a:round/>
          <a:headEnd/>
          <a:tailEnd type="triangle" w="sm" len="med"/>
        </a:ln>
      </xdr:spPr>
    </xdr:sp>
    <xdr:clientData/>
  </xdr:twoCellAnchor>
  <xdr:twoCellAnchor>
    <xdr:from>
      <xdr:col>47</xdr:col>
      <xdr:colOff>152400</xdr:colOff>
      <xdr:row>9</xdr:row>
      <xdr:rowOff>152400</xdr:rowOff>
    </xdr:from>
    <xdr:to>
      <xdr:col>47</xdr:col>
      <xdr:colOff>161925</xdr:colOff>
      <xdr:row>11</xdr:row>
      <xdr:rowOff>0</xdr:rowOff>
    </xdr:to>
    <xdr:sp macro="" textlink="">
      <xdr:nvSpPr>
        <xdr:cNvPr id="1535" name="Line 2">
          <a:extLst>
            <a:ext uri="{FF2B5EF4-FFF2-40B4-BE49-F238E27FC236}">
              <a16:creationId xmlns:a16="http://schemas.microsoft.com/office/drawing/2014/main" xmlns="" id="{00000000-0008-0000-0500-0000FF050000}"/>
            </a:ext>
          </a:extLst>
        </xdr:cNvPr>
        <xdr:cNvSpPr>
          <a:spLocks noChangeShapeType="1"/>
        </xdr:cNvSpPr>
      </xdr:nvSpPr>
      <xdr:spPr bwMode="auto">
        <a:xfrm>
          <a:off x="10601325" y="933450"/>
          <a:ext cx="0" cy="133350"/>
        </a:xfrm>
        <a:prstGeom prst="line">
          <a:avLst/>
        </a:prstGeom>
        <a:noFill/>
        <a:ln w="1">
          <a:solidFill>
            <a:srgbClr val="000000"/>
          </a:solidFill>
          <a:round/>
          <a:headEnd/>
          <a:tailEnd type="triangle" w="sm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mnibus/FY24%20OB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Water/FY24%20Water%20Enterprise%20Budget%20-Updated%2002.24.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Water/FY24%20Water%20Enterprise%20Budget%20-%20Dept%20Leve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Gabriel/FY2024%20TOPSFIELD%20BUDGET%20MODEL%20202301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Omnibus/Copy%20of%20FY2024%20OMNIBUS%20BUDGET-LEVEL%203%20FCM%20BUDGE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BUDGET DETAIL"/>
      <sheetName val="HIGHLIGHTS-NOTES"/>
      <sheetName val="ABOVE GUIDELINES"/>
      <sheetName val="SUMMARY"/>
      <sheetName val="Exp By Function"/>
      <sheetName val="Town-Sch Unclassified"/>
      <sheetName val="Library MARS"/>
      <sheetName val="% INC"/>
      <sheetName val="Pie Chart-Budget"/>
      <sheetName val="Pie Chart-School"/>
    </sheetNames>
    <sheetDataSet>
      <sheetData sheetId="0"/>
      <sheetData sheetId="1">
        <row r="6">
          <cell r="CO6">
            <v>50</v>
          </cell>
        </row>
        <row r="18">
          <cell r="CO18">
            <v>232346</v>
          </cell>
        </row>
        <row r="28">
          <cell r="CO28">
            <v>75569</v>
          </cell>
        </row>
        <row r="40">
          <cell r="CO40">
            <v>13890</v>
          </cell>
        </row>
        <row r="51">
          <cell r="CO51">
            <v>77300</v>
          </cell>
        </row>
        <row r="57">
          <cell r="CO57">
            <v>1687</v>
          </cell>
        </row>
        <row r="63">
          <cell r="CO63">
            <v>350</v>
          </cell>
        </row>
        <row r="66">
          <cell r="CO66">
            <v>100000</v>
          </cell>
        </row>
        <row r="73">
          <cell r="CO73">
            <v>115944</v>
          </cell>
        </row>
        <row r="77">
          <cell r="CO77">
            <v>65422</v>
          </cell>
        </row>
        <row r="88">
          <cell r="CO88">
            <v>37026</v>
          </cell>
        </row>
        <row r="96">
          <cell r="CO96">
            <v>100872</v>
          </cell>
        </row>
        <row r="100">
          <cell r="CO100">
            <v>52156</v>
          </cell>
        </row>
        <row r="117">
          <cell r="CO117">
            <v>55295</v>
          </cell>
        </row>
        <row r="124">
          <cell r="CO124">
            <v>112445</v>
          </cell>
        </row>
        <row r="129">
          <cell r="CO129">
            <v>115426</v>
          </cell>
        </row>
        <row r="146">
          <cell r="CO146">
            <v>45627</v>
          </cell>
        </row>
        <row r="180">
          <cell r="CO180">
            <v>263141</v>
          </cell>
        </row>
        <row r="186">
          <cell r="CO186">
            <v>688</v>
          </cell>
        </row>
        <row r="194">
          <cell r="CO194">
            <v>5128</v>
          </cell>
        </row>
        <row r="202">
          <cell r="CO202">
            <v>49850</v>
          </cell>
        </row>
        <row r="209">
          <cell r="CO209">
            <v>82352</v>
          </cell>
        </row>
        <row r="217">
          <cell r="CO217">
            <v>33588</v>
          </cell>
        </row>
        <row r="236">
          <cell r="CO236">
            <v>22507</v>
          </cell>
        </row>
        <row r="249">
          <cell r="CO249">
            <v>74303</v>
          </cell>
        </row>
        <row r="253">
          <cell r="CO253">
            <v>26363</v>
          </cell>
        </row>
        <row r="262">
          <cell r="CO262">
            <v>5</v>
          </cell>
        </row>
        <row r="277">
          <cell r="CO277">
            <v>1750</v>
          </cell>
        </row>
        <row r="293">
          <cell r="CO293">
            <v>750</v>
          </cell>
        </row>
        <row r="305">
          <cell r="CO305">
            <v>249432</v>
          </cell>
        </row>
        <row r="328">
          <cell r="CO328">
            <v>1297825</v>
          </cell>
        </row>
        <row r="369">
          <cell r="CO369">
            <v>123729</v>
          </cell>
        </row>
        <row r="376">
          <cell r="CO376">
            <v>130305</v>
          </cell>
        </row>
        <row r="390">
          <cell r="CO390">
            <v>919841</v>
          </cell>
        </row>
        <row r="432">
          <cell r="CO432">
            <v>157733</v>
          </cell>
        </row>
        <row r="443">
          <cell r="CO443">
            <v>111968</v>
          </cell>
        </row>
        <row r="448">
          <cell r="CO448">
            <v>36660</v>
          </cell>
        </row>
        <row r="461">
          <cell r="CO461">
            <v>13465</v>
          </cell>
        </row>
        <row r="467">
          <cell r="CO467">
            <v>1726</v>
          </cell>
        </row>
        <row r="473">
          <cell r="CO473">
            <v>7750</v>
          </cell>
        </row>
        <row r="476">
          <cell r="CO476">
            <v>571</v>
          </cell>
        </row>
        <row r="482">
          <cell r="CO482">
            <v>7750</v>
          </cell>
        </row>
        <row r="487">
          <cell r="CO487">
            <v>1840</v>
          </cell>
        </row>
        <row r="493">
          <cell r="CO493">
            <v>3352</v>
          </cell>
        </row>
        <row r="497">
          <cell r="CO497">
            <v>3530</v>
          </cell>
        </row>
        <row r="505">
          <cell r="CO505">
            <v>8260</v>
          </cell>
        </row>
        <row r="515">
          <cell r="CO515">
            <v>9979342</v>
          </cell>
        </row>
        <row r="522">
          <cell r="CO522">
            <v>486828</v>
          </cell>
        </row>
        <row r="531">
          <cell r="CO531">
            <v>5413</v>
          </cell>
        </row>
        <row r="534">
          <cell r="CO534">
            <v>10000</v>
          </cell>
        </row>
        <row r="541">
          <cell r="CO541">
            <v>69927</v>
          </cell>
        </row>
        <row r="551">
          <cell r="CO551">
            <v>341338</v>
          </cell>
        </row>
        <row r="555">
          <cell r="CO555">
            <v>6798</v>
          </cell>
        </row>
        <row r="556">
          <cell r="CO556">
            <v>4400</v>
          </cell>
        </row>
        <row r="557">
          <cell r="CO557">
            <v>6600</v>
          </cell>
        </row>
        <row r="558">
          <cell r="CO558">
            <v>9495</v>
          </cell>
        </row>
        <row r="559">
          <cell r="CO559">
            <v>5600</v>
          </cell>
        </row>
        <row r="560">
          <cell r="CO560">
            <v>300</v>
          </cell>
        </row>
        <row r="561">
          <cell r="CO561">
            <v>6000</v>
          </cell>
        </row>
        <row r="562">
          <cell r="CO562">
            <v>0</v>
          </cell>
        </row>
        <row r="563">
          <cell r="CO563">
            <v>500</v>
          </cell>
        </row>
        <row r="564">
          <cell r="CO564">
            <v>5900</v>
          </cell>
        </row>
        <row r="565">
          <cell r="CO565">
            <v>300</v>
          </cell>
        </row>
        <row r="566">
          <cell r="CO566">
            <v>0</v>
          </cell>
        </row>
        <row r="567">
          <cell r="CO567">
            <v>900</v>
          </cell>
        </row>
        <row r="568">
          <cell r="CO568">
            <v>750</v>
          </cell>
        </row>
        <row r="569">
          <cell r="CO569">
            <v>200</v>
          </cell>
        </row>
        <row r="570">
          <cell r="CO570">
            <v>765</v>
          </cell>
        </row>
        <row r="571">
          <cell r="CO571">
            <v>500</v>
          </cell>
        </row>
        <row r="572">
          <cell r="CO572">
            <v>5000</v>
          </cell>
        </row>
        <row r="573">
          <cell r="CO573">
            <v>0</v>
          </cell>
        </row>
        <row r="574">
          <cell r="CO574">
            <v>2480</v>
          </cell>
        </row>
        <row r="575">
          <cell r="CO575">
            <v>1100</v>
          </cell>
        </row>
        <row r="576">
          <cell r="CO576">
            <v>400</v>
          </cell>
        </row>
        <row r="577">
          <cell r="CO577">
            <v>0</v>
          </cell>
        </row>
        <row r="578">
          <cell r="CO578">
            <v>0</v>
          </cell>
        </row>
        <row r="579">
          <cell r="CO579">
            <v>750</v>
          </cell>
        </row>
        <row r="580">
          <cell r="CO580">
            <v>2120</v>
          </cell>
        </row>
        <row r="581">
          <cell r="CO581">
            <v>3500</v>
          </cell>
        </row>
        <row r="582">
          <cell r="CO582">
            <v>25056</v>
          </cell>
        </row>
        <row r="583">
          <cell r="CO583">
            <v>200</v>
          </cell>
        </row>
        <row r="584">
          <cell r="CO584">
            <v>7000</v>
          </cell>
        </row>
        <row r="585">
          <cell r="CO585">
            <v>13525</v>
          </cell>
        </row>
        <row r="586">
          <cell r="CO586">
            <v>1200</v>
          </cell>
        </row>
        <row r="587">
          <cell r="CO587">
            <v>150</v>
          </cell>
        </row>
        <row r="588">
          <cell r="CO588">
            <v>500</v>
          </cell>
        </row>
        <row r="589">
          <cell r="CO589">
            <v>6500</v>
          </cell>
        </row>
        <row r="590">
          <cell r="CO590">
            <v>1020</v>
          </cell>
        </row>
        <row r="591">
          <cell r="CO591">
            <v>0</v>
          </cell>
        </row>
        <row r="592">
          <cell r="CO592">
            <v>74067</v>
          </cell>
        </row>
        <row r="605">
          <cell r="CO605">
            <v>38870</v>
          </cell>
        </row>
        <row r="614">
          <cell r="CO614">
            <v>176845</v>
          </cell>
        </row>
        <row r="620">
          <cell r="CO620">
            <v>33000</v>
          </cell>
        </row>
        <row r="627">
          <cell r="CO627">
            <v>573590</v>
          </cell>
        </row>
        <row r="634">
          <cell r="CO634">
            <v>1650</v>
          </cell>
        </row>
        <row r="641">
          <cell r="CO641">
            <v>59400</v>
          </cell>
        </row>
        <row r="648">
          <cell r="CO648">
            <v>46618</v>
          </cell>
        </row>
        <row r="658">
          <cell r="CO658">
            <v>188906</v>
          </cell>
        </row>
        <row r="690">
          <cell r="CO690">
            <v>101970</v>
          </cell>
        </row>
        <row r="699">
          <cell r="CO699">
            <v>29600</v>
          </cell>
        </row>
        <row r="709">
          <cell r="CO709">
            <v>74187</v>
          </cell>
        </row>
        <row r="715">
          <cell r="CO715">
            <v>30532</v>
          </cell>
        </row>
        <row r="732">
          <cell r="CO732">
            <v>36576</v>
          </cell>
        </row>
        <row r="738">
          <cell r="CO738">
            <v>78042</v>
          </cell>
        </row>
        <row r="743">
          <cell r="CO743">
            <v>66131</v>
          </cell>
        </row>
        <row r="756">
          <cell r="CO756">
            <v>5561</v>
          </cell>
        </row>
        <row r="768">
          <cell r="CO768">
            <v>20960</v>
          </cell>
        </row>
        <row r="774">
          <cell r="CO774">
            <v>1000</v>
          </cell>
        </row>
        <row r="788">
          <cell r="CO788">
            <v>281779</v>
          </cell>
        </row>
        <row r="793">
          <cell r="CO793">
            <v>224075</v>
          </cell>
        </row>
        <row r="817">
          <cell r="CO817">
            <v>177496</v>
          </cell>
        </row>
        <row r="823">
          <cell r="CO823">
            <v>33251</v>
          </cell>
        </row>
        <row r="830">
          <cell r="CO830">
            <v>2000</v>
          </cell>
        </row>
        <row r="837">
          <cell r="CO837">
            <v>300</v>
          </cell>
        </row>
        <row r="853">
          <cell r="CO853">
            <v>1850</v>
          </cell>
        </row>
        <row r="923">
          <cell r="CO923">
            <v>1723590</v>
          </cell>
        </row>
        <row r="940">
          <cell r="CO940">
            <v>2454367</v>
          </cell>
        </row>
        <row r="951">
          <cell r="CO951">
            <v>397960</v>
          </cell>
        </row>
      </sheetData>
      <sheetData sheetId="2"/>
      <sheetData sheetId="3">
        <row r="7">
          <cell r="J7">
            <v>1500</v>
          </cell>
          <cell r="K7">
            <v>0</v>
          </cell>
          <cell r="L7">
            <v>0</v>
          </cell>
        </row>
        <row r="8">
          <cell r="J8">
            <v>150</v>
          </cell>
          <cell r="K8">
            <v>0</v>
          </cell>
          <cell r="L8">
            <v>0</v>
          </cell>
        </row>
        <row r="13">
          <cell r="J13">
            <v>200</v>
          </cell>
        </row>
        <row r="14">
          <cell r="K14">
            <v>6909</v>
          </cell>
        </row>
        <row r="16">
          <cell r="L16">
            <v>11357</v>
          </cell>
        </row>
        <row r="30">
          <cell r="J30">
            <v>15000</v>
          </cell>
        </row>
        <row r="31">
          <cell r="K31">
            <v>5000</v>
          </cell>
        </row>
        <row r="34">
          <cell r="K34">
            <v>5600</v>
          </cell>
        </row>
        <row r="35">
          <cell r="J35">
            <v>3000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TER 061"/>
    </sheetNames>
    <sheetDataSet>
      <sheetData sheetId="0">
        <row r="8">
          <cell r="BX8">
            <v>116544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TER 061"/>
    </sheetNames>
    <sheetDataSet>
      <sheetData sheetId="0">
        <row r="19">
          <cell r="BX19">
            <v>280340</v>
          </cell>
        </row>
        <row r="71">
          <cell r="BX71">
            <v>441350</v>
          </cell>
        </row>
        <row r="73">
          <cell r="BX73">
            <v>650500</v>
          </cell>
        </row>
        <row r="74">
          <cell r="BX74">
            <v>310221</v>
          </cell>
        </row>
        <row r="76">
          <cell r="BX76">
            <v>5000</v>
          </cell>
        </row>
        <row r="77">
          <cell r="BX77">
            <v>40000</v>
          </cell>
        </row>
        <row r="81">
          <cell r="BX81">
            <v>130000</v>
          </cell>
        </row>
        <row r="82">
          <cell r="BX82">
            <v>150000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S"/>
      <sheetName val="RECAP SUMMARY"/>
      <sheetName val="FINANCIAL POLICIES"/>
      <sheetName val="LEVY LIMIT"/>
      <sheetName val="DE 1"/>
      <sheetName val="RECAP pg3~ EST RECPTS"/>
      <sheetName val="USES OF FREE CASH"/>
      <sheetName val="BUDGET OFFSETS"/>
      <sheetName val="BUDGET"/>
      <sheetName val="RAISE &amp; APPROPRIATE"/>
      <sheetName val="Article 3rd"/>
      <sheetName val="B-2  OTHER AVAILABLE FUNDS"/>
      <sheetName val="WATER-BUDGET"/>
      <sheetName val="WATER-USES OF R.E."/>
      <sheetName val="SCH A3~REVOLVING"/>
      <sheetName val="STATE AID (CHERRY SHT)"/>
      <sheetName val="SCHOOL ASSESSMENTS"/>
      <sheetName val="ELEM SCH BUDGET"/>
      <sheetName val="MASCO Budget"/>
      <sheetName val="MASCO Warrant Language"/>
      <sheetName val="MASCO Enrollment"/>
      <sheetName val="MASCO Debt"/>
      <sheetName val="ESSEX TECH "/>
      <sheetName val="ESSEX TECH Warrant Language"/>
      <sheetName val="OVERLAY (OL-1)"/>
      <sheetName val="RECAP pg4~ATM"/>
      <sheetName val="RECAP pg4~S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1">
          <cell r="O21">
            <v>710527</v>
          </cell>
        </row>
        <row r="27">
          <cell r="O27">
            <v>15928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BUDGET DETAIL"/>
      <sheetName val="HIGHLIGHTS-NOTES"/>
      <sheetName val="ABOVE GUIDELINES"/>
      <sheetName val="SUMMARY"/>
      <sheetName val="Exp By Function"/>
      <sheetName val="Town-Sch Unclassified"/>
      <sheetName val="Library MARS"/>
      <sheetName val="% INC"/>
      <sheetName val="Pie Chart-Budget"/>
      <sheetName val="Pie Chart-School"/>
    </sheetNames>
    <sheetDataSet>
      <sheetData sheetId="0"/>
      <sheetData sheetId="1"/>
      <sheetData sheetId="2"/>
      <sheetData sheetId="3">
        <row r="44">
          <cell r="P44">
            <v>132563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"/>
  <sheetViews>
    <sheetView workbookViewId="0"/>
  </sheetViews>
  <sheetFormatPr defaultColWidth="8.85546875" defaultRowHeight="12.75" x14ac:dyDescent="0.2"/>
  <cols>
    <col min="1" max="1" width="13.7109375" style="556" customWidth="1"/>
    <col min="2" max="2" width="17" customWidth="1"/>
    <col min="3" max="3" width="87.5703125" customWidth="1"/>
  </cols>
  <sheetData>
    <row r="1" spans="1:3" x14ac:dyDescent="0.2">
      <c r="A1" s="555" t="s">
        <v>742</v>
      </c>
    </row>
    <row r="2" spans="1:3" s="259" customFormat="1" x14ac:dyDescent="0.2">
      <c r="A2" s="556"/>
      <c r="B2"/>
      <c r="C2" t="s">
        <v>1056</v>
      </c>
    </row>
    <row r="3" spans="1:3" x14ac:dyDescent="0.2">
      <c r="C3" t="s">
        <v>1057</v>
      </c>
    </row>
    <row r="4" spans="1:3" ht="18.600000000000001" customHeight="1" x14ac:dyDescent="0.2">
      <c r="C4" s="459" t="s">
        <v>1058</v>
      </c>
    </row>
    <row r="5" spans="1:3" ht="22.15" customHeight="1" x14ac:dyDescent="0.2">
      <c r="C5" t="s">
        <v>1059</v>
      </c>
    </row>
    <row r="6" spans="1:3" x14ac:dyDescent="0.2">
      <c r="C6" t="s">
        <v>1060</v>
      </c>
    </row>
    <row r="7" spans="1:3" x14ac:dyDescent="0.2">
      <c r="C7" t="s">
        <v>1061</v>
      </c>
    </row>
    <row r="13" spans="1:3" s="576" customFormat="1" x14ac:dyDescent="0.2">
      <c r="A13" s="556"/>
      <c r="B13"/>
      <c r="C13"/>
    </row>
    <row r="24" spans="1:3" s="576" customFormat="1" x14ac:dyDescent="0.2">
      <c r="A24" s="556"/>
      <c r="B24"/>
      <c r="C24"/>
    </row>
  </sheetData>
  <phoneticPr fontId="57" type="noConversion"/>
  <pageMargins left="0.7" right="0.7" top="0.75" bottom="0.75" header="0.3" footer="0.3"/>
  <pageSetup orientation="portrait" horizontalDpi="300" verticalDpi="300"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44"/>
  <sheetViews>
    <sheetView workbookViewId="0"/>
  </sheetViews>
  <sheetFormatPr defaultColWidth="8.85546875" defaultRowHeight="11.25" x14ac:dyDescent="0.2"/>
  <cols>
    <col min="1" max="1" width="36" style="81" customWidth="1"/>
    <col min="2" max="4" width="11.140625" style="81" hidden="1" customWidth="1"/>
    <col min="5" max="5" width="11" style="364" hidden="1" customWidth="1"/>
    <col min="6" max="6" width="11.28515625" style="81" hidden="1" customWidth="1"/>
    <col min="7" max="7" width="10.85546875" style="81" hidden="1" customWidth="1"/>
    <col min="8" max="8" width="10.85546875" style="365" hidden="1" customWidth="1"/>
    <col min="9" max="9" width="11.7109375" style="81" hidden="1" customWidth="1"/>
    <col min="10" max="10" width="10.42578125" style="81" hidden="1" customWidth="1"/>
    <col min="11" max="11" width="11.28515625" style="364" hidden="1" customWidth="1"/>
    <col min="12" max="13" width="11.140625" style="364" hidden="1" customWidth="1"/>
    <col min="14" max="14" width="10.85546875" style="81" hidden="1" customWidth="1"/>
    <col min="15" max="15" width="10" style="81" hidden="1" customWidth="1"/>
    <col min="16" max="16" width="10.85546875" style="81" hidden="1" customWidth="1"/>
    <col min="17" max="17" width="9.85546875" style="81" hidden="1" customWidth="1"/>
    <col min="18" max="32" width="8.85546875" style="81" hidden="1" customWidth="1"/>
    <col min="33" max="33" width="10" style="81" hidden="1" customWidth="1"/>
    <col min="34" max="35" width="0" style="81" hidden="1" customWidth="1"/>
    <col min="36" max="36" width="8.85546875" style="81"/>
    <col min="37" max="38" width="8.85546875" style="81" customWidth="1"/>
    <col min="39" max="40" width="10" style="81" customWidth="1"/>
    <col min="41" max="44" width="8.85546875" style="81" customWidth="1"/>
    <col min="45" max="45" width="10.28515625" style="81" customWidth="1"/>
    <col min="46" max="46" width="8.85546875" style="81"/>
    <col min="47" max="47" width="11.140625" style="81" bestFit="1" customWidth="1"/>
    <col min="48" max="16384" width="8.85546875" style="81"/>
  </cols>
  <sheetData>
    <row r="1" spans="1:51" ht="12" x14ac:dyDescent="0.2">
      <c r="U1" s="487"/>
      <c r="V1" s="487"/>
      <c r="W1" s="487"/>
      <c r="X1" s="487"/>
      <c r="Y1" s="487"/>
      <c r="Z1" s="488"/>
      <c r="AA1" s="489"/>
      <c r="AB1" s="489"/>
      <c r="AC1" s="489"/>
      <c r="AD1" s="489"/>
      <c r="AE1" s="488"/>
      <c r="AF1" s="520"/>
      <c r="AG1" s="488"/>
      <c r="AI1" s="520"/>
      <c r="AJ1" s="486" t="s">
        <v>79</v>
      </c>
      <c r="AK1" s="520"/>
      <c r="AL1" s="520"/>
      <c r="AM1" s="488"/>
    </row>
    <row r="2" spans="1:51" ht="12" x14ac:dyDescent="0.2">
      <c r="U2" s="491"/>
      <c r="V2" s="492"/>
      <c r="W2" s="492"/>
      <c r="X2" s="492"/>
      <c r="Y2" s="492"/>
      <c r="Z2" s="493"/>
      <c r="AA2" s="494"/>
      <c r="AB2" s="494"/>
      <c r="AC2" s="494"/>
      <c r="AD2" s="494"/>
      <c r="AE2" s="493"/>
      <c r="AG2" s="493"/>
      <c r="AJ2" s="490" t="s">
        <v>402</v>
      </c>
      <c r="AM2" s="493"/>
    </row>
    <row r="3" spans="1:51" ht="12.75" thickBot="1" x14ac:dyDescent="0.25">
      <c r="U3" s="496"/>
      <c r="V3" s="497"/>
      <c r="W3" s="497"/>
      <c r="X3" s="497"/>
      <c r="Y3" s="497"/>
      <c r="Z3" s="498"/>
      <c r="AA3" s="499"/>
      <c r="AB3" s="499"/>
      <c r="AC3" s="499"/>
      <c r="AD3" s="499"/>
      <c r="AE3" s="498"/>
      <c r="AF3" s="521"/>
      <c r="AG3" s="498"/>
      <c r="AI3" s="521"/>
      <c r="AJ3" s="495" t="s">
        <v>99</v>
      </c>
      <c r="AK3" s="521"/>
      <c r="AL3" s="521"/>
      <c r="AM3" s="498"/>
    </row>
    <row r="4" spans="1:51" x14ac:dyDescent="0.2">
      <c r="A4" s="335" t="s">
        <v>100</v>
      </c>
      <c r="B4" s="339" t="s">
        <v>513</v>
      </c>
      <c r="C4" s="338" t="s">
        <v>512</v>
      </c>
      <c r="D4" s="337" t="s">
        <v>513</v>
      </c>
      <c r="E4" s="340" t="s">
        <v>512</v>
      </c>
      <c r="F4" s="341" t="s">
        <v>513</v>
      </c>
      <c r="G4" s="336" t="s">
        <v>512</v>
      </c>
      <c r="H4" s="342" t="s">
        <v>513</v>
      </c>
      <c r="I4" s="336" t="s">
        <v>512</v>
      </c>
      <c r="J4" s="336" t="s">
        <v>513</v>
      </c>
      <c r="K4" s="343" t="s">
        <v>512</v>
      </c>
      <c r="L4" s="340" t="s">
        <v>513</v>
      </c>
      <c r="M4" s="340" t="s">
        <v>512</v>
      </c>
      <c r="N4" s="340" t="s">
        <v>513</v>
      </c>
      <c r="O4" s="336" t="s">
        <v>512</v>
      </c>
      <c r="P4" s="337" t="s">
        <v>513</v>
      </c>
      <c r="Q4" s="463" t="s">
        <v>512</v>
      </c>
      <c r="R4" s="463" t="s">
        <v>513</v>
      </c>
      <c r="S4" s="465" t="s">
        <v>512</v>
      </c>
      <c r="T4" s="517" t="s">
        <v>513</v>
      </c>
      <c r="U4" s="518" t="s">
        <v>512</v>
      </c>
      <c r="V4" s="519" t="s">
        <v>500</v>
      </c>
      <c r="W4" s="522" t="s">
        <v>437</v>
      </c>
      <c r="X4" s="524" t="s">
        <v>407</v>
      </c>
      <c r="Y4" s="560" t="s">
        <v>512</v>
      </c>
      <c r="Z4" s="538" t="s">
        <v>407</v>
      </c>
      <c r="AA4" s="538" t="s">
        <v>512</v>
      </c>
      <c r="AB4" s="562" t="s">
        <v>61</v>
      </c>
      <c r="AC4" s="562" t="s">
        <v>66</v>
      </c>
      <c r="AD4" s="560" t="s">
        <v>407</v>
      </c>
      <c r="AE4" s="560" t="s">
        <v>66</v>
      </c>
      <c r="AF4" s="538" t="s">
        <v>407</v>
      </c>
      <c r="AG4" s="538" t="s">
        <v>142</v>
      </c>
      <c r="AH4" s="562" t="s">
        <v>407</v>
      </c>
      <c r="AI4" s="587" t="s">
        <v>810</v>
      </c>
      <c r="AJ4" s="560" t="s">
        <v>407</v>
      </c>
      <c r="AK4" s="560" t="s">
        <v>142</v>
      </c>
      <c r="AL4" s="538" t="s">
        <v>407</v>
      </c>
      <c r="AM4" s="538" t="s">
        <v>66</v>
      </c>
      <c r="AN4" s="562" t="s">
        <v>936</v>
      </c>
      <c r="AO4" s="587" t="s">
        <v>954</v>
      </c>
      <c r="AP4" s="560" t="s">
        <v>955</v>
      </c>
      <c r="AQ4" s="560" t="s">
        <v>954</v>
      </c>
      <c r="AR4" s="1641" t="s">
        <v>955</v>
      </c>
      <c r="AS4" s="1641" t="s">
        <v>954</v>
      </c>
      <c r="AT4" s="562" t="s">
        <v>955</v>
      </c>
      <c r="AU4" s="587" t="s">
        <v>954</v>
      </c>
      <c r="AV4" s="560" t="s">
        <v>955</v>
      </c>
      <c r="AW4" s="560" t="s">
        <v>954</v>
      </c>
      <c r="AX4" s="1641" t="s">
        <v>955</v>
      </c>
      <c r="AY4" s="1641" t="s">
        <v>954</v>
      </c>
    </row>
    <row r="5" spans="1:51" ht="12" thickBot="1" x14ac:dyDescent="0.25">
      <c r="A5" s="344" t="s">
        <v>638</v>
      </c>
      <c r="B5" s="348">
        <v>2000</v>
      </c>
      <c r="C5" s="347">
        <v>2000</v>
      </c>
      <c r="D5" s="346">
        <v>2001</v>
      </c>
      <c r="E5" s="347">
        <v>2001</v>
      </c>
      <c r="F5" s="349">
        <v>2002</v>
      </c>
      <c r="G5" s="345">
        <v>2002</v>
      </c>
      <c r="H5" s="345">
        <v>2003</v>
      </c>
      <c r="I5" s="345">
        <v>2003</v>
      </c>
      <c r="J5" s="345">
        <v>2004</v>
      </c>
      <c r="K5" s="345">
        <v>2004</v>
      </c>
      <c r="L5" s="347">
        <v>2005</v>
      </c>
      <c r="M5" s="347">
        <v>2005</v>
      </c>
      <c r="N5" s="347">
        <v>2006</v>
      </c>
      <c r="O5" s="345">
        <v>2006</v>
      </c>
      <c r="P5" s="346">
        <v>2007</v>
      </c>
      <c r="Q5" s="464">
        <v>2007</v>
      </c>
      <c r="R5" s="464">
        <v>2008</v>
      </c>
      <c r="S5" s="466">
        <v>2008</v>
      </c>
      <c r="T5" s="481">
        <v>2009</v>
      </c>
      <c r="U5" s="482">
        <v>2009</v>
      </c>
      <c r="V5" s="483">
        <v>2010</v>
      </c>
      <c r="W5" s="523">
        <v>2010</v>
      </c>
      <c r="X5" s="525">
        <v>2011</v>
      </c>
      <c r="Y5" s="561">
        <v>2011</v>
      </c>
      <c r="Z5" s="539">
        <v>2012</v>
      </c>
      <c r="AA5" s="539">
        <v>2012</v>
      </c>
      <c r="AB5" s="571">
        <v>2013</v>
      </c>
      <c r="AC5" s="571">
        <v>2013</v>
      </c>
      <c r="AD5" s="561">
        <v>2014</v>
      </c>
      <c r="AE5" s="561">
        <v>2014</v>
      </c>
      <c r="AF5" s="539">
        <v>2015</v>
      </c>
      <c r="AG5" s="539">
        <v>2015</v>
      </c>
      <c r="AH5" s="571">
        <v>2016</v>
      </c>
      <c r="AI5" s="587">
        <v>2016</v>
      </c>
      <c r="AJ5" s="561">
        <v>2017</v>
      </c>
      <c r="AK5" s="561">
        <v>2017</v>
      </c>
      <c r="AL5" s="539">
        <v>2018</v>
      </c>
      <c r="AM5" s="539">
        <v>2018</v>
      </c>
      <c r="AN5" s="571">
        <v>2019</v>
      </c>
      <c r="AO5" s="587">
        <v>2019</v>
      </c>
      <c r="AP5" s="561">
        <v>2020</v>
      </c>
      <c r="AQ5" s="561">
        <v>2020</v>
      </c>
      <c r="AR5" s="1642">
        <v>2021</v>
      </c>
      <c r="AS5" s="1642">
        <v>2021</v>
      </c>
      <c r="AT5" s="571">
        <v>2022</v>
      </c>
      <c r="AU5" s="587">
        <v>2022</v>
      </c>
      <c r="AV5" s="561">
        <v>2023</v>
      </c>
      <c r="AW5" s="561">
        <v>2023</v>
      </c>
      <c r="AX5" s="1642">
        <v>2024</v>
      </c>
      <c r="AY5" s="1642">
        <v>2024</v>
      </c>
    </row>
    <row r="6" spans="1:51" x14ac:dyDescent="0.2">
      <c r="A6" s="74" t="s">
        <v>164</v>
      </c>
      <c r="B6" s="350"/>
      <c r="C6" s="351"/>
      <c r="D6" s="350"/>
      <c r="E6" s="352"/>
      <c r="G6" s="353"/>
      <c r="H6" s="75"/>
      <c r="I6" s="353"/>
      <c r="J6" s="75"/>
      <c r="K6" s="353"/>
      <c r="L6" s="352"/>
      <c r="M6" s="352"/>
      <c r="N6" s="354"/>
      <c r="O6" s="77"/>
      <c r="P6" s="350"/>
      <c r="Q6" s="354"/>
      <c r="R6" s="354"/>
      <c r="S6" s="467"/>
      <c r="T6" s="354"/>
      <c r="U6" s="467"/>
      <c r="V6" s="354"/>
      <c r="W6" s="354"/>
      <c r="X6" s="354"/>
      <c r="Y6" s="536"/>
      <c r="Z6" s="537"/>
      <c r="AA6" s="536"/>
      <c r="AB6" s="536"/>
      <c r="AC6" s="536"/>
      <c r="AD6" s="537"/>
      <c r="AE6" s="537"/>
      <c r="AF6" s="354"/>
      <c r="AG6" s="537"/>
      <c r="AH6" s="354"/>
      <c r="AI6" s="354"/>
      <c r="AJ6" s="354"/>
      <c r="AL6" s="354"/>
      <c r="AM6" s="537"/>
      <c r="AN6" s="354"/>
      <c r="AO6" s="354"/>
      <c r="AP6" s="354"/>
      <c r="AV6" s="354"/>
    </row>
    <row r="7" spans="1:51" x14ac:dyDescent="0.2">
      <c r="A7" s="77" t="s">
        <v>514</v>
      </c>
      <c r="B7" s="355">
        <v>700000</v>
      </c>
      <c r="C7" s="352">
        <v>797904.61</v>
      </c>
      <c r="D7" s="355">
        <v>700000</v>
      </c>
      <c r="E7" s="352">
        <v>851601.57</v>
      </c>
      <c r="F7" s="355">
        <v>782000</v>
      </c>
      <c r="G7" s="353">
        <v>919701.83</v>
      </c>
      <c r="H7" s="75">
        <v>800000</v>
      </c>
      <c r="I7" s="353">
        <v>901824.6</v>
      </c>
      <c r="J7" s="75">
        <v>825000</v>
      </c>
      <c r="K7" s="353">
        <v>929534.82</v>
      </c>
      <c r="L7" s="352">
        <v>825000</v>
      </c>
      <c r="M7" s="352">
        <v>850317.28</v>
      </c>
      <c r="N7" s="353">
        <v>825000</v>
      </c>
      <c r="O7" s="454">
        <v>1038285.24</v>
      </c>
      <c r="P7" s="421">
        <v>825000</v>
      </c>
      <c r="Q7" s="448"/>
      <c r="R7" s="76">
        <v>825000</v>
      </c>
      <c r="S7" s="355"/>
      <c r="T7" s="448">
        <v>800000</v>
      </c>
      <c r="U7" s="551">
        <v>860071.67</v>
      </c>
      <c r="V7" s="75">
        <v>736000</v>
      </c>
      <c r="W7" s="549">
        <v>839439.31</v>
      </c>
      <c r="X7" s="77">
        <v>736000</v>
      </c>
      <c r="Y7" s="570">
        <v>853009.39</v>
      </c>
      <c r="Z7" s="372">
        <v>736000</v>
      </c>
      <c r="AA7" s="372">
        <v>854015.84</v>
      </c>
      <c r="AB7" s="372">
        <v>756675</v>
      </c>
      <c r="AC7" s="372">
        <v>745000</v>
      </c>
      <c r="AD7" s="372">
        <v>745000</v>
      </c>
      <c r="AE7" s="372">
        <v>1023722.54</v>
      </c>
      <c r="AF7" s="577">
        <v>800975</v>
      </c>
      <c r="AG7" s="585">
        <v>1090919.81</v>
      </c>
      <c r="AH7" s="577">
        <v>905000</v>
      </c>
      <c r="AI7" s="577">
        <f>AH7</f>
        <v>905000</v>
      </c>
      <c r="AJ7" s="577">
        <v>905000</v>
      </c>
      <c r="AK7" s="588">
        <v>1277345.73</v>
      </c>
      <c r="AL7" s="577">
        <v>975000</v>
      </c>
      <c r="AM7" s="585">
        <v>1172609.78</v>
      </c>
      <c r="AN7" s="577">
        <v>1050000</v>
      </c>
      <c r="AO7" s="577">
        <f>21705+40343+25828+31697+4268+14847</f>
        <v>138688</v>
      </c>
      <c r="AP7" s="577">
        <f>AN7-1000</f>
        <v>1049000</v>
      </c>
      <c r="AQ7" s="588"/>
      <c r="AR7" s="577">
        <f>1025000</f>
        <v>1025000</v>
      </c>
      <c r="AT7" s="577">
        <f>1025000</f>
        <v>1025000</v>
      </c>
      <c r="AV7" s="577">
        <f>1025000</f>
        <v>1025000</v>
      </c>
      <c r="AW7" s="588"/>
      <c r="AX7" s="588">
        <f>AV7</f>
        <v>1025000</v>
      </c>
    </row>
    <row r="8" spans="1:51" x14ac:dyDescent="0.2">
      <c r="A8" s="77" t="s">
        <v>643</v>
      </c>
      <c r="B8" s="355">
        <v>0</v>
      </c>
      <c r="C8" s="352">
        <v>0</v>
      </c>
      <c r="D8" s="355">
        <v>0</v>
      </c>
      <c r="E8" s="352">
        <v>0</v>
      </c>
      <c r="F8" s="355">
        <v>0</v>
      </c>
      <c r="G8" s="353"/>
      <c r="H8" s="75"/>
      <c r="I8" s="353"/>
      <c r="J8" s="351"/>
      <c r="K8" s="353"/>
      <c r="L8" s="352"/>
      <c r="M8" s="352"/>
      <c r="N8" s="353"/>
      <c r="O8" s="454"/>
      <c r="P8" s="421"/>
      <c r="Q8" s="353"/>
      <c r="R8" s="469"/>
      <c r="S8" s="355"/>
      <c r="T8" s="353"/>
      <c r="U8" s="551"/>
      <c r="V8" s="75">
        <v>0</v>
      </c>
      <c r="W8" s="549">
        <v>1176</v>
      </c>
      <c r="X8" s="77"/>
      <c r="Y8" s="570">
        <v>556.44000000000005</v>
      </c>
      <c r="Z8" s="372">
        <v>1100</v>
      </c>
      <c r="AA8" s="372">
        <v>127</v>
      </c>
      <c r="AB8" s="372">
        <v>125</v>
      </c>
      <c r="AC8" s="372">
        <v>500</v>
      </c>
      <c r="AD8" s="372">
        <v>500</v>
      </c>
      <c r="AE8" s="372">
        <v>0</v>
      </c>
      <c r="AF8" s="577">
        <v>0</v>
      </c>
      <c r="AG8" s="372"/>
      <c r="AH8" s="577">
        <f t="shared" ref="AH8:AJ27" si="0">AF8</f>
        <v>0</v>
      </c>
      <c r="AI8" s="577">
        <f t="shared" ref="AI8:AI28" si="1">AH8</f>
        <v>0</v>
      </c>
      <c r="AJ8" s="577">
        <f t="shared" si="0"/>
        <v>0</v>
      </c>
      <c r="AK8" s="588"/>
      <c r="AL8" s="577">
        <v>0</v>
      </c>
      <c r="AM8" s="372"/>
      <c r="AN8" s="577"/>
      <c r="AO8" s="577"/>
      <c r="AP8" s="577">
        <f t="shared" ref="AP8:AR29" si="2">AN8</f>
        <v>0</v>
      </c>
      <c r="AQ8" s="588"/>
      <c r="AR8" s="577">
        <v>30000</v>
      </c>
      <c r="AT8" s="577">
        <v>30000</v>
      </c>
      <c r="AV8" s="577">
        <v>30000</v>
      </c>
      <c r="AW8" s="588"/>
      <c r="AX8" s="588">
        <f t="shared" ref="AX8:AX30" si="3">AV8</f>
        <v>30000</v>
      </c>
    </row>
    <row r="9" spans="1:51" x14ac:dyDescent="0.2">
      <c r="A9" s="77" t="s">
        <v>392</v>
      </c>
      <c r="B9" s="355">
        <v>46000</v>
      </c>
      <c r="C9" s="352">
        <v>39491.660000000003</v>
      </c>
      <c r="D9" s="355">
        <v>39000</v>
      </c>
      <c r="E9" s="352">
        <v>33136.39</v>
      </c>
      <c r="F9" s="355">
        <v>33000</v>
      </c>
      <c r="G9" s="353">
        <v>63407.01</v>
      </c>
      <c r="H9" s="75">
        <v>33000</v>
      </c>
      <c r="I9" s="353">
        <v>38041.279999999999</v>
      </c>
      <c r="J9" s="75">
        <v>35000</v>
      </c>
      <c r="K9" s="353">
        <v>39289.19</v>
      </c>
      <c r="L9" s="352">
        <v>33500</v>
      </c>
      <c r="M9" s="352">
        <v>196015.9</v>
      </c>
      <c r="N9" s="353">
        <v>33500</v>
      </c>
      <c r="O9" s="454">
        <v>31957.14</v>
      </c>
      <c r="P9" s="421">
        <v>33500</v>
      </c>
      <c r="Q9" s="448"/>
      <c r="R9" s="76">
        <v>27500</v>
      </c>
      <c r="S9" s="355"/>
      <c r="T9" s="448">
        <v>27500</v>
      </c>
      <c r="U9" s="551">
        <v>29699.3</v>
      </c>
      <c r="V9" s="75">
        <v>25300</v>
      </c>
      <c r="W9" s="549">
        <v>39089.980000000003</v>
      </c>
      <c r="X9" s="77">
        <v>25300</v>
      </c>
      <c r="Y9" s="570">
        <v>27071.32</v>
      </c>
      <c r="Z9" s="372">
        <v>25300</v>
      </c>
      <c r="AA9" s="372">
        <v>69302</v>
      </c>
      <c r="AB9" s="372">
        <v>25300</v>
      </c>
      <c r="AC9" s="372">
        <v>25300</v>
      </c>
      <c r="AD9" s="372">
        <v>25300</v>
      </c>
      <c r="AE9" s="372">
        <v>40261.07</v>
      </c>
      <c r="AF9" s="577">
        <v>25300</v>
      </c>
      <c r="AG9" s="372">
        <v>37826.42</v>
      </c>
      <c r="AH9" s="577">
        <f t="shared" si="0"/>
        <v>25300</v>
      </c>
      <c r="AI9" s="577">
        <f t="shared" si="1"/>
        <v>25300</v>
      </c>
      <c r="AJ9" s="577">
        <f t="shared" si="0"/>
        <v>25300</v>
      </c>
      <c r="AK9" s="588">
        <v>41275.919999999998</v>
      </c>
      <c r="AL9" s="577">
        <v>26000</v>
      </c>
      <c r="AM9" s="372"/>
      <c r="AN9" s="577">
        <v>26000</v>
      </c>
      <c r="AO9" s="577"/>
      <c r="AP9" s="577">
        <f t="shared" si="2"/>
        <v>26000</v>
      </c>
      <c r="AQ9" s="588"/>
      <c r="AR9" s="577">
        <f t="shared" si="2"/>
        <v>26000</v>
      </c>
      <c r="AT9" s="577">
        <v>25000</v>
      </c>
      <c r="AV9" s="577">
        <v>25000</v>
      </c>
      <c r="AW9" s="588"/>
      <c r="AX9" s="588">
        <f t="shared" si="3"/>
        <v>25000</v>
      </c>
    </row>
    <row r="10" spans="1:51" x14ac:dyDescent="0.2">
      <c r="A10" s="77" t="s">
        <v>520</v>
      </c>
      <c r="B10" s="355">
        <v>39000</v>
      </c>
      <c r="C10" s="352">
        <v>39845.35</v>
      </c>
      <c r="D10" s="355">
        <v>37000</v>
      </c>
      <c r="E10" s="352">
        <v>37121.339999999997</v>
      </c>
      <c r="F10" s="355">
        <v>37000</v>
      </c>
      <c r="G10" s="353">
        <v>45320.97</v>
      </c>
      <c r="H10" s="75">
        <v>40000</v>
      </c>
      <c r="I10" s="353">
        <v>42146.47</v>
      </c>
      <c r="J10" s="75">
        <v>40000</v>
      </c>
      <c r="K10" s="353">
        <v>40360.04</v>
      </c>
      <c r="L10" s="352">
        <v>48000</v>
      </c>
      <c r="M10" s="352">
        <v>49230.12</v>
      </c>
      <c r="N10" s="353">
        <v>48000</v>
      </c>
      <c r="O10" s="454">
        <v>47605.440000000002</v>
      </c>
      <c r="P10" s="421">
        <v>48000</v>
      </c>
      <c r="Q10" s="448"/>
      <c r="R10" s="76">
        <v>47000</v>
      </c>
      <c r="S10" s="355"/>
      <c r="T10" s="448">
        <v>47000</v>
      </c>
      <c r="U10" s="551">
        <v>60457.440000000002</v>
      </c>
      <c r="V10" s="75">
        <v>60000</v>
      </c>
      <c r="W10" s="549">
        <v>65104.39</v>
      </c>
      <c r="X10" s="77">
        <v>60000</v>
      </c>
      <c r="Y10" s="570">
        <v>59874.64</v>
      </c>
      <c r="Z10" s="372">
        <v>59300</v>
      </c>
      <c r="AA10" s="372">
        <v>62377.81</v>
      </c>
      <c r="AB10" s="372">
        <v>62700</v>
      </c>
      <c r="AC10" s="372">
        <v>62700</v>
      </c>
      <c r="AD10" s="372">
        <v>62700</v>
      </c>
      <c r="AE10" s="372">
        <v>56467.89</v>
      </c>
      <c r="AF10" s="577">
        <v>56400</v>
      </c>
      <c r="AG10" s="372">
        <v>57481.23</v>
      </c>
      <c r="AH10" s="577">
        <f t="shared" si="0"/>
        <v>56400</v>
      </c>
      <c r="AI10" s="577">
        <f t="shared" si="1"/>
        <v>56400</v>
      </c>
      <c r="AJ10" s="577">
        <f t="shared" si="0"/>
        <v>56400</v>
      </c>
      <c r="AK10" s="1519">
        <v>76581.070000000007</v>
      </c>
      <c r="AL10" s="577">
        <v>56500</v>
      </c>
      <c r="AM10" s="372"/>
      <c r="AN10" s="577">
        <v>75000</v>
      </c>
      <c r="AO10" s="577"/>
      <c r="AP10" s="577">
        <f t="shared" si="2"/>
        <v>75000</v>
      </c>
      <c r="AQ10" s="1519"/>
      <c r="AR10" s="577">
        <f t="shared" si="2"/>
        <v>75000</v>
      </c>
      <c r="AT10" s="577">
        <v>85000</v>
      </c>
      <c r="AV10" s="577">
        <v>85000</v>
      </c>
      <c r="AW10" s="1519"/>
      <c r="AX10" s="588">
        <f t="shared" si="3"/>
        <v>85000</v>
      </c>
    </row>
    <row r="11" spans="1:51" x14ac:dyDescent="0.2">
      <c r="A11" s="77" t="s">
        <v>644</v>
      </c>
      <c r="B11" s="355">
        <v>0</v>
      </c>
      <c r="C11" s="352">
        <v>0</v>
      </c>
      <c r="D11" s="355">
        <v>0</v>
      </c>
      <c r="E11" s="352">
        <v>0</v>
      </c>
      <c r="F11" s="355">
        <v>0</v>
      </c>
      <c r="G11" s="353">
        <v>0</v>
      </c>
      <c r="H11" s="353">
        <v>0</v>
      </c>
      <c r="I11" s="353">
        <v>0</v>
      </c>
      <c r="J11" s="353">
        <v>0</v>
      </c>
      <c r="K11" s="353">
        <v>0</v>
      </c>
      <c r="L11" s="353">
        <v>0</v>
      </c>
      <c r="M11" s="353">
        <v>0</v>
      </c>
      <c r="N11" s="353">
        <v>0</v>
      </c>
      <c r="O11" s="454">
        <v>0</v>
      </c>
      <c r="P11" s="421">
        <v>0</v>
      </c>
      <c r="Q11" s="353"/>
      <c r="R11" s="469">
        <v>0</v>
      </c>
      <c r="S11" s="355">
        <v>0</v>
      </c>
      <c r="T11" s="353">
        <v>0</v>
      </c>
      <c r="U11" s="551">
        <v>0</v>
      </c>
      <c r="V11" s="75"/>
      <c r="W11" s="549">
        <v>0</v>
      </c>
      <c r="X11" s="77"/>
      <c r="Y11" s="570">
        <v>0</v>
      </c>
      <c r="Z11" s="372"/>
      <c r="AA11" s="372"/>
      <c r="AB11" s="372"/>
      <c r="AC11" s="372"/>
      <c r="AD11" s="372"/>
      <c r="AE11" s="372"/>
      <c r="AF11" s="577">
        <v>0</v>
      </c>
      <c r="AG11" s="372"/>
      <c r="AH11" s="577">
        <f t="shared" si="0"/>
        <v>0</v>
      </c>
      <c r="AI11" s="577">
        <f t="shared" si="1"/>
        <v>0</v>
      </c>
      <c r="AJ11" s="577">
        <f t="shared" si="0"/>
        <v>0</v>
      </c>
      <c r="AK11" s="588"/>
      <c r="AL11" s="577"/>
      <c r="AM11" s="372"/>
      <c r="AN11" s="577"/>
      <c r="AO11" s="577"/>
      <c r="AP11" s="577">
        <f t="shared" si="2"/>
        <v>0</v>
      </c>
      <c r="AQ11" s="588"/>
      <c r="AR11" s="577">
        <f t="shared" si="2"/>
        <v>0</v>
      </c>
      <c r="AT11" s="577">
        <f t="shared" ref="AT11:AV15" si="4">AR11</f>
        <v>0</v>
      </c>
      <c r="AV11" s="577">
        <f t="shared" si="4"/>
        <v>0</v>
      </c>
      <c r="AW11" s="588"/>
      <c r="AX11" s="588">
        <f t="shared" si="3"/>
        <v>0</v>
      </c>
    </row>
    <row r="12" spans="1:51" x14ac:dyDescent="0.2">
      <c r="A12" s="77" t="s">
        <v>393</v>
      </c>
      <c r="B12" s="355">
        <v>0</v>
      </c>
      <c r="C12" s="352">
        <v>0</v>
      </c>
      <c r="D12" s="355">
        <v>0</v>
      </c>
      <c r="E12" s="352">
        <v>0</v>
      </c>
      <c r="F12" s="355">
        <v>0</v>
      </c>
      <c r="G12" s="353">
        <v>0</v>
      </c>
      <c r="H12" s="353">
        <v>0</v>
      </c>
      <c r="I12" s="353">
        <v>0</v>
      </c>
      <c r="J12" s="353">
        <v>0</v>
      </c>
      <c r="K12" s="353">
        <v>0</v>
      </c>
      <c r="L12" s="353">
        <v>0</v>
      </c>
      <c r="M12" s="353">
        <v>0</v>
      </c>
      <c r="N12" s="353">
        <v>0</v>
      </c>
      <c r="O12" s="454">
        <v>0</v>
      </c>
      <c r="P12" s="421">
        <v>0</v>
      </c>
      <c r="Q12" s="353"/>
      <c r="R12" s="469">
        <v>0</v>
      </c>
      <c r="S12" s="355">
        <v>0</v>
      </c>
      <c r="T12" s="353">
        <v>0</v>
      </c>
      <c r="U12" s="551">
        <v>0</v>
      </c>
      <c r="V12" s="75"/>
      <c r="W12" s="549">
        <v>0</v>
      </c>
      <c r="X12" s="77"/>
      <c r="Y12" s="570">
        <v>0</v>
      </c>
      <c r="Z12" s="372"/>
      <c r="AA12" s="372"/>
      <c r="AB12" s="372"/>
      <c r="AC12" s="372"/>
      <c r="AD12" s="372"/>
      <c r="AE12" s="372"/>
      <c r="AF12" s="577">
        <v>0</v>
      </c>
      <c r="AG12" s="372"/>
      <c r="AH12" s="577">
        <f t="shared" si="0"/>
        <v>0</v>
      </c>
      <c r="AI12" s="577">
        <f t="shared" si="1"/>
        <v>0</v>
      </c>
      <c r="AJ12" s="577">
        <f t="shared" si="0"/>
        <v>0</v>
      </c>
      <c r="AK12" s="588"/>
      <c r="AL12" s="577"/>
      <c r="AM12" s="372"/>
      <c r="AN12" s="577"/>
      <c r="AO12" s="577"/>
      <c r="AP12" s="577">
        <f t="shared" si="2"/>
        <v>0</v>
      </c>
      <c r="AQ12" s="588"/>
      <c r="AR12" s="577">
        <f t="shared" si="2"/>
        <v>0</v>
      </c>
      <c r="AT12" s="577">
        <f t="shared" si="4"/>
        <v>0</v>
      </c>
      <c r="AV12" s="577">
        <f t="shared" si="4"/>
        <v>0</v>
      </c>
      <c r="AW12" s="588"/>
      <c r="AX12" s="588">
        <f t="shared" si="3"/>
        <v>0</v>
      </c>
    </row>
    <row r="13" spans="1:51" x14ac:dyDescent="0.2">
      <c r="A13" s="77" t="s">
        <v>391</v>
      </c>
      <c r="B13" s="355">
        <v>0</v>
      </c>
      <c r="C13" s="352">
        <v>0</v>
      </c>
      <c r="D13" s="355">
        <v>0</v>
      </c>
      <c r="E13" s="352">
        <v>0</v>
      </c>
      <c r="F13" s="355">
        <v>0</v>
      </c>
      <c r="G13" s="353">
        <v>0</v>
      </c>
      <c r="H13" s="353">
        <v>0</v>
      </c>
      <c r="I13" s="353">
        <v>0</v>
      </c>
      <c r="J13" s="353">
        <v>0</v>
      </c>
      <c r="K13" s="353">
        <v>0</v>
      </c>
      <c r="L13" s="353">
        <v>0</v>
      </c>
      <c r="M13" s="353">
        <v>0</v>
      </c>
      <c r="N13" s="353">
        <v>0</v>
      </c>
      <c r="O13" s="454">
        <v>0</v>
      </c>
      <c r="P13" s="421">
        <v>0</v>
      </c>
      <c r="Q13" s="353"/>
      <c r="R13" s="469">
        <v>0</v>
      </c>
      <c r="S13" s="355">
        <v>0</v>
      </c>
      <c r="T13" s="353">
        <v>0</v>
      </c>
      <c r="U13" s="551">
        <v>0</v>
      </c>
      <c r="V13" s="75"/>
      <c r="W13" s="549">
        <v>0</v>
      </c>
      <c r="X13" s="77"/>
      <c r="Y13" s="570">
        <v>0</v>
      </c>
      <c r="Z13" s="372"/>
      <c r="AA13" s="372"/>
      <c r="AB13" s="372"/>
      <c r="AC13" s="372"/>
      <c r="AD13" s="372"/>
      <c r="AE13" s="372"/>
      <c r="AF13" s="577">
        <v>0</v>
      </c>
      <c r="AG13" s="372"/>
      <c r="AH13" s="577">
        <f t="shared" si="0"/>
        <v>0</v>
      </c>
      <c r="AI13" s="577">
        <f t="shared" si="1"/>
        <v>0</v>
      </c>
      <c r="AJ13" s="577">
        <f t="shared" si="0"/>
        <v>0</v>
      </c>
      <c r="AK13" s="588"/>
      <c r="AL13" s="577"/>
      <c r="AM13" s="372"/>
      <c r="AN13" s="577"/>
      <c r="AO13" s="577"/>
      <c r="AP13" s="577">
        <f t="shared" si="2"/>
        <v>0</v>
      </c>
      <c r="AQ13" s="588"/>
      <c r="AR13" s="577">
        <f t="shared" si="2"/>
        <v>0</v>
      </c>
      <c r="AT13" s="577">
        <f t="shared" si="4"/>
        <v>0</v>
      </c>
      <c r="AV13" s="577">
        <f t="shared" si="4"/>
        <v>0</v>
      </c>
      <c r="AW13" s="588"/>
      <c r="AX13" s="588">
        <f t="shared" si="3"/>
        <v>0</v>
      </c>
    </row>
    <row r="14" spans="1:51" x14ac:dyDescent="0.2">
      <c r="A14" s="77" t="s">
        <v>394</v>
      </c>
      <c r="B14" s="355">
        <v>0</v>
      </c>
      <c r="C14" s="352">
        <v>0</v>
      </c>
      <c r="D14" s="355">
        <v>0</v>
      </c>
      <c r="E14" s="352">
        <v>0</v>
      </c>
      <c r="F14" s="355">
        <v>0</v>
      </c>
      <c r="G14" s="353">
        <v>0</v>
      </c>
      <c r="H14" s="353">
        <v>0</v>
      </c>
      <c r="I14" s="353">
        <v>0</v>
      </c>
      <c r="J14" s="353">
        <v>0</v>
      </c>
      <c r="K14" s="353">
        <v>0</v>
      </c>
      <c r="L14" s="353">
        <v>0</v>
      </c>
      <c r="M14" s="353">
        <v>0</v>
      </c>
      <c r="N14" s="353">
        <v>0</v>
      </c>
      <c r="O14" s="454">
        <v>0</v>
      </c>
      <c r="P14" s="421">
        <v>0</v>
      </c>
      <c r="Q14" s="353"/>
      <c r="R14" s="469">
        <v>0</v>
      </c>
      <c r="S14" s="355">
        <v>0</v>
      </c>
      <c r="T14" s="353">
        <v>0</v>
      </c>
      <c r="U14" s="551">
        <v>0</v>
      </c>
      <c r="V14" s="75"/>
      <c r="W14" s="549">
        <v>0</v>
      </c>
      <c r="X14" s="77"/>
      <c r="Y14" s="570">
        <v>0</v>
      </c>
      <c r="Z14" s="372"/>
      <c r="AA14" s="372"/>
      <c r="AB14" s="372"/>
      <c r="AC14" s="372"/>
      <c r="AD14" s="372"/>
      <c r="AE14" s="372"/>
      <c r="AF14" s="577">
        <v>0</v>
      </c>
      <c r="AG14" s="372"/>
      <c r="AH14" s="577">
        <f t="shared" si="0"/>
        <v>0</v>
      </c>
      <c r="AI14" s="577">
        <f t="shared" si="1"/>
        <v>0</v>
      </c>
      <c r="AJ14" s="577">
        <f t="shared" si="0"/>
        <v>0</v>
      </c>
      <c r="AK14" s="588"/>
      <c r="AL14" s="577"/>
      <c r="AM14" s="372"/>
      <c r="AN14" s="577"/>
      <c r="AO14" s="577"/>
      <c r="AP14" s="577">
        <f t="shared" si="2"/>
        <v>0</v>
      </c>
      <c r="AQ14" s="588"/>
      <c r="AR14" s="577">
        <f t="shared" si="2"/>
        <v>0</v>
      </c>
      <c r="AT14" s="577">
        <f t="shared" si="4"/>
        <v>0</v>
      </c>
      <c r="AV14" s="577">
        <f t="shared" si="4"/>
        <v>0</v>
      </c>
      <c r="AW14" s="588"/>
      <c r="AX14" s="588">
        <f t="shared" si="3"/>
        <v>0</v>
      </c>
    </row>
    <row r="15" spans="1:51" x14ac:dyDescent="0.2">
      <c r="A15" s="77" t="s">
        <v>649</v>
      </c>
      <c r="B15" s="355">
        <v>16000</v>
      </c>
      <c r="C15" s="352">
        <v>9721.57</v>
      </c>
      <c r="D15" s="355">
        <v>9000</v>
      </c>
      <c r="E15" s="352">
        <v>9155.5400000000009</v>
      </c>
      <c r="F15" s="355">
        <v>9000</v>
      </c>
      <c r="G15" s="353">
        <v>13902.65</v>
      </c>
      <c r="H15" s="75">
        <v>9000</v>
      </c>
      <c r="I15" s="353">
        <v>23823.94</v>
      </c>
      <c r="J15" s="75">
        <v>12000</v>
      </c>
      <c r="K15" s="353">
        <v>13852.35</v>
      </c>
      <c r="L15" s="352">
        <v>12000</v>
      </c>
      <c r="M15" s="352">
        <v>10458.59</v>
      </c>
      <c r="N15" s="353">
        <v>10000</v>
      </c>
      <c r="O15" s="454">
        <v>9150</v>
      </c>
      <c r="P15" s="421">
        <v>10000</v>
      </c>
      <c r="Q15" s="448"/>
      <c r="R15" s="76">
        <v>8500</v>
      </c>
      <c r="S15" s="355"/>
      <c r="T15" s="448">
        <v>8500</v>
      </c>
      <c r="U15" s="551">
        <v>9749.84</v>
      </c>
      <c r="V15" s="75">
        <v>7500</v>
      </c>
      <c r="W15" s="549">
        <v>8205.85</v>
      </c>
      <c r="X15" s="77">
        <v>7500</v>
      </c>
      <c r="Y15" s="570">
        <v>11581.27</v>
      </c>
      <c r="Z15" s="372">
        <v>7500</v>
      </c>
      <c r="AA15" s="372">
        <v>13102.25</v>
      </c>
      <c r="AB15" s="372">
        <v>8000</v>
      </c>
      <c r="AC15" s="372">
        <v>8000</v>
      </c>
      <c r="AD15" s="372">
        <v>8000</v>
      </c>
      <c r="AE15" s="372">
        <v>9343.35</v>
      </c>
      <c r="AF15" s="577">
        <v>8000</v>
      </c>
      <c r="AG15" s="585">
        <v>9353.5499999999993</v>
      </c>
      <c r="AH15" s="577">
        <f t="shared" si="0"/>
        <v>8000</v>
      </c>
      <c r="AI15" s="577">
        <f t="shared" si="1"/>
        <v>8000</v>
      </c>
      <c r="AJ15" s="577">
        <f t="shared" si="0"/>
        <v>8000</v>
      </c>
      <c r="AK15" s="588">
        <v>10401.700000000001</v>
      </c>
      <c r="AL15" s="577">
        <v>8000</v>
      </c>
      <c r="AM15" s="585"/>
      <c r="AN15" s="577">
        <v>8000</v>
      </c>
      <c r="AO15" s="577"/>
      <c r="AP15" s="577">
        <f t="shared" si="2"/>
        <v>8000</v>
      </c>
      <c r="AQ15" s="588"/>
      <c r="AR15" s="577">
        <f t="shared" si="2"/>
        <v>8000</v>
      </c>
      <c r="AT15" s="577">
        <f t="shared" si="4"/>
        <v>8000</v>
      </c>
      <c r="AV15" s="577">
        <f t="shared" si="4"/>
        <v>8000</v>
      </c>
      <c r="AW15" s="588"/>
      <c r="AX15" s="588">
        <f t="shared" si="3"/>
        <v>8000</v>
      </c>
    </row>
    <row r="16" spans="1:51" x14ac:dyDescent="0.2">
      <c r="A16" s="77" t="s">
        <v>653</v>
      </c>
      <c r="B16" s="355">
        <v>51000</v>
      </c>
      <c r="C16" s="352">
        <v>59787.78</v>
      </c>
      <c r="D16" s="355">
        <v>59000</v>
      </c>
      <c r="E16" s="352">
        <v>53158.26</v>
      </c>
      <c r="F16" s="355">
        <v>53000</v>
      </c>
      <c r="G16" s="353">
        <v>55538.45</v>
      </c>
      <c r="H16" s="75">
        <v>53000</v>
      </c>
      <c r="I16" s="353">
        <v>60084.79</v>
      </c>
      <c r="J16" s="75">
        <v>58000</v>
      </c>
      <c r="K16" s="353">
        <v>59359.99</v>
      </c>
      <c r="L16" s="352">
        <v>58000</v>
      </c>
      <c r="M16" s="352">
        <v>88795.69</v>
      </c>
      <c r="N16" s="353">
        <v>75000</v>
      </c>
      <c r="O16" s="454">
        <v>90905.22</v>
      </c>
      <c r="P16" s="421">
        <v>75000</v>
      </c>
      <c r="Q16" s="448"/>
      <c r="R16" s="76">
        <v>67000</v>
      </c>
      <c r="S16" s="355"/>
      <c r="T16" s="448">
        <v>67000</v>
      </c>
      <c r="U16" s="551">
        <v>92206.42</v>
      </c>
      <c r="V16" s="75">
        <v>80000</v>
      </c>
      <c r="W16" s="549">
        <v>104022.03</v>
      </c>
      <c r="X16" s="77">
        <v>80000</v>
      </c>
      <c r="Y16" s="570">
        <v>108914.16</v>
      </c>
      <c r="Z16" s="372">
        <v>80000</v>
      </c>
      <c r="AA16" s="372">
        <v>113853.02</v>
      </c>
      <c r="AB16" s="372">
        <v>82000</v>
      </c>
      <c r="AC16" s="372">
        <v>82000</v>
      </c>
      <c r="AD16" s="372">
        <v>82000</v>
      </c>
      <c r="AE16" s="372">
        <v>96392.9</v>
      </c>
      <c r="AF16" s="577">
        <v>82000</v>
      </c>
      <c r="AG16" s="585">
        <v>115054.46</v>
      </c>
      <c r="AH16" s="577">
        <f t="shared" si="0"/>
        <v>82000</v>
      </c>
      <c r="AI16" s="577">
        <f t="shared" si="1"/>
        <v>82000</v>
      </c>
      <c r="AJ16" s="577">
        <f t="shared" si="0"/>
        <v>82000</v>
      </c>
      <c r="AK16" s="588">
        <v>114813.41</v>
      </c>
      <c r="AL16" s="577">
        <v>88000</v>
      </c>
      <c r="AM16" s="585"/>
      <c r="AN16" s="577">
        <v>88000</v>
      </c>
      <c r="AO16" s="577"/>
      <c r="AP16" s="577">
        <f t="shared" si="2"/>
        <v>88000</v>
      </c>
      <c r="AQ16" s="588"/>
      <c r="AR16" s="577">
        <v>96000</v>
      </c>
      <c r="AT16" s="577">
        <v>96000</v>
      </c>
      <c r="AV16" s="577">
        <v>96000</v>
      </c>
      <c r="AW16" s="588"/>
      <c r="AX16" s="588">
        <f t="shared" si="3"/>
        <v>96000</v>
      </c>
    </row>
    <row r="17" spans="1:54" x14ac:dyDescent="0.2">
      <c r="A17" s="77" t="s">
        <v>654</v>
      </c>
      <c r="B17" s="355">
        <v>0</v>
      </c>
      <c r="C17" s="352">
        <v>0</v>
      </c>
      <c r="D17" s="355">
        <v>0</v>
      </c>
      <c r="E17" s="352">
        <v>0</v>
      </c>
      <c r="F17" s="355">
        <v>0</v>
      </c>
      <c r="G17" s="353">
        <v>0</v>
      </c>
      <c r="H17" s="353">
        <v>0</v>
      </c>
      <c r="I17" s="353">
        <v>0</v>
      </c>
      <c r="J17" s="353">
        <v>0</v>
      </c>
      <c r="K17" s="353">
        <v>0</v>
      </c>
      <c r="L17" s="353">
        <v>0</v>
      </c>
      <c r="M17" s="353">
        <v>0</v>
      </c>
      <c r="N17" s="353">
        <v>0</v>
      </c>
      <c r="O17" s="454">
        <v>0</v>
      </c>
      <c r="P17" s="421">
        <v>0</v>
      </c>
      <c r="Q17" s="448"/>
      <c r="R17" s="76">
        <f>Q17</f>
        <v>0</v>
      </c>
      <c r="S17" s="355">
        <v>0</v>
      </c>
      <c r="T17" s="448">
        <f>S17</f>
        <v>0</v>
      </c>
      <c r="U17" s="551">
        <v>0</v>
      </c>
      <c r="V17" s="75"/>
      <c r="W17" s="549">
        <v>0</v>
      </c>
      <c r="X17" s="77"/>
      <c r="Y17" s="570">
        <v>0</v>
      </c>
      <c r="Z17" s="372"/>
      <c r="AA17" s="372"/>
      <c r="AB17" s="372"/>
      <c r="AC17" s="372"/>
      <c r="AD17" s="372"/>
      <c r="AE17" s="372"/>
      <c r="AF17" s="577">
        <v>0</v>
      </c>
      <c r="AG17" s="372"/>
      <c r="AH17" s="577">
        <f t="shared" si="0"/>
        <v>0</v>
      </c>
      <c r="AI17" s="577">
        <f t="shared" si="1"/>
        <v>0</v>
      </c>
      <c r="AJ17" s="577">
        <f t="shared" si="0"/>
        <v>0</v>
      </c>
      <c r="AK17" s="588"/>
      <c r="AL17" s="577"/>
      <c r="AM17" s="372"/>
      <c r="AN17" s="577"/>
      <c r="AO17" s="577"/>
      <c r="AP17" s="577">
        <f t="shared" si="2"/>
        <v>0</v>
      </c>
      <c r="AQ17" s="588"/>
      <c r="AR17" s="577">
        <f t="shared" si="2"/>
        <v>0</v>
      </c>
      <c r="AT17" s="577">
        <f t="shared" ref="AT17:AV21" si="5">AR17</f>
        <v>0</v>
      </c>
      <c r="AV17" s="577">
        <f t="shared" si="5"/>
        <v>0</v>
      </c>
      <c r="AW17" s="588"/>
      <c r="AX17" s="588">
        <f t="shared" si="3"/>
        <v>0</v>
      </c>
    </row>
    <row r="18" spans="1:54" x14ac:dyDescent="0.2">
      <c r="A18" s="77" t="s">
        <v>655</v>
      </c>
      <c r="B18" s="355">
        <v>0</v>
      </c>
      <c r="C18" s="352">
        <v>0</v>
      </c>
      <c r="D18" s="355">
        <v>0</v>
      </c>
      <c r="E18" s="352">
        <v>0</v>
      </c>
      <c r="F18" s="355">
        <v>0</v>
      </c>
      <c r="G18" s="353">
        <v>0</v>
      </c>
      <c r="H18" s="353">
        <v>0</v>
      </c>
      <c r="I18" s="353">
        <v>0</v>
      </c>
      <c r="J18" s="353">
        <v>0</v>
      </c>
      <c r="K18" s="353">
        <v>0</v>
      </c>
      <c r="L18" s="353">
        <v>0</v>
      </c>
      <c r="M18" s="353">
        <v>0</v>
      </c>
      <c r="N18" s="353">
        <v>0</v>
      </c>
      <c r="O18" s="454">
        <v>0</v>
      </c>
      <c r="P18" s="421">
        <v>0</v>
      </c>
      <c r="Q18" s="353"/>
      <c r="R18" s="469">
        <v>0</v>
      </c>
      <c r="S18" s="355">
        <v>0</v>
      </c>
      <c r="T18" s="353">
        <v>0</v>
      </c>
      <c r="U18" s="551">
        <v>0</v>
      </c>
      <c r="V18" s="75"/>
      <c r="W18" s="549">
        <v>0</v>
      </c>
      <c r="X18" s="77"/>
      <c r="Y18" s="570">
        <v>0</v>
      </c>
      <c r="Z18" s="372"/>
      <c r="AA18" s="372"/>
      <c r="AB18" s="372"/>
      <c r="AC18" s="372"/>
      <c r="AD18" s="372"/>
      <c r="AE18" s="372"/>
      <c r="AF18" s="577">
        <v>0</v>
      </c>
      <c r="AG18" s="372"/>
      <c r="AH18" s="577">
        <f t="shared" si="0"/>
        <v>0</v>
      </c>
      <c r="AI18" s="577">
        <f t="shared" si="1"/>
        <v>0</v>
      </c>
      <c r="AJ18" s="577">
        <f t="shared" si="0"/>
        <v>0</v>
      </c>
      <c r="AK18" s="588"/>
      <c r="AL18" s="577"/>
      <c r="AM18" s="372"/>
      <c r="AN18" s="577"/>
      <c r="AO18" s="577"/>
      <c r="AP18" s="577">
        <f t="shared" si="2"/>
        <v>0</v>
      </c>
      <c r="AQ18" s="588"/>
      <c r="AR18" s="577">
        <f t="shared" si="2"/>
        <v>0</v>
      </c>
      <c r="AT18" s="577">
        <f t="shared" si="5"/>
        <v>0</v>
      </c>
      <c r="AV18" s="577">
        <f t="shared" si="5"/>
        <v>0</v>
      </c>
      <c r="AW18" s="588"/>
      <c r="AX18" s="588">
        <f t="shared" si="3"/>
        <v>0</v>
      </c>
    </row>
    <row r="19" spans="1:54" x14ac:dyDescent="0.2">
      <c r="A19" s="77" t="s">
        <v>521</v>
      </c>
      <c r="B19" s="355">
        <v>0</v>
      </c>
      <c r="C19" s="352">
        <v>0</v>
      </c>
      <c r="D19" s="355">
        <v>0</v>
      </c>
      <c r="E19" s="352">
        <v>0</v>
      </c>
      <c r="F19" s="355">
        <v>0</v>
      </c>
      <c r="G19" s="353">
        <v>0</v>
      </c>
      <c r="H19" s="353">
        <v>0</v>
      </c>
      <c r="I19" s="353">
        <v>0</v>
      </c>
      <c r="J19" s="353">
        <v>0</v>
      </c>
      <c r="K19" s="353">
        <v>0</v>
      </c>
      <c r="L19" s="353">
        <v>0</v>
      </c>
      <c r="M19" s="353">
        <v>0</v>
      </c>
      <c r="N19" s="353">
        <v>0</v>
      </c>
      <c r="O19" s="454">
        <v>0</v>
      </c>
      <c r="P19" s="421">
        <v>0</v>
      </c>
      <c r="Q19" s="353"/>
      <c r="R19" s="469">
        <v>0</v>
      </c>
      <c r="S19" s="355">
        <v>0</v>
      </c>
      <c r="T19" s="353">
        <v>0</v>
      </c>
      <c r="U19" s="551">
        <v>0</v>
      </c>
      <c r="V19" s="75"/>
      <c r="W19" s="549">
        <v>0</v>
      </c>
      <c r="X19" s="77"/>
      <c r="Y19" s="570">
        <v>0</v>
      </c>
      <c r="Z19" s="372"/>
      <c r="AA19" s="372"/>
      <c r="AB19" s="372"/>
      <c r="AC19" s="372"/>
      <c r="AD19" s="372"/>
      <c r="AE19" s="372"/>
      <c r="AF19" s="577">
        <v>0</v>
      </c>
      <c r="AG19" s="372"/>
      <c r="AH19" s="577">
        <f t="shared" si="0"/>
        <v>0</v>
      </c>
      <c r="AI19" s="577">
        <f t="shared" si="1"/>
        <v>0</v>
      </c>
      <c r="AJ19" s="577">
        <f t="shared" si="0"/>
        <v>0</v>
      </c>
      <c r="AK19" s="588"/>
      <c r="AL19" s="577"/>
      <c r="AM19" s="372"/>
      <c r="AN19" s="577"/>
      <c r="AO19" s="577"/>
      <c r="AP19" s="577">
        <f t="shared" si="2"/>
        <v>0</v>
      </c>
      <c r="AQ19" s="588"/>
      <c r="AR19" s="577">
        <f t="shared" si="2"/>
        <v>0</v>
      </c>
      <c r="AT19" s="577">
        <f t="shared" si="5"/>
        <v>0</v>
      </c>
      <c r="AV19" s="577">
        <f t="shared" si="5"/>
        <v>0</v>
      </c>
      <c r="AW19" s="588"/>
      <c r="AX19" s="588">
        <f t="shared" si="3"/>
        <v>0</v>
      </c>
    </row>
    <row r="20" spans="1:54" x14ac:dyDescent="0.2">
      <c r="A20" s="77" t="s">
        <v>257</v>
      </c>
      <c r="B20" s="355">
        <v>0</v>
      </c>
      <c r="C20" s="352">
        <v>0</v>
      </c>
      <c r="D20" s="355">
        <v>0</v>
      </c>
      <c r="E20" s="352">
        <v>0</v>
      </c>
      <c r="F20" s="355">
        <v>0</v>
      </c>
      <c r="G20" s="353">
        <v>0</v>
      </c>
      <c r="H20" s="353">
        <v>0</v>
      </c>
      <c r="I20" s="353">
        <v>0</v>
      </c>
      <c r="J20" s="353">
        <v>0</v>
      </c>
      <c r="K20" s="353">
        <v>0</v>
      </c>
      <c r="L20" s="353">
        <v>0</v>
      </c>
      <c r="M20" s="353">
        <v>0</v>
      </c>
      <c r="N20" s="353">
        <v>0</v>
      </c>
      <c r="O20" s="454">
        <v>0</v>
      </c>
      <c r="P20" s="421">
        <v>0</v>
      </c>
      <c r="Q20" s="353"/>
      <c r="R20" s="469">
        <v>0</v>
      </c>
      <c r="S20" s="355">
        <v>0</v>
      </c>
      <c r="T20" s="353">
        <v>0</v>
      </c>
      <c r="U20" s="551">
        <v>0</v>
      </c>
      <c r="V20" s="75"/>
      <c r="W20" s="549">
        <v>0</v>
      </c>
      <c r="X20" s="77"/>
      <c r="Y20" s="570">
        <v>0</v>
      </c>
      <c r="Z20" s="372"/>
      <c r="AA20" s="372"/>
      <c r="AB20" s="372"/>
      <c r="AC20" s="372"/>
      <c r="AD20" s="372"/>
      <c r="AE20" s="372"/>
      <c r="AF20" s="577">
        <v>0</v>
      </c>
      <c r="AG20" s="372"/>
      <c r="AH20" s="577">
        <f t="shared" si="0"/>
        <v>0</v>
      </c>
      <c r="AI20" s="577">
        <f t="shared" si="1"/>
        <v>0</v>
      </c>
      <c r="AJ20" s="577">
        <f t="shared" si="0"/>
        <v>0</v>
      </c>
      <c r="AK20" s="588"/>
      <c r="AL20" s="577"/>
      <c r="AM20" s="372"/>
      <c r="AN20" s="577"/>
      <c r="AO20" s="577"/>
      <c r="AP20" s="577">
        <f t="shared" si="2"/>
        <v>0</v>
      </c>
      <c r="AQ20" s="588"/>
      <c r="AR20" s="577">
        <f t="shared" si="2"/>
        <v>0</v>
      </c>
      <c r="AT20" s="577">
        <f t="shared" si="5"/>
        <v>0</v>
      </c>
      <c r="AV20" s="577">
        <f t="shared" si="5"/>
        <v>0</v>
      </c>
      <c r="AW20" s="588"/>
      <c r="AX20" s="588">
        <f t="shared" si="3"/>
        <v>0</v>
      </c>
    </row>
    <row r="21" spans="1:54" x14ac:dyDescent="0.2">
      <c r="A21" s="77" t="s">
        <v>657</v>
      </c>
      <c r="B21" s="355">
        <v>0</v>
      </c>
      <c r="C21" s="352">
        <v>0</v>
      </c>
      <c r="D21" s="355">
        <v>0</v>
      </c>
      <c r="E21" s="352">
        <v>0</v>
      </c>
      <c r="F21" s="355">
        <v>0</v>
      </c>
      <c r="G21" s="353">
        <v>0</v>
      </c>
      <c r="H21" s="353">
        <v>0</v>
      </c>
      <c r="I21" s="353">
        <v>0</v>
      </c>
      <c r="J21" s="353">
        <v>0</v>
      </c>
      <c r="K21" s="353">
        <v>0</v>
      </c>
      <c r="L21" s="353">
        <v>0</v>
      </c>
      <c r="M21" s="353">
        <v>0</v>
      </c>
      <c r="N21" s="353">
        <v>0</v>
      </c>
      <c r="O21" s="454">
        <v>0</v>
      </c>
      <c r="P21" s="421">
        <v>0</v>
      </c>
      <c r="Q21" s="353"/>
      <c r="R21" s="469">
        <v>0</v>
      </c>
      <c r="S21" s="355">
        <v>0</v>
      </c>
      <c r="T21" s="353">
        <v>0</v>
      </c>
      <c r="U21" s="551">
        <v>0</v>
      </c>
      <c r="V21" s="75"/>
      <c r="W21" s="549">
        <v>0</v>
      </c>
      <c r="X21" s="77"/>
      <c r="Y21" s="570">
        <v>0</v>
      </c>
      <c r="Z21" s="372"/>
      <c r="AA21" s="372"/>
      <c r="AB21" s="372"/>
      <c r="AC21" s="372"/>
      <c r="AD21" s="372"/>
      <c r="AE21" s="372"/>
      <c r="AF21" s="577">
        <v>0</v>
      </c>
      <c r="AG21" s="372"/>
      <c r="AH21" s="577">
        <f t="shared" si="0"/>
        <v>0</v>
      </c>
      <c r="AI21" s="577">
        <f t="shared" si="1"/>
        <v>0</v>
      </c>
      <c r="AJ21" s="577">
        <f t="shared" si="0"/>
        <v>0</v>
      </c>
      <c r="AK21" s="588"/>
      <c r="AL21" s="577"/>
      <c r="AM21" s="372"/>
      <c r="AN21" s="577"/>
      <c r="AO21" s="577"/>
      <c r="AP21" s="577">
        <f t="shared" si="2"/>
        <v>0</v>
      </c>
      <c r="AQ21" s="588"/>
      <c r="AR21" s="577">
        <f t="shared" si="2"/>
        <v>0</v>
      </c>
      <c r="AT21" s="577">
        <f t="shared" si="5"/>
        <v>0</v>
      </c>
      <c r="AV21" s="577">
        <f t="shared" si="5"/>
        <v>0</v>
      </c>
      <c r="AW21" s="588"/>
      <c r="AX21" s="588">
        <f t="shared" si="3"/>
        <v>0</v>
      </c>
    </row>
    <row r="22" spans="1:54" x14ac:dyDescent="0.2">
      <c r="A22" s="77" t="s">
        <v>531</v>
      </c>
      <c r="B22" s="355">
        <v>38600</v>
      </c>
      <c r="C22" s="352">
        <v>56125.88</v>
      </c>
      <c r="D22" s="355">
        <v>56000</v>
      </c>
      <c r="E22" s="352">
        <v>55579.82</v>
      </c>
      <c r="F22" s="355">
        <v>55000</v>
      </c>
      <c r="G22" s="353">
        <v>67751.539999999994</v>
      </c>
      <c r="H22" s="75">
        <v>55000</v>
      </c>
      <c r="I22" s="353">
        <v>68513.2</v>
      </c>
      <c r="J22" s="75">
        <v>64000</v>
      </c>
      <c r="K22" s="353">
        <v>81462.75</v>
      </c>
      <c r="L22" s="352">
        <v>76000</v>
      </c>
      <c r="M22" s="352">
        <v>65401.1</v>
      </c>
      <c r="N22" s="353">
        <v>65000</v>
      </c>
      <c r="O22" s="454">
        <v>60073.5</v>
      </c>
      <c r="P22" s="421">
        <v>65000</v>
      </c>
      <c r="Q22" s="448"/>
      <c r="R22" s="76">
        <v>52000</v>
      </c>
      <c r="S22" s="355"/>
      <c r="T22" s="448">
        <v>52900</v>
      </c>
      <c r="U22" s="551">
        <v>56856.57</v>
      </c>
      <c r="V22" s="75">
        <v>54000</v>
      </c>
      <c r="W22" s="549">
        <v>83906.14</v>
      </c>
      <c r="X22" s="77">
        <v>54000</v>
      </c>
      <c r="Y22" s="570">
        <v>103917.32</v>
      </c>
      <c r="Z22" s="372">
        <v>80000</v>
      </c>
      <c r="AA22" s="372">
        <v>116909.12</v>
      </c>
      <c r="AB22" s="372">
        <v>84437</v>
      </c>
      <c r="AC22" s="372">
        <v>84437</v>
      </c>
      <c r="AD22" s="372">
        <v>84437</v>
      </c>
      <c r="AE22" s="372">
        <v>88880.51</v>
      </c>
      <c r="AF22" s="577">
        <v>82737</v>
      </c>
      <c r="AG22" s="585">
        <v>145073.35999999999</v>
      </c>
      <c r="AH22" s="577">
        <v>88000</v>
      </c>
      <c r="AI22" s="577">
        <f t="shared" si="1"/>
        <v>88000</v>
      </c>
      <c r="AJ22" s="577">
        <v>88000</v>
      </c>
      <c r="AK22" s="588">
        <v>130615.32</v>
      </c>
      <c r="AL22" s="577">
        <v>88000</v>
      </c>
      <c r="AM22" s="585"/>
      <c r="AN22" s="577">
        <v>88000</v>
      </c>
      <c r="AO22" s="577"/>
      <c r="AP22" s="577">
        <v>98000</v>
      </c>
      <c r="AQ22" s="588"/>
      <c r="AR22" s="577">
        <v>128000</v>
      </c>
      <c r="AT22" s="577">
        <v>101000</v>
      </c>
      <c r="AV22" s="577">
        <v>101000</v>
      </c>
      <c r="AW22" s="588"/>
      <c r="AX22" s="588">
        <f t="shared" si="3"/>
        <v>101000</v>
      </c>
    </row>
    <row r="23" spans="1:54" x14ac:dyDescent="0.2">
      <c r="A23" s="77" t="s">
        <v>532</v>
      </c>
      <c r="B23" s="355">
        <v>110000</v>
      </c>
      <c r="C23" s="352">
        <v>122396.32</v>
      </c>
      <c r="D23" s="355">
        <v>114500</v>
      </c>
      <c r="E23" s="352">
        <v>134345.12</v>
      </c>
      <c r="F23" s="355">
        <v>114500</v>
      </c>
      <c r="G23" s="353">
        <v>119888</v>
      </c>
      <c r="H23" s="75">
        <v>114500</v>
      </c>
      <c r="I23" s="353">
        <v>141767.96</v>
      </c>
      <c r="J23" s="75">
        <v>125000</v>
      </c>
      <c r="K23" s="353">
        <v>186808.5</v>
      </c>
      <c r="L23" s="352">
        <v>162000</v>
      </c>
      <c r="M23" s="352">
        <v>236292.26</v>
      </c>
      <c r="N23" s="353">
        <v>200000</v>
      </c>
      <c r="O23" s="454">
        <v>248987.63</v>
      </c>
      <c r="P23" s="421">
        <v>200000</v>
      </c>
      <c r="Q23" s="448"/>
      <c r="R23" s="76">
        <v>225000</v>
      </c>
      <c r="S23" s="355"/>
      <c r="T23" s="448">
        <v>190000</v>
      </c>
      <c r="U23" s="551">
        <v>203174.75</v>
      </c>
      <c r="V23" s="75">
        <v>185000</v>
      </c>
      <c r="W23" s="549">
        <v>276733.5</v>
      </c>
      <c r="X23" s="77">
        <v>185000</v>
      </c>
      <c r="Y23" s="570">
        <v>304901</v>
      </c>
      <c r="Z23" s="372">
        <v>185000</v>
      </c>
      <c r="AA23" s="372">
        <v>344596.55</v>
      </c>
      <c r="AB23" s="372">
        <v>190000</v>
      </c>
      <c r="AC23" s="372">
        <v>190000</v>
      </c>
      <c r="AD23" s="372">
        <v>190000</v>
      </c>
      <c r="AE23" s="372">
        <v>349447.99</v>
      </c>
      <c r="AF23" s="577">
        <v>185000</v>
      </c>
      <c r="AG23" s="585">
        <v>226749.54</v>
      </c>
      <c r="AH23" s="577">
        <v>190000</v>
      </c>
      <c r="AI23" s="577">
        <f t="shared" si="1"/>
        <v>190000</v>
      </c>
      <c r="AJ23" s="577">
        <v>190000</v>
      </c>
      <c r="AK23" s="588">
        <f>219662.1 +20882.5</f>
        <v>240544.6</v>
      </c>
      <c r="AL23" s="577">
        <v>190000</v>
      </c>
      <c r="AM23" s="585"/>
      <c r="AN23" s="577">
        <v>190000</v>
      </c>
      <c r="AO23" s="577"/>
      <c r="AP23" s="577">
        <v>190000</v>
      </c>
      <c r="AQ23" s="588"/>
      <c r="AR23" s="577">
        <v>202000</v>
      </c>
      <c r="AT23" s="577">
        <v>230000</v>
      </c>
      <c r="AV23" s="577">
        <v>230000</v>
      </c>
      <c r="AW23" s="588"/>
      <c r="AX23" s="588">
        <f t="shared" si="3"/>
        <v>230000</v>
      </c>
    </row>
    <row r="24" spans="1:54" x14ac:dyDescent="0.2">
      <c r="A24" s="77" t="s">
        <v>533</v>
      </c>
      <c r="B24" s="355">
        <v>0</v>
      </c>
      <c r="C24" s="352">
        <v>0</v>
      </c>
      <c r="D24" s="355">
        <v>0</v>
      </c>
      <c r="E24" s="352">
        <v>0</v>
      </c>
      <c r="F24" s="355">
        <v>0</v>
      </c>
      <c r="G24" s="353">
        <v>0</v>
      </c>
      <c r="H24" s="353">
        <v>0</v>
      </c>
      <c r="I24" s="353">
        <v>0</v>
      </c>
      <c r="J24" s="353">
        <v>0</v>
      </c>
      <c r="K24" s="353">
        <v>0</v>
      </c>
      <c r="L24" s="353">
        <v>0</v>
      </c>
      <c r="M24" s="353">
        <v>0</v>
      </c>
      <c r="N24" s="353">
        <v>0</v>
      </c>
      <c r="O24" s="454">
        <v>0</v>
      </c>
      <c r="P24" s="421">
        <v>0</v>
      </c>
      <c r="Q24" s="353"/>
      <c r="R24" s="469">
        <v>0</v>
      </c>
      <c r="S24" s="355">
        <v>0</v>
      </c>
      <c r="T24" s="353">
        <v>0</v>
      </c>
      <c r="U24" s="551">
        <v>0</v>
      </c>
      <c r="V24" s="75"/>
      <c r="W24" s="549">
        <v>0</v>
      </c>
      <c r="X24" s="77"/>
      <c r="Y24" s="570">
        <v>0</v>
      </c>
      <c r="Z24" s="372"/>
      <c r="AA24" s="372"/>
      <c r="AB24" s="372"/>
      <c r="AC24" s="372"/>
      <c r="AD24" s="372"/>
      <c r="AE24" s="372"/>
      <c r="AF24" s="577">
        <v>0</v>
      </c>
      <c r="AG24" s="372"/>
      <c r="AH24" s="577">
        <f t="shared" si="0"/>
        <v>0</v>
      </c>
      <c r="AI24" s="577">
        <f t="shared" si="1"/>
        <v>0</v>
      </c>
      <c r="AJ24" s="577">
        <f t="shared" si="0"/>
        <v>0</v>
      </c>
      <c r="AK24" s="588"/>
      <c r="AL24" s="577"/>
      <c r="AM24" s="372"/>
      <c r="AN24" s="577"/>
      <c r="AO24" s="577"/>
      <c r="AP24" s="577">
        <f t="shared" si="2"/>
        <v>0</v>
      </c>
      <c r="AQ24" s="588"/>
      <c r="AR24" s="577">
        <f t="shared" si="2"/>
        <v>0</v>
      </c>
      <c r="AT24" s="577">
        <f t="shared" ref="AT24:AV24" si="6">AR24</f>
        <v>0</v>
      </c>
      <c r="AV24" s="577">
        <f t="shared" si="6"/>
        <v>0</v>
      </c>
      <c r="AW24" s="588"/>
      <c r="AX24" s="588">
        <f t="shared" si="3"/>
        <v>0</v>
      </c>
    </row>
    <row r="25" spans="1:54" x14ac:dyDescent="0.2">
      <c r="A25" s="77" t="s">
        <v>534</v>
      </c>
      <c r="B25" s="355">
        <v>44000</v>
      </c>
      <c r="C25" s="352">
        <v>47970</v>
      </c>
      <c r="D25" s="355">
        <v>47000</v>
      </c>
      <c r="E25" s="352">
        <v>48683</v>
      </c>
      <c r="F25" s="355">
        <v>48000</v>
      </c>
      <c r="G25" s="353">
        <v>72966.17</v>
      </c>
      <c r="H25" s="75">
        <v>48000</v>
      </c>
      <c r="I25" s="353">
        <v>57761</v>
      </c>
      <c r="J25" s="75">
        <v>52000</v>
      </c>
      <c r="K25" s="353">
        <v>51963.01</v>
      </c>
      <c r="L25" s="352">
        <v>52000</v>
      </c>
      <c r="M25" s="352">
        <v>47520</v>
      </c>
      <c r="N25" s="353">
        <v>47000</v>
      </c>
      <c r="O25" s="454">
        <v>79825</v>
      </c>
      <c r="P25" s="421">
        <v>47000</v>
      </c>
      <c r="Q25" s="448"/>
      <c r="R25" s="76">
        <v>55000</v>
      </c>
      <c r="S25" s="355"/>
      <c r="T25" s="448">
        <v>55000</v>
      </c>
      <c r="U25" s="551">
        <v>53822.5</v>
      </c>
      <c r="V25" s="75">
        <v>48400</v>
      </c>
      <c r="W25" s="549">
        <v>64957.5</v>
      </c>
      <c r="X25" s="77">
        <v>48400</v>
      </c>
      <c r="Y25" s="570">
        <v>45535</v>
      </c>
      <c r="Z25" s="372">
        <v>48400</v>
      </c>
      <c r="AA25" s="372">
        <v>50660</v>
      </c>
      <c r="AB25" s="372">
        <v>45000</v>
      </c>
      <c r="AC25" s="372">
        <v>45000</v>
      </c>
      <c r="AD25" s="372">
        <v>45000</v>
      </c>
      <c r="AE25" s="372">
        <v>68080.160000000003</v>
      </c>
      <c r="AF25" s="577">
        <v>48000</v>
      </c>
      <c r="AG25" s="585">
        <v>57472.12</v>
      </c>
      <c r="AH25" s="577">
        <v>49000</v>
      </c>
      <c r="AI25" s="577">
        <f t="shared" si="1"/>
        <v>49000</v>
      </c>
      <c r="AJ25" s="577">
        <v>49000</v>
      </c>
      <c r="AK25" s="588">
        <v>49215</v>
      </c>
      <c r="AL25" s="577">
        <v>49000</v>
      </c>
      <c r="AM25" s="585"/>
      <c r="AN25" s="577">
        <v>49000</v>
      </c>
      <c r="AO25" s="577"/>
      <c r="AP25" s="577">
        <v>40000</v>
      </c>
      <c r="AQ25" s="588"/>
      <c r="AR25" s="577">
        <v>30000</v>
      </c>
      <c r="AT25" s="577">
        <v>25000</v>
      </c>
      <c r="AV25" s="577">
        <v>25000</v>
      </c>
      <c r="AW25" s="588"/>
      <c r="AX25" s="588">
        <f t="shared" si="3"/>
        <v>25000</v>
      </c>
    </row>
    <row r="26" spans="1:54" x14ac:dyDescent="0.2">
      <c r="A26" s="77" t="s">
        <v>535</v>
      </c>
      <c r="B26" s="355">
        <v>70000</v>
      </c>
      <c r="C26" s="352">
        <v>79583.95</v>
      </c>
      <c r="D26" s="355">
        <v>70000</v>
      </c>
      <c r="E26" s="352">
        <v>139809.38</v>
      </c>
      <c r="F26" s="355">
        <v>80000</v>
      </c>
      <c r="G26" s="353">
        <v>65762.02</v>
      </c>
      <c r="H26" s="75">
        <v>55000</v>
      </c>
      <c r="I26" s="353">
        <v>28715.9</v>
      </c>
      <c r="J26" s="75">
        <v>28700</v>
      </c>
      <c r="K26" s="353">
        <v>19344.310000000001</v>
      </c>
      <c r="L26" s="352">
        <v>15000</v>
      </c>
      <c r="M26" s="352">
        <v>40793.17</v>
      </c>
      <c r="N26" s="353">
        <v>40000</v>
      </c>
      <c r="O26" s="454">
        <v>95187.77</v>
      </c>
      <c r="P26" s="421">
        <v>40000</v>
      </c>
      <c r="Q26" s="448"/>
      <c r="R26" s="76">
        <v>150000</v>
      </c>
      <c r="S26" s="355"/>
      <c r="T26" s="448">
        <v>150000</v>
      </c>
      <c r="U26" s="551">
        <v>56315.17</v>
      </c>
      <c r="V26" s="75">
        <v>18000</v>
      </c>
      <c r="W26" s="549">
        <v>22444</v>
      </c>
      <c r="X26" s="77">
        <v>18000</v>
      </c>
      <c r="Y26" s="570">
        <v>21732.31</v>
      </c>
      <c r="Z26" s="372">
        <v>18000</v>
      </c>
      <c r="AA26" s="372">
        <v>14180.02</v>
      </c>
      <c r="AB26" s="372">
        <v>13750</v>
      </c>
      <c r="AC26" s="372">
        <v>15000</v>
      </c>
      <c r="AD26" s="372">
        <v>15000</v>
      </c>
      <c r="AE26" s="372">
        <v>13422.73</v>
      </c>
      <c r="AF26" s="577">
        <v>13000</v>
      </c>
      <c r="AG26" s="585">
        <v>14768.03</v>
      </c>
      <c r="AH26" s="577">
        <v>13000</v>
      </c>
      <c r="AI26" s="577">
        <f t="shared" si="1"/>
        <v>13000</v>
      </c>
      <c r="AJ26" s="577">
        <v>13000</v>
      </c>
      <c r="AK26" s="588">
        <v>28068</v>
      </c>
      <c r="AL26" s="577">
        <v>14000</v>
      </c>
      <c r="AM26" s="585"/>
      <c r="AN26" s="577">
        <v>15000</v>
      </c>
      <c r="AO26" s="577"/>
      <c r="AP26" s="577">
        <f t="shared" si="2"/>
        <v>15000</v>
      </c>
      <c r="AQ26" s="588"/>
      <c r="AR26" s="577">
        <v>18000</v>
      </c>
      <c r="AT26" s="577">
        <v>20000</v>
      </c>
      <c r="AV26" s="577">
        <v>20000</v>
      </c>
      <c r="AW26" s="588"/>
      <c r="AX26" s="588">
        <f t="shared" si="3"/>
        <v>20000</v>
      </c>
    </row>
    <row r="27" spans="1:54" x14ac:dyDescent="0.2">
      <c r="A27" s="77" t="s">
        <v>844</v>
      </c>
      <c r="B27" s="355">
        <v>2900</v>
      </c>
      <c r="C27" s="352">
        <v>790.1</v>
      </c>
      <c r="D27" s="355">
        <v>800</v>
      </c>
      <c r="E27" s="352">
        <v>864.14</v>
      </c>
      <c r="F27" s="355">
        <v>800</v>
      </c>
      <c r="G27" s="353">
        <v>1087.6300000000001</v>
      </c>
      <c r="H27" s="75">
        <v>800</v>
      </c>
      <c r="I27" s="353">
        <v>747.46</v>
      </c>
      <c r="J27" s="75">
        <v>750</v>
      </c>
      <c r="K27" s="353">
        <v>475.5</v>
      </c>
      <c r="L27" s="352">
        <v>475</v>
      </c>
      <c r="M27" s="352">
        <v>525</v>
      </c>
      <c r="N27" s="353">
        <v>500</v>
      </c>
      <c r="O27" s="454">
        <v>550</v>
      </c>
      <c r="P27" s="421">
        <v>500</v>
      </c>
      <c r="Q27" s="448"/>
      <c r="R27" s="76">
        <v>500</v>
      </c>
      <c r="S27" s="355"/>
      <c r="T27" s="448">
        <v>500</v>
      </c>
      <c r="U27" s="551">
        <v>600</v>
      </c>
      <c r="V27" s="75">
        <v>500</v>
      </c>
      <c r="W27" s="549">
        <v>525</v>
      </c>
      <c r="X27" s="77">
        <v>500</v>
      </c>
      <c r="Y27" s="570">
        <v>575</v>
      </c>
      <c r="Z27" s="372">
        <v>500</v>
      </c>
      <c r="AA27" s="372">
        <v>825</v>
      </c>
      <c r="AB27" s="372">
        <v>500</v>
      </c>
      <c r="AC27" s="372">
        <v>500</v>
      </c>
      <c r="AD27" s="372">
        <v>500</v>
      </c>
      <c r="AE27" s="372">
        <v>10332.209999999999</v>
      </c>
      <c r="AF27" s="577">
        <v>10000</v>
      </c>
      <c r="AG27" s="585">
        <v>16854.060000000001</v>
      </c>
      <c r="AH27" s="577">
        <f t="shared" si="0"/>
        <v>10000</v>
      </c>
      <c r="AI27" s="577">
        <f t="shared" si="1"/>
        <v>10000</v>
      </c>
      <c r="AJ27" s="577">
        <f t="shared" si="0"/>
        <v>10000</v>
      </c>
      <c r="AK27" s="588">
        <v>26054</v>
      </c>
      <c r="AL27" s="577">
        <v>11000</v>
      </c>
      <c r="AM27" s="585"/>
      <c r="AN27" s="577">
        <v>11000</v>
      </c>
      <c r="AO27" s="577"/>
      <c r="AP27" s="577">
        <f t="shared" si="2"/>
        <v>11000</v>
      </c>
      <c r="AQ27" s="588"/>
      <c r="AR27" s="577">
        <v>12000</v>
      </c>
      <c r="AT27" s="577">
        <v>5000</v>
      </c>
      <c r="AV27" s="577">
        <v>5000</v>
      </c>
      <c r="AW27" s="588"/>
      <c r="AX27" s="588">
        <f t="shared" si="3"/>
        <v>5000</v>
      </c>
    </row>
    <row r="28" spans="1:54" x14ac:dyDescent="0.2">
      <c r="A28" s="77" t="s">
        <v>842</v>
      </c>
      <c r="B28" s="355">
        <v>48359</v>
      </c>
      <c r="C28" s="352">
        <v>475431.73</v>
      </c>
      <c r="D28" s="355">
        <v>87524.97</v>
      </c>
      <c r="E28" s="352">
        <v>348515.12</v>
      </c>
      <c r="F28" s="355"/>
      <c r="G28" s="353">
        <v>49306.76</v>
      </c>
      <c r="H28" s="75"/>
      <c r="I28" s="353">
        <v>12879.33</v>
      </c>
      <c r="J28" s="351"/>
      <c r="K28" s="353">
        <v>25337.9</v>
      </c>
      <c r="L28" s="352">
        <v>38428</v>
      </c>
      <c r="M28" s="352">
        <v>61897.55</v>
      </c>
      <c r="N28" s="77"/>
      <c r="O28" s="454">
        <v>33691.26</v>
      </c>
      <c r="P28" s="421"/>
      <c r="Q28" s="353"/>
      <c r="R28" s="469">
        <v>0</v>
      </c>
      <c r="S28" s="355"/>
      <c r="T28" s="353">
        <v>0</v>
      </c>
      <c r="U28" s="551">
        <v>34385.72</v>
      </c>
      <c r="V28" s="75"/>
      <c r="W28" s="549">
        <v>95526.42</v>
      </c>
      <c r="X28" s="541">
        <v>26400</v>
      </c>
      <c r="Y28" s="570">
        <v>62448.51</v>
      </c>
      <c r="Z28" s="372"/>
      <c r="AA28" s="77">
        <v>88261.72</v>
      </c>
      <c r="AB28" s="372"/>
      <c r="AC28" s="77">
        <v>10050</v>
      </c>
      <c r="AD28" s="372"/>
      <c r="AE28" s="372">
        <v>400</v>
      </c>
      <c r="AF28" s="577">
        <v>400</v>
      </c>
      <c r="AG28" s="372">
        <v>275</v>
      </c>
      <c r="AH28" s="577">
        <v>275</v>
      </c>
      <c r="AI28" s="577">
        <f t="shared" si="1"/>
        <v>275</v>
      </c>
      <c r="AJ28" s="577">
        <v>275</v>
      </c>
      <c r="AK28" s="588">
        <v>3808.8</v>
      </c>
      <c r="AL28" s="577"/>
      <c r="AM28" s="372"/>
      <c r="AN28" s="577">
        <v>0</v>
      </c>
      <c r="AO28" s="577"/>
      <c r="AP28" s="577">
        <f t="shared" si="2"/>
        <v>0</v>
      </c>
      <c r="AQ28" s="588"/>
      <c r="AR28" s="577">
        <f t="shared" si="2"/>
        <v>0</v>
      </c>
      <c r="AT28" s="577">
        <f t="shared" ref="AT28:AV28" si="7">AR28</f>
        <v>0</v>
      </c>
      <c r="AV28" s="577">
        <f t="shared" si="7"/>
        <v>0</v>
      </c>
      <c r="AW28" s="588"/>
      <c r="AX28" s="588">
        <f t="shared" si="3"/>
        <v>0</v>
      </c>
    </row>
    <row r="29" spans="1:54" ht="12" thickBot="1" x14ac:dyDescent="0.25">
      <c r="A29" s="77" t="s">
        <v>843</v>
      </c>
      <c r="B29" s="356"/>
      <c r="C29" s="357"/>
      <c r="D29" s="356"/>
      <c r="E29" s="357"/>
      <c r="F29" s="356"/>
      <c r="G29" s="358"/>
      <c r="H29" s="79"/>
      <c r="I29" s="358"/>
      <c r="J29" s="79"/>
      <c r="K29" s="358"/>
      <c r="L29" s="357"/>
      <c r="M29" s="358"/>
      <c r="N29" s="78"/>
      <c r="O29" s="455"/>
      <c r="P29" s="420"/>
      <c r="Q29" s="358"/>
      <c r="R29" s="358"/>
      <c r="S29" s="356"/>
      <c r="T29" s="80"/>
      <c r="U29" s="484"/>
      <c r="V29" s="79"/>
      <c r="W29" s="550"/>
      <c r="X29" s="78"/>
      <c r="Y29" s="550">
        <v>0</v>
      </c>
      <c r="Z29" s="563"/>
      <c r="AA29" s="78"/>
      <c r="AB29" s="78"/>
      <c r="AC29" s="78"/>
      <c r="AD29" s="563"/>
      <c r="AE29" s="563">
        <v>31787.61</v>
      </c>
      <c r="AF29" s="77">
        <v>0</v>
      </c>
      <c r="AG29" s="563">
        <v>10716.97</v>
      </c>
      <c r="AH29" s="577">
        <f>AF29</f>
        <v>0</v>
      </c>
      <c r="AI29" s="577"/>
      <c r="AJ29" s="577">
        <f>AH29</f>
        <v>0</v>
      </c>
      <c r="AK29" s="588">
        <v>92891</v>
      </c>
      <c r="AL29" s="77"/>
      <c r="AM29" s="563"/>
      <c r="AN29" s="577">
        <v>0</v>
      </c>
      <c r="AO29" s="577"/>
      <c r="AP29" s="577">
        <f t="shared" si="2"/>
        <v>0</v>
      </c>
      <c r="AQ29" s="588"/>
      <c r="AR29" s="577"/>
      <c r="AT29" s="577"/>
      <c r="AV29" s="577">
        <v>143887</v>
      </c>
      <c r="AW29" s="588"/>
      <c r="AX29" s="588"/>
    </row>
    <row r="30" spans="1:54" ht="12.75" thickTop="1" thickBot="1" x14ac:dyDescent="0.25">
      <c r="A30" s="77" t="s">
        <v>1071</v>
      </c>
      <c r="B30" s="355"/>
      <c r="C30" s="352"/>
      <c r="D30" s="355"/>
      <c r="E30" s="352"/>
      <c r="F30" s="355"/>
      <c r="G30" s="353"/>
      <c r="H30" s="75"/>
      <c r="I30" s="353"/>
      <c r="J30" s="75"/>
      <c r="K30" s="353"/>
      <c r="L30" s="352"/>
      <c r="M30" s="352"/>
      <c r="N30" s="351"/>
      <c r="O30" s="1704"/>
      <c r="P30" s="365"/>
      <c r="Q30" s="353"/>
      <c r="R30" s="353"/>
      <c r="S30" s="355"/>
      <c r="T30" s="80"/>
      <c r="U30" s="350"/>
      <c r="V30" s="75"/>
      <c r="W30" s="549"/>
      <c r="X30" s="77"/>
      <c r="Y30" s="549"/>
      <c r="Z30" s="372"/>
      <c r="AA30" s="77"/>
      <c r="AB30" s="77"/>
      <c r="AC30" s="77"/>
      <c r="AD30" s="372"/>
      <c r="AE30" s="372"/>
      <c r="AF30" s="77"/>
      <c r="AG30" s="372"/>
      <c r="AH30" s="577"/>
      <c r="AI30" s="577"/>
      <c r="AJ30" s="577"/>
      <c r="AK30" s="588"/>
      <c r="AL30" s="77"/>
      <c r="AM30" s="372"/>
      <c r="AN30" s="577"/>
      <c r="AO30" s="577"/>
      <c r="AP30" s="577"/>
      <c r="AQ30" s="588"/>
      <c r="AT30" s="577">
        <v>20000</v>
      </c>
      <c r="AV30" s="577">
        <v>20000</v>
      </c>
      <c r="AW30" s="588"/>
      <c r="AX30" s="588">
        <f t="shared" si="3"/>
        <v>20000</v>
      </c>
    </row>
    <row r="31" spans="1:54" ht="12" thickBot="1" x14ac:dyDescent="0.25">
      <c r="A31" s="77" t="s">
        <v>1074</v>
      </c>
      <c r="B31" s="355"/>
      <c r="C31" s="352"/>
      <c r="D31" s="355"/>
      <c r="E31" s="352"/>
      <c r="F31" s="355"/>
      <c r="G31" s="353"/>
      <c r="H31" s="75"/>
      <c r="I31" s="353"/>
      <c r="J31" s="75"/>
      <c r="K31" s="353"/>
      <c r="L31" s="352"/>
      <c r="M31" s="352"/>
      <c r="N31" s="351"/>
      <c r="O31" s="1704"/>
      <c r="P31" s="365"/>
      <c r="Q31" s="353"/>
      <c r="R31" s="353"/>
      <c r="S31" s="355"/>
      <c r="T31" s="80"/>
      <c r="U31" s="350"/>
      <c r="V31" s="75"/>
      <c r="W31" s="549"/>
      <c r="X31" s="77"/>
      <c r="Y31" s="549"/>
      <c r="Z31" s="372"/>
      <c r="AA31" s="77"/>
      <c r="AB31" s="77"/>
      <c r="AC31" s="77"/>
      <c r="AD31" s="372"/>
      <c r="AE31" s="372"/>
      <c r="AF31" s="77"/>
      <c r="AG31" s="372"/>
      <c r="AH31" s="577"/>
      <c r="AI31" s="577"/>
      <c r="AJ31" s="577"/>
      <c r="AK31" s="588"/>
      <c r="AL31" s="77"/>
      <c r="AM31" s="372"/>
      <c r="AN31" s="577"/>
      <c r="AO31" s="577"/>
      <c r="AP31" s="577"/>
      <c r="AQ31" s="588"/>
      <c r="AT31" s="577"/>
      <c r="AV31" s="577">
        <v>120000</v>
      </c>
      <c r="AW31" s="588"/>
      <c r="AX31" s="2227">
        <f>AV31+140000</f>
        <v>260000</v>
      </c>
      <c r="AZ31" s="588">
        <v>101000</v>
      </c>
      <c r="BB31" s="588"/>
    </row>
    <row r="32" spans="1:54" ht="12.75" thickTop="1" thickBot="1" x14ac:dyDescent="0.25">
      <c r="A32" s="359" t="s">
        <v>408</v>
      </c>
      <c r="B32" s="360">
        <f>SUM(B7:B29)</f>
        <v>1165859</v>
      </c>
      <c r="C32" s="361">
        <f>SUM(C7:C28)</f>
        <v>1729048.95</v>
      </c>
      <c r="D32" s="362">
        <f>SUM(D7:D28)</f>
        <v>1219824.97</v>
      </c>
      <c r="E32" s="361">
        <f>SUM(E7:E28)</f>
        <v>1711969.6799999997</v>
      </c>
      <c r="F32" s="362">
        <f>SUM(F7:F28)</f>
        <v>1212300</v>
      </c>
      <c r="G32" s="360">
        <f>SUM(G7:G29)</f>
        <v>1474633.0299999998</v>
      </c>
      <c r="H32" s="363">
        <f>SUM(H6:H29)</f>
        <v>1208300</v>
      </c>
      <c r="I32" s="360">
        <f>SUM(I6:I28)</f>
        <v>1376305.9299999997</v>
      </c>
      <c r="J32" s="363">
        <f>SUM(J7:J29)</f>
        <v>1240450</v>
      </c>
      <c r="K32" s="360">
        <f>SUM(K6:K29)</f>
        <v>1447788.36</v>
      </c>
      <c r="L32" s="361">
        <f>SUM(L7:L29)</f>
        <v>1320403</v>
      </c>
      <c r="M32" s="361">
        <f>SUM(M7:M29)</f>
        <v>1647246.6600000001</v>
      </c>
      <c r="N32" s="361">
        <f>SUM(N7:N29)</f>
        <v>1344000</v>
      </c>
      <c r="O32" s="456">
        <f>SUM(O7:O29)</f>
        <v>1736218.2</v>
      </c>
      <c r="P32" s="419">
        <f>SUM(P7:P29)</f>
        <v>1344000</v>
      </c>
      <c r="Q32" s="80">
        <f t="shared" ref="Q32:AC32" si="8">SUM(Q6:Q29)</f>
        <v>0</v>
      </c>
      <c r="R32" s="363">
        <f t="shared" si="8"/>
        <v>1457500</v>
      </c>
      <c r="S32" s="468">
        <f t="shared" si="8"/>
        <v>0</v>
      </c>
      <c r="T32" s="363">
        <f t="shared" si="8"/>
        <v>1398400</v>
      </c>
      <c r="U32" s="363">
        <f t="shared" si="8"/>
        <v>1457339.3800000001</v>
      </c>
      <c r="V32" s="363">
        <f t="shared" si="8"/>
        <v>1214700</v>
      </c>
      <c r="W32" s="363">
        <f t="shared" si="8"/>
        <v>1601130.1199999999</v>
      </c>
      <c r="X32" s="363">
        <f t="shared" si="8"/>
        <v>1241100</v>
      </c>
      <c r="Y32" s="363">
        <f t="shared" si="8"/>
        <v>1600116.36</v>
      </c>
      <c r="Z32" s="373">
        <f t="shared" si="8"/>
        <v>1241100</v>
      </c>
      <c r="AA32" s="363">
        <f>SUM(AA6:AA29)</f>
        <v>1728210.33</v>
      </c>
      <c r="AB32" s="373">
        <f t="shared" si="8"/>
        <v>1268487</v>
      </c>
      <c r="AC32" s="373">
        <f t="shared" si="8"/>
        <v>1268487</v>
      </c>
      <c r="AD32" s="373">
        <f>SUM(AD6:AD29)</f>
        <v>1258437</v>
      </c>
      <c r="AE32" s="373">
        <f>SUM(AE6:AE29)</f>
        <v>1788538.96</v>
      </c>
      <c r="AF32" s="578">
        <f>SUM(AF7:AF29)</f>
        <v>1311812</v>
      </c>
      <c r="AG32" s="373">
        <f>SUM(AG6:AG29)</f>
        <v>1782544.5500000003</v>
      </c>
      <c r="AH32" s="578">
        <f>SUM(AH7:AH28)</f>
        <v>1426975</v>
      </c>
      <c r="AI32" s="578">
        <f>SUM(AI7:AI28)</f>
        <v>1426975</v>
      </c>
      <c r="AJ32" s="578">
        <f>SUM(AJ7:AJ28)</f>
        <v>1426975</v>
      </c>
      <c r="AK32" s="578">
        <f>SUM(AK7:AK29)</f>
        <v>2091614.55</v>
      </c>
      <c r="AL32" s="578">
        <f>SUM(AL7:AL28)</f>
        <v>1505500</v>
      </c>
      <c r="AM32" s="578">
        <f t="shared" ref="AM32:AP32" si="9">SUM(AM7:AM28)</f>
        <v>1172609.78</v>
      </c>
      <c r="AN32" s="578">
        <f>SUM(AN7:AN28)</f>
        <v>1600000</v>
      </c>
      <c r="AO32" s="578"/>
      <c r="AP32" s="578">
        <f t="shared" si="9"/>
        <v>1600000</v>
      </c>
      <c r="AQ32" s="578"/>
      <c r="AR32" s="578">
        <f>SUM(AR7:AR30)</f>
        <v>1650000</v>
      </c>
      <c r="AT32" s="578">
        <f>SUM(AT7:AT30)</f>
        <v>1670000</v>
      </c>
      <c r="AV32" s="578">
        <f>SUM(AV7:AV31)</f>
        <v>1933887</v>
      </c>
      <c r="AW32" s="578"/>
      <c r="AX32" s="578">
        <f>SUM(AX7:AX31)+AZ31</f>
        <v>2031000</v>
      </c>
      <c r="AY32" s="578"/>
    </row>
    <row r="34" spans="1:29" x14ac:dyDescent="0.2">
      <c r="A34" s="366" t="s">
        <v>395</v>
      </c>
      <c r="AC34" s="81" t="s">
        <v>266</v>
      </c>
    </row>
    <row r="36" spans="1:29" x14ac:dyDescent="0.2">
      <c r="U36" s="480"/>
      <c r="V36" s="530"/>
      <c r="W36" s="480"/>
      <c r="X36" s="530"/>
    </row>
    <row r="44" spans="1:29" x14ac:dyDescent="0.2">
      <c r="C44" s="81">
        <v>225000</v>
      </c>
    </row>
  </sheetData>
  <phoneticPr fontId="39" type="noConversion"/>
  <printOptions gridLines="1"/>
  <pageMargins left="0.23622047244094491" right="0.23622047244094491" top="0.70866141732283472" bottom="0" header="0.19685039370078741" footer="0"/>
  <pageSetup fitToWidth="0" orientation="landscape" horizontalDpi="300" verticalDpi="300" r:id="rId1"/>
  <headerFooter alignWithMargins="0">
    <oddHeader xml:space="preserve">&amp;L29-Mar-2022
&amp;A
&amp;CTOWN OF TOPSFIELD FINANCE COMMITTEE
BUDGET WORKSHEETS
&amp;R&amp;"Arial,Bold"&amp;12VERSION 2.5
FY 2023
</oddHeader>
    <oddFooter xml:space="preserve">&amp;R
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47"/>
  <sheetViews>
    <sheetView topLeftCell="A3" workbookViewId="0">
      <selection activeCell="AU25" sqref="AU25"/>
    </sheetView>
  </sheetViews>
  <sheetFormatPr defaultColWidth="8.85546875" defaultRowHeight="11.25" x14ac:dyDescent="0.2"/>
  <cols>
    <col min="1" max="1" width="48" style="7" customWidth="1"/>
    <col min="2" max="2" width="9.28515625" style="7" hidden="1" customWidth="1"/>
    <col min="3" max="3" width="2.140625" style="7" hidden="1" customWidth="1"/>
    <col min="4" max="4" width="9.28515625" style="7" hidden="1" customWidth="1"/>
    <col min="5" max="5" width="2.140625" style="7" hidden="1" customWidth="1"/>
    <col min="6" max="6" width="9.28515625" style="7" hidden="1" customWidth="1"/>
    <col min="7" max="7" width="2.140625" style="7" hidden="1" customWidth="1"/>
    <col min="8" max="8" width="9.7109375" style="7" hidden="1" customWidth="1"/>
    <col min="9" max="9" width="2.140625" style="7" hidden="1" customWidth="1"/>
    <col min="10" max="10" width="9.7109375" style="7" hidden="1" customWidth="1"/>
    <col min="11" max="11" width="2.7109375" style="7" hidden="1" customWidth="1"/>
    <col min="12" max="12" width="10.28515625" style="7" hidden="1" customWidth="1"/>
    <col min="13" max="13" width="2.7109375" style="7" hidden="1" customWidth="1"/>
    <col min="14" max="14" width="10.7109375" style="7" hidden="1" customWidth="1"/>
    <col min="15" max="15" width="2.7109375" style="7" hidden="1" customWidth="1"/>
    <col min="16" max="16" width="10.7109375" style="7" hidden="1" customWidth="1"/>
    <col min="17" max="17" width="2.7109375" style="7" hidden="1" customWidth="1"/>
    <col min="18" max="18" width="10.7109375" style="7" hidden="1" customWidth="1"/>
    <col min="19" max="19" width="2.7109375" style="7" hidden="1" customWidth="1"/>
    <col min="20" max="20" width="10.7109375" style="7" hidden="1" customWidth="1"/>
    <col min="21" max="21" width="2.7109375" style="7" hidden="1" customWidth="1"/>
    <col min="22" max="22" width="10.7109375" style="7" hidden="1" customWidth="1"/>
    <col min="23" max="23" width="2.7109375" style="7" hidden="1" customWidth="1"/>
    <col min="24" max="24" width="10.7109375" style="7" hidden="1" customWidth="1"/>
    <col min="25" max="25" width="2.7109375" style="7" hidden="1" customWidth="1"/>
    <col min="26" max="26" width="10.7109375" style="7" hidden="1" customWidth="1"/>
    <col min="27" max="27" width="2.7109375" style="7" hidden="1" customWidth="1"/>
    <col min="28" max="28" width="10.7109375" style="7" customWidth="1"/>
    <col min="29" max="29" width="2.7109375" style="7" customWidth="1"/>
    <col min="30" max="30" width="9.42578125" style="7" customWidth="1"/>
    <col min="31" max="31" width="2.7109375" style="7" customWidth="1"/>
    <col min="32" max="32" width="9.42578125" style="7" customWidth="1"/>
    <col min="33" max="33" width="2.7109375" style="7" customWidth="1"/>
    <col min="34" max="34" width="9.42578125" style="7" customWidth="1"/>
    <col min="35" max="35" width="2.7109375" style="7" customWidth="1"/>
    <col min="36" max="36" width="9.42578125" style="7" customWidth="1"/>
    <col min="37" max="37" width="2.140625" style="7" customWidth="1"/>
    <col min="38" max="38" width="9.42578125" style="7" customWidth="1"/>
    <col min="39" max="39" width="2.140625" style="7" customWidth="1"/>
    <col min="40" max="41" width="9.42578125" style="7" customWidth="1"/>
    <col min="42" max="42" width="2.7109375" style="7" customWidth="1"/>
    <col min="43" max="43" width="9.7109375" style="7" customWidth="1"/>
    <col min="44" max="44" width="8.85546875" style="7"/>
    <col min="45" max="45" width="11.140625" style="7" bestFit="1" customWidth="1"/>
    <col min="46" max="16384" width="8.85546875" style="7"/>
  </cols>
  <sheetData>
    <row r="1" spans="1:47" x14ac:dyDescent="0.2">
      <c r="B1" s="438" t="s">
        <v>588</v>
      </c>
      <c r="C1" s="367"/>
      <c r="D1" s="438" t="s">
        <v>588</v>
      </c>
      <c r="E1" s="439"/>
      <c r="F1" s="440" t="s">
        <v>588</v>
      </c>
      <c r="G1" s="439"/>
      <c r="H1" s="440" t="s">
        <v>588</v>
      </c>
      <c r="I1" s="439"/>
      <c r="J1" s="440" t="s">
        <v>588</v>
      </c>
      <c r="K1" s="440"/>
      <c r="L1" s="440" t="s">
        <v>588</v>
      </c>
      <c r="M1" s="440"/>
      <c r="N1" s="440" t="s">
        <v>588</v>
      </c>
      <c r="O1" s="439"/>
      <c r="P1" s="440" t="s">
        <v>588</v>
      </c>
      <c r="Q1" s="439"/>
      <c r="R1" s="440" t="s">
        <v>588</v>
      </c>
      <c r="S1" s="439"/>
      <c r="T1" s="440" t="s">
        <v>588</v>
      </c>
      <c r="U1" s="439"/>
      <c r="V1" s="440" t="s">
        <v>588</v>
      </c>
      <c r="W1" s="439"/>
      <c r="X1" s="440" t="s">
        <v>588</v>
      </c>
      <c r="Y1" s="439"/>
      <c r="Z1" s="440" t="s">
        <v>588</v>
      </c>
      <c r="AA1" s="439"/>
      <c r="AB1" s="440" t="s">
        <v>588</v>
      </c>
      <c r="AC1" s="440"/>
      <c r="AD1" s="440" t="s">
        <v>588</v>
      </c>
      <c r="AE1" s="440"/>
      <c r="AF1" s="440" t="s">
        <v>588</v>
      </c>
      <c r="AG1" s="439"/>
      <c r="AH1" s="440" t="s">
        <v>588</v>
      </c>
      <c r="AI1" s="439"/>
      <c r="AJ1" s="440" t="s">
        <v>588</v>
      </c>
      <c r="AK1" s="440"/>
      <c r="AL1" s="440" t="s">
        <v>588</v>
      </c>
      <c r="AM1" s="440"/>
      <c r="AN1" s="440" t="s">
        <v>588</v>
      </c>
      <c r="AO1" s="440" t="s">
        <v>160</v>
      </c>
      <c r="AP1" s="439"/>
      <c r="AQ1" s="441" t="s">
        <v>161</v>
      </c>
    </row>
    <row r="2" spans="1:47" x14ac:dyDescent="0.2">
      <c r="B2" s="442" t="s">
        <v>135</v>
      </c>
      <c r="C2" s="367"/>
      <c r="D2" s="442" t="s">
        <v>193</v>
      </c>
      <c r="E2" s="437"/>
      <c r="F2" s="436" t="s">
        <v>263</v>
      </c>
      <c r="G2" s="437"/>
      <c r="H2" s="436" t="s">
        <v>167</v>
      </c>
      <c r="I2" s="437"/>
      <c r="J2" s="436" t="s">
        <v>0</v>
      </c>
      <c r="K2" s="436"/>
      <c r="L2" s="436" t="s">
        <v>21</v>
      </c>
      <c r="M2" s="436"/>
      <c r="N2" s="436" t="s">
        <v>13</v>
      </c>
      <c r="O2" s="437"/>
      <c r="P2" s="436" t="s">
        <v>14</v>
      </c>
      <c r="Q2" s="437"/>
      <c r="R2" s="436" t="s">
        <v>67</v>
      </c>
      <c r="S2" s="437"/>
      <c r="T2" s="436" t="s">
        <v>679</v>
      </c>
      <c r="U2" s="437"/>
      <c r="V2" s="436" t="s">
        <v>596</v>
      </c>
      <c r="W2" s="437"/>
      <c r="X2" s="436" t="s">
        <v>811</v>
      </c>
      <c r="Y2" s="437"/>
      <c r="Z2" s="436" t="s">
        <v>862</v>
      </c>
      <c r="AA2" s="437"/>
      <c r="AB2" s="436" t="s">
        <v>912</v>
      </c>
      <c r="AC2" s="436"/>
      <c r="AD2" s="436" t="s">
        <v>912</v>
      </c>
      <c r="AE2" s="436"/>
      <c r="AF2" s="436" t="s">
        <v>975</v>
      </c>
      <c r="AG2" s="437"/>
      <c r="AH2" s="436" t="s">
        <v>1010</v>
      </c>
      <c r="AI2" s="437"/>
      <c r="AJ2" s="436" t="s">
        <v>1047</v>
      </c>
      <c r="AK2" s="436"/>
      <c r="AL2" s="436" t="s">
        <v>1075</v>
      </c>
      <c r="AM2" s="436"/>
      <c r="AN2" s="436" t="s">
        <v>1103</v>
      </c>
      <c r="AO2" s="437" t="s">
        <v>65</v>
      </c>
      <c r="AP2" s="437"/>
      <c r="AQ2" s="443" t="s">
        <v>65</v>
      </c>
    </row>
    <row r="3" spans="1:47" x14ac:dyDescent="0.2">
      <c r="B3" s="367"/>
      <c r="C3" s="367"/>
      <c r="D3" s="367"/>
    </row>
    <row r="4" spans="1:47" x14ac:dyDescent="0.2">
      <c r="A4" s="7" t="s">
        <v>202</v>
      </c>
      <c r="B4" s="367"/>
      <c r="C4" s="367"/>
      <c r="D4" s="367"/>
    </row>
    <row r="5" spans="1:47" x14ac:dyDescent="0.2">
      <c r="B5" s="367"/>
      <c r="C5" s="367"/>
      <c r="D5" s="367"/>
    </row>
    <row r="6" spans="1:47" x14ac:dyDescent="0.2">
      <c r="A6" s="7" t="s">
        <v>203</v>
      </c>
      <c r="B6" s="367"/>
      <c r="C6" s="367"/>
      <c r="D6" s="367"/>
    </row>
    <row r="7" spans="1:47" x14ac:dyDescent="0.2">
      <c r="B7" s="367"/>
      <c r="C7" s="367"/>
      <c r="D7" s="367"/>
    </row>
    <row r="8" spans="1:47" x14ac:dyDescent="0.2">
      <c r="A8" s="7" t="s">
        <v>396</v>
      </c>
      <c r="B8" s="82">
        <v>663179</v>
      </c>
      <c r="C8" s="82"/>
      <c r="D8" s="82">
        <v>946951</v>
      </c>
      <c r="E8" s="82"/>
      <c r="F8" s="82">
        <v>1069469</v>
      </c>
      <c r="G8" s="82"/>
      <c r="H8" s="82">
        <v>1105893</v>
      </c>
      <c r="I8" s="82"/>
      <c r="J8" s="82">
        <v>1083775</v>
      </c>
      <c r="K8" s="82"/>
      <c r="L8" s="527">
        <f>J8</f>
        <v>1083775</v>
      </c>
      <c r="M8" s="82"/>
      <c r="N8" s="82">
        <f>1025939+11299</f>
        <v>1037238</v>
      </c>
      <c r="O8" s="82"/>
      <c r="P8" s="82">
        <v>1048739</v>
      </c>
      <c r="Q8" s="82"/>
      <c r="R8" s="82">
        <v>1062914</v>
      </c>
      <c r="S8" s="82"/>
      <c r="T8" s="82">
        <v>1093858</v>
      </c>
      <c r="U8" s="82"/>
      <c r="V8" s="82">
        <v>1107808</v>
      </c>
      <c r="W8" s="82"/>
      <c r="X8" s="82">
        <v>1119528</v>
      </c>
      <c r="Y8" s="82"/>
      <c r="Z8" s="82">
        <v>1140038</v>
      </c>
      <c r="AA8" s="82"/>
      <c r="AB8" s="82">
        <v>1157318</v>
      </c>
      <c r="AC8" s="82"/>
      <c r="AD8" s="82">
        <f>AB8</f>
        <v>1157318</v>
      </c>
      <c r="AE8" s="82"/>
      <c r="AF8" s="82">
        <v>1174628</v>
      </c>
      <c r="AG8" s="82"/>
      <c r="AH8" s="82">
        <v>1192358</v>
      </c>
      <c r="AI8" s="82"/>
      <c r="AJ8" s="82">
        <v>1239023</v>
      </c>
      <c r="AK8" s="82"/>
      <c r="AL8" s="82">
        <v>1255283</v>
      </c>
      <c r="AM8" s="82"/>
      <c r="AN8" s="82">
        <v>1376580</v>
      </c>
      <c r="AO8" s="82">
        <f>AJ8-AH8</f>
        <v>46665</v>
      </c>
      <c r="AQ8" s="368">
        <f t="shared" ref="AQ8:AQ31" si="0">IF(AD8&gt;0,AO8/AD8,0)</f>
        <v>4.0321674768732538E-2</v>
      </c>
      <c r="AR8" s="566"/>
      <c r="AS8" s="1648">
        <f>1239023</f>
        <v>1239023</v>
      </c>
      <c r="AT8" s="1669">
        <f>AS8-AJ8</f>
        <v>0</v>
      </c>
      <c r="AU8" s="14">
        <v>1715813</v>
      </c>
    </row>
    <row r="9" spans="1:47" x14ac:dyDescent="0.2">
      <c r="A9" s="7" t="s">
        <v>40</v>
      </c>
      <c r="B9" s="82">
        <v>0</v>
      </c>
      <c r="C9" s="82"/>
      <c r="D9" s="82">
        <v>0</v>
      </c>
      <c r="E9" s="82"/>
      <c r="F9" s="82">
        <v>0</v>
      </c>
      <c r="G9" s="82"/>
      <c r="H9" s="82"/>
      <c r="I9" s="82"/>
      <c r="J9" s="82">
        <v>0</v>
      </c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>
        <f t="shared" ref="AO9:AO31" si="1">AJ9-AH9</f>
        <v>0</v>
      </c>
      <c r="AQ9" s="368">
        <f t="shared" si="0"/>
        <v>0</v>
      </c>
    </row>
    <row r="10" spans="1:47" x14ac:dyDescent="0.2">
      <c r="A10" s="7" t="s">
        <v>528</v>
      </c>
      <c r="B10" s="369"/>
      <c r="C10" s="82"/>
      <c r="D10" s="369"/>
      <c r="E10" s="82"/>
      <c r="F10" s="82">
        <v>0</v>
      </c>
      <c r="G10" s="82"/>
      <c r="H10" s="82"/>
      <c r="I10" s="82"/>
      <c r="J10" s="82">
        <v>0</v>
      </c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>
        <f t="shared" si="1"/>
        <v>0</v>
      </c>
      <c r="AQ10" s="368">
        <f t="shared" si="0"/>
        <v>0</v>
      </c>
    </row>
    <row r="11" spans="1:47" x14ac:dyDescent="0.2">
      <c r="A11" s="7" t="s">
        <v>529</v>
      </c>
      <c r="B11" s="370">
        <v>4112</v>
      </c>
      <c r="C11" s="82"/>
      <c r="D11" s="370">
        <v>3749</v>
      </c>
      <c r="E11" s="82"/>
      <c r="F11" s="371">
        <v>3648</v>
      </c>
      <c r="G11" s="82"/>
      <c r="H11" s="371">
        <v>3442</v>
      </c>
      <c r="I11" s="82"/>
      <c r="J11" s="371">
        <v>3578</v>
      </c>
      <c r="K11" s="82"/>
      <c r="L11" s="527">
        <v>2857</v>
      </c>
      <c r="M11" s="82"/>
      <c r="N11" s="82">
        <v>3098</v>
      </c>
      <c r="O11" s="82"/>
      <c r="P11" s="82">
        <v>3137</v>
      </c>
      <c r="Q11" s="82"/>
      <c r="R11" s="82">
        <v>2855</v>
      </c>
      <c r="S11" s="82"/>
      <c r="T11" s="82">
        <v>2739</v>
      </c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>
        <f t="shared" si="1"/>
        <v>0</v>
      </c>
      <c r="AQ11" s="368">
        <f t="shared" si="0"/>
        <v>0</v>
      </c>
      <c r="AR11" s="546"/>
    </row>
    <row r="12" spans="1:47" x14ac:dyDescent="0.2"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>
        <f t="shared" si="1"/>
        <v>0</v>
      </c>
      <c r="AQ12" s="368">
        <f t="shared" si="0"/>
        <v>0</v>
      </c>
    </row>
    <row r="13" spans="1:47" x14ac:dyDescent="0.2">
      <c r="A13" s="7" t="s">
        <v>141</v>
      </c>
      <c r="B13" s="82">
        <f>SUM(B8:B12)</f>
        <v>667291</v>
      </c>
      <c r="C13" s="82"/>
      <c r="D13" s="82">
        <f>SUM(D8:D12)</f>
        <v>950700</v>
      </c>
      <c r="E13" s="82"/>
      <c r="F13" s="82">
        <f>SUM(F8:F12)</f>
        <v>1073117</v>
      </c>
      <c r="G13" s="82"/>
      <c r="H13" s="82">
        <f>SUM(H8:H12)</f>
        <v>1109335</v>
      </c>
      <c r="I13" s="82"/>
      <c r="J13" s="82">
        <f>SUM(J8:J12)</f>
        <v>1087353</v>
      </c>
      <c r="K13" s="82"/>
      <c r="L13" s="527">
        <f>SUM(L8:L12)</f>
        <v>1086632</v>
      </c>
      <c r="M13" s="82"/>
      <c r="N13" s="82">
        <f>SUM(N8:N12)</f>
        <v>1040336</v>
      </c>
      <c r="O13" s="82"/>
      <c r="P13" s="82">
        <f>SUM(P8:P12)</f>
        <v>1051876</v>
      </c>
      <c r="Q13" s="82"/>
      <c r="R13" s="82">
        <f>SUM(R8:R12)</f>
        <v>1065769</v>
      </c>
      <c r="S13" s="82"/>
      <c r="T13" s="82">
        <f>SUM(T8:T12)</f>
        <v>1096597</v>
      </c>
      <c r="U13" s="82"/>
      <c r="V13" s="82">
        <f>SUM(V8:V12)</f>
        <v>1107808</v>
      </c>
      <c r="W13" s="82"/>
      <c r="X13" s="82">
        <f>SUM(X8:X12)</f>
        <v>1119528</v>
      </c>
      <c r="Y13" s="82"/>
      <c r="Z13" s="82">
        <f>SUM(Z8:Z12)</f>
        <v>1140038</v>
      </c>
      <c r="AA13" s="82"/>
      <c r="AB13" s="564">
        <f>SUM(AB8:AB12)</f>
        <v>1157318</v>
      </c>
      <c r="AC13" s="564"/>
      <c r="AD13" s="564">
        <f>SUM(AD8:AD12)</f>
        <v>1157318</v>
      </c>
      <c r="AE13" s="564">
        <f t="shared" ref="AE13:AN13" si="2">SUM(AE8:AE12)</f>
        <v>0</v>
      </c>
      <c r="AF13" s="564">
        <f t="shared" si="2"/>
        <v>1174628</v>
      </c>
      <c r="AG13" s="82"/>
      <c r="AH13" s="564">
        <f t="shared" si="2"/>
        <v>1192358</v>
      </c>
      <c r="AI13" s="82"/>
      <c r="AJ13" s="564">
        <f t="shared" si="2"/>
        <v>1239023</v>
      </c>
      <c r="AK13" s="564">
        <f t="shared" si="2"/>
        <v>0</v>
      </c>
      <c r="AL13" s="564">
        <f t="shared" si="2"/>
        <v>1255283</v>
      </c>
      <c r="AM13" s="564">
        <f t="shared" si="2"/>
        <v>0</v>
      </c>
      <c r="AN13" s="564">
        <f t="shared" si="2"/>
        <v>1376580</v>
      </c>
      <c r="AO13" s="82">
        <f t="shared" si="1"/>
        <v>46665</v>
      </c>
      <c r="AQ13" s="368">
        <f t="shared" si="0"/>
        <v>4.0321674768732538E-2</v>
      </c>
      <c r="AR13" s="546"/>
    </row>
    <row r="14" spans="1:47" x14ac:dyDescent="0.2"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>
        <f t="shared" si="1"/>
        <v>0</v>
      </c>
      <c r="AQ14" s="368">
        <f t="shared" si="0"/>
        <v>0</v>
      </c>
    </row>
    <row r="15" spans="1:47" x14ac:dyDescent="0.2">
      <c r="A15" s="7" t="s">
        <v>288</v>
      </c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>
        <f t="shared" si="1"/>
        <v>0</v>
      </c>
      <c r="AQ15" s="368">
        <f t="shared" si="0"/>
        <v>0</v>
      </c>
    </row>
    <row r="16" spans="1:47" x14ac:dyDescent="0.2"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>
        <f t="shared" si="1"/>
        <v>0</v>
      </c>
      <c r="AQ16" s="368">
        <f t="shared" si="0"/>
        <v>0</v>
      </c>
    </row>
    <row r="17" spans="1:47" x14ac:dyDescent="0.2">
      <c r="A17" s="7" t="s">
        <v>203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>
        <f t="shared" si="1"/>
        <v>0</v>
      </c>
      <c r="AQ17" s="368">
        <f t="shared" si="0"/>
        <v>0</v>
      </c>
    </row>
    <row r="18" spans="1:47" x14ac:dyDescent="0.2"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>
        <f t="shared" si="1"/>
        <v>0</v>
      </c>
      <c r="AQ18" s="368">
        <f t="shared" si="0"/>
        <v>0</v>
      </c>
    </row>
    <row r="19" spans="1:47" x14ac:dyDescent="0.2">
      <c r="A19" s="7" t="s">
        <v>123</v>
      </c>
      <c r="B19" s="82"/>
      <c r="C19" s="82"/>
      <c r="D19" s="82"/>
      <c r="E19" s="82"/>
      <c r="F19" s="82"/>
      <c r="G19" s="82"/>
      <c r="H19" s="82"/>
      <c r="I19" s="82"/>
      <c r="J19" s="82">
        <v>540420</v>
      </c>
      <c r="K19" s="82"/>
      <c r="L19" s="527">
        <f>J19</f>
        <v>540420</v>
      </c>
      <c r="M19" s="82"/>
      <c r="N19" s="82">
        <v>481291</v>
      </c>
      <c r="O19" s="82"/>
      <c r="P19" s="82">
        <v>518803</v>
      </c>
      <c r="Q19" s="82"/>
      <c r="R19" s="82">
        <f>P19</f>
        <v>518803</v>
      </c>
      <c r="S19" s="82"/>
      <c r="T19" s="82">
        <v>545793</v>
      </c>
      <c r="U19" s="82"/>
      <c r="V19" s="82">
        <v>565442</v>
      </c>
      <c r="W19" s="82"/>
      <c r="X19" s="82">
        <v>589756</v>
      </c>
      <c r="Y19" s="82"/>
      <c r="Z19" s="82">
        <v>589756</v>
      </c>
      <c r="AA19" s="82"/>
      <c r="AB19" s="82">
        <v>612757</v>
      </c>
      <c r="AC19" s="82"/>
      <c r="AD19" s="82">
        <v>612757</v>
      </c>
      <c r="AE19" s="82"/>
      <c r="AF19" s="82">
        <v>634204</v>
      </c>
      <c r="AG19" s="82"/>
      <c r="AH19" s="82">
        <v>651328</v>
      </c>
      <c r="AI19" s="82"/>
      <c r="AJ19" s="82">
        <v>651328</v>
      </c>
      <c r="AK19" s="82"/>
      <c r="AL19" s="82">
        <v>674124</v>
      </c>
      <c r="AM19" s="82"/>
      <c r="AN19" s="82">
        <f>'[4]STATE AID (CHERRY SHT)'!$O$21</f>
        <v>710527</v>
      </c>
      <c r="AO19" s="82">
        <f t="shared" si="1"/>
        <v>0</v>
      </c>
      <c r="AQ19" s="368">
        <f t="shared" si="0"/>
        <v>0</v>
      </c>
      <c r="AR19" s="546"/>
      <c r="AU19" s="14">
        <v>724738</v>
      </c>
    </row>
    <row r="20" spans="1:47" x14ac:dyDescent="0.2">
      <c r="A20" s="7" t="s">
        <v>277</v>
      </c>
      <c r="B20" s="82">
        <v>420832</v>
      </c>
      <c r="C20" s="82"/>
      <c r="D20" s="82">
        <v>501895</v>
      </c>
      <c r="E20" s="82"/>
      <c r="F20" s="410">
        <v>510110</v>
      </c>
      <c r="G20" s="82"/>
      <c r="H20" s="82">
        <f>442377+67733</f>
        <v>510110</v>
      </c>
      <c r="I20" s="82"/>
      <c r="J20" s="410">
        <v>0</v>
      </c>
      <c r="K20" s="410"/>
      <c r="L20" s="82"/>
      <c r="M20" s="82"/>
      <c r="N20" s="82"/>
      <c r="O20" s="82"/>
      <c r="P20" s="82"/>
      <c r="Q20" s="82"/>
      <c r="R20" s="82">
        <v>15022</v>
      </c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>
        <f t="shared" si="1"/>
        <v>0</v>
      </c>
      <c r="AQ20" s="368">
        <f t="shared" si="0"/>
        <v>0</v>
      </c>
    </row>
    <row r="21" spans="1:47" ht="12.75" x14ac:dyDescent="0.2">
      <c r="A21" s="7" t="s">
        <v>278</v>
      </c>
      <c r="B21" s="82">
        <v>253284</v>
      </c>
      <c r="C21" s="82"/>
      <c r="D21" s="82">
        <v>253284</v>
      </c>
      <c r="E21" s="82"/>
      <c r="F21" s="410">
        <f>D21</f>
        <v>253284</v>
      </c>
      <c r="G21" s="82"/>
      <c r="H21" s="82">
        <v>253284</v>
      </c>
      <c r="I21" s="82"/>
      <c r="J21" s="410">
        <v>0</v>
      </c>
      <c r="K21" s="410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/>
      <c r="Y21" s="82"/>
      <c r="Z21"/>
      <c r="AA21" s="82"/>
      <c r="AB21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>
        <f t="shared" si="1"/>
        <v>0</v>
      </c>
      <c r="AQ21" s="368">
        <f t="shared" si="0"/>
        <v>0</v>
      </c>
    </row>
    <row r="22" spans="1:47" x14ac:dyDescent="0.2">
      <c r="A22" s="7" t="s">
        <v>272</v>
      </c>
      <c r="B22" s="82">
        <v>28676</v>
      </c>
      <c r="C22" s="82"/>
      <c r="D22" s="82">
        <v>32872</v>
      </c>
      <c r="E22" s="82"/>
      <c r="F22" s="410">
        <v>33802</v>
      </c>
      <c r="G22" s="82"/>
      <c r="H22" s="82">
        <v>31755</v>
      </c>
      <c r="I22" s="82"/>
      <c r="J22" s="410">
        <v>6004</v>
      </c>
      <c r="K22" s="410"/>
      <c r="L22" s="527">
        <v>3368</v>
      </c>
      <c r="M22" s="82"/>
      <c r="N22" s="82"/>
      <c r="O22" s="82"/>
      <c r="P22" s="82">
        <f>N22*(1-0.08)</f>
        <v>0</v>
      </c>
      <c r="Q22" s="82"/>
      <c r="R22" s="82">
        <f>P22*(1-0.08)</f>
        <v>0</v>
      </c>
      <c r="S22" s="82"/>
      <c r="T22" s="82">
        <f>R22*(1-0.08)</f>
        <v>0</v>
      </c>
      <c r="U22" s="82"/>
      <c r="V22" s="82">
        <f>T22*(1-0.08)</f>
        <v>0</v>
      </c>
      <c r="W22" s="82"/>
      <c r="X22" s="82">
        <f>V22*(1-0.08)</f>
        <v>0</v>
      </c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>
        <f t="shared" si="1"/>
        <v>0</v>
      </c>
      <c r="AQ22" s="368">
        <f t="shared" si="0"/>
        <v>0</v>
      </c>
      <c r="AR22" s="546"/>
    </row>
    <row r="23" spans="1:47" x14ac:dyDescent="0.2">
      <c r="A23" s="7" t="s">
        <v>456</v>
      </c>
      <c r="C23" s="82"/>
      <c r="D23" s="82">
        <v>9044</v>
      </c>
      <c r="E23" s="82"/>
      <c r="F23" s="410">
        <v>0</v>
      </c>
      <c r="G23" s="82"/>
      <c r="H23" s="82"/>
      <c r="I23" s="82"/>
      <c r="J23" s="410">
        <v>0</v>
      </c>
      <c r="K23" s="410"/>
      <c r="L23" s="82">
        <v>11768</v>
      </c>
      <c r="M23" s="82"/>
      <c r="N23" s="82">
        <v>3632</v>
      </c>
      <c r="O23" s="82"/>
      <c r="P23" s="82">
        <v>4858</v>
      </c>
      <c r="Q23" s="82"/>
      <c r="R23" s="82">
        <v>4692</v>
      </c>
      <c r="S23" s="82"/>
      <c r="T23" s="82">
        <v>6859</v>
      </c>
      <c r="U23" s="82"/>
      <c r="V23" s="82">
        <v>4976</v>
      </c>
      <c r="W23" s="82"/>
      <c r="X23" s="82">
        <v>4976</v>
      </c>
      <c r="Y23" s="82"/>
      <c r="Z23" s="82">
        <v>5588</v>
      </c>
      <c r="AA23" s="82"/>
      <c r="AB23" s="82">
        <v>3973</v>
      </c>
      <c r="AC23" s="82"/>
      <c r="AD23" s="82">
        <v>3973</v>
      </c>
      <c r="AE23" s="82"/>
      <c r="AF23" s="82">
        <v>3644</v>
      </c>
      <c r="AG23" s="82"/>
      <c r="AH23" s="82">
        <v>4083</v>
      </c>
      <c r="AI23" s="82"/>
      <c r="AJ23" s="82">
        <v>2114</v>
      </c>
      <c r="AK23" s="82"/>
      <c r="AL23" s="82"/>
      <c r="AM23" s="82"/>
      <c r="AN23" s="82"/>
      <c r="AO23" s="82">
        <f t="shared" si="1"/>
        <v>-1969</v>
      </c>
      <c r="AQ23" s="368">
        <f t="shared" si="0"/>
        <v>-0.49559526805940096</v>
      </c>
      <c r="AR23" s="546"/>
      <c r="AU23" s="7">
        <v>0</v>
      </c>
    </row>
    <row r="24" spans="1:47" x14ac:dyDescent="0.2">
      <c r="A24" s="7" t="s">
        <v>559</v>
      </c>
      <c r="B24" s="82">
        <v>4188</v>
      </c>
      <c r="C24" s="82"/>
      <c r="D24" s="82">
        <v>3838</v>
      </c>
      <c r="E24" s="82"/>
      <c r="F24" s="410">
        <v>10063</v>
      </c>
      <c r="G24" s="82"/>
      <c r="H24" s="82">
        <v>10150</v>
      </c>
      <c r="I24" s="82"/>
      <c r="J24" s="410">
        <v>0</v>
      </c>
      <c r="K24" s="410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>
        <f t="shared" si="1"/>
        <v>0</v>
      </c>
      <c r="AQ24" s="368">
        <f t="shared" si="0"/>
        <v>0</v>
      </c>
    </row>
    <row r="25" spans="1:47" x14ac:dyDescent="0.2">
      <c r="A25" s="7" t="s">
        <v>75</v>
      </c>
      <c r="B25" s="82">
        <v>3016</v>
      </c>
      <c r="C25" s="82"/>
      <c r="D25" s="82">
        <v>3018</v>
      </c>
      <c r="E25" s="82"/>
      <c r="F25" s="410">
        <v>3016</v>
      </c>
      <c r="G25" s="82"/>
      <c r="H25" s="82">
        <v>3026</v>
      </c>
      <c r="I25" s="82"/>
      <c r="J25" s="410">
        <v>0</v>
      </c>
      <c r="K25" s="41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>
        <f t="shared" si="1"/>
        <v>0</v>
      </c>
      <c r="AQ25" s="368">
        <f t="shared" si="0"/>
        <v>0</v>
      </c>
    </row>
    <row r="26" spans="1:47" x14ac:dyDescent="0.2">
      <c r="A26" s="7" t="s">
        <v>124</v>
      </c>
      <c r="B26" s="82"/>
      <c r="C26" s="82"/>
      <c r="D26" s="82"/>
      <c r="E26" s="82"/>
      <c r="F26" s="410"/>
      <c r="G26" s="82"/>
      <c r="H26" s="82"/>
      <c r="I26" s="82"/>
      <c r="J26" s="410">
        <v>13176</v>
      </c>
      <c r="K26" s="410"/>
      <c r="L26" s="527">
        <v>12949</v>
      </c>
      <c r="M26" s="82"/>
      <c r="N26" s="82">
        <v>12410</v>
      </c>
      <c r="O26" s="82"/>
      <c r="P26" s="82">
        <v>12645</v>
      </c>
      <c r="Q26" s="82"/>
      <c r="R26" s="82">
        <v>12420</v>
      </c>
      <c r="S26" s="82"/>
      <c r="T26" s="82">
        <v>12108</v>
      </c>
      <c r="U26" s="82"/>
      <c r="V26" s="82">
        <v>13854</v>
      </c>
      <c r="W26" s="82"/>
      <c r="X26" s="82">
        <v>16341</v>
      </c>
      <c r="Y26" s="82"/>
      <c r="Z26" s="82">
        <v>16341</v>
      </c>
      <c r="AA26" s="82"/>
      <c r="AB26" s="82">
        <v>18568</v>
      </c>
      <c r="AC26" s="82"/>
      <c r="AD26" s="82">
        <v>18568</v>
      </c>
      <c r="AE26" s="82"/>
      <c r="AF26" s="82">
        <v>18366</v>
      </c>
      <c r="AG26" s="82"/>
      <c r="AH26" s="82">
        <v>19693</v>
      </c>
      <c r="AI26" s="82"/>
      <c r="AJ26" s="82">
        <v>19318</v>
      </c>
      <c r="AK26" s="82"/>
      <c r="AL26" s="82">
        <v>17169</v>
      </c>
      <c r="AM26" s="82"/>
      <c r="AN26" s="82">
        <f>'[4]STATE AID (CHERRY SHT)'!$O$27</f>
        <v>15928</v>
      </c>
      <c r="AO26" s="82">
        <f t="shared" si="1"/>
        <v>-375</v>
      </c>
      <c r="AQ26" s="368">
        <f t="shared" si="0"/>
        <v>-2.0196036191296854E-2</v>
      </c>
      <c r="AR26" s="546"/>
      <c r="AU26" s="7">
        <v>16774</v>
      </c>
    </row>
    <row r="27" spans="1:47" x14ac:dyDescent="0.2">
      <c r="A27" s="7" t="s">
        <v>186</v>
      </c>
      <c r="B27" s="82">
        <v>77809</v>
      </c>
      <c r="C27" s="82"/>
      <c r="D27" s="82">
        <v>122934</v>
      </c>
      <c r="E27" s="82"/>
      <c r="F27" s="410">
        <v>137348</v>
      </c>
      <c r="G27" s="82"/>
      <c r="H27" s="82">
        <v>147382</v>
      </c>
      <c r="I27" s="82"/>
      <c r="J27" s="410">
        <v>132667</v>
      </c>
      <c r="K27" s="410"/>
      <c r="L27" s="527">
        <v>131441</v>
      </c>
      <c r="M27" s="82"/>
      <c r="N27" s="82">
        <v>125686</v>
      </c>
      <c r="O27" s="82"/>
      <c r="P27" s="82">
        <v>125726</v>
      </c>
      <c r="Q27" s="82"/>
      <c r="R27" s="82">
        <v>125973</v>
      </c>
      <c r="S27" s="82"/>
      <c r="T27" s="82">
        <v>125693</v>
      </c>
      <c r="U27" s="82"/>
      <c r="V27" s="82">
        <v>125693</v>
      </c>
      <c r="W27" s="82"/>
      <c r="X27" s="82">
        <v>124663</v>
      </c>
      <c r="Y27" s="82"/>
      <c r="Z27" s="82">
        <v>124197</v>
      </c>
      <c r="AA27" s="82"/>
      <c r="AB27" s="82">
        <v>124079</v>
      </c>
      <c r="AC27" s="82"/>
      <c r="AD27" s="82">
        <v>124079</v>
      </c>
      <c r="AE27" s="82"/>
      <c r="AF27" s="82">
        <v>129339</v>
      </c>
      <c r="AG27" s="82"/>
      <c r="AH27" s="82">
        <v>140546</v>
      </c>
      <c r="AI27" s="82"/>
      <c r="AJ27" s="82">
        <v>144203</v>
      </c>
      <c r="AK27" s="82"/>
      <c r="AL27" s="82">
        <v>154994</v>
      </c>
      <c r="AM27" s="82"/>
      <c r="AN27" s="82">
        <v>198949</v>
      </c>
      <c r="AO27" s="82">
        <f t="shared" si="1"/>
        <v>3657</v>
      </c>
      <c r="AQ27" s="368">
        <f t="shared" si="0"/>
        <v>2.9473158229837444E-2</v>
      </c>
      <c r="AR27" s="546"/>
      <c r="AU27" s="14">
        <v>227302</v>
      </c>
    </row>
    <row r="28" spans="1:47" x14ac:dyDescent="0.2">
      <c r="A28" s="7" t="s">
        <v>312</v>
      </c>
      <c r="B28" s="371">
        <v>11835</v>
      </c>
      <c r="C28" s="82"/>
      <c r="D28" s="371">
        <v>12115</v>
      </c>
      <c r="E28" s="82"/>
      <c r="F28" s="410">
        <v>12011</v>
      </c>
      <c r="G28" s="82"/>
      <c r="H28" s="371">
        <v>12011</v>
      </c>
      <c r="I28" s="82"/>
      <c r="J28" s="485">
        <v>10062</v>
      </c>
      <c r="K28" s="410"/>
      <c r="L28" s="529">
        <v>10024</v>
      </c>
      <c r="M28" s="82"/>
      <c r="N28" s="82">
        <v>9616</v>
      </c>
      <c r="O28" s="82"/>
      <c r="P28" s="82">
        <v>9209</v>
      </c>
      <c r="Q28" s="82"/>
      <c r="R28" s="82">
        <v>9236</v>
      </c>
      <c r="S28" s="82"/>
      <c r="T28" s="82">
        <v>11099</v>
      </c>
      <c r="U28" s="82"/>
      <c r="V28" s="82">
        <v>11311</v>
      </c>
      <c r="W28" s="82"/>
      <c r="X28" s="82">
        <v>11224</v>
      </c>
      <c r="Y28" s="82"/>
      <c r="Z28" s="82">
        <v>11144</v>
      </c>
      <c r="AA28" s="82"/>
      <c r="AB28" s="82">
        <v>10770</v>
      </c>
      <c r="AC28" s="82"/>
      <c r="AD28" s="82">
        <v>10770</v>
      </c>
      <c r="AE28" s="82"/>
      <c r="AF28" s="82">
        <v>10985</v>
      </c>
      <c r="AG28" s="82"/>
      <c r="AH28" s="82">
        <v>11043</v>
      </c>
      <c r="AI28" s="82"/>
      <c r="AJ28" s="82">
        <v>13487</v>
      </c>
      <c r="AK28" s="82"/>
      <c r="AL28" s="82">
        <v>13314</v>
      </c>
      <c r="AM28" s="82"/>
      <c r="AN28" s="82">
        <v>16338</v>
      </c>
      <c r="AO28" s="82">
        <f t="shared" si="1"/>
        <v>2444</v>
      </c>
      <c r="AQ28" s="368">
        <f t="shared" si="0"/>
        <v>0.22692664809656454</v>
      </c>
      <c r="AR28" s="546"/>
      <c r="AU28" s="14">
        <v>17713</v>
      </c>
    </row>
    <row r="29" spans="1:47" x14ac:dyDescent="0.2">
      <c r="A29" s="7" t="s">
        <v>71</v>
      </c>
      <c r="B29" s="82">
        <f>SUM(B20:B28)</f>
        <v>799640</v>
      </c>
      <c r="C29" s="82"/>
      <c r="D29" s="82">
        <f>SUM(D20:D28)</f>
        <v>939000</v>
      </c>
      <c r="E29" s="82"/>
      <c r="F29" s="82">
        <f>SUM(F20:F28)</f>
        <v>959634</v>
      </c>
      <c r="G29" s="82"/>
      <c r="H29" s="82">
        <f>SUM(H20:H28)</f>
        <v>967718</v>
      </c>
      <c r="I29" s="82"/>
      <c r="J29" s="82">
        <f>SUM(J19:J28)</f>
        <v>702329</v>
      </c>
      <c r="K29" s="82"/>
      <c r="L29" s="528">
        <f>SUM(L19:L28)</f>
        <v>709970</v>
      </c>
      <c r="M29" s="82"/>
      <c r="N29" s="564">
        <f>SUM(N19:N28)</f>
        <v>632635</v>
      </c>
      <c r="O29" s="565"/>
      <c r="P29" s="564">
        <f>SUM(P19:P28)</f>
        <v>671241</v>
      </c>
      <c r="Q29" s="565"/>
      <c r="R29" s="564">
        <f>SUM(R19:R28)</f>
        <v>686146</v>
      </c>
      <c r="S29" s="565"/>
      <c r="T29" s="564">
        <f>SUM(T19:T28)</f>
        <v>701552</v>
      </c>
      <c r="U29" s="565"/>
      <c r="V29" s="564">
        <f>SUM(V19:V28)</f>
        <v>721276</v>
      </c>
      <c r="W29" s="82"/>
      <c r="X29" s="564">
        <f>SUM(X19:X28)</f>
        <v>746960</v>
      </c>
      <c r="Y29" s="82"/>
      <c r="Z29" s="564">
        <f>SUM(Z19:Z28)</f>
        <v>747026</v>
      </c>
      <c r="AA29" s="82"/>
      <c r="AB29" s="564">
        <f>SUM(AB19:AB28)</f>
        <v>770147</v>
      </c>
      <c r="AC29" s="82"/>
      <c r="AD29" s="564">
        <f>SUM(AD19:AD28)</f>
        <v>770147</v>
      </c>
      <c r="AE29" s="564">
        <f t="shared" ref="AE29:AF29" si="3">SUM(AE19:AE28)</f>
        <v>0</v>
      </c>
      <c r="AF29" s="564">
        <f t="shared" si="3"/>
        <v>796538</v>
      </c>
      <c r="AG29" s="82"/>
      <c r="AH29" s="564">
        <f t="shared" ref="AH29:AN29" si="4">SUM(AH19:AH28)</f>
        <v>826693</v>
      </c>
      <c r="AI29" s="82"/>
      <c r="AJ29" s="564">
        <f t="shared" si="4"/>
        <v>830450</v>
      </c>
      <c r="AK29" s="564">
        <f t="shared" si="4"/>
        <v>0</v>
      </c>
      <c r="AL29" s="564">
        <f t="shared" si="4"/>
        <v>859601</v>
      </c>
      <c r="AM29" s="564">
        <f t="shared" si="4"/>
        <v>0</v>
      </c>
      <c r="AN29" s="564">
        <f t="shared" si="4"/>
        <v>941742</v>
      </c>
      <c r="AO29" s="82">
        <f t="shared" si="1"/>
        <v>3757</v>
      </c>
      <c r="AQ29" s="368">
        <f t="shared" si="0"/>
        <v>4.8782894694129825E-3</v>
      </c>
      <c r="AR29" s="546"/>
      <c r="AU29" s="564">
        <f t="shared" ref="AU29" si="5">SUM(AU19:AU28)</f>
        <v>986527</v>
      </c>
    </row>
    <row r="30" spans="1:47" x14ac:dyDescent="0.2">
      <c r="A30" s="7" t="s">
        <v>208</v>
      </c>
      <c r="B30" s="82"/>
      <c r="C30" s="82"/>
      <c r="D30" s="82">
        <v>0</v>
      </c>
      <c r="E30" s="82"/>
      <c r="F30" s="410">
        <v>0</v>
      </c>
      <c r="G30" s="82"/>
      <c r="H30" s="82"/>
      <c r="I30" s="82"/>
      <c r="J30" s="82">
        <v>0</v>
      </c>
      <c r="K30" s="82"/>
      <c r="L30" s="540">
        <v>-95026</v>
      </c>
      <c r="M30" s="82"/>
      <c r="N30" s="565"/>
      <c r="O30" s="565"/>
      <c r="P30" s="565"/>
      <c r="Q30" s="565"/>
      <c r="R30" s="565">
        <v>-619</v>
      </c>
      <c r="S30" s="565"/>
      <c r="T30" s="565"/>
      <c r="U30" s="565"/>
      <c r="V30" s="565"/>
      <c r="W30" s="82"/>
      <c r="X30" s="565"/>
      <c r="Y30" s="82"/>
      <c r="Z30" s="82"/>
      <c r="AA30" s="82"/>
      <c r="AB30" s="565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>
        <f t="shared" si="1"/>
        <v>0</v>
      </c>
      <c r="AQ30" s="368">
        <f t="shared" si="0"/>
        <v>0</v>
      </c>
      <c r="AR30" s="546"/>
    </row>
    <row r="31" spans="1:47" x14ac:dyDescent="0.2">
      <c r="A31" s="7" t="s">
        <v>187</v>
      </c>
      <c r="B31" s="82">
        <f>SUM(B13,B29)</f>
        <v>1466931</v>
      </c>
      <c r="C31" s="82"/>
      <c r="D31" s="82">
        <f>D13+D29+D30</f>
        <v>1889700</v>
      </c>
      <c r="E31" s="82"/>
      <c r="F31" s="410">
        <f>F13+F29+F30</f>
        <v>2032751</v>
      </c>
      <c r="G31" s="82"/>
      <c r="H31" s="410">
        <f>H13+H29+H30</f>
        <v>2077053</v>
      </c>
      <c r="I31" s="82"/>
      <c r="J31" s="410">
        <f>J13+J29+J30</f>
        <v>1789682</v>
      </c>
      <c r="K31" s="410"/>
      <c r="L31" s="410">
        <f>L13+L29+L30</f>
        <v>1701576</v>
      </c>
      <c r="M31" s="82"/>
      <c r="N31" s="565">
        <f>N13+N29+N30</f>
        <v>1672971</v>
      </c>
      <c r="O31" s="565"/>
      <c r="P31" s="565">
        <f>P13+P29+P30</f>
        <v>1723117</v>
      </c>
      <c r="Q31" s="565"/>
      <c r="R31" s="565">
        <f>R13+R29+R30</f>
        <v>1751296</v>
      </c>
      <c r="S31" s="565"/>
      <c r="T31" s="565">
        <f>T13+T29+T30</f>
        <v>1798149</v>
      </c>
      <c r="U31" s="565"/>
      <c r="V31" s="565">
        <f>V13+V29+V30</f>
        <v>1829084</v>
      </c>
      <c r="W31" s="82"/>
      <c r="X31" s="565">
        <f>X13+X29+X30</f>
        <v>1866488</v>
      </c>
      <c r="Y31" s="82"/>
      <c r="Z31" s="82">
        <f>Z13+Z29+Z30</f>
        <v>1887064</v>
      </c>
      <c r="AA31" s="82"/>
      <c r="AB31" s="565">
        <f>AB13+AB29+AB30</f>
        <v>1927465</v>
      </c>
      <c r="AC31" s="82"/>
      <c r="AD31" s="565">
        <f>AD13+AD29+AD30</f>
        <v>1927465</v>
      </c>
      <c r="AE31" s="565">
        <f t="shared" ref="AE31:AF31" si="6">AE13+AE29+AE30</f>
        <v>0</v>
      </c>
      <c r="AF31" s="565">
        <f t="shared" si="6"/>
        <v>1971166</v>
      </c>
      <c r="AG31" s="82"/>
      <c r="AH31" s="565">
        <f t="shared" ref="AH31" si="7">AH13+AH29+AH30</f>
        <v>2019051</v>
      </c>
      <c r="AI31" s="82"/>
      <c r="AJ31" s="565">
        <f>(AJ13+AJ29+AJ30)*1+ 2069473*0</f>
        <v>2069473</v>
      </c>
      <c r="AK31" s="565"/>
      <c r="AL31" s="565">
        <f>(AL13+AL29+AL30)*1+ 2069473*0</f>
        <v>2114884</v>
      </c>
      <c r="AM31" s="565"/>
      <c r="AN31" s="565">
        <f>(AN13+AN29+AN30)*1+ 2069473*0</f>
        <v>2318322</v>
      </c>
      <c r="AO31" s="82">
        <f t="shared" si="1"/>
        <v>50422</v>
      </c>
      <c r="AQ31" s="368">
        <f t="shared" si="0"/>
        <v>2.6159748685449541E-2</v>
      </c>
      <c r="AU31" s="82">
        <f>AU29+AU8</f>
        <v>2702340</v>
      </c>
    </row>
    <row r="32" spans="1:47" x14ac:dyDescent="0.2">
      <c r="B32" s="82"/>
      <c r="C32" s="82"/>
      <c r="D32" s="410"/>
      <c r="E32" s="82"/>
      <c r="F32" s="410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Q32" s="368"/>
      <c r="AR32" s="531"/>
    </row>
    <row r="33" spans="1:43" x14ac:dyDescent="0.2">
      <c r="B33" s="82">
        <v>0</v>
      </c>
      <c r="C33" s="82"/>
      <c r="D33" s="410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</row>
    <row r="34" spans="1:43" ht="12" thickBot="1" x14ac:dyDescent="0.25">
      <c r="B34" s="82"/>
      <c r="C34" s="82"/>
      <c r="D34" s="410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</row>
    <row r="35" spans="1:43" ht="12" thickBot="1" x14ac:dyDescent="0.25">
      <c r="A35" s="7" t="s">
        <v>57</v>
      </c>
      <c r="B35" s="411">
        <f>SUM(B13,B29)</f>
        <v>1466931</v>
      </c>
      <c r="C35" s="412"/>
      <c r="D35" s="445">
        <f>SUM(D13,D29,D30)</f>
        <v>1889700</v>
      </c>
      <c r="E35" s="412"/>
      <c r="F35" s="444">
        <f>SUM(F13,F29,F30)</f>
        <v>2032751</v>
      </c>
      <c r="G35" s="412"/>
      <c r="H35" s="444">
        <f>SUM(H13,H29,H30)</f>
        <v>2077053</v>
      </c>
      <c r="I35" s="412"/>
      <c r="J35" s="444">
        <f>SUM(J13,J29,J30)</f>
        <v>1789682</v>
      </c>
      <c r="K35" s="444"/>
      <c r="L35" s="444">
        <f>SUM(L13,L29,L30)</f>
        <v>1701576</v>
      </c>
      <c r="M35" s="412"/>
      <c r="N35" s="445">
        <f>SUM(N13,N29,N30)</f>
        <v>1672971</v>
      </c>
      <c r="O35" s="412"/>
      <c r="P35" s="445">
        <f>SUM(P13,P29,P30)</f>
        <v>1723117</v>
      </c>
      <c r="Q35" s="412"/>
      <c r="R35" s="445">
        <f>SUM(R13,R29,R30)</f>
        <v>1751296</v>
      </c>
      <c r="S35" s="412"/>
      <c r="T35" s="445">
        <f>SUM(T13,T29,T30)</f>
        <v>1798149</v>
      </c>
      <c r="U35" s="412"/>
      <c r="V35" s="445">
        <f>SUM(V13,V29,V30)</f>
        <v>1829084</v>
      </c>
      <c r="W35" s="412"/>
      <c r="X35" s="445">
        <f>SUM(X13,X29,X30)</f>
        <v>1866488</v>
      </c>
      <c r="Y35" s="412"/>
      <c r="Z35" s="445">
        <f>SUM(Z13,Z29,Z30)</f>
        <v>1887064</v>
      </c>
      <c r="AA35" s="412"/>
      <c r="AB35" s="445">
        <f>SUM(AB13,AB29,AB30)</f>
        <v>1927465</v>
      </c>
      <c r="AC35" s="412"/>
      <c r="AD35" s="445">
        <f>SUM(AD13,AD29,AD30)</f>
        <v>1927465</v>
      </c>
      <c r="AE35" s="445">
        <f t="shared" ref="AE35:AF35" si="8">SUM(AE13,AE29,AE30)</f>
        <v>0</v>
      </c>
      <c r="AF35" s="445">
        <f t="shared" si="8"/>
        <v>1971166</v>
      </c>
      <c r="AG35" s="445"/>
      <c r="AH35" s="445">
        <f t="shared" ref="AH35" si="9">SUM(AH13,AH29,AH30)</f>
        <v>2019051</v>
      </c>
      <c r="AI35" s="445"/>
      <c r="AJ35" s="445">
        <f>SUM(AJ13,AJ29)</f>
        <v>2069473</v>
      </c>
      <c r="AK35" s="445">
        <f t="shared" ref="AK35:AN35" si="10">SUM(AK13,AK29)</f>
        <v>0</v>
      </c>
      <c r="AL35" s="445">
        <f t="shared" si="10"/>
        <v>2114884</v>
      </c>
      <c r="AM35" s="445">
        <f t="shared" si="10"/>
        <v>0</v>
      </c>
      <c r="AN35" s="445">
        <f t="shared" si="10"/>
        <v>2318322</v>
      </c>
      <c r="AO35" s="82">
        <f t="shared" ref="AO35" si="11">AJ35-AH35</f>
        <v>50422</v>
      </c>
      <c r="AP35" s="447"/>
      <c r="AQ35" s="446">
        <f>IF(AD35&gt;0,AO35/AD35,0)</f>
        <v>2.6159748685449541E-2</v>
      </c>
    </row>
    <row r="36" spans="1:43" x14ac:dyDescent="0.2">
      <c r="B36" s="82"/>
      <c r="C36" s="82"/>
      <c r="D36" s="410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2078">
        <v>0</v>
      </c>
      <c r="AM36" s="82"/>
      <c r="AN36" s="2078"/>
      <c r="AO36" s="82"/>
    </row>
    <row r="37" spans="1:43" x14ac:dyDescent="0.2">
      <c r="A37" s="435"/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</row>
    <row r="38" spans="1:43" x14ac:dyDescent="0.2">
      <c r="A38" s="7" t="s">
        <v>323</v>
      </c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</row>
    <row r="39" spans="1:43" x14ac:dyDescent="0.2">
      <c r="A39" s="7" t="s">
        <v>81</v>
      </c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</row>
    <row r="40" spans="1:43" x14ac:dyDescent="0.2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</row>
    <row r="41" spans="1:43" x14ac:dyDescent="0.2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</row>
    <row r="42" spans="1:43" x14ac:dyDescent="0.2">
      <c r="B42" s="82"/>
      <c r="C42" s="82">
        <v>225000</v>
      </c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</row>
    <row r="43" spans="1:43" x14ac:dyDescent="0.2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</row>
    <row r="44" spans="1:43" ht="12.75" x14ac:dyDescent="0.2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43" ht="12.75" x14ac:dyDescent="0.2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</row>
    <row r="46" spans="1:43" x14ac:dyDescent="0.2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</row>
    <row r="47" spans="1:43" x14ac:dyDescent="0.2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</row>
  </sheetData>
  <phoneticPr fontId="39" type="noConversion"/>
  <printOptions gridLines="1"/>
  <pageMargins left="0.23622047244094491" right="0.23622047244094491" top="0.70866141732283472" bottom="0" header="0.19685039370078741" footer="0"/>
  <pageSetup fitToWidth="0" orientation="landscape" horizontalDpi="300" verticalDpi="300" r:id="rId1"/>
  <headerFooter alignWithMargins="0">
    <oddHeader xml:space="preserve">&amp;L29-Mar-2022
&amp;A
&amp;CTOWN OF TOPSFIELD FINANCE COMMITTEE
BUDGET WORKSHEETS
&amp;R&amp;"Arial,Bold"&amp;12VERSION 2.5
FY 2023
</oddHeader>
    <oddFooter xml:space="preserve">&amp;R
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36"/>
  <sheetViews>
    <sheetView workbookViewId="0">
      <selection activeCell="N44" sqref="N44"/>
    </sheetView>
  </sheetViews>
  <sheetFormatPr defaultRowHeight="12.75" x14ac:dyDescent="0.2"/>
  <cols>
    <col min="1" max="1" width="36.7109375" customWidth="1"/>
    <col min="2" max="2" width="10.5703125" customWidth="1"/>
    <col min="3" max="3" width="10.85546875" customWidth="1"/>
    <col min="8" max="8" width="11.85546875" bestFit="1" customWidth="1"/>
    <col min="9" max="10" width="11.140625" bestFit="1" customWidth="1"/>
    <col min="11" max="11" width="16" customWidth="1"/>
    <col min="12" max="12" width="17" customWidth="1"/>
    <col min="13" max="13" width="9.7109375" bestFit="1" customWidth="1"/>
    <col min="14" max="14" width="15.42578125" bestFit="1" customWidth="1"/>
  </cols>
  <sheetData>
    <row r="1" spans="1:13" x14ac:dyDescent="0.2">
      <c r="A1" t="s">
        <v>1136</v>
      </c>
    </row>
    <row r="2" spans="1:13" x14ac:dyDescent="0.2">
      <c r="A2" s="2289" t="s">
        <v>1140</v>
      </c>
      <c r="B2" s="128">
        <f>C2-1</f>
        <v>2014</v>
      </c>
      <c r="C2" s="128">
        <f t="shared" ref="C2:K2" si="0">D2-1</f>
        <v>2015</v>
      </c>
      <c r="D2" s="128">
        <f t="shared" si="0"/>
        <v>2016</v>
      </c>
      <c r="E2" s="128">
        <f t="shared" si="0"/>
        <v>2017</v>
      </c>
      <c r="F2" s="128">
        <f t="shared" si="0"/>
        <v>2018</v>
      </c>
      <c r="G2" s="128">
        <f t="shared" si="0"/>
        <v>2019</v>
      </c>
      <c r="H2" s="128">
        <f t="shared" si="0"/>
        <v>2020</v>
      </c>
      <c r="I2" s="128">
        <f t="shared" si="0"/>
        <v>2021</v>
      </c>
      <c r="J2" s="128">
        <f t="shared" si="0"/>
        <v>2022</v>
      </c>
      <c r="K2" s="128">
        <f t="shared" si="0"/>
        <v>2023</v>
      </c>
      <c r="L2" s="128">
        <v>2024</v>
      </c>
    </row>
    <row r="3" spans="1:13" ht="18" customHeight="1" x14ac:dyDescent="0.2">
      <c r="A3" s="2290" t="s">
        <v>1141</v>
      </c>
      <c r="B3" s="2288" t="s">
        <v>1137</v>
      </c>
      <c r="C3" s="2288" t="s">
        <v>1138</v>
      </c>
      <c r="D3" s="2279" t="s">
        <v>1123</v>
      </c>
      <c r="E3" s="2279" t="s">
        <v>1124</v>
      </c>
      <c r="F3" s="2279" t="s">
        <v>1125</v>
      </c>
      <c r="G3" s="2279" t="s">
        <v>1126</v>
      </c>
      <c r="H3" s="2279" t="s">
        <v>1127</v>
      </c>
      <c r="I3" s="2279" t="s">
        <v>1128</v>
      </c>
      <c r="J3" s="2279" t="s">
        <v>1129</v>
      </c>
      <c r="K3" s="2279" t="s">
        <v>1130</v>
      </c>
      <c r="L3" s="2279" t="s">
        <v>1131</v>
      </c>
    </row>
    <row r="4" spans="1:13" x14ac:dyDescent="0.2">
      <c r="A4" s="2280" t="s">
        <v>1132</v>
      </c>
      <c r="B4" s="2281">
        <v>777</v>
      </c>
      <c r="C4" s="2281">
        <v>792</v>
      </c>
      <c r="D4" s="2281">
        <v>768</v>
      </c>
      <c r="E4" s="2281">
        <v>742</v>
      </c>
      <c r="F4" s="2281">
        <v>708</v>
      </c>
      <c r="G4" s="2281">
        <v>692</v>
      </c>
      <c r="H4" s="2281">
        <v>691</v>
      </c>
      <c r="I4" s="2281">
        <v>663</v>
      </c>
      <c r="J4" s="2281">
        <v>622</v>
      </c>
      <c r="K4" s="2281">
        <v>623</v>
      </c>
      <c r="L4" s="2281">
        <v>600</v>
      </c>
    </row>
    <row r="5" spans="1:13" x14ac:dyDescent="0.2">
      <c r="A5" s="2282" t="s">
        <v>1133</v>
      </c>
      <c r="B5" s="2281">
        <v>733</v>
      </c>
      <c r="C5" s="2281">
        <v>739</v>
      </c>
      <c r="D5" s="2281">
        <v>706</v>
      </c>
      <c r="E5" s="2281">
        <v>706</v>
      </c>
      <c r="F5" s="2281">
        <v>665</v>
      </c>
      <c r="G5" s="2281">
        <v>641</v>
      </c>
      <c r="H5" s="2281">
        <v>646</v>
      </c>
      <c r="I5" s="2281">
        <v>617</v>
      </c>
      <c r="J5" s="2281">
        <v>604</v>
      </c>
      <c r="K5" s="2281">
        <v>563</v>
      </c>
      <c r="L5" s="2281">
        <v>528</v>
      </c>
    </row>
    <row r="6" spans="1:13" x14ac:dyDescent="0.2">
      <c r="A6" s="2283" t="s">
        <v>1134</v>
      </c>
      <c r="B6" s="2284">
        <v>577</v>
      </c>
      <c r="C6" s="2284">
        <v>557</v>
      </c>
      <c r="D6" s="2284">
        <v>537</v>
      </c>
      <c r="E6" s="2284">
        <v>521</v>
      </c>
      <c r="F6" s="2284">
        <v>501</v>
      </c>
      <c r="G6" s="2284">
        <v>494</v>
      </c>
      <c r="H6" s="2284">
        <v>482</v>
      </c>
      <c r="I6" s="2284">
        <v>479</v>
      </c>
      <c r="J6" s="2284">
        <v>486</v>
      </c>
      <c r="K6" s="2284">
        <v>492</v>
      </c>
      <c r="L6" s="2285">
        <v>467</v>
      </c>
    </row>
    <row r="7" spans="1:13" x14ac:dyDescent="0.2">
      <c r="A7" s="2286" t="s">
        <v>1135</v>
      </c>
      <c r="B7" s="2287">
        <v>2087</v>
      </c>
      <c r="C7" s="2287">
        <v>2088</v>
      </c>
      <c r="D7" s="2287">
        <v>2011</v>
      </c>
      <c r="E7" s="2287">
        <v>1969</v>
      </c>
      <c r="F7" s="2287">
        <v>1874</v>
      </c>
      <c r="G7" s="2287">
        <v>1827</v>
      </c>
      <c r="H7" s="2287">
        <v>1819</v>
      </c>
      <c r="I7" s="2287">
        <v>1759</v>
      </c>
      <c r="J7" s="2287">
        <v>1712</v>
      </c>
      <c r="K7" s="2287">
        <v>1678</v>
      </c>
      <c r="L7" s="2287">
        <v>1595</v>
      </c>
    </row>
    <row r="8" spans="1:13" x14ac:dyDescent="0.2">
      <c r="A8" s="2310" t="s">
        <v>1162</v>
      </c>
      <c r="C8" s="2311">
        <f>C7/B7-1</f>
        <v>4.7915668423570423E-4</v>
      </c>
      <c r="D8" s="2311">
        <f t="shared" ref="D8:L8" si="1">D7/C7-1</f>
        <v>-3.6877394636015359E-2</v>
      </c>
      <c r="E8" s="2311">
        <f t="shared" si="1"/>
        <v>-2.088513177523621E-2</v>
      </c>
      <c r="F8" s="2311">
        <f t="shared" si="1"/>
        <v>-4.8247841543930914E-2</v>
      </c>
      <c r="G8" s="2311">
        <f t="shared" si="1"/>
        <v>-2.5080042689434312E-2</v>
      </c>
      <c r="H8" s="2311">
        <f t="shared" si="1"/>
        <v>-4.3787629994526123E-3</v>
      </c>
      <c r="I8" s="2311">
        <f t="shared" si="1"/>
        <v>-3.2985156679494199E-2</v>
      </c>
      <c r="J8" s="2311">
        <f t="shared" si="1"/>
        <v>-2.6719727117680447E-2</v>
      </c>
      <c r="K8" s="2311">
        <f t="shared" si="1"/>
        <v>-1.985981308411211E-2</v>
      </c>
      <c r="L8" s="2311">
        <f t="shared" si="1"/>
        <v>-4.9463647199046501E-2</v>
      </c>
    </row>
    <row r="9" spans="1:13" x14ac:dyDescent="0.2">
      <c r="A9" s="2310" t="s">
        <v>1163</v>
      </c>
      <c r="C9" s="2311">
        <f>C6/B6-1</f>
        <v>-3.4662045060658619E-2</v>
      </c>
      <c r="D9" s="2311">
        <f t="shared" ref="D9:L9" si="2">D6/C6-1</f>
        <v>-3.590664272890487E-2</v>
      </c>
      <c r="E9" s="2311">
        <f t="shared" si="2"/>
        <v>-2.9795158286778367E-2</v>
      </c>
      <c r="F9" s="2311">
        <f t="shared" si="2"/>
        <v>-3.8387715930902067E-2</v>
      </c>
      <c r="G9" s="2311">
        <f t="shared" si="2"/>
        <v>-1.3972055888223589E-2</v>
      </c>
      <c r="H9" s="2311">
        <f t="shared" si="2"/>
        <v>-2.4291497975708509E-2</v>
      </c>
      <c r="I9" s="2311">
        <f t="shared" si="2"/>
        <v>-6.2240663900414717E-3</v>
      </c>
      <c r="J9" s="2311">
        <f t="shared" si="2"/>
        <v>1.4613778705636848E-2</v>
      </c>
      <c r="K9" s="2311">
        <f t="shared" si="2"/>
        <v>1.2345679012345734E-2</v>
      </c>
      <c r="L9" s="2311">
        <f t="shared" si="2"/>
        <v>-5.0813008130081272E-2</v>
      </c>
    </row>
    <row r="13" spans="1:13" x14ac:dyDescent="0.2">
      <c r="A13" s="2291" t="s">
        <v>1142</v>
      </c>
      <c r="B13" s="2292" t="s">
        <v>1143</v>
      </c>
      <c r="C13" s="2292" t="s">
        <v>1144</v>
      </c>
      <c r="D13" s="2292" t="s">
        <v>1145</v>
      </c>
      <c r="E13" s="2292" t="s">
        <v>1146</v>
      </c>
      <c r="F13" s="2292" t="s">
        <v>1147</v>
      </c>
      <c r="G13" s="2292" t="s">
        <v>1148</v>
      </c>
      <c r="H13" s="2292" t="s">
        <v>1149</v>
      </c>
      <c r="I13" s="2292" t="s">
        <v>1150</v>
      </c>
      <c r="J13" s="2292" t="s">
        <v>1151</v>
      </c>
      <c r="K13" s="2292" t="s">
        <v>1152</v>
      </c>
      <c r="L13" s="2293" t="s">
        <v>1153</v>
      </c>
    </row>
    <row r="14" spans="1:13" x14ac:dyDescent="0.2">
      <c r="A14" s="2294" t="s">
        <v>1154</v>
      </c>
      <c r="B14" s="2295">
        <v>0.37230000000000002</v>
      </c>
      <c r="C14" s="2295">
        <v>0.37930000000000003</v>
      </c>
      <c r="D14" s="2295">
        <v>0.38190000000000002</v>
      </c>
      <c r="E14" s="2295">
        <v>0.37680000000000002</v>
      </c>
      <c r="F14" s="2295">
        <v>0.37780000000000002</v>
      </c>
      <c r="G14" s="2295">
        <v>0.37880000000000003</v>
      </c>
      <c r="H14" s="2295">
        <v>0.37990000000000002</v>
      </c>
      <c r="I14" s="2295">
        <v>0.37690000000000001</v>
      </c>
      <c r="J14" s="2295">
        <v>0.36330000000000001</v>
      </c>
      <c r="K14" s="2295">
        <v>0.36730000000000002</v>
      </c>
      <c r="L14" s="2296">
        <v>0.37009999999999998</v>
      </c>
      <c r="M14" s="2313">
        <f>L14-K14</f>
        <v>2.7999999999999692E-3</v>
      </c>
    </row>
    <row r="15" spans="1:13" x14ac:dyDescent="0.2">
      <c r="A15" s="2294" t="s">
        <v>1155</v>
      </c>
      <c r="B15" s="2295">
        <v>0.35120000000000001</v>
      </c>
      <c r="C15" s="2295">
        <v>0.35389999999999999</v>
      </c>
      <c r="D15" s="2295">
        <v>0.35110000000000002</v>
      </c>
      <c r="E15" s="2295">
        <v>0.35859999999999997</v>
      </c>
      <c r="F15" s="2295">
        <v>0.35489999999999999</v>
      </c>
      <c r="G15" s="2295">
        <v>0.3508</v>
      </c>
      <c r="H15" s="2295">
        <v>0.35510000000000003</v>
      </c>
      <c r="I15" s="2295">
        <v>0.3508</v>
      </c>
      <c r="J15" s="2295">
        <v>0.3528</v>
      </c>
      <c r="K15" s="2295">
        <v>0.34420000000000001</v>
      </c>
      <c r="L15" s="2296">
        <v>0.34</v>
      </c>
      <c r="M15" s="2313">
        <f t="shared" ref="M15:M16" si="3">L15-K15</f>
        <v>-4.1999999999999815E-3</v>
      </c>
    </row>
    <row r="16" spans="1:13" x14ac:dyDescent="0.2">
      <c r="A16" s="2294" t="s">
        <v>1156</v>
      </c>
      <c r="B16" s="2295">
        <v>0.27650000000000002</v>
      </c>
      <c r="C16" s="2295">
        <v>0.26679999999999998</v>
      </c>
      <c r="D16" s="2295">
        <v>0.26700000000000002</v>
      </c>
      <c r="E16" s="2295">
        <v>0.2646</v>
      </c>
      <c r="F16" s="2295">
        <v>0.26729999999999998</v>
      </c>
      <c r="G16" s="2295">
        <v>0.27039999999999997</v>
      </c>
      <c r="H16" s="2295">
        <v>0.26500000000000001</v>
      </c>
      <c r="I16" s="2295">
        <v>0.27229999999999999</v>
      </c>
      <c r="J16" s="2295">
        <v>0.28389999999999999</v>
      </c>
      <c r="K16" s="2295">
        <v>0.28849999999999998</v>
      </c>
      <c r="L16" s="2296">
        <v>0.28989999999999999</v>
      </c>
      <c r="M16" s="2313">
        <f t="shared" si="3"/>
        <v>1.4000000000000123E-3</v>
      </c>
    </row>
    <row r="17" spans="1:14" ht="13.5" x14ac:dyDescent="0.2">
      <c r="A17" s="2307" t="s">
        <v>1157</v>
      </c>
      <c r="B17" s="2308"/>
      <c r="C17" s="2308"/>
      <c r="D17" s="2308"/>
      <c r="E17" s="2308"/>
      <c r="F17" s="2308"/>
      <c r="G17" s="2308"/>
      <c r="H17" s="2308"/>
      <c r="I17" s="2308"/>
      <c r="J17" s="2309">
        <f>J6/J7</f>
        <v>0.28387850467289721</v>
      </c>
      <c r="K17" s="2309">
        <f>SUM(J6:K6)/SUM(J7:K7)</f>
        <v>0.28849557522123892</v>
      </c>
      <c r="L17" s="2309">
        <f>SUM(J6:L6)/SUM(J7:L7)</f>
        <v>0.28986960882647944</v>
      </c>
    </row>
    <row r="21" spans="1:14" x14ac:dyDescent="0.2">
      <c r="A21" s="259" t="s">
        <v>928</v>
      </c>
      <c r="H21" s="2305" t="s">
        <v>1158</v>
      </c>
      <c r="I21" s="2305" t="s">
        <v>1069</v>
      </c>
      <c r="J21" s="2305" t="s">
        <v>1070</v>
      </c>
      <c r="K21" s="2305" t="s">
        <v>1159</v>
      </c>
      <c r="L21" s="2305" t="s">
        <v>1139</v>
      </c>
      <c r="N21" s="2876" t="s">
        <v>2496</v>
      </c>
    </row>
    <row r="22" spans="1:14" x14ac:dyDescent="0.2">
      <c r="A22" s="2306" t="s">
        <v>2493</v>
      </c>
      <c r="H22" s="2874"/>
      <c r="I22" s="2874"/>
      <c r="J22" s="2874"/>
      <c r="K22" s="2874"/>
      <c r="L22" s="2875">
        <f>SUM(L31:L33)</f>
        <v>16364261</v>
      </c>
      <c r="N22" s="2312"/>
    </row>
    <row r="23" spans="1:14" x14ac:dyDescent="0.2">
      <c r="A23" s="2306" t="s">
        <v>2494</v>
      </c>
      <c r="H23" s="2874"/>
      <c r="I23" s="2874"/>
      <c r="J23" s="2874"/>
      <c r="K23" s="2874"/>
      <c r="L23" s="2875">
        <v>1834836</v>
      </c>
    </row>
    <row r="24" spans="1:14" x14ac:dyDescent="0.2">
      <c r="A24" s="2306" t="s">
        <v>2495</v>
      </c>
      <c r="H24" s="2874"/>
      <c r="I24" s="2874"/>
      <c r="J24" s="2874"/>
      <c r="K24" s="2874"/>
      <c r="L24" s="2875">
        <f>L25-L22-L23</f>
        <v>13738118</v>
      </c>
    </row>
    <row r="25" spans="1:14" x14ac:dyDescent="0.2">
      <c r="A25" s="2306" t="s">
        <v>1160</v>
      </c>
      <c r="H25" s="2298">
        <v>28045347</v>
      </c>
      <c r="I25" s="2299">
        <v>28910709</v>
      </c>
      <c r="J25" s="2299">
        <v>29640869</v>
      </c>
      <c r="K25" s="2300">
        <f>30385855</f>
        <v>30385855</v>
      </c>
      <c r="L25" s="2300">
        <v>31937215</v>
      </c>
      <c r="N25" s="2297">
        <f>L25/K25-1</f>
        <v>5.1055334793113527E-2</v>
      </c>
    </row>
    <row r="26" spans="1:14" x14ac:dyDescent="0.2">
      <c r="A26" s="2306" t="s">
        <v>1161</v>
      </c>
      <c r="H26" s="2301">
        <v>1076702</v>
      </c>
      <c r="I26" s="2302">
        <v>295751</v>
      </c>
      <c r="J26" s="2302">
        <v>290502</v>
      </c>
      <c r="K26" s="2303">
        <v>-498748</v>
      </c>
      <c r="L26" s="2304"/>
    </row>
    <row r="28" spans="1:14" x14ac:dyDescent="0.2">
      <c r="A28" s="256" t="s">
        <v>1164</v>
      </c>
      <c r="H28" s="2312">
        <f>H25/H7</f>
        <v>15418.002748763056</v>
      </c>
      <c r="I28" s="2312">
        <f t="shared" ref="I28:K28" si="4">I25/I7</f>
        <v>16435.877771461059</v>
      </c>
      <c r="J28" s="2312">
        <f t="shared" si="4"/>
        <v>17313.591705607476</v>
      </c>
      <c r="K28" s="2312">
        <f t="shared" si="4"/>
        <v>18108.376042908225</v>
      </c>
      <c r="L28" s="2312">
        <f>L25/L7</f>
        <v>20023.332288401252</v>
      </c>
    </row>
    <row r="29" spans="1:14" x14ac:dyDescent="0.2">
      <c r="I29" s="2297">
        <f>I28/H28-1</f>
        <v>6.6018604308503148E-2</v>
      </c>
      <c r="J29" s="2297">
        <f t="shared" ref="J29:K29" si="5">J28/I28-1</f>
        <v>5.3402315735790129E-2</v>
      </c>
      <c r="K29" s="2297">
        <f t="shared" si="5"/>
        <v>4.5905225837302055E-2</v>
      </c>
      <c r="L29" s="2297">
        <f>L28/K28-1</f>
        <v>0.10574975033407163</v>
      </c>
    </row>
    <row r="30" spans="1:14" x14ac:dyDescent="0.2">
      <c r="A30" s="2877" t="s">
        <v>2489</v>
      </c>
      <c r="B30" s="2308"/>
      <c r="C30" s="2308"/>
      <c r="D30" s="2308"/>
      <c r="E30" s="2308"/>
      <c r="F30" s="2308"/>
      <c r="G30" s="2308"/>
      <c r="H30" s="2308"/>
      <c r="I30" s="2308"/>
      <c r="J30" s="2308"/>
      <c r="K30" s="2308"/>
      <c r="L30" s="2308"/>
    </row>
    <row r="31" spans="1:14" x14ac:dyDescent="0.2">
      <c r="A31" s="2308" t="s">
        <v>2490</v>
      </c>
      <c r="B31" s="2308"/>
      <c r="C31" s="2308"/>
      <c r="D31" s="2308"/>
      <c r="E31" s="2308"/>
      <c r="F31" s="2308"/>
      <c r="G31" s="2308"/>
      <c r="H31" s="2308"/>
      <c r="I31" s="2308"/>
      <c r="J31" s="2308"/>
      <c r="K31" s="2308"/>
      <c r="L31" s="2878">
        <f>6153864</f>
        <v>6153864</v>
      </c>
    </row>
    <row r="32" spans="1:14" x14ac:dyDescent="0.2">
      <c r="A32" s="2308" t="s">
        <v>2491</v>
      </c>
      <c r="B32" s="2308"/>
      <c r="C32" s="2308"/>
      <c r="D32" s="2308"/>
      <c r="E32" s="2308"/>
      <c r="F32" s="2308"/>
      <c r="G32" s="2308"/>
      <c r="H32" s="2308"/>
      <c r="I32" s="2308"/>
      <c r="J32" s="2308"/>
      <c r="K32" s="2308"/>
      <c r="L32" s="2879">
        <v>5601343</v>
      </c>
    </row>
    <row r="33" spans="1:14" x14ac:dyDescent="0.2">
      <c r="A33" s="2308" t="s">
        <v>2492</v>
      </c>
      <c r="B33" s="2308"/>
      <c r="C33" s="2308"/>
      <c r="D33" s="2308"/>
      <c r="E33" s="2308"/>
      <c r="F33" s="2308"/>
      <c r="G33" s="2308"/>
      <c r="H33" s="2308"/>
      <c r="I33" s="2308"/>
      <c r="J33" s="2308"/>
      <c r="K33" s="2308"/>
      <c r="L33" s="2879">
        <f>4609054</f>
        <v>4609054</v>
      </c>
    </row>
    <row r="36" spans="1:14" x14ac:dyDescent="0.2">
      <c r="A36" s="2880" t="s">
        <v>2497</v>
      </c>
      <c r="K36" s="256" t="s">
        <v>2500</v>
      </c>
      <c r="L36" s="2884">
        <f>K25</f>
        <v>30385855</v>
      </c>
    </row>
    <row r="37" spans="1:14" x14ac:dyDescent="0.2">
      <c r="K37" s="2885">
        <v>0.03</v>
      </c>
      <c r="L37" s="2883">
        <f>L36*K37</f>
        <v>911575.65</v>
      </c>
    </row>
    <row r="38" spans="1:14" x14ac:dyDescent="0.2">
      <c r="K38" s="256" t="s">
        <v>2501</v>
      </c>
      <c r="L38" s="2881">
        <f>L36+L37</f>
        <v>31297430.649999999</v>
      </c>
    </row>
    <row r="39" spans="1:14" x14ac:dyDescent="0.2">
      <c r="A39" s="256" t="s">
        <v>2498</v>
      </c>
      <c r="K39" s="2885" t="s">
        <v>2502</v>
      </c>
      <c r="L39" s="2883">
        <f>L22</f>
        <v>16364261</v>
      </c>
    </row>
    <row r="40" spans="1:14" x14ac:dyDescent="0.2">
      <c r="A40" s="2882" t="s">
        <v>2489</v>
      </c>
      <c r="K40" s="256" t="s">
        <v>2503</v>
      </c>
      <c r="L40" s="2881">
        <f>L38-L39</f>
        <v>14933169.649999999</v>
      </c>
    </row>
    <row r="41" spans="1:14" x14ac:dyDescent="0.2">
      <c r="A41" s="256" t="s">
        <v>2499</v>
      </c>
      <c r="K41" s="2885" t="s">
        <v>2504</v>
      </c>
      <c r="L41" s="2881">
        <f>L40*L17</f>
        <v>4328672.0449849544</v>
      </c>
    </row>
    <row r="42" spans="1:14" x14ac:dyDescent="0.2">
      <c r="A42" s="256" t="s">
        <v>315</v>
      </c>
      <c r="K42" s="256" t="s">
        <v>2505</v>
      </c>
      <c r="L42" s="2883">
        <f>L33</f>
        <v>4609054</v>
      </c>
    </row>
    <row r="43" spans="1:14" x14ac:dyDescent="0.2">
      <c r="K43" s="2885" t="s">
        <v>2498</v>
      </c>
      <c r="L43" s="2881">
        <f>L41+L42</f>
        <v>8937726.0449849553</v>
      </c>
      <c r="N43">
        <f>L43/L38</f>
        <v>0.28557379501645946</v>
      </c>
    </row>
    <row r="44" spans="1:14" x14ac:dyDescent="0.2">
      <c r="N44" s="2886">
        <v>0.28557379501645946</v>
      </c>
    </row>
    <row r="436" spans="52:52" x14ac:dyDescent="0.2">
      <c r="AZ436" t="e">
        <f>'Masco Calculation'!A46T</f>
        <v>#NAME?</v>
      </c>
    </row>
  </sheetData>
  <conditionalFormatting sqref="C8:L8">
    <cfRule type="cellIs" dxfId="2" priority="3" operator="lessThan">
      <formula>0</formula>
    </cfRule>
  </conditionalFormatting>
  <conditionalFormatting sqref="C9:L9">
    <cfRule type="cellIs" dxfId="1" priority="1" operator="lessThan">
      <formula>0</formula>
    </cfRule>
    <cfRule type="cellIs" dxfId="0" priority="2" operator="greaterThan">
      <formula>9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  <pageSetUpPr fitToPage="1"/>
  </sheetPr>
  <dimension ref="B1:L572"/>
  <sheetViews>
    <sheetView workbookViewId="0">
      <selection activeCell="L104" sqref="L104"/>
    </sheetView>
  </sheetViews>
  <sheetFormatPr defaultRowHeight="12.75" x14ac:dyDescent="0.2"/>
  <cols>
    <col min="2" max="2" width="31.28515625" customWidth="1"/>
    <col min="3" max="3" width="6.7109375" customWidth="1"/>
    <col min="4" max="4" width="15.7109375" customWidth="1"/>
    <col min="5" max="5" width="28.85546875" style="714" customWidth="1"/>
    <col min="6" max="6" width="10.140625" style="733" customWidth="1"/>
    <col min="7" max="7" width="14.140625" style="733" customWidth="1"/>
    <col min="8" max="8" width="12.7109375" style="733" customWidth="1"/>
    <col min="9" max="9" width="12.7109375" style="1031" customWidth="1"/>
    <col min="10" max="10" width="12.5703125" style="733" customWidth="1"/>
    <col min="11" max="11" width="26" style="733" customWidth="1"/>
    <col min="12" max="12" width="12.5703125" style="733" customWidth="1"/>
  </cols>
  <sheetData>
    <row r="1" spans="2:12" x14ac:dyDescent="0.2">
      <c r="E1" s="1689"/>
      <c r="F1" s="720"/>
      <c r="G1" s="720"/>
      <c r="H1" s="720"/>
      <c r="I1" s="2167"/>
      <c r="J1" s="720"/>
      <c r="K1" s="720"/>
      <c r="L1" s="720"/>
    </row>
    <row r="2" spans="2:12" x14ac:dyDescent="0.2">
      <c r="F2" s="728"/>
      <c r="G2" s="728"/>
      <c r="H2" s="728"/>
      <c r="I2" s="2168"/>
      <c r="J2" s="728"/>
      <c r="K2" s="728"/>
      <c r="L2" s="728"/>
    </row>
    <row r="3" spans="2:12" x14ac:dyDescent="0.2">
      <c r="F3" s="728"/>
      <c r="G3" s="728"/>
      <c r="H3" s="728"/>
      <c r="I3" s="2168"/>
      <c r="J3" s="728"/>
      <c r="K3" s="728"/>
      <c r="L3" s="728"/>
    </row>
    <row r="4" spans="2:12" x14ac:dyDescent="0.2">
      <c r="F4" s="728"/>
      <c r="G4" s="728"/>
      <c r="H4" s="728"/>
      <c r="I4" s="2168"/>
      <c r="J4" s="728"/>
      <c r="K4" s="728"/>
      <c r="L4" s="728"/>
    </row>
    <row r="5" spans="2:12" x14ac:dyDescent="0.2">
      <c r="F5" s="728"/>
      <c r="G5" s="728"/>
      <c r="H5" s="728"/>
      <c r="I5" s="2168"/>
      <c r="J5" s="728"/>
      <c r="K5" s="728"/>
      <c r="L5" s="728"/>
    </row>
    <row r="6" spans="2:12" ht="13.5" thickBot="1" x14ac:dyDescent="0.25">
      <c r="F6" s="741"/>
      <c r="G6" s="741"/>
      <c r="H6" s="741"/>
      <c r="I6" s="2169"/>
      <c r="J6" s="741"/>
      <c r="K6" s="741"/>
      <c r="L6" s="741"/>
    </row>
    <row r="7" spans="2:12" x14ac:dyDescent="0.2">
      <c r="E7" s="743"/>
      <c r="F7" s="748"/>
      <c r="G7" s="748"/>
      <c r="H7" s="748"/>
      <c r="I7" s="748"/>
      <c r="J7" s="1765"/>
      <c r="K7" s="748"/>
      <c r="L7" s="1870"/>
    </row>
    <row r="8" spans="2:12" ht="16.5" thickBot="1" x14ac:dyDescent="0.3">
      <c r="E8" s="755"/>
      <c r="F8" s="759"/>
      <c r="G8" s="1812"/>
      <c r="H8" s="1812" t="s">
        <v>1086</v>
      </c>
      <c r="I8" s="759"/>
      <c r="J8" s="1766"/>
      <c r="K8" s="1812" t="s">
        <v>1087</v>
      </c>
      <c r="L8" s="1871"/>
    </row>
    <row r="9" spans="2:12" x14ac:dyDescent="0.2">
      <c r="B9" s="2079"/>
      <c r="C9" s="2079"/>
      <c r="D9" s="2079"/>
      <c r="E9" s="766"/>
      <c r="F9" s="1511"/>
      <c r="G9" s="1931"/>
      <c r="H9" s="1931"/>
      <c r="I9" s="1932"/>
      <c r="J9" s="1933"/>
      <c r="K9" s="1931"/>
      <c r="L9" s="1934"/>
    </row>
    <row r="10" spans="2:12" x14ac:dyDescent="0.2">
      <c r="B10" s="2080" t="s">
        <v>1096</v>
      </c>
      <c r="C10" s="2080" t="s">
        <v>1100</v>
      </c>
      <c r="D10" s="2080"/>
      <c r="E10" s="779"/>
      <c r="F10" s="1511" t="s">
        <v>1088</v>
      </c>
      <c r="G10" s="1935" t="s">
        <v>2508</v>
      </c>
      <c r="H10" s="1935" t="s">
        <v>1084</v>
      </c>
      <c r="I10" s="1936" t="s">
        <v>1085</v>
      </c>
      <c r="J10" s="1937" t="s">
        <v>180</v>
      </c>
      <c r="K10" s="1935" t="s">
        <v>1084</v>
      </c>
      <c r="L10" s="1938" t="s">
        <v>1085</v>
      </c>
    </row>
    <row r="11" spans="2:12" hidden="1" x14ac:dyDescent="0.2">
      <c r="B11" s="2080"/>
      <c r="C11" s="2080"/>
      <c r="D11" s="2080"/>
      <c r="E11" s="1557" t="str">
        <f>BUDGET!A11</f>
        <v>OPERATING  BUDGET</v>
      </c>
      <c r="F11" s="1512"/>
      <c r="G11" s="1940"/>
      <c r="H11" s="1940"/>
      <c r="I11" s="1941"/>
      <c r="J11" s="1942"/>
      <c r="K11" s="1940"/>
      <c r="L11" s="1943"/>
    </row>
    <row r="12" spans="2:12" hidden="1" x14ac:dyDescent="0.2">
      <c r="B12" s="459" t="s">
        <v>441</v>
      </c>
      <c r="C12" s="459">
        <f>BUDGET!BA12</f>
        <v>0</v>
      </c>
      <c r="D12" s="459">
        <f>BUDGET!BB12</f>
        <v>0</v>
      </c>
      <c r="E12" s="795" t="str">
        <f>BUDGET!A12</f>
        <v>GENERAL GOVERNMENT</v>
      </c>
      <c r="F12" s="800" t="s">
        <v>1091</v>
      </c>
      <c r="G12" s="2899">
        <f>BUDGET!AZ12</f>
        <v>0</v>
      </c>
      <c r="H12" s="800"/>
      <c r="J12" s="1767"/>
      <c r="K12" s="800"/>
      <c r="L12" s="1872"/>
    </row>
    <row r="13" spans="2:12" hidden="1" x14ac:dyDescent="0.2">
      <c r="B13" t="s">
        <v>441</v>
      </c>
      <c r="C13" s="459">
        <f>BUDGET!BA13</f>
        <v>0</v>
      </c>
      <c r="D13" s="459">
        <f>BUDGET!BB13</f>
        <v>0</v>
      </c>
      <c r="E13" s="808" t="str">
        <f>BUDGET!A13</f>
        <v xml:space="preserve"> MODERATOR</v>
      </c>
      <c r="F13" s="800" t="s">
        <v>1091</v>
      </c>
      <c r="G13" s="2899">
        <f>BUDGET!AZ13</f>
        <v>0</v>
      </c>
      <c r="H13" s="800"/>
      <c r="J13" s="1767"/>
      <c r="K13" s="800"/>
      <c r="L13" s="1872"/>
    </row>
    <row r="14" spans="2:12" hidden="1" x14ac:dyDescent="0.2">
      <c r="B14" t="s">
        <v>441</v>
      </c>
      <c r="C14" s="459">
        <f>BUDGET!BA14</f>
        <v>0</v>
      </c>
      <c r="D14" s="459">
        <f>BUDGET!BB14</f>
        <v>0</v>
      </c>
      <c r="E14" s="795" t="str">
        <f>BUDGET!A14</f>
        <v xml:space="preserve">    SALARY</v>
      </c>
      <c r="F14" s="817">
        <v>50</v>
      </c>
      <c r="G14" s="2900">
        <f>BUDGET!AZ14</f>
        <v>0</v>
      </c>
      <c r="H14" s="817"/>
      <c r="I14" s="877"/>
      <c r="J14" s="1768"/>
      <c r="K14" s="817"/>
      <c r="L14" s="1873"/>
    </row>
    <row r="15" spans="2:12" hidden="1" x14ac:dyDescent="0.2">
      <c r="B15" t="s">
        <v>441</v>
      </c>
      <c r="C15" s="459">
        <f>BUDGET!BA15</f>
        <v>0</v>
      </c>
      <c r="D15" s="459">
        <f>BUDGET!BB15</f>
        <v>0</v>
      </c>
      <c r="E15" s="821" t="str">
        <f>BUDGET!A15</f>
        <v xml:space="preserve">    TOTAL</v>
      </c>
      <c r="F15" s="831">
        <v>50</v>
      </c>
      <c r="G15" s="2901">
        <f>BUDGET!AZ15</f>
        <v>0</v>
      </c>
      <c r="H15" s="831"/>
      <c r="I15" s="2181">
        <v>44998</v>
      </c>
      <c r="J15" s="1769"/>
      <c r="K15" s="831"/>
      <c r="L15" s="1874"/>
    </row>
    <row r="16" spans="2:12" hidden="1" x14ac:dyDescent="0.2">
      <c r="B16" s="459" t="s">
        <v>301</v>
      </c>
      <c r="C16" s="459">
        <f>BUDGET!BA16</f>
        <v>0</v>
      </c>
      <c r="D16" s="459">
        <f>BUDGET!BB16</f>
        <v>0</v>
      </c>
      <c r="E16" s="808" t="str">
        <f>BUDGET!A16</f>
        <v>SELECTMEN</v>
      </c>
      <c r="F16" s="800">
        <v>0</v>
      </c>
      <c r="G16" s="2899">
        <f>BUDGET!AZ16</f>
        <v>0</v>
      </c>
      <c r="H16" s="800"/>
      <c r="J16" s="1767"/>
      <c r="K16" s="800"/>
      <c r="L16" s="1872"/>
    </row>
    <row r="17" spans="2:12" hidden="1" x14ac:dyDescent="0.2">
      <c r="B17" t="s">
        <v>301</v>
      </c>
      <c r="C17" s="459">
        <f>BUDGET!BA17</f>
        <v>0</v>
      </c>
      <c r="D17" s="459">
        <f>BUDGET!BB17</f>
        <v>0</v>
      </c>
      <c r="E17" s="808" t="str">
        <f>BUDGET!A17</f>
        <v xml:space="preserve">    SALARIES</v>
      </c>
      <c r="F17" s="843">
        <v>232346</v>
      </c>
      <c r="G17" s="2902">
        <f>BUDGET!AZ17</f>
        <v>0</v>
      </c>
      <c r="H17" s="843"/>
      <c r="I17" s="1178"/>
      <c r="J17" s="1770"/>
      <c r="K17" s="843"/>
      <c r="L17" s="1875"/>
    </row>
    <row r="18" spans="2:12" hidden="1" x14ac:dyDescent="0.2">
      <c r="B18" t="s">
        <v>301</v>
      </c>
      <c r="C18" s="459">
        <f>BUDGET!BA18</f>
        <v>0</v>
      </c>
      <c r="D18" s="459">
        <f>BUDGET!BB18</f>
        <v>0</v>
      </c>
      <c r="E18" s="808" t="str">
        <f>BUDGET!A18</f>
        <v xml:space="preserve">    WAGES</v>
      </c>
      <c r="F18" s="843">
        <v>75569</v>
      </c>
      <c r="G18" s="2902">
        <f>BUDGET!AZ18</f>
        <v>0</v>
      </c>
      <c r="H18" s="843"/>
      <c r="I18" s="1178"/>
      <c r="J18" s="1770"/>
      <c r="K18" s="843"/>
      <c r="L18" s="1875"/>
    </row>
    <row r="19" spans="2:12" hidden="1" x14ac:dyDescent="0.2">
      <c r="B19" t="s">
        <v>301</v>
      </c>
      <c r="C19" s="459">
        <f>BUDGET!BA19</f>
        <v>0</v>
      </c>
      <c r="D19" s="459">
        <f>BUDGET!BB19</f>
        <v>0</v>
      </c>
      <c r="E19" s="808" t="str">
        <f>BUDGET!A19</f>
        <v xml:space="preserve">   OTHER</v>
      </c>
      <c r="F19" s="843">
        <v>13890</v>
      </c>
      <c r="G19" s="2902">
        <f>BUDGET!AZ19</f>
        <v>0</v>
      </c>
      <c r="H19" s="843"/>
      <c r="I19" s="1178"/>
      <c r="J19" s="1770"/>
      <c r="K19" s="843"/>
      <c r="L19" s="1875"/>
    </row>
    <row r="20" spans="2:12" hidden="1" x14ac:dyDescent="0.2">
      <c r="B20" t="s">
        <v>301</v>
      </c>
      <c r="C20" s="459">
        <f>BUDGET!BA20</f>
        <v>0</v>
      </c>
      <c r="D20" s="459">
        <f>BUDGET!BB20</f>
        <v>0</v>
      </c>
      <c r="E20" s="795" t="str">
        <f>BUDGET!A20</f>
        <v xml:space="preserve">   TOTAL</v>
      </c>
      <c r="F20" s="814">
        <v>321805</v>
      </c>
      <c r="G20" s="2903">
        <f>BUDGET!AZ20</f>
        <v>0</v>
      </c>
      <c r="H20" s="814"/>
      <c r="I20" s="2898">
        <v>44998</v>
      </c>
      <c r="J20" s="1771"/>
      <c r="K20" s="814"/>
      <c r="L20" s="1876"/>
    </row>
    <row r="21" spans="2:12" hidden="1" x14ac:dyDescent="0.2">
      <c r="C21" s="459">
        <f>BUDGET!BA21</f>
        <v>0</v>
      </c>
      <c r="D21" s="459">
        <f>BUDGET!BB21</f>
        <v>0</v>
      </c>
      <c r="E21" s="855"/>
      <c r="F21" s="856">
        <v>0</v>
      </c>
      <c r="G21" s="2904">
        <f>BUDGET!AZ21</f>
        <v>0</v>
      </c>
      <c r="H21" s="856"/>
      <c r="I21" s="1237"/>
      <c r="J21" s="1772"/>
      <c r="K21" s="856"/>
      <c r="L21" s="1877"/>
    </row>
    <row r="22" spans="2:12" hidden="1" x14ac:dyDescent="0.2">
      <c r="B22" s="459" t="s">
        <v>305</v>
      </c>
      <c r="C22" s="459">
        <f>BUDGET!BA22</f>
        <v>0</v>
      </c>
      <c r="D22" s="459">
        <f>BUDGET!BB22</f>
        <v>0</v>
      </c>
      <c r="E22" s="808" t="str">
        <f>BUDGET!A22</f>
        <v>SELECTMEN'S SPECIAL</v>
      </c>
      <c r="F22" s="859">
        <v>0</v>
      </c>
      <c r="G22" s="2899">
        <f>BUDGET!AZ22</f>
        <v>0</v>
      </c>
      <c r="H22" s="859"/>
      <c r="I22" s="1178"/>
      <c r="J22" s="1773"/>
      <c r="K22" s="859"/>
      <c r="L22" s="1878"/>
    </row>
    <row r="23" spans="2:12" hidden="1" x14ac:dyDescent="0.2">
      <c r="B23" t="s">
        <v>305</v>
      </c>
      <c r="C23" s="459">
        <f>BUDGET!BA23</f>
        <v>0</v>
      </c>
      <c r="D23" s="459">
        <f>BUDGET!BB23</f>
        <v>0</v>
      </c>
      <c r="E23" s="808" t="str">
        <f>BUDGET!A23</f>
        <v xml:space="preserve">   SERVICES</v>
      </c>
      <c r="F23" s="817">
        <v>0</v>
      </c>
      <c r="G23" s="2900">
        <f>BUDGET!AZ23</f>
        <v>0</v>
      </c>
      <c r="H23" s="817"/>
      <c r="I23" s="877"/>
      <c r="J23" s="1768"/>
      <c r="K23" s="817"/>
      <c r="L23" s="1873"/>
    </row>
    <row r="24" spans="2:12" hidden="1" x14ac:dyDescent="0.2">
      <c r="B24" t="s">
        <v>305</v>
      </c>
      <c r="C24" s="459">
        <f>BUDGET!BA24</f>
        <v>0</v>
      </c>
      <c r="D24" s="459">
        <f>BUDGET!BB24</f>
        <v>0</v>
      </c>
      <c r="E24" s="808" t="str">
        <f>BUDGET!A24</f>
        <v xml:space="preserve">   OTHER</v>
      </c>
      <c r="F24" s="843">
        <v>77300</v>
      </c>
      <c r="G24" s="2902">
        <f>BUDGET!AZ24</f>
        <v>0</v>
      </c>
      <c r="H24" s="843"/>
      <c r="I24" s="1178"/>
      <c r="J24" s="1770"/>
      <c r="K24" s="843"/>
      <c r="L24" s="1875"/>
    </row>
    <row r="25" spans="2:12" hidden="1" x14ac:dyDescent="0.2">
      <c r="B25" t="s">
        <v>305</v>
      </c>
      <c r="C25" s="459">
        <f>BUDGET!BA25</f>
        <v>0</v>
      </c>
      <c r="D25" s="459">
        <f>BUDGET!BB25</f>
        <v>0</v>
      </c>
      <c r="E25" s="795" t="str">
        <f>BUDGET!A25</f>
        <v xml:space="preserve">   TOTAL </v>
      </c>
      <c r="F25" s="814">
        <v>77300</v>
      </c>
      <c r="G25" s="2903">
        <f>BUDGET!AZ25</f>
        <v>0</v>
      </c>
      <c r="H25" s="814"/>
      <c r="I25" s="2898">
        <v>44998</v>
      </c>
      <c r="J25" s="1771"/>
      <c r="K25" s="814"/>
      <c r="L25" s="1876"/>
    </row>
    <row r="26" spans="2:12" hidden="1" x14ac:dyDescent="0.2">
      <c r="C26" s="459">
        <f>BUDGET!BA26</f>
        <v>0</v>
      </c>
      <c r="D26" s="459">
        <f>BUDGET!BB26</f>
        <v>0</v>
      </c>
      <c r="E26" s="855"/>
      <c r="F26" s="856">
        <v>0</v>
      </c>
      <c r="G26" s="2904">
        <f>BUDGET!AZ26</f>
        <v>0</v>
      </c>
      <c r="H26" s="856"/>
      <c r="I26" s="1237"/>
      <c r="J26" s="1772"/>
      <c r="K26" s="856"/>
      <c r="L26" s="1877"/>
    </row>
    <row r="27" spans="2:12" hidden="1" x14ac:dyDescent="0.2">
      <c r="B27" s="459" t="s">
        <v>556</v>
      </c>
      <c r="C27" s="459">
        <f>BUDGET!BA27</f>
        <v>0</v>
      </c>
      <c r="D27" s="459" t="str">
        <f>BUDGET!BB27</f>
        <v>x</v>
      </c>
      <c r="E27" s="808" t="str">
        <f>BUDGET!A27</f>
        <v>PARKING CLERK</v>
      </c>
      <c r="F27" s="1532">
        <v>0</v>
      </c>
      <c r="G27" s="2905">
        <f>BUDGET!AZ27</f>
        <v>0</v>
      </c>
      <c r="H27" s="1532"/>
      <c r="I27" s="1734"/>
      <c r="J27" s="1774"/>
      <c r="K27" s="1532"/>
      <c r="L27" s="1879"/>
    </row>
    <row r="28" spans="2:12" hidden="1" x14ac:dyDescent="0.2">
      <c r="B28" t="s">
        <v>556</v>
      </c>
      <c r="C28" s="459">
        <f>BUDGET!BA28</f>
        <v>0</v>
      </c>
      <c r="D28" s="459" t="str">
        <f>BUDGET!BB28</f>
        <v>x</v>
      </c>
      <c r="E28" s="808" t="str">
        <f>BUDGET!A28</f>
        <v xml:space="preserve">   OTHER</v>
      </c>
      <c r="F28" s="1087">
        <v>0</v>
      </c>
      <c r="G28" s="2906">
        <f>BUDGET!AZ28</f>
        <v>0</v>
      </c>
      <c r="H28" s="1087"/>
      <c r="I28" s="1523"/>
      <c r="J28" s="1775"/>
      <c r="K28" s="1087"/>
      <c r="L28" s="1880"/>
    </row>
    <row r="29" spans="2:12" hidden="1" x14ac:dyDescent="0.2">
      <c r="B29" t="s">
        <v>556</v>
      </c>
      <c r="C29" s="459">
        <f>BUDGET!BA29</f>
        <v>0</v>
      </c>
      <c r="D29" s="459" t="str">
        <f>BUDGET!BB29</f>
        <v>x</v>
      </c>
      <c r="E29" s="795" t="str">
        <f>BUDGET!A29</f>
        <v xml:space="preserve">   TOTAL</v>
      </c>
      <c r="F29" s="1558">
        <v>0</v>
      </c>
      <c r="G29" s="2907">
        <f>BUDGET!AZ29</f>
        <v>0</v>
      </c>
      <c r="H29" s="1558"/>
      <c r="I29" s="2170"/>
      <c r="J29" s="1776"/>
      <c r="K29" s="1558"/>
      <c r="L29" s="1881"/>
    </row>
    <row r="30" spans="2:12" hidden="1" x14ac:dyDescent="0.2">
      <c r="C30" s="459">
        <f>BUDGET!BA30</f>
        <v>0</v>
      </c>
      <c r="D30" s="459" t="str">
        <f>BUDGET!BB30</f>
        <v>x</v>
      </c>
      <c r="E30" s="855">
        <f>BUDGET!A30</f>
        <v>0</v>
      </c>
      <c r="F30" s="1092">
        <v>0</v>
      </c>
      <c r="G30" s="2908">
        <f>BUDGET!AZ30</f>
        <v>0</v>
      </c>
      <c r="H30" s="1092"/>
      <c r="I30" s="1736"/>
      <c r="J30" s="1777"/>
      <c r="K30" s="1092"/>
      <c r="L30" s="1882"/>
    </row>
    <row r="31" spans="2:12" hidden="1" x14ac:dyDescent="0.2">
      <c r="B31" s="459" t="s">
        <v>557</v>
      </c>
      <c r="C31" s="459">
        <f>BUDGET!BA31</f>
        <v>0</v>
      </c>
      <c r="D31" s="459">
        <f>BUDGET!BB31</f>
        <v>0</v>
      </c>
      <c r="E31" s="808" t="str">
        <f>BUDGET!A31</f>
        <v>FINANCE COMMITTEE</v>
      </c>
      <c r="F31" s="859">
        <v>0</v>
      </c>
      <c r="G31" s="2899">
        <f>BUDGET!AZ31</f>
        <v>0</v>
      </c>
      <c r="H31" s="859"/>
      <c r="I31" s="1178"/>
      <c r="J31" s="1773"/>
      <c r="K31" s="859"/>
      <c r="L31" s="1878"/>
    </row>
    <row r="32" spans="2:12" hidden="1" x14ac:dyDescent="0.2">
      <c r="B32" t="s">
        <v>557</v>
      </c>
      <c r="C32" s="459">
        <f>BUDGET!BA32</f>
        <v>0</v>
      </c>
      <c r="D32" s="459">
        <f>BUDGET!BB32</f>
        <v>0</v>
      </c>
      <c r="E32" s="808" t="str">
        <f>BUDGET!A32</f>
        <v xml:space="preserve">   WAGES</v>
      </c>
      <c r="F32" s="843">
        <v>1687</v>
      </c>
      <c r="G32" s="2902">
        <f>BUDGET!AZ32</f>
        <v>0</v>
      </c>
      <c r="H32" s="843"/>
      <c r="I32" s="1178"/>
      <c r="J32" s="1770"/>
      <c r="K32" s="843"/>
      <c r="L32" s="1875"/>
    </row>
    <row r="33" spans="2:12" hidden="1" x14ac:dyDescent="0.2">
      <c r="B33" t="s">
        <v>557</v>
      </c>
      <c r="C33" s="459">
        <f>BUDGET!BA33</f>
        <v>0</v>
      </c>
      <c r="D33" s="459">
        <f>BUDGET!BB33</f>
        <v>0</v>
      </c>
      <c r="E33" s="808" t="str">
        <f>BUDGET!A33</f>
        <v xml:space="preserve">   OTHER</v>
      </c>
      <c r="F33" s="843">
        <v>350</v>
      </c>
      <c r="G33" s="2902">
        <f>BUDGET!AZ33</f>
        <v>0</v>
      </c>
      <c r="H33" s="843"/>
      <c r="I33" s="1178"/>
      <c r="J33" s="1770"/>
      <c r="K33" s="843"/>
      <c r="L33" s="1875"/>
    </row>
    <row r="34" spans="2:12" hidden="1" x14ac:dyDescent="0.2">
      <c r="B34" t="s">
        <v>557</v>
      </c>
      <c r="C34" s="459">
        <f>BUDGET!BA34</f>
        <v>0</v>
      </c>
      <c r="D34" s="459">
        <f>BUDGET!BB34</f>
        <v>0</v>
      </c>
      <c r="E34" s="808" t="str">
        <f>BUDGET!A34</f>
        <v>RESERVE</v>
      </c>
      <c r="F34" s="843">
        <v>100000</v>
      </c>
      <c r="G34" s="2902">
        <f>BUDGET!AZ34</f>
        <v>0</v>
      </c>
      <c r="H34" s="843"/>
      <c r="I34" s="1178"/>
      <c r="J34" s="1770"/>
      <c r="K34" s="843"/>
      <c r="L34" s="1875"/>
    </row>
    <row r="35" spans="2:12" hidden="1" x14ac:dyDescent="0.2">
      <c r="B35" t="s">
        <v>557</v>
      </c>
      <c r="C35" s="459">
        <f>BUDGET!BA35</f>
        <v>0</v>
      </c>
      <c r="D35" s="459">
        <f>BUDGET!BB35</f>
        <v>0</v>
      </c>
      <c r="E35" s="878" t="str">
        <f>BUDGET!A35</f>
        <v xml:space="preserve">   TOTAL</v>
      </c>
      <c r="F35" s="814">
        <v>102037</v>
      </c>
      <c r="G35" s="2903">
        <f>BUDGET!AZ35</f>
        <v>0</v>
      </c>
      <c r="H35" s="814"/>
      <c r="I35" s="2898">
        <v>44998</v>
      </c>
      <c r="J35" s="1771"/>
      <c r="K35" s="814"/>
      <c r="L35" s="1876"/>
    </row>
    <row r="36" spans="2:12" hidden="1" x14ac:dyDescent="0.2">
      <c r="C36" s="459">
        <f>BUDGET!BA36</f>
        <v>0</v>
      </c>
      <c r="D36" s="459">
        <f>BUDGET!BB36</f>
        <v>0</v>
      </c>
      <c r="E36" s="855"/>
      <c r="F36" s="856">
        <v>0</v>
      </c>
      <c r="G36" s="2904">
        <f>BUDGET!AZ36</f>
        <v>0</v>
      </c>
      <c r="H36" s="856"/>
      <c r="I36" s="1237"/>
      <c r="J36" s="1772"/>
      <c r="K36" s="856"/>
      <c r="L36" s="1877"/>
    </row>
    <row r="37" spans="2:12" hidden="1" x14ac:dyDescent="0.2">
      <c r="B37" s="459" t="s">
        <v>690</v>
      </c>
      <c r="C37" s="459">
        <f>BUDGET!BA37</f>
        <v>0</v>
      </c>
      <c r="D37" s="459">
        <f>BUDGET!BB37</f>
        <v>0</v>
      </c>
      <c r="E37" s="808" t="str">
        <f>BUDGET!A37</f>
        <v>TOWN WEBSITE/CABLE ADVISORY</v>
      </c>
      <c r="F37" s="859">
        <v>0</v>
      </c>
      <c r="G37" s="2899">
        <f>BUDGET!AZ37</f>
        <v>0</v>
      </c>
      <c r="H37" s="859"/>
      <c r="I37" s="1178"/>
      <c r="J37" s="1773"/>
      <c r="K37" s="859"/>
      <c r="L37" s="1878"/>
    </row>
    <row r="38" spans="2:12" hidden="1" x14ac:dyDescent="0.2">
      <c r="B38" t="s">
        <v>690</v>
      </c>
      <c r="C38" s="459">
        <f>BUDGET!BA38</f>
        <v>0</v>
      </c>
      <c r="D38" s="459">
        <f>BUDGET!BB38</f>
        <v>0</v>
      </c>
      <c r="E38" s="808" t="str">
        <f>BUDGET!A38</f>
        <v xml:space="preserve">   WAGES</v>
      </c>
      <c r="F38" s="843">
        <v>5128</v>
      </c>
      <c r="G38" s="2902">
        <f>BUDGET!AZ38</f>
        <v>0</v>
      </c>
      <c r="H38" s="843"/>
      <c r="I38" s="1178"/>
      <c r="J38" s="1770"/>
      <c r="K38" s="843"/>
      <c r="L38" s="1875"/>
    </row>
    <row r="39" spans="2:12" x14ac:dyDescent="0.2">
      <c r="B39" t="s">
        <v>690</v>
      </c>
      <c r="C39" s="459" t="str">
        <f>BUDGET!BA39</f>
        <v>yes</v>
      </c>
      <c r="D39" s="2943">
        <f>BUDGET!BB39</f>
        <v>44998</v>
      </c>
      <c r="E39" s="808" t="str">
        <f>BUDGET!A39</f>
        <v xml:space="preserve">   OTHER</v>
      </c>
      <c r="F39" s="817">
        <v>49850</v>
      </c>
      <c r="G39" s="2900">
        <f>BUDGET!AZ39</f>
        <v>200</v>
      </c>
      <c r="H39" s="817"/>
      <c r="I39" s="2944"/>
      <c r="J39" s="1768">
        <f>IF(C39="yes",G39,"")</f>
        <v>200</v>
      </c>
      <c r="K39" s="817" t="s">
        <v>1101</v>
      </c>
      <c r="L39" s="2948">
        <f>D39</f>
        <v>44998</v>
      </c>
    </row>
    <row r="40" spans="2:12" hidden="1" x14ac:dyDescent="0.2">
      <c r="B40" t="s">
        <v>690</v>
      </c>
      <c r="C40" s="459">
        <f>BUDGET!BA40</f>
        <v>0</v>
      </c>
      <c r="D40" s="459">
        <f>BUDGET!BB40</f>
        <v>0</v>
      </c>
      <c r="E40" s="878" t="str">
        <f>BUDGET!A40</f>
        <v xml:space="preserve">   TOTAL</v>
      </c>
      <c r="F40" s="814">
        <v>54978</v>
      </c>
      <c r="G40" s="2903">
        <f>BUDGET!AZ40</f>
        <v>0</v>
      </c>
      <c r="H40" s="814"/>
      <c r="I40" s="2898">
        <v>44998</v>
      </c>
      <c r="J40" s="1771"/>
      <c r="K40" s="814"/>
      <c r="L40" s="1876"/>
    </row>
    <row r="41" spans="2:12" hidden="1" x14ac:dyDescent="0.2">
      <c r="C41" s="459">
        <f>BUDGET!BA41</f>
        <v>0</v>
      </c>
      <c r="D41" s="459">
        <f>BUDGET!BB41</f>
        <v>0</v>
      </c>
      <c r="E41" s="855"/>
      <c r="F41" s="856">
        <v>0</v>
      </c>
      <c r="G41" s="2904">
        <f>BUDGET!AZ41</f>
        <v>0</v>
      </c>
      <c r="H41" s="856"/>
      <c r="I41" s="1237"/>
      <c r="J41" s="1772"/>
      <c r="K41" s="856"/>
      <c r="L41" s="1877"/>
    </row>
    <row r="42" spans="2:12" hidden="1" x14ac:dyDescent="0.2">
      <c r="B42" s="459" t="s">
        <v>691</v>
      </c>
      <c r="C42" s="459">
        <f>BUDGET!BA42</f>
        <v>0</v>
      </c>
      <c r="D42" s="459" t="str">
        <f>BUDGET!BB42</f>
        <v>x</v>
      </c>
      <c r="E42" s="808" t="str">
        <f>BUDGET!A42</f>
        <v xml:space="preserve">CABLE ADVISORY </v>
      </c>
      <c r="F42" s="859">
        <v>0</v>
      </c>
      <c r="G42" s="2899">
        <f>BUDGET!AZ42</f>
        <v>0</v>
      </c>
      <c r="H42" s="859"/>
      <c r="I42" s="1178"/>
      <c r="J42" s="1773"/>
      <c r="K42" s="859"/>
      <c r="L42" s="1878"/>
    </row>
    <row r="43" spans="2:12" hidden="1" x14ac:dyDescent="0.2">
      <c r="B43" t="s">
        <v>691</v>
      </c>
      <c r="C43" s="459">
        <f>BUDGET!BA43</f>
        <v>0</v>
      </c>
      <c r="D43" s="459" t="str">
        <f>BUDGET!BB43</f>
        <v>x</v>
      </c>
      <c r="E43" s="808" t="str">
        <f>BUDGET!A43</f>
        <v xml:space="preserve">    WAGES</v>
      </c>
      <c r="F43" s="817">
        <v>0</v>
      </c>
      <c r="G43" s="2900">
        <f>BUDGET!AZ43</f>
        <v>0</v>
      </c>
      <c r="H43" s="817"/>
      <c r="I43" s="877"/>
      <c r="J43" s="1768"/>
      <c r="K43" s="817"/>
      <c r="L43" s="1873"/>
    </row>
    <row r="44" spans="2:12" hidden="1" x14ac:dyDescent="0.2">
      <c r="B44" t="s">
        <v>691</v>
      </c>
      <c r="C44" s="459">
        <f>BUDGET!BA44</f>
        <v>0</v>
      </c>
      <c r="D44" s="459" t="str">
        <f>BUDGET!BB44</f>
        <v>x</v>
      </c>
      <c r="E44" s="808" t="str">
        <f>BUDGET!A44</f>
        <v xml:space="preserve">    OTHER</v>
      </c>
      <c r="F44" s="817">
        <v>0</v>
      </c>
      <c r="G44" s="2900">
        <f>BUDGET!AZ44</f>
        <v>0</v>
      </c>
      <c r="H44" s="817"/>
      <c r="I44" s="877"/>
      <c r="J44" s="1768"/>
      <c r="K44" s="817"/>
      <c r="L44" s="1873"/>
    </row>
    <row r="45" spans="2:12" hidden="1" x14ac:dyDescent="0.2">
      <c r="B45" t="s">
        <v>691</v>
      </c>
      <c r="C45" s="459">
        <f>BUDGET!BA45</f>
        <v>0</v>
      </c>
      <c r="D45" s="459" t="str">
        <f>BUDGET!BB45</f>
        <v>x</v>
      </c>
      <c r="E45" s="886" t="str">
        <f>BUDGET!A45</f>
        <v xml:space="preserve">    TOTAL</v>
      </c>
      <c r="F45" s="814">
        <v>0</v>
      </c>
      <c r="G45" s="2903">
        <f>BUDGET!AZ45</f>
        <v>0</v>
      </c>
      <c r="H45" s="814"/>
      <c r="I45" s="853"/>
      <c r="J45" s="1771"/>
      <c r="K45" s="814"/>
      <c r="L45" s="1876" t="s">
        <v>2507</v>
      </c>
    </row>
    <row r="46" spans="2:12" hidden="1" x14ac:dyDescent="0.2">
      <c r="C46" s="459">
        <f>BUDGET!BA46</f>
        <v>0</v>
      </c>
      <c r="D46" s="459" t="str">
        <f>BUDGET!BB46</f>
        <v>x</v>
      </c>
      <c r="E46" s="855">
        <f>BUDGET!A46</f>
        <v>0</v>
      </c>
      <c r="F46" s="856">
        <v>0</v>
      </c>
      <c r="G46" s="2904">
        <f>BUDGET!AZ46</f>
        <v>0</v>
      </c>
      <c r="H46" s="856"/>
      <c r="I46" s="1237"/>
      <c r="J46" s="1772"/>
      <c r="K46" s="856"/>
      <c r="L46" s="1877" t="s">
        <v>2507</v>
      </c>
    </row>
    <row r="47" spans="2:12" hidden="1" x14ac:dyDescent="0.2">
      <c r="B47" s="459" t="s">
        <v>566</v>
      </c>
      <c r="C47" s="459">
        <f>BUDGET!BA47</f>
        <v>0</v>
      </c>
      <c r="D47" s="459">
        <f>BUDGET!BB47</f>
        <v>0</v>
      </c>
      <c r="E47" s="808" t="str">
        <f>BUDGET!A47</f>
        <v>ACCOUNTANT</v>
      </c>
      <c r="F47" s="859">
        <v>0</v>
      </c>
      <c r="G47" s="2899">
        <f>BUDGET!AZ47</f>
        <v>0</v>
      </c>
      <c r="H47" s="859"/>
      <c r="I47" s="1178"/>
      <c r="J47" s="1773"/>
      <c r="K47" s="859"/>
      <c r="L47" s="1878"/>
    </row>
    <row r="48" spans="2:12" hidden="1" x14ac:dyDescent="0.2">
      <c r="B48" t="s">
        <v>566</v>
      </c>
      <c r="C48" s="459">
        <f>BUDGET!BA48</f>
        <v>0</v>
      </c>
      <c r="D48" s="459">
        <f>BUDGET!BB48</f>
        <v>0</v>
      </c>
      <c r="E48" s="808" t="str">
        <f>BUDGET!A48</f>
        <v xml:space="preserve">   SALARIES</v>
      </c>
      <c r="F48" s="843">
        <v>115944</v>
      </c>
      <c r="G48" s="2902">
        <f>BUDGET!AZ48</f>
        <v>0</v>
      </c>
      <c r="H48" s="843"/>
      <c r="I48" s="1178"/>
      <c r="J48" s="1770"/>
      <c r="K48" s="843"/>
      <c r="L48" s="1875"/>
    </row>
    <row r="49" spans="2:12" hidden="1" x14ac:dyDescent="0.2">
      <c r="B49" t="s">
        <v>566</v>
      </c>
      <c r="C49" s="459">
        <f>BUDGET!BA49</f>
        <v>0</v>
      </c>
      <c r="D49" s="459">
        <f>BUDGET!BB49</f>
        <v>0</v>
      </c>
      <c r="E49" s="808" t="str">
        <f>BUDGET!A49</f>
        <v xml:space="preserve">   WAGES</v>
      </c>
      <c r="F49" s="843">
        <v>65422</v>
      </c>
      <c r="G49" s="2902">
        <f>BUDGET!AZ49</f>
        <v>0</v>
      </c>
      <c r="H49" s="843"/>
      <c r="I49" s="1178"/>
      <c r="J49" s="1770"/>
      <c r="K49" s="843"/>
      <c r="L49" s="1875"/>
    </row>
    <row r="50" spans="2:12" hidden="1" x14ac:dyDescent="0.2">
      <c r="B50" t="s">
        <v>566</v>
      </c>
      <c r="C50" s="459">
        <f>BUDGET!BA50</f>
        <v>0</v>
      </c>
      <c r="D50" s="459">
        <f>BUDGET!BB50</f>
        <v>0</v>
      </c>
      <c r="E50" s="808" t="str">
        <f>BUDGET!A50</f>
        <v xml:space="preserve">   OTHER</v>
      </c>
      <c r="F50" s="843">
        <v>37026</v>
      </c>
      <c r="G50" s="2902">
        <f>BUDGET!AZ50</f>
        <v>0</v>
      </c>
      <c r="H50" s="843"/>
      <c r="I50" s="1178"/>
      <c r="J50" s="1770"/>
      <c r="K50" s="843"/>
      <c r="L50" s="1875"/>
    </row>
    <row r="51" spans="2:12" hidden="1" x14ac:dyDescent="0.2">
      <c r="B51" t="s">
        <v>566</v>
      </c>
      <c r="C51" s="459">
        <f>BUDGET!BA51</f>
        <v>0</v>
      </c>
      <c r="D51" s="459">
        <f>BUDGET!BB51</f>
        <v>0</v>
      </c>
      <c r="E51" s="878" t="str">
        <f>BUDGET!A51</f>
        <v xml:space="preserve">   TOTAL </v>
      </c>
      <c r="F51" s="814">
        <v>218392</v>
      </c>
      <c r="G51" s="2903">
        <f>BUDGET!AZ51</f>
        <v>0</v>
      </c>
      <c r="H51" s="814"/>
      <c r="I51" s="2898">
        <v>44998</v>
      </c>
      <c r="J51" s="1771"/>
      <c r="K51" s="814"/>
      <c r="L51" s="1876"/>
    </row>
    <row r="52" spans="2:12" hidden="1" x14ac:dyDescent="0.2">
      <c r="C52" s="459">
        <f>BUDGET!BA52</f>
        <v>0</v>
      </c>
      <c r="D52" s="459">
        <f>BUDGET!BB52</f>
        <v>0</v>
      </c>
      <c r="E52" s="855"/>
      <c r="F52" s="856">
        <v>0</v>
      </c>
      <c r="G52" s="2904">
        <f>BUDGET!AZ52</f>
        <v>0</v>
      </c>
      <c r="H52" s="856"/>
      <c r="I52" s="1237"/>
      <c r="J52" s="1772"/>
      <c r="K52" s="856"/>
      <c r="L52" s="1877"/>
    </row>
    <row r="53" spans="2:12" hidden="1" x14ac:dyDescent="0.2">
      <c r="B53" s="459" t="s">
        <v>697</v>
      </c>
      <c r="C53" s="459">
        <f>BUDGET!BA53</f>
        <v>0</v>
      </c>
      <c r="D53" s="459">
        <f>BUDGET!BB53</f>
        <v>0</v>
      </c>
      <c r="E53" s="808" t="str">
        <f>BUDGET!A53</f>
        <v>ASSESSORS</v>
      </c>
      <c r="F53" s="859">
        <v>0</v>
      </c>
      <c r="G53" s="2899">
        <f>BUDGET!AZ53</f>
        <v>0</v>
      </c>
      <c r="H53" s="859"/>
      <c r="I53" s="1178"/>
      <c r="J53" s="1773"/>
      <c r="K53" s="859"/>
      <c r="L53" s="1878"/>
    </row>
    <row r="54" spans="2:12" hidden="1" x14ac:dyDescent="0.2">
      <c r="B54" t="s">
        <v>697</v>
      </c>
      <c r="C54" s="459">
        <f>BUDGET!BA54</f>
        <v>0</v>
      </c>
      <c r="D54" s="459">
        <f>BUDGET!BB54</f>
        <v>0</v>
      </c>
      <c r="E54" s="808" t="str">
        <f>BUDGET!A54</f>
        <v xml:space="preserve">   SALARIES </v>
      </c>
      <c r="F54" s="843">
        <v>100872</v>
      </c>
      <c r="G54" s="2902"/>
      <c r="H54" s="843"/>
      <c r="I54" s="1178"/>
      <c r="J54" s="1770"/>
      <c r="K54" s="843"/>
      <c r="L54" s="1875"/>
    </row>
    <row r="55" spans="2:12" hidden="1" x14ac:dyDescent="0.2">
      <c r="B55" t="s">
        <v>697</v>
      </c>
      <c r="C55" s="459">
        <f>BUDGET!BA55</f>
        <v>0</v>
      </c>
      <c r="D55" s="459">
        <f>BUDGET!BB55</f>
        <v>0</v>
      </c>
      <c r="E55" s="808" t="str">
        <f>BUDGET!A55</f>
        <v xml:space="preserve">   WAGES </v>
      </c>
      <c r="F55" s="843">
        <v>52156</v>
      </c>
      <c r="G55" s="2902">
        <f>BUDGET!AZ55</f>
        <v>0</v>
      </c>
      <c r="H55" s="843"/>
      <c r="I55" s="1178"/>
      <c r="J55" s="1770"/>
      <c r="K55" s="843"/>
      <c r="L55" s="1875"/>
    </row>
    <row r="56" spans="2:12" x14ac:dyDescent="0.2">
      <c r="B56" t="s">
        <v>697</v>
      </c>
      <c r="C56" s="459" t="str">
        <f>BUDGET!BA56</f>
        <v>yes</v>
      </c>
      <c r="D56" s="2943">
        <f>BUDGET!BB56</f>
        <v>44998</v>
      </c>
      <c r="E56" s="808" t="str">
        <f>BUDGET!A56</f>
        <v xml:space="preserve">   OTHER</v>
      </c>
      <c r="F56" s="843">
        <v>55295</v>
      </c>
      <c r="G56" s="2902">
        <f>BUDGET!AZ56</f>
        <v>1650</v>
      </c>
      <c r="H56" s="843"/>
      <c r="I56" s="2944"/>
      <c r="J56" s="1768">
        <f>IF(C56="yes",G56,"")</f>
        <v>1650</v>
      </c>
      <c r="K56" s="817" t="s">
        <v>2512</v>
      </c>
      <c r="L56" s="2948">
        <f>D56</f>
        <v>44998</v>
      </c>
    </row>
    <row r="57" spans="2:12" hidden="1" x14ac:dyDescent="0.2">
      <c r="B57" t="s">
        <v>697</v>
      </c>
      <c r="C57" s="459">
        <f>BUDGET!BA57</f>
        <v>0</v>
      </c>
      <c r="D57" s="459">
        <f>BUDGET!BB57</f>
        <v>0</v>
      </c>
      <c r="E57" s="894" t="str">
        <f>BUDGET!A57</f>
        <v xml:space="preserve">   TOTAL</v>
      </c>
      <c r="F57" s="814">
        <v>208323</v>
      </c>
      <c r="G57" s="2903">
        <f>BUDGET!AZ57</f>
        <v>0</v>
      </c>
      <c r="H57" s="814"/>
      <c r="I57" s="2898">
        <v>44998</v>
      </c>
      <c r="J57" s="1771"/>
      <c r="K57" s="814"/>
      <c r="L57" s="1876"/>
    </row>
    <row r="58" spans="2:12" hidden="1" x14ac:dyDescent="0.2">
      <c r="C58" s="459">
        <f>BUDGET!BA58</f>
        <v>0</v>
      </c>
      <c r="D58" s="459">
        <f>BUDGET!BB58</f>
        <v>0</v>
      </c>
      <c r="E58" s="821"/>
      <c r="F58" s="831">
        <v>0</v>
      </c>
      <c r="G58" s="2901">
        <f>BUDGET!AZ58</f>
        <v>0</v>
      </c>
      <c r="H58" s="831"/>
      <c r="I58" s="1733"/>
      <c r="J58" s="1769"/>
      <c r="K58" s="831"/>
      <c r="L58" s="1874"/>
    </row>
    <row r="59" spans="2:12" hidden="1" x14ac:dyDescent="0.2">
      <c r="B59" s="459" t="s">
        <v>726</v>
      </c>
      <c r="C59" s="459">
        <f>BUDGET!BA59</f>
        <v>0</v>
      </c>
      <c r="D59" s="459">
        <f>BUDGET!BB59</f>
        <v>0</v>
      </c>
      <c r="E59" s="808" t="str">
        <f>BUDGET!A59</f>
        <v>TREASURER/COLLECTOR</v>
      </c>
      <c r="F59" s="861">
        <v>0</v>
      </c>
      <c r="G59" s="2909">
        <f>BUDGET!AZ59</f>
        <v>0</v>
      </c>
      <c r="H59" s="861"/>
      <c r="I59" s="1200"/>
      <c r="J59" s="1778"/>
      <c r="K59" s="861"/>
      <c r="L59" s="1883"/>
    </row>
    <row r="60" spans="2:12" hidden="1" x14ac:dyDescent="0.2">
      <c r="B60" t="s">
        <v>726</v>
      </c>
      <c r="C60" s="459">
        <f>BUDGET!BA60</f>
        <v>0</v>
      </c>
      <c r="D60" s="459">
        <f>BUDGET!BB60</f>
        <v>0</v>
      </c>
      <c r="E60" s="808" t="str">
        <f>BUDGET!A60</f>
        <v xml:space="preserve">   SALARIES</v>
      </c>
      <c r="F60" s="843">
        <v>112445</v>
      </c>
      <c r="G60" s="2902">
        <f>BUDGET!AZ60</f>
        <v>0</v>
      </c>
      <c r="H60" s="843"/>
      <c r="I60" s="1178"/>
      <c r="J60" s="1770"/>
      <c r="K60" s="843"/>
      <c r="L60" s="1875"/>
    </row>
    <row r="61" spans="2:12" hidden="1" x14ac:dyDescent="0.2">
      <c r="B61" t="s">
        <v>726</v>
      </c>
      <c r="C61" s="459">
        <f>BUDGET!BA61</f>
        <v>0</v>
      </c>
      <c r="D61" s="459">
        <f>BUDGET!BB61</f>
        <v>0</v>
      </c>
      <c r="E61" s="808" t="str">
        <f>BUDGET!A61</f>
        <v xml:space="preserve">   WAGES</v>
      </c>
      <c r="F61" s="843">
        <v>115426</v>
      </c>
      <c r="G61" s="2902">
        <f>BUDGET!AZ61</f>
        <v>0</v>
      </c>
      <c r="H61" s="843"/>
      <c r="I61" s="1178"/>
      <c r="J61" s="1770"/>
      <c r="K61" s="843"/>
      <c r="L61" s="1875"/>
    </row>
    <row r="62" spans="2:12" hidden="1" x14ac:dyDescent="0.2">
      <c r="B62" t="s">
        <v>726</v>
      </c>
      <c r="C62" s="459">
        <f>BUDGET!BA62</f>
        <v>0</v>
      </c>
      <c r="D62" s="459">
        <f>BUDGET!BB62</f>
        <v>0</v>
      </c>
      <c r="E62" s="808" t="str">
        <f>BUDGET!A62</f>
        <v xml:space="preserve">   OTHER</v>
      </c>
      <c r="F62" s="843">
        <v>45627</v>
      </c>
      <c r="G62" s="2902">
        <f>BUDGET!AZ62</f>
        <v>0</v>
      </c>
      <c r="H62" s="843"/>
      <c r="I62" s="1178"/>
      <c r="J62" s="1770"/>
      <c r="K62" s="843"/>
      <c r="L62" s="1875"/>
    </row>
    <row r="63" spans="2:12" hidden="1" x14ac:dyDescent="0.2">
      <c r="B63" t="s">
        <v>726</v>
      </c>
      <c r="C63" s="459">
        <f>BUDGET!BA63</f>
        <v>0</v>
      </c>
      <c r="D63" s="459">
        <f>BUDGET!BB63</f>
        <v>0</v>
      </c>
      <c r="E63" s="795" t="str">
        <f>BUDGET!A63</f>
        <v xml:space="preserve">  GASB-45</v>
      </c>
      <c r="F63" s="843">
        <v>0</v>
      </c>
      <c r="G63" s="2902">
        <f>BUDGET!AZ63</f>
        <v>0</v>
      </c>
      <c r="H63" s="843"/>
      <c r="I63" s="1178"/>
      <c r="J63" s="1770"/>
      <c r="K63" s="843"/>
      <c r="L63" s="1875"/>
    </row>
    <row r="64" spans="2:12" hidden="1" x14ac:dyDescent="0.2">
      <c r="B64" t="s">
        <v>726</v>
      </c>
      <c r="C64" s="459">
        <f>BUDGET!BA64</f>
        <v>0</v>
      </c>
      <c r="D64" s="459">
        <f>BUDGET!BB64</f>
        <v>0</v>
      </c>
      <c r="E64" s="878" t="str">
        <f>BUDGET!A64</f>
        <v xml:space="preserve"> TOTAL-GASB-45</v>
      </c>
      <c r="F64" s="814">
        <v>273498</v>
      </c>
      <c r="G64" s="2903">
        <f>BUDGET!AZ64</f>
        <v>0</v>
      </c>
      <c r="H64" s="814"/>
      <c r="I64" s="2898">
        <v>44998</v>
      </c>
      <c r="J64" s="1771"/>
      <c r="K64" s="814"/>
      <c r="L64" s="1876"/>
    </row>
    <row r="65" spans="2:12" hidden="1" x14ac:dyDescent="0.2">
      <c r="C65" s="459">
        <f>BUDGET!BA65</f>
        <v>0</v>
      </c>
      <c r="D65" s="459">
        <f>BUDGET!BB65</f>
        <v>0</v>
      </c>
      <c r="E65" s="904">
        <f>BUDGET!A65</f>
        <v>0</v>
      </c>
      <c r="F65" s="856">
        <v>0</v>
      </c>
      <c r="G65" s="2904">
        <f>BUDGET!AZ65</f>
        <v>0</v>
      </c>
      <c r="H65" s="856"/>
      <c r="I65" s="1237"/>
      <c r="J65" s="1772"/>
      <c r="K65" s="856"/>
      <c r="L65" s="1877"/>
    </row>
    <row r="66" spans="2:12" hidden="1" x14ac:dyDescent="0.2">
      <c r="B66" s="459" t="s">
        <v>767</v>
      </c>
      <c r="C66" s="459">
        <f>BUDGET!BA66</f>
        <v>0</v>
      </c>
      <c r="D66" s="459">
        <f>BUDGET!BB66</f>
        <v>0</v>
      </c>
      <c r="E66" s="808" t="str">
        <f>BUDGET!A66</f>
        <v>TOWN HALL</v>
      </c>
      <c r="F66" s="859">
        <v>0</v>
      </c>
      <c r="G66" s="2899">
        <f>BUDGET!AZ66</f>
        <v>0</v>
      </c>
      <c r="H66" s="859"/>
      <c r="I66" s="1178"/>
      <c r="J66" s="1773"/>
      <c r="K66" s="859"/>
      <c r="L66" s="1878"/>
    </row>
    <row r="67" spans="2:12" hidden="1" x14ac:dyDescent="0.2">
      <c r="B67" t="s">
        <v>767</v>
      </c>
      <c r="C67" s="459">
        <f>BUDGET!BA67</f>
        <v>0</v>
      </c>
      <c r="D67" s="459">
        <f>BUDGET!BB67</f>
        <v>0</v>
      </c>
      <c r="E67" s="808" t="str">
        <f>BUDGET!A67</f>
        <v xml:space="preserve">   WAGES</v>
      </c>
      <c r="F67" s="817">
        <v>0</v>
      </c>
      <c r="G67" s="2900">
        <f>BUDGET!AZ67</f>
        <v>0</v>
      </c>
      <c r="H67" s="817"/>
      <c r="I67" s="877"/>
      <c r="J67" s="2075"/>
      <c r="K67" s="817"/>
      <c r="L67" s="1873"/>
    </row>
    <row r="68" spans="2:12" x14ac:dyDescent="0.2">
      <c r="B68" t="s">
        <v>767</v>
      </c>
      <c r="C68" s="459" t="str">
        <f>BUDGET!BA68</f>
        <v>yes</v>
      </c>
      <c r="D68" s="2943">
        <f>BUDGET!BB68</f>
        <v>44998</v>
      </c>
      <c r="E68" s="808" t="str">
        <f>BUDGET!A68</f>
        <v xml:space="preserve">   OTHER</v>
      </c>
      <c r="F68" s="843">
        <v>263141</v>
      </c>
      <c r="G68" s="2900">
        <f>BUDGET!AZ68</f>
        <v>5600</v>
      </c>
      <c r="H68" s="817"/>
      <c r="I68" s="2944"/>
      <c r="J68" s="1768">
        <f>IF(C68="yes",G68,"")</f>
        <v>5600</v>
      </c>
      <c r="K68" s="817" t="s">
        <v>2511</v>
      </c>
      <c r="L68" s="2948">
        <f>D68</f>
        <v>44998</v>
      </c>
    </row>
    <row r="69" spans="2:12" hidden="1" x14ac:dyDescent="0.2">
      <c r="B69" t="s">
        <v>767</v>
      </c>
      <c r="C69" s="459">
        <f>BUDGET!BA69</f>
        <v>0</v>
      </c>
      <c r="D69" s="459">
        <f>BUDGET!BB69</f>
        <v>0</v>
      </c>
      <c r="E69" s="878" t="str">
        <f>BUDGET!A69</f>
        <v xml:space="preserve">   TOTAL </v>
      </c>
      <c r="F69" s="852">
        <v>263141</v>
      </c>
      <c r="G69" s="2900">
        <f>BUDGET!AZ69</f>
        <v>0</v>
      </c>
      <c r="H69" s="817"/>
      <c r="I69" s="2898">
        <v>44998</v>
      </c>
      <c r="J69" s="2074"/>
      <c r="K69" s="852"/>
      <c r="L69" s="1884"/>
    </row>
    <row r="70" spans="2:12" hidden="1" x14ac:dyDescent="0.2">
      <c r="C70" s="459">
        <f>BUDGET!BA70</f>
        <v>0</v>
      </c>
      <c r="D70" s="459">
        <f>BUDGET!BB70</f>
        <v>0</v>
      </c>
      <c r="E70" s="821"/>
      <c r="F70" s="831">
        <v>0</v>
      </c>
      <c r="G70" s="2901">
        <f>BUDGET!AZ70</f>
        <v>0</v>
      </c>
      <c r="H70" s="831"/>
      <c r="I70" s="1733"/>
      <c r="J70" s="1769"/>
      <c r="K70" s="831"/>
      <c r="L70" s="1874"/>
    </row>
    <row r="71" spans="2:12" hidden="1" x14ac:dyDescent="0.2">
      <c r="B71" s="459" t="s">
        <v>631</v>
      </c>
      <c r="C71" s="459">
        <f>BUDGET!BA71</f>
        <v>0</v>
      </c>
      <c r="D71" s="459">
        <f>BUDGET!BB71</f>
        <v>0</v>
      </c>
      <c r="E71" s="808" t="str">
        <f>BUDGET!A71</f>
        <v>SCHOOL STREET BUILDING</v>
      </c>
      <c r="F71" s="861">
        <v>0</v>
      </c>
      <c r="G71" s="2909">
        <f>BUDGET!AZ71</f>
        <v>0</v>
      </c>
      <c r="H71" s="861"/>
      <c r="I71" s="1200"/>
      <c r="J71" s="1778"/>
      <c r="K71" s="861"/>
      <c r="L71" s="1883"/>
    </row>
    <row r="72" spans="2:12" hidden="1" x14ac:dyDescent="0.2">
      <c r="B72" t="s">
        <v>631</v>
      </c>
      <c r="C72" s="459">
        <f>BUDGET!BA72</f>
        <v>0</v>
      </c>
      <c r="D72" s="459">
        <f>BUDGET!BB72</f>
        <v>0</v>
      </c>
      <c r="E72" s="808" t="str">
        <f>BUDGET!A72</f>
        <v xml:space="preserve">   OTHER</v>
      </c>
      <c r="F72" s="843">
        <v>688</v>
      </c>
      <c r="G72" s="2902">
        <f>BUDGET!AZ72</f>
        <v>0</v>
      </c>
      <c r="H72" s="843"/>
      <c r="I72" s="1178"/>
      <c r="J72" s="1770"/>
      <c r="K72" s="941"/>
      <c r="L72" s="2180"/>
    </row>
    <row r="73" spans="2:12" hidden="1" x14ac:dyDescent="0.2">
      <c r="B73" t="s">
        <v>631</v>
      </c>
      <c r="C73" s="459">
        <f>BUDGET!BA73</f>
        <v>0</v>
      </c>
      <c r="D73" s="459">
        <f>BUDGET!BB73</f>
        <v>0</v>
      </c>
      <c r="E73" s="878" t="str">
        <f>BUDGET!A73</f>
        <v xml:space="preserve">  TOTAL</v>
      </c>
      <c r="F73" s="814">
        <v>688</v>
      </c>
      <c r="G73" s="2903"/>
      <c r="H73" s="814"/>
      <c r="I73" s="2898">
        <v>44998</v>
      </c>
      <c r="J73" s="1771"/>
      <c r="K73" s="814"/>
      <c r="L73" s="1876"/>
    </row>
    <row r="74" spans="2:12" hidden="1" x14ac:dyDescent="0.2">
      <c r="C74" s="459">
        <f>BUDGET!BA74</f>
        <v>0</v>
      </c>
      <c r="D74" s="459">
        <f>BUDGET!BB74</f>
        <v>0</v>
      </c>
      <c r="E74" s="855"/>
      <c r="F74" s="856">
        <v>0</v>
      </c>
      <c r="G74" s="2904">
        <f>BUDGET!AZ74</f>
        <v>0</v>
      </c>
      <c r="H74" s="856"/>
      <c r="I74" s="1237"/>
      <c r="J74" s="1772"/>
      <c r="K74" s="856"/>
      <c r="L74" s="1877"/>
    </row>
    <row r="75" spans="2:12" hidden="1" x14ac:dyDescent="0.2">
      <c r="B75" s="459" t="s">
        <v>669</v>
      </c>
      <c r="C75" s="459">
        <f>BUDGET!BA75</f>
        <v>0</v>
      </c>
      <c r="D75" s="459" t="str">
        <f>BUDGET!BB75</f>
        <v>x</v>
      </c>
      <c r="E75" s="808" t="str">
        <f>BUDGET!A75</f>
        <v>PERSONNEL BOARD</v>
      </c>
      <c r="F75" s="859">
        <v>0</v>
      </c>
      <c r="G75" s="2899">
        <f>BUDGET!AZ75</f>
        <v>0</v>
      </c>
      <c r="H75" s="859"/>
      <c r="I75" s="1178"/>
      <c r="J75" s="1773"/>
      <c r="K75" s="859"/>
      <c r="L75" s="1878"/>
    </row>
    <row r="76" spans="2:12" hidden="1" x14ac:dyDescent="0.2">
      <c r="B76" t="s">
        <v>669</v>
      </c>
      <c r="C76" s="459">
        <f>BUDGET!BA76</f>
        <v>0</v>
      </c>
      <c r="D76" s="459" t="str">
        <f>BUDGET!BB76</f>
        <v>x</v>
      </c>
      <c r="E76" s="808" t="str">
        <f>BUDGET!A76</f>
        <v xml:space="preserve">   WAGES</v>
      </c>
      <c r="F76" s="817">
        <v>0</v>
      </c>
      <c r="G76" s="2900">
        <f>BUDGET!AZ76</f>
        <v>0</v>
      </c>
      <c r="H76" s="817"/>
      <c r="I76" s="877"/>
      <c r="J76" s="1768"/>
      <c r="K76" s="817"/>
      <c r="L76" s="1873"/>
    </row>
    <row r="77" spans="2:12" hidden="1" x14ac:dyDescent="0.2">
      <c r="B77" t="s">
        <v>669</v>
      </c>
      <c r="C77" s="459">
        <f>BUDGET!BA77</f>
        <v>0</v>
      </c>
      <c r="D77" s="459" t="str">
        <f>BUDGET!BB77</f>
        <v>x</v>
      </c>
      <c r="E77" s="808" t="str">
        <f>BUDGET!A77</f>
        <v xml:space="preserve">   OTHER</v>
      </c>
      <c r="F77" s="814">
        <v>0</v>
      </c>
      <c r="G77" s="2903">
        <f>BUDGET!AZ77</f>
        <v>0</v>
      </c>
      <c r="H77" s="814"/>
      <c r="I77" s="853"/>
      <c r="J77" s="1771"/>
      <c r="K77" s="814"/>
      <c r="L77" s="1876"/>
    </row>
    <row r="78" spans="2:12" hidden="1" x14ac:dyDescent="0.2">
      <c r="B78" t="s">
        <v>669</v>
      </c>
      <c r="C78" s="459">
        <f>BUDGET!BA78</f>
        <v>0</v>
      </c>
      <c r="D78" s="459" t="str">
        <f>BUDGET!BB78</f>
        <v>x</v>
      </c>
      <c r="E78" s="878" t="str">
        <f>BUDGET!A78</f>
        <v xml:space="preserve">   TOTAL</v>
      </c>
      <c r="F78" s="814">
        <v>0</v>
      </c>
      <c r="G78" s="2903">
        <f>BUDGET!AZ78</f>
        <v>0</v>
      </c>
      <c r="H78" s="814"/>
      <c r="I78" s="853"/>
      <c r="J78" s="1771"/>
      <c r="K78" s="814"/>
      <c r="L78" s="1876"/>
    </row>
    <row r="79" spans="2:12" hidden="1" x14ac:dyDescent="0.2">
      <c r="C79" s="459">
        <f>BUDGET!BA79</f>
        <v>0</v>
      </c>
      <c r="D79" s="459" t="str">
        <f>BUDGET!BB79</f>
        <v>x</v>
      </c>
      <c r="E79" s="923">
        <f>BUDGET!A79</f>
        <v>0</v>
      </c>
      <c r="F79" s="856">
        <v>0</v>
      </c>
      <c r="G79" s="2904">
        <f>BUDGET!AZ79</f>
        <v>0</v>
      </c>
      <c r="H79" s="856"/>
      <c r="I79" s="1237"/>
      <c r="J79" s="1772"/>
      <c r="K79" s="856"/>
      <c r="L79" s="1877"/>
    </row>
    <row r="80" spans="2:12" hidden="1" x14ac:dyDescent="0.2">
      <c r="B80" s="459" t="s">
        <v>670</v>
      </c>
      <c r="C80" s="459">
        <f>BUDGET!BA80</f>
        <v>0</v>
      </c>
      <c r="D80" s="459">
        <f>BUDGET!BB80</f>
        <v>0</v>
      </c>
      <c r="E80" s="808" t="str">
        <f>BUDGET!A80</f>
        <v>TOWN CLERK</v>
      </c>
      <c r="F80" s="859">
        <v>0</v>
      </c>
      <c r="G80" s="2899">
        <f>BUDGET!AZ80</f>
        <v>0</v>
      </c>
      <c r="H80" s="859"/>
      <c r="I80" s="1178"/>
      <c r="J80" s="1773"/>
      <c r="K80" s="859"/>
      <c r="L80" s="1878"/>
    </row>
    <row r="81" spans="2:12" hidden="1" x14ac:dyDescent="0.2">
      <c r="B81" t="s">
        <v>670</v>
      </c>
      <c r="C81" s="459">
        <f>BUDGET!BA81</f>
        <v>0</v>
      </c>
      <c r="D81" s="459">
        <f>BUDGET!BB81</f>
        <v>0</v>
      </c>
      <c r="E81" s="808" t="str">
        <f>BUDGET!A81</f>
        <v xml:space="preserve">   SALARIES</v>
      </c>
      <c r="F81" s="843">
        <v>82352</v>
      </c>
      <c r="G81" s="2902">
        <f>BUDGET!AZ81</f>
        <v>0</v>
      </c>
      <c r="H81" s="843"/>
      <c r="I81" s="1178"/>
      <c r="J81" s="1770"/>
      <c r="K81" s="843"/>
      <c r="L81" s="1875"/>
    </row>
    <row r="82" spans="2:12" x14ac:dyDescent="0.2">
      <c r="B82" t="s">
        <v>670</v>
      </c>
      <c r="C82" s="459" t="str">
        <f>BUDGET!BA82</f>
        <v>yes</v>
      </c>
      <c r="D82" s="2943"/>
      <c r="E82" s="808" t="str">
        <f>BUDGET!A82</f>
        <v xml:space="preserve">   WAGES</v>
      </c>
      <c r="F82" s="843">
        <v>33588</v>
      </c>
      <c r="G82" s="2902">
        <f>BUDGET!AZ82</f>
        <v>6909</v>
      </c>
      <c r="H82" s="843"/>
      <c r="I82" s="2945"/>
      <c r="J82" s="1768">
        <f>IF(C82="yes",G82,"")</f>
        <v>6909</v>
      </c>
      <c r="K82" s="2950" t="s">
        <v>2531</v>
      </c>
      <c r="L82" s="2948">
        <v>45005</v>
      </c>
    </row>
    <row r="83" spans="2:12" hidden="1" x14ac:dyDescent="0.2">
      <c r="B83" t="s">
        <v>670</v>
      </c>
      <c r="C83" s="459">
        <f>BUDGET!BA83</f>
        <v>0</v>
      </c>
      <c r="D83" s="459">
        <f>BUDGET!BB83</f>
        <v>0</v>
      </c>
      <c r="E83" s="808" t="str">
        <f>BUDGET!A83</f>
        <v xml:space="preserve">   OTHER</v>
      </c>
      <c r="F83" s="843">
        <v>22507</v>
      </c>
      <c r="G83" s="2902">
        <f>BUDGET!AZ83</f>
        <v>0</v>
      </c>
      <c r="H83" s="843"/>
      <c r="I83" s="1178"/>
      <c r="J83" s="2077"/>
      <c r="K83" s="2072"/>
      <c r="L83" s="2180"/>
    </row>
    <row r="84" spans="2:12" hidden="1" x14ac:dyDescent="0.2">
      <c r="B84" t="s">
        <v>670</v>
      </c>
      <c r="C84" s="459">
        <f>BUDGET!BA84</f>
        <v>0</v>
      </c>
      <c r="D84" s="459">
        <f>BUDGET!BB84</f>
        <v>0</v>
      </c>
      <c r="E84" s="878" t="str">
        <f>BUDGET!A84</f>
        <v xml:space="preserve">   TOTAL</v>
      </c>
      <c r="F84" s="814">
        <v>138447</v>
      </c>
      <c r="G84" s="2903">
        <f>BUDGET!AZ84</f>
        <v>0</v>
      </c>
      <c r="H84" s="814"/>
      <c r="I84" s="2898">
        <v>44998</v>
      </c>
      <c r="J84" s="1771"/>
      <c r="K84" s="814"/>
      <c r="L84" s="1876"/>
    </row>
    <row r="85" spans="2:12" hidden="1" x14ac:dyDescent="0.2">
      <c r="C85" s="459">
        <f>BUDGET!BA85</f>
        <v>0</v>
      </c>
      <c r="D85" s="459">
        <f>BUDGET!BB85</f>
        <v>0</v>
      </c>
      <c r="E85" s="855"/>
      <c r="F85" s="856">
        <v>0</v>
      </c>
      <c r="G85" s="2904">
        <f>BUDGET!AZ85</f>
        <v>0</v>
      </c>
      <c r="H85" s="856"/>
      <c r="I85" s="1237"/>
      <c r="J85" s="1772"/>
      <c r="K85" s="856"/>
      <c r="L85" s="1877"/>
    </row>
    <row r="86" spans="2:12" hidden="1" x14ac:dyDescent="0.2">
      <c r="B86" s="459" t="s">
        <v>683</v>
      </c>
      <c r="C86" s="459">
        <f>BUDGET!BA86</f>
        <v>0</v>
      </c>
      <c r="D86" s="459" t="str">
        <f>BUDGET!BB86</f>
        <v>x</v>
      </c>
      <c r="E86" s="808" t="str">
        <f>BUDGET!A86</f>
        <v>TRUST FUND CLERK</v>
      </c>
      <c r="F86" s="859">
        <v>0</v>
      </c>
      <c r="G86" s="2899">
        <f>BUDGET!AZ86</f>
        <v>0</v>
      </c>
      <c r="H86" s="859"/>
      <c r="I86" s="1178"/>
      <c r="J86" s="1773"/>
      <c r="K86" s="859"/>
      <c r="L86" s="1878"/>
    </row>
    <row r="87" spans="2:12" hidden="1" x14ac:dyDescent="0.2">
      <c r="B87" t="s">
        <v>683</v>
      </c>
      <c r="C87" s="459">
        <f>BUDGET!BA87</f>
        <v>0</v>
      </c>
      <c r="D87" s="459" t="str">
        <f>BUDGET!BB87</f>
        <v>x</v>
      </c>
      <c r="E87" s="808" t="str">
        <f>BUDGET!A87</f>
        <v xml:space="preserve">   SALARY</v>
      </c>
      <c r="F87" s="817">
        <v>0</v>
      </c>
      <c r="G87" s="2900">
        <f>BUDGET!AZ87</f>
        <v>0</v>
      </c>
      <c r="H87" s="817"/>
      <c r="I87" s="877"/>
      <c r="J87" s="1768"/>
      <c r="K87" s="817"/>
      <c r="L87" s="1873"/>
    </row>
    <row r="88" spans="2:12" hidden="1" x14ac:dyDescent="0.2">
      <c r="B88" t="s">
        <v>683</v>
      </c>
      <c r="C88" s="459">
        <f>BUDGET!BA88</f>
        <v>0</v>
      </c>
      <c r="D88" s="459" t="str">
        <f>BUDGET!BB88</f>
        <v>x</v>
      </c>
      <c r="E88" s="808" t="str">
        <f>BUDGET!A88</f>
        <v xml:space="preserve">   WAGES</v>
      </c>
      <c r="F88" s="817">
        <v>0</v>
      </c>
      <c r="G88" s="2900">
        <f>BUDGET!AZ88</f>
        <v>0</v>
      </c>
      <c r="H88" s="817"/>
      <c r="I88" s="877"/>
      <c r="J88" s="1768"/>
      <c r="K88" s="817"/>
      <c r="L88" s="1873"/>
    </row>
    <row r="89" spans="2:12" hidden="1" x14ac:dyDescent="0.2">
      <c r="B89" t="s">
        <v>683</v>
      </c>
      <c r="C89" s="459">
        <f>BUDGET!BA89</f>
        <v>0</v>
      </c>
      <c r="D89" s="459" t="str">
        <f>BUDGET!BB89</f>
        <v>x</v>
      </c>
      <c r="E89" s="808" t="str">
        <f>BUDGET!A89</f>
        <v xml:space="preserve">   OTHER</v>
      </c>
      <c r="F89" s="843">
        <v>0</v>
      </c>
      <c r="G89" s="2902">
        <f>BUDGET!AZ89</f>
        <v>0</v>
      </c>
      <c r="H89" s="843"/>
      <c r="I89" s="1178"/>
      <c r="J89" s="1770"/>
      <c r="K89" s="843"/>
      <c r="L89" s="1875"/>
    </row>
    <row r="90" spans="2:12" hidden="1" x14ac:dyDescent="0.2">
      <c r="B90" t="s">
        <v>683</v>
      </c>
      <c r="C90" s="459">
        <f>BUDGET!BA90</f>
        <v>0</v>
      </c>
      <c r="D90" s="459" t="str">
        <f>BUDGET!BB90</f>
        <v>x</v>
      </c>
      <c r="E90" s="878" t="str">
        <f>BUDGET!A90</f>
        <v xml:space="preserve">   TOTAL</v>
      </c>
      <c r="F90" s="814">
        <v>0</v>
      </c>
      <c r="G90" s="2903">
        <f>BUDGET!AZ90</f>
        <v>0</v>
      </c>
      <c r="H90" s="814"/>
      <c r="I90" s="853"/>
      <c r="J90" s="1771"/>
      <c r="K90" s="814"/>
      <c r="L90" s="1876"/>
    </row>
    <row r="91" spans="2:12" hidden="1" x14ac:dyDescent="0.2">
      <c r="C91" s="459">
        <f>BUDGET!BA91</f>
        <v>0</v>
      </c>
      <c r="D91" s="459" t="str">
        <f>BUDGET!BB91</f>
        <v>x</v>
      </c>
      <c r="E91" s="855">
        <f>BUDGET!A91</f>
        <v>0</v>
      </c>
      <c r="F91" s="856">
        <v>0</v>
      </c>
      <c r="G91" s="2904">
        <f>BUDGET!AZ91</f>
        <v>0</v>
      </c>
      <c r="H91" s="856"/>
      <c r="I91" s="1237"/>
      <c r="J91" s="1772"/>
      <c r="K91" s="856"/>
      <c r="L91" s="1877"/>
    </row>
    <row r="92" spans="2:12" hidden="1" x14ac:dyDescent="0.2">
      <c r="B92" s="459" t="s">
        <v>431</v>
      </c>
      <c r="C92" s="459">
        <f>BUDGET!BA92</f>
        <v>0</v>
      </c>
      <c r="D92" s="459">
        <f>BUDGET!BB92</f>
        <v>0</v>
      </c>
      <c r="E92" s="808" t="str">
        <f>BUDGET!A92</f>
        <v>CONSERVATION COMMISSION</v>
      </c>
      <c r="F92" s="859">
        <v>0</v>
      </c>
      <c r="G92" s="2899">
        <f>BUDGET!AZ92</f>
        <v>0</v>
      </c>
      <c r="H92" s="859"/>
      <c r="I92" s="1178"/>
      <c r="J92" s="1773"/>
      <c r="K92" s="859"/>
      <c r="L92" s="1878"/>
    </row>
    <row r="93" spans="2:12" hidden="1" x14ac:dyDescent="0.2">
      <c r="B93" t="s">
        <v>431</v>
      </c>
      <c r="C93" s="459">
        <f>BUDGET!BA93</f>
        <v>0</v>
      </c>
      <c r="D93" s="459">
        <f>BUDGET!BB93</f>
        <v>0</v>
      </c>
      <c r="E93" s="1542" t="str">
        <f>BUDGET!A93</f>
        <v xml:space="preserve">   SALARIES</v>
      </c>
      <c r="F93" s="843">
        <v>74303</v>
      </c>
      <c r="G93" s="2902">
        <f>BUDGET!AZ93</f>
        <v>0</v>
      </c>
      <c r="H93" s="843"/>
      <c r="I93" s="1178"/>
      <c r="J93" s="1770"/>
      <c r="K93" s="843"/>
      <c r="L93" s="1875"/>
    </row>
    <row r="94" spans="2:12" hidden="1" x14ac:dyDescent="0.2">
      <c r="B94" t="s">
        <v>431</v>
      </c>
      <c r="C94" s="459">
        <f>BUDGET!BA94</f>
        <v>0</v>
      </c>
      <c r="D94" s="459">
        <f>BUDGET!BB94</f>
        <v>0</v>
      </c>
      <c r="E94" s="808" t="str">
        <f>BUDGET!A94</f>
        <v xml:space="preserve">   WAGES</v>
      </c>
      <c r="F94" s="843">
        <v>26363</v>
      </c>
      <c r="G94" s="2902">
        <f>BUDGET!AZ94</f>
        <v>0</v>
      </c>
      <c r="H94" s="843"/>
      <c r="I94" s="1178"/>
      <c r="J94" s="1770"/>
      <c r="K94" s="843"/>
      <c r="L94" s="1875"/>
    </row>
    <row r="95" spans="2:12" hidden="1" x14ac:dyDescent="0.2">
      <c r="B95" t="s">
        <v>431</v>
      </c>
      <c r="C95" s="459">
        <f>BUDGET!BA95</f>
        <v>0</v>
      </c>
      <c r="D95" s="459">
        <f>BUDGET!BB95</f>
        <v>0</v>
      </c>
      <c r="E95" s="808" t="str">
        <f>BUDGET!A95</f>
        <v xml:space="preserve">   OTHER</v>
      </c>
      <c r="F95" s="817">
        <v>0</v>
      </c>
      <c r="G95" s="2900">
        <f>BUDGET!AZ95</f>
        <v>0</v>
      </c>
      <c r="H95" s="817"/>
      <c r="I95" s="877"/>
      <c r="J95" s="1768"/>
      <c r="K95" s="817"/>
      <c r="L95" s="1873"/>
    </row>
    <row r="96" spans="2:12" hidden="1" x14ac:dyDescent="0.2">
      <c r="B96" t="s">
        <v>431</v>
      </c>
      <c r="C96" s="459">
        <f>BUDGET!BA96</f>
        <v>0</v>
      </c>
      <c r="D96" s="459">
        <f>BUDGET!BB96</f>
        <v>0</v>
      </c>
      <c r="E96" s="878" t="str">
        <f>BUDGET!A96</f>
        <v xml:space="preserve">   TOTAL</v>
      </c>
      <c r="F96" s="814">
        <v>100666</v>
      </c>
      <c r="G96" s="2903">
        <f>BUDGET!AZ96</f>
        <v>0</v>
      </c>
      <c r="H96" s="814"/>
      <c r="I96" s="2898">
        <v>44998</v>
      </c>
      <c r="J96" s="1771"/>
      <c r="K96" s="814"/>
      <c r="L96" s="1876"/>
    </row>
    <row r="97" spans="2:12" hidden="1" x14ac:dyDescent="0.2">
      <c r="C97" s="459">
        <f>BUDGET!BA97</f>
        <v>0</v>
      </c>
      <c r="D97" s="459">
        <f>BUDGET!BB97</f>
        <v>0</v>
      </c>
      <c r="E97" s="855"/>
      <c r="F97" s="856">
        <v>0</v>
      </c>
      <c r="G97" s="2904">
        <f>BUDGET!AZ97</f>
        <v>0</v>
      </c>
      <c r="H97" s="856"/>
      <c r="I97" s="1237"/>
      <c r="J97" s="1772"/>
      <c r="K97" s="856"/>
      <c r="L97" s="1877"/>
    </row>
    <row r="98" spans="2:12" hidden="1" x14ac:dyDescent="0.2">
      <c r="B98" s="459" t="s">
        <v>551</v>
      </c>
      <c r="C98" s="459">
        <f>BUDGET!BA98</f>
        <v>0</v>
      </c>
      <c r="D98" s="459" t="str">
        <f>BUDGET!BB98</f>
        <v>x</v>
      </c>
      <c r="E98" s="808" t="str">
        <f>BUDGET!A98</f>
        <v>OPEN SPACE COMMITTEE</v>
      </c>
      <c r="F98" s="859">
        <v>0</v>
      </c>
      <c r="G98" s="2899">
        <f>BUDGET!AZ98</f>
        <v>0</v>
      </c>
      <c r="H98" s="859"/>
      <c r="I98" s="1178"/>
      <c r="J98" s="1773"/>
      <c r="K98" s="859"/>
      <c r="L98" s="1878"/>
    </row>
    <row r="99" spans="2:12" hidden="1" x14ac:dyDescent="0.2">
      <c r="B99" t="s">
        <v>551</v>
      </c>
      <c r="C99" s="459">
        <f>BUDGET!BA99</f>
        <v>0</v>
      </c>
      <c r="D99" s="459" t="str">
        <f>BUDGET!BB99</f>
        <v>x</v>
      </c>
      <c r="E99" s="808" t="str">
        <f>BUDGET!A99</f>
        <v xml:space="preserve">   OTHER </v>
      </c>
      <c r="F99" s="817">
        <v>0</v>
      </c>
      <c r="G99" s="2900">
        <f>BUDGET!AZ99</f>
        <v>0</v>
      </c>
      <c r="H99" s="817"/>
      <c r="I99" s="877"/>
      <c r="J99" s="1768"/>
      <c r="K99" s="817"/>
      <c r="L99" s="1873"/>
    </row>
    <row r="100" spans="2:12" hidden="1" x14ac:dyDescent="0.2">
      <c r="B100" t="s">
        <v>551</v>
      </c>
      <c r="C100" s="459">
        <f>BUDGET!BA100</f>
        <v>0</v>
      </c>
      <c r="D100" s="459" t="str">
        <f>BUDGET!BB100</f>
        <v>x</v>
      </c>
      <c r="E100" s="878" t="str">
        <f>BUDGET!A100</f>
        <v xml:space="preserve">   TOTAL</v>
      </c>
      <c r="F100" s="814">
        <v>0</v>
      </c>
      <c r="G100" s="2903">
        <f>BUDGET!AZ100</f>
        <v>0</v>
      </c>
      <c r="H100" s="814"/>
      <c r="I100" s="853"/>
      <c r="J100" s="1771"/>
      <c r="K100" s="814"/>
      <c r="L100" s="1876"/>
    </row>
    <row r="101" spans="2:12" hidden="1" x14ac:dyDescent="0.2">
      <c r="C101" s="459">
        <f>BUDGET!BA101</f>
        <v>0</v>
      </c>
      <c r="D101" s="459" t="str">
        <f>BUDGET!BB101</f>
        <v>x</v>
      </c>
      <c r="E101" s="855">
        <f>BUDGET!A101</f>
        <v>0</v>
      </c>
      <c r="F101" s="856">
        <v>0</v>
      </c>
      <c r="G101" s="2904">
        <f>BUDGET!AZ101</f>
        <v>0</v>
      </c>
      <c r="H101" s="856"/>
      <c r="I101" s="1237"/>
      <c r="J101" s="1772"/>
      <c r="K101" s="856"/>
      <c r="L101" s="1877"/>
    </row>
    <row r="102" spans="2:12" hidden="1" x14ac:dyDescent="0.2">
      <c r="B102" s="459" t="s">
        <v>748</v>
      </c>
      <c r="C102" s="459">
        <f>BUDGET!BA102</f>
        <v>0</v>
      </c>
      <c r="D102" s="459">
        <f>BUDGET!BB102</f>
        <v>0</v>
      </c>
      <c r="E102" s="808" t="str">
        <f>BUDGET!A102</f>
        <v>PLANNING BOARD</v>
      </c>
      <c r="F102" s="859">
        <v>0</v>
      </c>
      <c r="G102" s="2899">
        <f>BUDGET!AZ102</f>
        <v>0</v>
      </c>
      <c r="H102" s="859"/>
      <c r="I102" s="1178"/>
      <c r="J102" s="1773"/>
      <c r="K102" s="859"/>
      <c r="L102" s="1878"/>
    </row>
    <row r="103" spans="2:12" hidden="1" x14ac:dyDescent="0.2">
      <c r="B103" t="s">
        <v>748</v>
      </c>
      <c r="C103" s="459">
        <f>BUDGET!BA103</f>
        <v>0</v>
      </c>
      <c r="D103" s="459">
        <f>BUDGET!BB103</f>
        <v>0</v>
      </c>
      <c r="E103" s="808" t="str">
        <f>BUDGET!A103</f>
        <v xml:space="preserve">   SALARIES</v>
      </c>
      <c r="F103" s="817">
        <v>5</v>
      </c>
      <c r="G103" s="2900">
        <f>BUDGET!AZ103</f>
        <v>0</v>
      </c>
      <c r="H103" s="817"/>
      <c r="I103" s="877"/>
      <c r="J103" s="1768"/>
      <c r="K103" s="817"/>
      <c r="L103" s="1873"/>
    </row>
    <row r="104" spans="2:12" x14ac:dyDescent="0.2">
      <c r="B104" t="s">
        <v>748</v>
      </c>
      <c r="C104" s="459" t="str">
        <f>BUDGET!BA104</f>
        <v>yes</v>
      </c>
      <c r="D104" s="2943">
        <v>44998</v>
      </c>
      <c r="E104" s="808" t="str">
        <f>BUDGET!A104</f>
        <v xml:space="preserve">   WAGES</v>
      </c>
      <c r="F104" s="941">
        <v>0</v>
      </c>
      <c r="G104" s="2910">
        <f>BUDGET!AZ104</f>
        <v>2840</v>
      </c>
      <c r="H104" s="941"/>
      <c r="I104" s="2946"/>
      <c r="J104" s="1768">
        <f>IF(C104="yes",G104,"")</f>
        <v>2840</v>
      </c>
      <c r="K104" s="2950" t="s">
        <v>2513</v>
      </c>
      <c r="L104" s="2948">
        <f>D104</f>
        <v>44998</v>
      </c>
    </row>
    <row r="105" spans="2:12" hidden="1" x14ac:dyDescent="0.2">
      <c r="B105" t="s">
        <v>748</v>
      </c>
      <c r="C105" s="459">
        <f>BUDGET!BA105</f>
        <v>0</v>
      </c>
      <c r="D105" s="459">
        <f>BUDGET!BB105</f>
        <v>0</v>
      </c>
      <c r="E105" s="808" t="str">
        <f>BUDGET!A105</f>
        <v xml:space="preserve">   OTHER</v>
      </c>
      <c r="F105" s="843">
        <v>1750</v>
      </c>
      <c r="G105" s="2902">
        <f>BUDGET!AZ105</f>
        <v>0</v>
      </c>
      <c r="H105" s="843"/>
      <c r="I105" s="1178"/>
      <c r="J105" s="1770"/>
      <c r="K105" s="843"/>
      <c r="L105" s="1875"/>
    </row>
    <row r="106" spans="2:12" hidden="1" x14ac:dyDescent="0.2">
      <c r="B106" t="s">
        <v>748</v>
      </c>
      <c r="C106" s="459">
        <f>BUDGET!BA106</f>
        <v>0</v>
      </c>
      <c r="D106" s="459">
        <f>BUDGET!BB106</f>
        <v>0</v>
      </c>
      <c r="E106" s="878" t="str">
        <f>BUDGET!A106</f>
        <v xml:space="preserve">   TOTAL</v>
      </c>
      <c r="F106" s="814">
        <v>1755</v>
      </c>
      <c r="G106" s="2903">
        <f>BUDGET!AZ106</f>
        <v>0</v>
      </c>
      <c r="H106" s="814"/>
      <c r="I106" s="2898">
        <v>44998</v>
      </c>
      <c r="J106" s="1771"/>
      <c r="K106" s="814"/>
      <c r="L106" s="1876"/>
    </row>
    <row r="107" spans="2:12" hidden="1" x14ac:dyDescent="0.2">
      <c r="C107" s="459">
        <f>BUDGET!BA107</f>
        <v>0</v>
      </c>
      <c r="D107" s="459">
        <f>BUDGET!BB107</f>
        <v>0</v>
      </c>
      <c r="E107" s="855"/>
      <c r="F107" s="856">
        <v>0</v>
      </c>
      <c r="G107" s="2904">
        <f>BUDGET!AZ107</f>
        <v>0</v>
      </c>
      <c r="H107" s="856"/>
      <c r="I107" s="1237"/>
      <c r="J107" s="1772"/>
      <c r="K107" s="856"/>
      <c r="L107" s="1877"/>
    </row>
    <row r="108" spans="2:12" hidden="1" x14ac:dyDescent="0.2">
      <c r="B108" s="459" t="s">
        <v>730</v>
      </c>
      <c r="C108" s="459">
        <f>BUDGET!BA108</f>
        <v>0</v>
      </c>
      <c r="D108" s="459">
        <f>BUDGET!BB108</f>
        <v>0</v>
      </c>
      <c r="E108" s="808" t="str">
        <f>BUDGET!A108</f>
        <v>ZONING BOARD OF APPEALS</v>
      </c>
      <c r="F108" s="859">
        <v>0</v>
      </c>
      <c r="G108" s="2911">
        <f>BUDGET!AZ108</f>
        <v>0</v>
      </c>
      <c r="H108" s="1921"/>
      <c r="I108" s="1922"/>
      <c r="J108" s="1923"/>
      <c r="K108" s="1921"/>
      <c r="L108" s="1924"/>
    </row>
    <row r="109" spans="2:12" hidden="1" x14ac:dyDescent="0.2">
      <c r="B109" t="s">
        <v>730</v>
      </c>
      <c r="C109" s="459">
        <f>BUDGET!BA109</f>
        <v>0</v>
      </c>
      <c r="D109" s="459">
        <f>BUDGET!BB109</f>
        <v>0</v>
      </c>
      <c r="E109" s="808" t="str">
        <f>BUDGET!A109</f>
        <v xml:space="preserve">   SALARIES</v>
      </c>
      <c r="F109" s="859">
        <v>0</v>
      </c>
      <c r="G109" s="2899">
        <f>BUDGET!AZ109</f>
        <v>0</v>
      </c>
      <c r="H109" s="859"/>
      <c r="I109" s="1178"/>
      <c r="J109" s="1773"/>
      <c r="K109" s="859"/>
      <c r="L109" s="1878"/>
    </row>
    <row r="110" spans="2:12" x14ac:dyDescent="0.2">
      <c r="B110" t="s">
        <v>730</v>
      </c>
      <c r="C110" s="459" t="str">
        <f>BUDGET!BA110</f>
        <v>yes</v>
      </c>
      <c r="D110" s="2943">
        <v>44998</v>
      </c>
      <c r="E110" s="808" t="str">
        <f>BUDGET!A110</f>
        <v xml:space="preserve">   WAGES</v>
      </c>
      <c r="F110" s="859">
        <v>0</v>
      </c>
      <c r="G110" s="2899">
        <f>BUDGET!AZ110</f>
        <v>11357</v>
      </c>
      <c r="H110" s="859"/>
      <c r="I110" s="2945"/>
      <c r="J110" s="1768">
        <f>IF(C110="yes",G110,"")</f>
        <v>11357</v>
      </c>
      <c r="K110" s="2950" t="s">
        <v>2513</v>
      </c>
      <c r="L110" s="2948">
        <f>D110</f>
        <v>44998</v>
      </c>
    </row>
    <row r="111" spans="2:12" hidden="1" x14ac:dyDescent="0.2">
      <c r="B111" t="s">
        <v>730</v>
      </c>
      <c r="C111" s="459">
        <f>BUDGET!BA111</f>
        <v>0</v>
      </c>
      <c r="D111" s="459">
        <f>BUDGET!BB111</f>
        <v>0</v>
      </c>
      <c r="E111" s="808" t="str">
        <f>BUDGET!A111</f>
        <v xml:space="preserve">   OTHER</v>
      </c>
      <c r="F111" s="843">
        <v>750</v>
      </c>
      <c r="G111" s="2902">
        <f>BUDGET!AZ111</f>
        <v>0</v>
      </c>
      <c r="H111" s="843"/>
      <c r="I111" s="1178"/>
      <c r="J111" s="1770"/>
      <c r="K111" s="843"/>
      <c r="L111" s="1875"/>
    </row>
    <row r="112" spans="2:12" hidden="1" x14ac:dyDescent="0.2">
      <c r="B112" t="s">
        <v>730</v>
      </c>
      <c r="C112" s="459">
        <f>BUDGET!BA112</f>
        <v>0</v>
      </c>
      <c r="D112" s="459">
        <f>BUDGET!BB112</f>
        <v>0</v>
      </c>
      <c r="E112" s="878" t="str">
        <f>BUDGET!A112</f>
        <v xml:space="preserve">   TOTAL</v>
      </c>
      <c r="F112" s="814">
        <v>750</v>
      </c>
      <c r="G112" s="2903">
        <f>BUDGET!AZ112</f>
        <v>0</v>
      </c>
      <c r="H112" s="814"/>
      <c r="I112" s="2898">
        <v>44998</v>
      </c>
      <c r="J112" s="1771"/>
      <c r="K112" s="814"/>
      <c r="L112" s="1876"/>
    </row>
    <row r="113" spans="2:12" hidden="1" x14ac:dyDescent="0.2">
      <c r="C113" s="459">
        <f>BUDGET!BA113</f>
        <v>0</v>
      </c>
      <c r="D113" s="459">
        <f>BUDGET!BB113</f>
        <v>0</v>
      </c>
      <c r="E113" s="855"/>
      <c r="F113" s="856">
        <v>0</v>
      </c>
      <c r="G113" s="2904">
        <f>BUDGET!AZ113</f>
        <v>0</v>
      </c>
      <c r="H113" s="856"/>
      <c r="I113" s="1237"/>
      <c r="J113" s="1772"/>
      <c r="K113" s="856"/>
      <c r="L113" s="1877"/>
    </row>
    <row r="114" spans="2:12" hidden="1" x14ac:dyDescent="0.2">
      <c r="B114" s="459" t="s">
        <v>103</v>
      </c>
      <c r="C114" s="459">
        <f>BUDGET!BA114</f>
        <v>0</v>
      </c>
      <c r="D114" s="459">
        <f>BUDGET!BB114</f>
        <v>0</v>
      </c>
      <c r="E114" s="795" t="str">
        <f>BUDGET!A114</f>
        <v>GENERAL GOV'T:  SUB-TOTAL</v>
      </c>
      <c r="F114" s="861">
        <v>0</v>
      </c>
      <c r="G114" s="2909">
        <f>BUDGET!AZ114</f>
        <v>0</v>
      </c>
      <c r="H114" s="861"/>
      <c r="I114" s="1200"/>
      <c r="J114" s="1778"/>
      <c r="K114" s="861"/>
      <c r="L114" s="1883"/>
    </row>
    <row r="115" spans="2:12" hidden="1" x14ac:dyDescent="0.2">
      <c r="B115" t="s">
        <v>103</v>
      </c>
      <c r="C115" s="459">
        <f>BUDGET!BA115</f>
        <v>0</v>
      </c>
      <c r="D115" s="459">
        <f>BUDGET!BB115</f>
        <v>0</v>
      </c>
      <c r="E115" s="878" t="str">
        <f>BUDGET!A115</f>
        <v xml:space="preserve">   SALARIES</v>
      </c>
      <c r="F115" s="928">
        <v>718317</v>
      </c>
      <c r="G115" s="2912">
        <f>BUDGET!AZ115</f>
        <v>0</v>
      </c>
      <c r="H115" s="928"/>
      <c r="I115" s="853"/>
      <c r="J115" s="1780"/>
      <c r="K115" s="928"/>
      <c r="L115" s="1886"/>
    </row>
    <row r="116" spans="2:12" hidden="1" x14ac:dyDescent="0.2">
      <c r="B116" t="s">
        <v>103</v>
      </c>
      <c r="C116" s="459">
        <f>BUDGET!BA116</f>
        <v>0</v>
      </c>
      <c r="D116" s="459">
        <f>BUDGET!BB116</f>
        <v>0</v>
      </c>
      <c r="E116" s="878" t="str">
        <f>BUDGET!A116</f>
        <v xml:space="preserve">   WAGES </v>
      </c>
      <c r="F116" s="928">
        <v>375339</v>
      </c>
      <c r="G116" s="2912">
        <f>BUDGET!AZ116</f>
        <v>0</v>
      </c>
      <c r="H116" s="928"/>
      <c r="I116" s="853"/>
      <c r="J116" s="1780"/>
      <c r="K116" s="928"/>
      <c r="L116" s="1886"/>
    </row>
    <row r="117" spans="2:12" hidden="1" x14ac:dyDescent="0.2">
      <c r="B117" t="s">
        <v>103</v>
      </c>
      <c r="C117" s="459">
        <f>BUDGET!BA117</f>
        <v>0</v>
      </c>
      <c r="D117" s="459">
        <f>BUDGET!BB117</f>
        <v>0</v>
      </c>
      <c r="E117" s="878" t="str">
        <f>BUDGET!A117</f>
        <v xml:space="preserve">   OTHER</v>
      </c>
      <c r="F117" s="928">
        <v>568174</v>
      </c>
      <c r="G117" s="2912">
        <f>BUDGET!AZ117</f>
        <v>0</v>
      </c>
      <c r="H117" s="928"/>
      <c r="I117" s="853"/>
      <c r="J117" s="1780"/>
      <c r="K117" s="928"/>
      <c r="L117" s="1886"/>
    </row>
    <row r="118" spans="2:12" hidden="1" x14ac:dyDescent="0.2">
      <c r="C118" s="459">
        <f>BUDGET!BA118</f>
        <v>0</v>
      </c>
      <c r="D118" s="459">
        <f>BUDGET!BB118</f>
        <v>0</v>
      </c>
      <c r="E118" s="878" t="str">
        <f>BUDGET!A118</f>
        <v>RESERVE FUNDS</v>
      </c>
      <c r="F118" s="928">
        <v>100000</v>
      </c>
      <c r="G118" s="2912">
        <f>BUDGET!AZ118</f>
        <v>0</v>
      </c>
      <c r="H118" s="928"/>
      <c r="I118" s="853"/>
      <c r="J118" s="1780"/>
      <c r="K118" s="928"/>
      <c r="L118" s="1886"/>
    </row>
    <row r="119" spans="2:12" hidden="1" x14ac:dyDescent="0.2">
      <c r="C119" s="459">
        <f>BUDGET!BA119</f>
        <v>0</v>
      </c>
      <c r="D119" s="459">
        <f>BUDGET!BB119</f>
        <v>0</v>
      </c>
      <c r="E119" s="878" t="str">
        <f>BUDGET!A119</f>
        <v xml:space="preserve">   GASB-45</v>
      </c>
      <c r="F119" s="928">
        <v>0</v>
      </c>
      <c r="G119" s="2912">
        <f>BUDGET!AZ119</f>
        <v>0</v>
      </c>
      <c r="H119" s="928"/>
      <c r="I119" s="853"/>
      <c r="J119" s="1780"/>
      <c r="K119" s="928"/>
      <c r="L119" s="1886"/>
    </row>
    <row r="120" spans="2:12" ht="13.5" hidden="1" thickBot="1" x14ac:dyDescent="0.25">
      <c r="C120" s="459">
        <f>BUDGET!BA120</f>
        <v>0</v>
      </c>
      <c r="D120" s="459">
        <f>BUDGET!BB120</f>
        <v>0</v>
      </c>
      <c r="E120" s="946" t="str">
        <f>BUDGET!A120</f>
        <v>GENERAL GOVERN. :  SUB-TOTAL</v>
      </c>
      <c r="F120" s="953">
        <v>1761830</v>
      </c>
      <c r="G120" s="2913">
        <f>BUDGET!AZ120</f>
        <v>0</v>
      </c>
      <c r="H120" s="953"/>
      <c r="I120" s="1758"/>
      <c r="J120" s="1781"/>
      <c r="K120" s="953"/>
      <c r="L120" s="1887"/>
    </row>
    <row r="121" spans="2:12" hidden="1" x14ac:dyDescent="0.2">
      <c r="C121" s="459">
        <f>BUDGET!BA121</f>
        <v>0</v>
      </c>
      <c r="D121" s="459">
        <f>BUDGET!BB121</f>
        <v>0</v>
      </c>
      <c r="E121" s="795" t="str">
        <f>BUDGET!A121</f>
        <v>PUBLIC SAFETY</v>
      </c>
      <c r="F121" s="859">
        <v>0</v>
      </c>
      <c r="G121" s="2899">
        <f>BUDGET!AZ121</f>
        <v>0</v>
      </c>
      <c r="H121" s="859"/>
      <c r="I121" s="1178"/>
      <c r="J121" s="1773"/>
      <c r="K121" s="859"/>
      <c r="L121" s="1878"/>
    </row>
    <row r="122" spans="2:12" hidden="1" x14ac:dyDescent="0.2">
      <c r="B122" s="459" t="s">
        <v>734</v>
      </c>
      <c r="C122" s="459">
        <f>BUDGET!BA122</f>
        <v>0</v>
      </c>
      <c r="D122" s="459">
        <f>BUDGET!BB122</f>
        <v>0</v>
      </c>
      <c r="E122" s="808" t="str">
        <f>BUDGET!A122</f>
        <v>POLICE DEPARTMENT</v>
      </c>
      <c r="F122" s="859">
        <v>0</v>
      </c>
      <c r="G122" s="2899">
        <f>BUDGET!AZ122</f>
        <v>0</v>
      </c>
      <c r="H122" s="859"/>
      <c r="I122" s="1178"/>
      <c r="J122" s="1773"/>
      <c r="K122" s="859"/>
      <c r="L122" s="1878"/>
    </row>
    <row r="123" spans="2:12" hidden="1" x14ac:dyDescent="0.2">
      <c r="B123" t="s">
        <v>734</v>
      </c>
      <c r="C123" s="459">
        <f>BUDGET!BA123</f>
        <v>0</v>
      </c>
      <c r="D123" s="459">
        <f>BUDGET!BB123</f>
        <v>0</v>
      </c>
      <c r="E123" s="808" t="str">
        <f>BUDGET!A123</f>
        <v xml:space="preserve">   SALARIES </v>
      </c>
      <c r="F123" s="843">
        <v>249432</v>
      </c>
      <c r="G123" s="2899">
        <f>BUDGET!AZ123</f>
        <v>0</v>
      </c>
      <c r="H123" s="859"/>
      <c r="I123" s="2182"/>
      <c r="J123" s="1770"/>
      <c r="K123" s="843"/>
      <c r="L123" s="1875"/>
    </row>
    <row r="124" spans="2:12" x14ac:dyDescent="0.2">
      <c r="B124" t="s">
        <v>734</v>
      </c>
      <c r="C124" s="459" t="str">
        <f>BUDGET!BA124</f>
        <v>yes</v>
      </c>
      <c r="D124" s="2943">
        <v>44998</v>
      </c>
      <c r="E124" s="808" t="str">
        <f>BUDGET!A124</f>
        <v xml:space="preserve">   WAGES</v>
      </c>
      <c r="F124" s="843">
        <v>1297825</v>
      </c>
      <c r="G124" s="2899">
        <f>BUDGET!AZ124</f>
        <v>4000</v>
      </c>
      <c r="H124" s="859"/>
      <c r="I124" s="2944"/>
      <c r="J124" s="1768">
        <f>IF(C124="yes",G124,"")</f>
        <v>4000</v>
      </c>
      <c r="K124" s="817" t="s">
        <v>2510</v>
      </c>
      <c r="L124" s="2948">
        <f>D124</f>
        <v>44998</v>
      </c>
    </row>
    <row r="125" spans="2:12" hidden="1" x14ac:dyDescent="0.2">
      <c r="B125" t="s">
        <v>734</v>
      </c>
      <c r="C125" s="459">
        <f>BUDGET!BA125</f>
        <v>0</v>
      </c>
      <c r="D125" s="459">
        <f>BUDGET!BB125</f>
        <v>0</v>
      </c>
      <c r="E125" s="808" t="str">
        <f>BUDGET!A125</f>
        <v xml:space="preserve">   CAPITAL (LEASES)</v>
      </c>
      <c r="F125" s="843">
        <v>0</v>
      </c>
      <c r="G125" s="2902">
        <f>BUDGET!AZ125</f>
        <v>0</v>
      </c>
      <c r="H125" s="843"/>
      <c r="I125" s="1178"/>
      <c r="J125" s="1770"/>
      <c r="K125" s="843"/>
      <c r="L125" s="1875"/>
    </row>
    <row r="126" spans="2:12" x14ac:dyDescent="0.2">
      <c r="B126" t="s">
        <v>734</v>
      </c>
      <c r="C126" s="459" t="str">
        <f>BUDGET!BA126</f>
        <v>yes</v>
      </c>
      <c r="D126" s="2943">
        <f>BUDGET!BB126</f>
        <v>44998</v>
      </c>
      <c r="E126" s="808" t="str">
        <f>BUDGET!A126</f>
        <v xml:space="preserve">   OTHER</v>
      </c>
      <c r="F126" s="843">
        <v>123729</v>
      </c>
      <c r="G126" s="2902">
        <f>BUDGET!AZ126</f>
        <v>1985</v>
      </c>
      <c r="H126" s="843"/>
      <c r="I126" s="2944"/>
      <c r="J126" s="1768">
        <f>IF(C126="yes",G126,"")</f>
        <v>1985</v>
      </c>
      <c r="K126" s="817" t="s">
        <v>2514</v>
      </c>
      <c r="L126" s="2948">
        <f>D126</f>
        <v>44998</v>
      </c>
    </row>
    <row r="127" spans="2:12" hidden="1" x14ac:dyDescent="0.2">
      <c r="B127" t="s">
        <v>734</v>
      </c>
      <c r="C127" s="459">
        <f>BUDGET!BA127</f>
        <v>0</v>
      </c>
      <c r="D127" s="459">
        <f>BUDGET!BB127</f>
        <v>0</v>
      </c>
      <c r="E127" s="878" t="str">
        <f>BUDGET!A127</f>
        <v xml:space="preserve">   TOTAL</v>
      </c>
      <c r="F127" s="814">
        <v>1670986</v>
      </c>
      <c r="G127" s="2903">
        <f>BUDGET!AZ127</f>
        <v>0</v>
      </c>
      <c r="H127" s="814"/>
      <c r="I127" s="2898">
        <v>44998</v>
      </c>
      <c r="J127" s="1771"/>
      <c r="K127" s="814"/>
      <c r="L127" s="1876"/>
    </row>
    <row r="128" spans="2:12" hidden="1" x14ac:dyDescent="0.2">
      <c r="C128" s="459">
        <f>BUDGET!BA128</f>
        <v>0</v>
      </c>
      <c r="D128" s="459">
        <f>BUDGET!BB128</f>
        <v>0</v>
      </c>
      <c r="E128" s="855"/>
      <c r="F128" s="831">
        <v>0</v>
      </c>
      <c r="G128" s="2901">
        <f>BUDGET!AZ128</f>
        <v>0</v>
      </c>
      <c r="H128" s="831"/>
      <c r="I128" s="1733"/>
      <c r="J128" s="1769"/>
      <c r="K128" s="831"/>
      <c r="L128" s="1874"/>
    </row>
    <row r="129" spans="2:12" hidden="1" x14ac:dyDescent="0.2">
      <c r="B129" s="459" t="s">
        <v>833</v>
      </c>
      <c r="C129" s="459">
        <f>BUDGET!BA129</f>
        <v>0</v>
      </c>
      <c r="D129" s="459">
        <f>BUDGET!BB129</f>
        <v>0</v>
      </c>
      <c r="E129" s="808" t="str">
        <f>BUDGET!A129</f>
        <v>FIRE DEPARTMENT</v>
      </c>
      <c r="F129" s="859">
        <v>0</v>
      </c>
      <c r="G129" s="2899">
        <f>BUDGET!AZ129</f>
        <v>0</v>
      </c>
      <c r="H129" s="859"/>
      <c r="I129" s="1178"/>
      <c r="J129" s="1773"/>
      <c r="K129" s="859"/>
      <c r="L129" s="1878"/>
    </row>
    <row r="130" spans="2:12" hidden="1" x14ac:dyDescent="0.2">
      <c r="B130" t="s">
        <v>833</v>
      </c>
      <c r="C130" s="459">
        <f>BUDGET!BA130</f>
        <v>0</v>
      </c>
      <c r="D130" s="459">
        <f>BUDGET!BB130</f>
        <v>0</v>
      </c>
      <c r="E130" s="808" t="str">
        <f>BUDGET!A130</f>
        <v xml:space="preserve">   SALARIES</v>
      </c>
      <c r="F130" s="843">
        <v>130305</v>
      </c>
      <c r="G130" s="2902">
        <f>BUDGET!AZ130</f>
        <v>0</v>
      </c>
      <c r="H130" s="843"/>
      <c r="I130" s="1178"/>
      <c r="J130" s="1770"/>
      <c r="K130" s="843"/>
      <c r="L130" s="1875"/>
    </row>
    <row r="131" spans="2:12" hidden="1" x14ac:dyDescent="0.2">
      <c r="B131" t="s">
        <v>833</v>
      </c>
      <c r="C131" s="459">
        <f>BUDGET!BA131</f>
        <v>0</v>
      </c>
      <c r="D131" s="459">
        <f>BUDGET!BB131</f>
        <v>0</v>
      </c>
      <c r="E131" s="808" t="str">
        <f>BUDGET!A131</f>
        <v xml:space="preserve">   WAGES</v>
      </c>
      <c r="F131" s="843">
        <v>919841</v>
      </c>
      <c r="G131" s="2902">
        <f>BUDGET!AZ131</f>
        <v>0</v>
      </c>
      <c r="H131" s="843"/>
      <c r="I131" s="1178"/>
      <c r="J131" s="1770"/>
      <c r="K131" s="941"/>
      <c r="L131" s="2180"/>
    </row>
    <row r="132" spans="2:12" x14ac:dyDescent="0.2">
      <c r="B132" t="s">
        <v>833</v>
      </c>
      <c r="C132" s="459" t="str">
        <f>BUDGET!BA132</f>
        <v>yes</v>
      </c>
      <c r="D132" s="2943">
        <f>BUDGET!BB132</f>
        <v>44998</v>
      </c>
      <c r="E132" s="808" t="str">
        <f>BUDGET!A132</f>
        <v xml:space="preserve">   OTHER</v>
      </c>
      <c r="F132" s="843">
        <v>157733</v>
      </c>
      <c r="G132" s="2902">
        <f>BUDGET!AZ132</f>
        <v>6500</v>
      </c>
      <c r="H132" s="843"/>
      <c r="I132" s="2944"/>
      <c r="J132" s="1768">
        <f>IF(C132="yes",G132,"")</f>
        <v>6500</v>
      </c>
      <c r="K132" s="817" t="s">
        <v>2509</v>
      </c>
      <c r="L132" s="2948">
        <f>D132</f>
        <v>44998</v>
      </c>
    </row>
    <row r="133" spans="2:12" hidden="1" x14ac:dyDescent="0.2">
      <c r="B133" t="s">
        <v>833</v>
      </c>
      <c r="C133" s="459">
        <f>BUDGET!BA133</f>
        <v>0</v>
      </c>
      <c r="D133" s="459">
        <f>BUDGET!BB133</f>
        <v>0</v>
      </c>
      <c r="E133" s="878" t="str">
        <f>BUDGET!A133</f>
        <v xml:space="preserve">   TOTAL</v>
      </c>
      <c r="F133" s="814">
        <v>1207879</v>
      </c>
      <c r="G133" s="2903">
        <f>BUDGET!AZ133</f>
        <v>0</v>
      </c>
      <c r="H133" s="814"/>
      <c r="I133" s="2898">
        <v>44998</v>
      </c>
      <c r="J133" s="1771"/>
      <c r="K133" s="814"/>
      <c r="L133" s="1876"/>
    </row>
    <row r="134" spans="2:12" hidden="1" x14ac:dyDescent="0.2">
      <c r="C134" s="459">
        <f>BUDGET!BA134</f>
        <v>0</v>
      </c>
      <c r="D134" s="459">
        <f>BUDGET!BB134</f>
        <v>0</v>
      </c>
      <c r="E134" s="855"/>
      <c r="F134" s="970">
        <v>0</v>
      </c>
      <c r="G134" s="2914">
        <f>BUDGET!AZ134</f>
        <v>0</v>
      </c>
      <c r="H134" s="970"/>
      <c r="I134" s="1740"/>
      <c r="J134" s="1769"/>
      <c r="K134" s="970"/>
      <c r="L134" s="1888"/>
    </row>
    <row r="135" spans="2:12" hidden="1" x14ac:dyDescent="0.2">
      <c r="B135" s="459" t="s">
        <v>834</v>
      </c>
      <c r="C135" s="459">
        <f>BUDGET!BA135</f>
        <v>0</v>
      </c>
      <c r="D135" s="459" t="str">
        <f>BUDGET!BB135</f>
        <v>x</v>
      </c>
      <c r="E135" s="808" t="str">
        <f>BUDGET!A135</f>
        <v>AMBULANCE SERVICE</v>
      </c>
      <c r="F135" s="859">
        <v>0</v>
      </c>
      <c r="G135" s="2899">
        <f>BUDGET!AZ135</f>
        <v>0</v>
      </c>
      <c r="H135" s="859"/>
      <c r="I135" s="1178"/>
      <c r="J135" s="1773"/>
      <c r="K135" s="859"/>
      <c r="L135" s="1878"/>
    </row>
    <row r="136" spans="2:12" hidden="1" x14ac:dyDescent="0.2">
      <c r="B136" t="s">
        <v>834</v>
      </c>
      <c r="C136" s="459">
        <f>BUDGET!BA136</f>
        <v>0</v>
      </c>
      <c r="D136" s="459" t="str">
        <f>BUDGET!BB136</f>
        <v>x</v>
      </c>
      <c r="E136" s="808" t="str">
        <f>BUDGET!A136</f>
        <v xml:space="preserve">   OTHER </v>
      </c>
      <c r="F136" s="817">
        <v>0</v>
      </c>
      <c r="G136" s="2900">
        <f>BUDGET!AZ136</f>
        <v>0</v>
      </c>
      <c r="H136" s="817"/>
      <c r="I136" s="877"/>
      <c r="J136" s="1768"/>
      <c r="K136" s="817"/>
      <c r="L136" s="1873"/>
    </row>
    <row r="137" spans="2:12" hidden="1" x14ac:dyDescent="0.2">
      <c r="B137" t="s">
        <v>834</v>
      </c>
      <c r="C137" s="459">
        <f>BUDGET!BA137</f>
        <v>0</v>
      </c>
      <c r="D137" s="459" t="str">
        <f>BUDGET!BB137</f>
        <v>x</v>
      </c>
      <c r="E137" s="795" t="str">
        <f>BUDGET!A137</f>
        <v xml:space="preserve">   TOTAL</v>
      </c>
      <c r="F137" s="861">
        <v>0</v>
      </c>
      <c r="G137" s="2909">
        <f>BUDGET!AZ137</f>
        <v>0</v>
      </c>
      <c r="H137" s="861"/>
      <c r="I137" s="1200"/>
      <c r="J137" s="1778"/>
      <c r="K137" s="861"/>
      <c r="L137" s="1883"/>
    </row>
    <row r="138" spans="2:12" hidden="1" x14ac:dyDescent="0.2">
      <c r="C138" s="459">
        <f>BUDGET!BA138</f>
        <v>0</v>
      </c>
      <c r="D138" s="459" t="str">
        <f>BUDGET!BB138</f>
        <v>x</v>
      </c>
      <c r="E138" s="855">
        <f>BUDGET!A138</f>
        <v>0</v>
      </c>
      <c r="F138" s="857">
        <v>0</v>
      </c>
      <c r="G138" s="2915">
        <f>BUDGET!AZ138</f>
        <v>0</v>
      </c>
      <c r="H138" s="857"/>
      <c r="I138" s="1741"/>
      <c r="J138" s="1772"/>
      <c r="K138" s="857"/>
      <c r="L138" s="1889"/>
    </row>
    <row r="139" spans="2:12" hidden="1" x14ac:dyDescent="0.2">
      <c r="B139" s="459" t="s">
        <v>605</v>
      </c>
      <c r="C139" s="459">
        <f>BUDGET!BA139</f>
        <v>0</v>
      </c>
      <c r="D139" s="459">
        <f>BUDGET!BB139</f>
        <v>0</v>
      </c>
      <c r="E139" s="808" t="str">
        <f>BUDGET!A139</f>
        <v>INSPECTIONAL SERVICES</v>
      </c>
      <c r="F139" s="859">
        <v>0</v>
      </c>
      <c r="G139" s="2899">
        <v>0</v>
      </c>
      <c r="H139" s="859"/>
      <c r="I139" s="1178"/>
      <c r="J139" s="1773"/>
      <c r="K139" s="859"/>
      <c r="L139" s="1878"/>
    </row>
    <row r="140" spans="2:12" hidden="1" x14ac:dyDescent="0.2">
      <c r="B140" t="s">
        <v>605</v>
      </c>
      <c r="C140" s="459">
        <f>BUDGET!BA140</f>
        <v>0</v>
      </c>
      <c r="D140" s="459">
        <f>BUDGET!BB140</f>
        <v>0</v>
      </c>
      <c r="E140" s="808" t="str">
        <f>BUDGET!A140</f>
        <v xml:space="preserve">    SALARIES</v>
      </c>
      <c r="F140" s="843">
        <v>111968</v>
      </c>
      <c r="G140" s="2902">
        <f>BUDGET!AZ140</f>
        <v>0</v>
      </c>
      <c r="H140" s="843"/>
      <c r="I140" s="1178"/>
      <c r="J140" s="1770"/>
      <c r="K140" s="941"/>
      <c r="L140" s="2180"/>
    </row>
    <row r="141" spans="2:12" x14ac:dyDescent="0.2">
      <c r="B141" t="s">
        <v>605</v>
      </c>
      <c r="C141" s="459" t="str">
        <f>BUDGET!BA141</f>
        <v>yes</v>
      </c>
      <c r="D141" s="2943">
        <f>BUDGET!BB141</f>
        <v>44998</v>
      </c>
      <c r="E141" s="808" t="str">
        <f>BUDGET!A141</f>
        <v xml:space="preserve">   WAGES</v>
      </c>
      <c r="F141" s="843">
        <v>36660</v>
      </c>
      <c r="G141" s="2902">
        <f>BUDGET!AZ141</f>
        <v>7220</v>
      </c>
      <c r="H141" s="843"/>
      <c r="I141" s="2944"/>
      <c r="J141" s="1768">
        <f t="shared" ref="J141:J142" si="0">IF(C141="yes",G141,"")</f>
        <v>7220</v>
      </c>
      <c r="K141" s="817" t="s">
        <v>1101</v>
      </c>
      <c r="L141" s="2948">
        <f t="shared" ref="L141:L142" si="1">D141</f>
        <v>44998</v>
      </c>
    </row>
    <row r="142" spans="2:12" x14ac:dyDescent="0.2">
      <c r="B142" t="s">
        <v>605</v>
      </c>
      <c r="C142" s="459" t="str">
        <f>BUDGET!BA142</f>
        <v>yes</v>
      </c>
      <c r="D142" s="2943">
        <f>BUDGET!BB142</f>
        <v>44998</v>
      </c>
      <c r="E142" s="808" t="str">
        <f>BUDGET!A142</f>
        <v xml:space="preserve">   OTHER</v>
      </c>
      <c r="F142" s="1529">
        <v>13465</v>
      </c>
      <c r="G142" s="2902">
        <f>BUDGET!AZ142</f>
        <v>500</v>
      </c>
      <c r="H142" s="843"/>
      <c r="I142" s="2944"/>
      <c r="J142" s="1768">
        <f t="shared" si="0"/>
        <v>500</v>
      </c>
      <c r="K142" s="817" t="s">
        <v>1101</v>
      </c>
      <c r="L142" s="2948">
        <f t="shared" si="1"/>
        <v>44998</v>
      </c>
    </row>
    <row r="143" spans="2:12" hidden="1" x14ac:dyDescent="0.2">
      <c r="B143" t="s">
        <v>605</v>
      </c>
      <c r="C143" s="459">
        <f>BUDGET!BA143</f>
        <v>0</v>
      </c>
      <c r="D143" s="459">
        <f>BUDGET!BB143</f>
        <v>0</v>
      </c>
      <c r="E143" s="878" t="str">
        <f>BUDGET!A143</f>
        <v xml:space="preserve">   TOTAL</v>
      </c>
      <c r="F143" s="814">
        <v>162093</v>
      </c>
      <c r="G143" s="2903">
        <f>BUDGET!AZ143</f>
        <v>0</v>
      </c>
      <c r="H143" s="814"/>
      <c r="I143" s="2898">
        <v>44998</v>
      </c>
      <c r="J143" s="1771"/>
      <c r="K143" s="814"/>
      <c r="L143" s="1876"/>
    </row>
    <row r="144" spans="2:12" hidden="1" x14ac:dyDescent="0.2">
      <c r="C144" s="459">
        <f>BUDGET!BA144</f>
        <v>0</v>
      </c>
      <c r="D144" s="459">
        <f>BUDGET!BB144</f>
        <v>0</v>
      </c>
      <c r="E144" s="855"/>
      <c r="F144" s="991">
        <v>0</v>
      </c>
      <c r="G144" s="2916">
        <f>BUDGET!AZ144</f>
        <v>0</v>
      </c>
      <c r="H144" s="991"/>
      <c r="I144" s="988"/>
      <c r="J144" s="1782"/>
      <c r="K144" s="991"/>
      <c r="L144" s="1890"/>
    </row>
    <row r="145" spans="2:12" hidden="1" x14ac:dyDescent="0.2">
      <c r="B145" s="459" t="s">
        <v>505</v>
      </c>
      <c r="C145" s="459">
        <f>BUDGET!BA145</f>
        <v>0</v>
      </c>
      <c r="D145" s="459">
        <f>BUDGET!BB145</f>
        <v>0</v>
      </c>
      <c r="E145" s="808" t="str">
        <f>BUDGET!A145</f>
        <v>TREE DEPARTMENT</v>
      </c>
      <c r="F145" s="814">
        <v>0</v>
      </c>
      <c r="G145" s="2903">
        <f>BUDGET!AZ145</f>
        <v>0</v>
      </c>
      <c r="H145" s="814"/>
      <c r="I145" s="853"/>
      <c r="J145" s="1771"/>
      <c r="K145" s="814"/>
      <c r="L145" s="1876"/>
    </row>
    <row r="146" spans="2:12" hidden="1" x14ac:dyDescent="0.2">
      <c r="B146" t="s">
        <v>505</v>
      </c>
      <c r="C146" s="459">
        <f>BUDGET!BA146</f>
        <v>0</v>
      </c>
      <c r="D146" s="459">
        <f>BUDGET!BB146</f>
        <v>0</v>
      </c>
      <c r="E146" s="808" t="str">
        <f>BUDGET!A146</f>
        <v xml:space="preserve">   SALARIES</v>
      </c>
      <c r="F146" s="843">
        <v>3352</v>
      </c>
      <c r="G146" s="2902">
        <f>BUDGET!AZ146</f>
        <v>0</v>
      </c>
      <c r="H146" s="843"/>
      <c r="I146" s="1178"/>
      <c r="J146" s="1770"/>
      <c r="K146" s="843"/>
      <c r="L146" s="1875"/>
    </row>
    <row r="147" spans="2:12" hidden="1" x14ac:dyDescent="0.2">
      <c r="B147" t="s">
        <v>505</v>
      </c>
      <c r="C147" s="459">
        <f>BUDGET!BA147</f>
        <v>0</v>
      </c>
      <c r="D147" s="459">
        <f>BUDGET!BB147</f>
        <v>0</v>
      </c>
      <c r="E147" s="808" t="str">
        <f>BUDGET!A147</f>
        <v xml:space="preserve">   WAGES</v>
      </c>
      <c r="F147" s="843">
        <v>3530</v>
      </c>
      <c r="G147" s="2902">
        <f>BUDGET!AZ147</f>
        <v>0</v>
      </c>
      <c r="H147" s="843"/>
      <c r="I147" s="1178"/>
      <c r="J147" s="1770"/>
      <c r="K147" s="843"/>
      <c r="L147" s="1875"/>
    </row>
    <row r="148" spans="2:12" hidden="1" x14ac:dyDescent="0.2">
      <c r="B148" t="s">
        <v>505</v>
      </c>
      <c r="C148" s="459">
        <f>BUDGET!BA148</f>
        <v>0</v>
      </c>
      <c r="D148" s="459">
        <f>BUDGET!BB148</f>
        <v>0</v>
      </c>
      <c r="E148" s="808" t="str">
        <f>BUDGET!A148</f>
        <v xml:space="preserve">   OTHER</v>
      </c>
      <c r="F148" s="843">
        <v>8260</v>
      </c>
      <c r="G148" s="2902">
        <f>BUDGET!AZ148</f>
        <v>0</v>
      </c>
      <c r="H148" s="843"/>
      <c r="I148" s="1178"/>
      <c r="J148" s="1770"/>
      <c r="K148" s="843"/>
      <c r="L148" s="1875"/>
    </row>
    <row r="149" spans="2:12" hidden="1" x14ac:dyDescent="0.2">
      <c r="B149" t="s">
        <v>505</v>
      </c>
      <c r="C149" s="459">
        <f>BUDGET!BA149</f>
        <v>0</v>
      </c>
      <c r="D149" s="459">
        <f>BUDGET!BB149</f>
        <v>0</v>
      </c>
      <c r="E149" s="878" t="str">
        <f>BUDGET!A149</f>
        <v xml:space="preserve">   TOTAL</v>
      </c>
      <c r="F149" s="814">
        <v>15142</v>
      </c>
      <c r="G149" s="2903">
        <f>BUDGET!AZ149</f>
        <v>0</v>
      </c>
      <c r="H149" s="814"/>
      <c r="I149" s="2898">
        <v>44998</v>
      </c>
      <c r="J149" s="1771"/>
      <c r="K149" s="814"/>
      <c r="L149" s="1876"/>
    </row>
    <row r="150" spans="2:12" hidden="1" x14ac:dyDescent="0.2">
      <c r="C150" s="459">
        <f>BUDGET!BA150</f>
        <v>0</v>
      </c>
      <c r="D150" s="459">
        <f>BUDGET!BB150</f>
        <v>0</v>
      </c>
      <c r="E150" s="855"/>
      <c r="F150" s="856">
        <v>0</v>
      </c>
      <c r="G150" s="2904">
        <f>BUDGET!AZ150</f>
        <v>0</v>
      </c>
      <c r="H150" s="856"/>
      <c r="I150" s="1237"/>
      <c r="J150" s="1772"/>
      <c r="K150" s="856"/>
      <c r="L150" s="1877"/>
    </row>
    <row r="151" spans="2:12" hidden="1" x14ac:dyDescent="0.2">
      <c r="B151" s="459" t="s">
        <v>606</v>
      </c>
      <c r="C151" s="459">
        <f>BUDGET!BA151</f>
        <v>0</v>
      </c>
      <c r="D151" s="459">
        <f>BUDGET!BB151</f>
        <v>0</v>
      </c>
      <c r="E151" s="808" t="str">
        <f>BUDGET!A151</f>
        <v>SEALER WEIGHTS &amp; MEASURE:</v>
      </c>
      <c r="F151" s="859">
        <v>0</v>
      </c>
      <c r="G151" s="2899">
        <f>BUDGET!AZ151</f>
        <v>0</v>
      </c>
      <c r="H151" s="859"/>
      <c r="I151" s="1178"/>
      <c r="J151" s="1773"/>
      <c r="K151" s="859"/>
      <c r="L151" s="1878"/>
    </row>
    <row r="152" spans="2:12" hidden="1" x14ac:dyDescent="0.2">
      <c r="B152" t="s">
        <v>606</v>
      </c>
      <c r="C152" s="459">
        <f>BUDGET!BA152</f>
        <v>0</v>
      </c>
      <c r="D152" s="459">
        <f>BUDGET!BB152</f>
        <v>0</v>
      </c>
      <c r="E152" s="808" t="str">
        <f>BUDGET!A152</f>
        <v xml:space="preserve">   SALARY</v>
      </c>
      <c r="F152" s="843">
        <v>1726</v>
      </c>
      <c r="G152" s="2902">
        <f>BUDGET!AZ152</f>
        <v>0</v>
      </c>
      <c r="H152" s="843"/>
      <c r="I152" s="1178"/>
      <c r="J152" s="1770"/>
      <c r="K152" s="843"/>
      <c r="L152" s="1875"/>
    </row>
    <row r="153" spans="2:12" hidden="1" x14ac:dyDescent="0.2">
      <c r="B153" t="s">
        <v>606</v>
      </c>
      <c r="C153" s="459">
        <f>BUDGET!BA153</f>
        <v>0</v>
      </c>
      <c r="D153" s="459">
        <f>BUDGET!BB153</f>
        <v>0</v>
      </c>
      <c r="E153" s="808" t="str">
        <f>BUDGET!A153</f>
        <v xml:space="preserve">   OTHER</v>
      </c>
      <c r="F153" s="817">
        <v>0</v>
      </c>
      <c r="G153" s="2900">
        <f>BUDGET!AZ153</f>
        <v>0</v>
      </c>
      <c r="H153" s="817"/>
      <c r="I153" s="877"/>
      <c r="J153" s="1768"/>
      <c r="K153" s="817"/>
      <c r="L153" s="1873"/>
    </row>
    <row r="154" spans="2:12" hidden="1" x14ac:dyDescent="0.2">
      <c r="B154" t="s">
        <v>606</v>
      </c>
      <c r="C154" s="459">
        <f>BUDGET!BA154</f>
        <v>0</v>
      </c>
      <c r="D154" s="459">
        <f>BUDGET!BB154</f>
        <v>0</v>
      </c>
      <c r="E154" s="997" t="str">
        <f>BUDGET!A154</f>
        <v xml:space="preserve">   TOTAL</v>
      </c>
      <c r="F154" s="1166">
        <v>1726</v>
      </c>
      <c r="G154" s="2917">
        <f>BUDGET!AZ154</f>
        <v>0</v>
      </c>
      <c r="H154" s="1166"/>
      <c r="I154" s="2898">
        <v>44998</v>
      </c>
      <c r="J154" s="1783"/>
      <c r="K154" s="1166"/>
      <c r="L154" s="1891"/>
    </row>
    <row r="155" spans="2:12" hidden="1" x14ac:dyDescent="0.2">
      <c r="C155" s="459">
        <f>BUDGET!BA155</f>
        <v>0</v>
      </c>
      <c r="D155" s="459">
        <f>BUDGET!BB155</f>
        <v>0</v>
      </c>
      <c r="E155" s="855"/>
      <c r="F155" s="857">
        <v>0</v>
      </c>
      <c r="G155" s="2915">
        <f>BUDGET!AZ155</f>
        <v>0</v>
      </c>
      <c r="H155" s="857"/>
      <c r="I155" s="1741"/>
      <c r="J155" s="1772"/>
      <c r="K155" s="857"/>
      <c r="L155" s="1889"/>
    </row>
    <row r="156" spans="2:12" hidden="1" x14ac:dyDescent="0.2">
      <c r="B156" s="459" t="s">
        <v>607</v>
      </c>
      <c r="C156" s="459">
        <f>BUDGET!BA156</f>
        <v>0</v>
      </c>
      <c r="D156" s="459">
        <f>BUDGET!BB156</f>
        <v>0</v>
      </c>
      <c r="E156" s="808" t="str">
        <f>BUDGET!A156</f>
        <v>ANIMAL CONTROL OFFICER</v>
      </c>
      <c r="F156" s="859">
        <v>0</v>
      </c>
      <c r="G156" s="2899">
        <f>BUDGET!AZ156</f>
        <v>0</v>
      </c>
      <c r="H156" s="859"/>
      <c r="I156" s="1178"/>
      <c r="J156" s="1773"/>
      <c r="K156" s="859"/>
      <c r="L156" s="1878"/>
    </row>
    <row r="157" spans="2:12" hidden="1" x14ac:dyDescent="0.2">
      <c r="B157" t="s">
        <v>607</v>
      </c>
      <c r="C157" s="459">
        <f>BUDGET!BA157</f>
        <v>0</v>
      </c>
      <c r="D157" s="459">
        <f>BUDGET!BB157</f>
        <v>0</v>
      </c>
      <c r="E157" s="808" t="str">
        <f>BUDGET!A157</f>
        <v xml:space="preserve">   SALARY</v>
      </c>
      <c r="F157" s="843">
        <v>7750</v>
      </c>
      <c r="G157" s="2902">
        <f>BUDGET!AZ157</f>
        <v>0</v>
      </c>
      <c r="H157" s="843"/>
      <c r="I157" s="1178"/>
      <c r="J157" s="1770"/>
      <c r="K157" s="843"/>
      <c r="L157" s="1875"/>
    </row>
    <row r="158" spans="2:12" hidden="1" x14ac:dyDescent="0.2">
      <c r="B158" t="s">
        <v>607</v>
      </c>
      <c r="C158" s="459">
        <f>BUDGET!BA158</f>
        <v>0</v>
      </c>
      <c r="D158" s="459">
        <f>BUDGET!BB158</f>
        <v>0</v>
      </c>
      <c r="E158" s="808" t="str">
        <f>BUDGET!A158</f>
        <v xml:space="preserve">   OTHER</v>
      </c>
      <c r="F158" s="843">
        <v>571</v>
      </c>
      <c r="G158" s="2902">
        <f>BUDGET!AZ158</f>
        <v>0</v>
      </c>
      <c r="H158" s="843"/>
      <c r="I158" s="1178"/>
      <c r="J158" s="1770"/>
      <c r="K158" s="843"/>
      <c r="L158" s="1875"/>
    </row>
    <row r="159" spans="2:12" hidden="1" x14ac:dyDescent="0.2">
      <c r="B159" t="s">
        <v>607</v>
      </c>
      <c r="C159" s="459">
        <f>BUDGET!BA159</f>
        <v>0</v>
      </c>
      <c r="D159" s="459">
        <f>BUDGET!BB159</f>
        <v>0</v>
      </c>
      <c r="E159" s="878" t="str">
        <f>BUDGET!A159</f>
        <v xml:space="preserve">   TOTAL</v>
      </c>
      <c r="F159" s="814">
        <v>8321</v>
      </c>
      <c r="G159" s="2903">
        <f>BUDGET!AZ159</f>
        <v>0</v>
      </c>
      <c r="H159" s="814"/>
      <c r="I159" s="2898">
        <v>44998</v>
      </c>
      <c r="J159" s="1771"/>
      <c r="K159" s="814"/>
      <c r="L159" s="1876"/>
    </row>
    <row r="160" spans="2:12" hidden="1" x14ac:dyDescent="0.2">
      <c r="C160" s="459">
        <f>BUDGET!BA160</f>
        <v>0</v>
      </c>
      <c r="D160" s="459">
        <f>BUDGET!BB160</f>
        <v>0</v>
      </c>
      <c r="E160" s="855"/>
      <c r="F160" s="857">
        <v>0</v>
      </c>
      <c r="G160" s="2915">
        <f>BUDGET!AZ160</f>
        <v>0</v>
      </c>
      <c r="H160" s="857"/>
      <c r="I160" s="1741"/>
      <c r="J160" s="1772"/>
      <c r="K160" s="857"/>
      <c r="L160" s="1889"/>
    </row>
    <row r="161" spans="2:12" hidden="1" x14ac:dyDescent="0.2">
      <c r="B161" s="459" t="s">
        <v>608</v>
      </c>
      <c r="C161" s="459">
        <f>BUDGET!BA161</f>
        <v>0</v>
      </c>
      <c r="D161" s="459">
        <f>BUDGET!BB161</f>
        <v>0</v>
      </c>
      <c r="E161" s="808" t="str">
        <f>BUDGET!A161</f>
        <v>ANIMAL INSPECTOR</v>
      </c>
      <c r="F161" s="859">
        <v>0</v>
      </c>
      <c r="G161" s="2899">
        <f>BUDGET!AZ161</f>
        <v>0</v>
      </c>
      <c r="H161" s="859"/>
      <c r="I161" s="1178"/>
      <c r="J161" s="1773"/>
      <c r="K161" s="859"/>
      <c r="L161" s="1878"/>
    </row>
    <row r="162" spans="2:12" hidden="1" x14ac:dyDescent="0.2">
      <c r="B162" t="s">
        <v>608</v>
      </c>
      <c r="C162" s="459">
        <f>BUDGET!BA162</f>
        <v>0</v>
      </c>
      <c r="D162" s="459">
        <f>BUDGET!BB162</f>
        <v>0</v>
      </c>
      <c r="E162" s="808" t="str">
        <f>BUDGET!A162</f>
        <v xml:space="preserve">   SALARY</v>
      </c>
      <c r="F162" s="843">
        <v>7750</v>
      </c>
      <c r="G162" s="2902">
        <f>BUDGET!AZ162</f>
        <v>0</v>
      </c>
      <c r="H162" s="843"/>
      <c r="I162" s="1178"/>
      <c r="J162" s="1770"/>
      <c r="K162" s="843"/>
      <c r="L162" s="1875"/>
    </row>
    <row r="163" spans="2:12" hidden="1" x14ac:dyDescent="0.2">
      <c r="B163" t="s">
        <v>608</v>
      </c>
      <c r="C163" s="459">
        <f>BUDGET!BA163</f>
        <v>0</v>
      </c>
      <c r="D163" s="459">
        <f>BUDGET!BB163</f>
        <v>0</v>
      </c>
      <c r="E163" s="808" t="str">
        <f>BUDGET!A163</f>
        <v xml:space="preserve">   OTHER</v>
      </c>
      <c r="F163" s="843">
        <v>1840</v>
      </c>
      <c r="G163" s="2902">
        <f>BUDGET!AZ163</f>
        <v>0</v>
      </c>
      <c r="H163" s="843"/>
      <c r="I163" s="1178"/>
      <c r="J163" s="1770"/>
      <c r="K163" s="843"/>
      <c r="L163" s="1875"/>
    </row>
    <row r="164" spans="2:12" hidden="1" x14ac:dyDescent="0.2">
      <c r="B164" t="s">
        <v>608</v>
      </c>
      <c r="C164" s="459">
        <f>BUDGET!BA164</f>
        <v>0</v>
      </c>
      <c r="D164" s="459">
        <f>BUDGET!BB164</f>
        <v>0</v>
      </c>
      <c r="E164" s="795" t="str">
        <f>BUDGET!A164</f>
        <v xml:space="preserve">   TOTAL</v>
      </c>
      <c r="F164" s="814">
        <v>9590</v>
      </c>
      <c r="G164" s="2903">
        <f>BUDGET!AZ164</f>
        <v>0</v>
      </c>
      <c r="H164" s="814"/>
      <c r="I164" s="2898">
        <v>44998</v>
      </c>
      <c r="J164" s="1771"/>
      <c r="K164" s="814"/>
      <c r="L164" s="1876"/>
    </row>
    <row r="165" spans="2:12" hidden="1" x14ac:dyDescent="0.2">
      <c r="C165" s="459">
        <f>BUDGET!BA165</f>
        <v>0</v>
      </c>
      <c r="D165" s="459">
        <f>BUDGET!BB165</f>
        <v>0</v>
      </c>
      <c r="E165" s="855"/>
      <c r="F165" s="856">
        <v>0</v>
      </c>
      <c r="G165" s="2904">
        <f>BUDGET!AZ165</f>
        <v>0</v>
      </c>
      <c r="H165" s="856"/>
      <c r="I165" s="1237"/>
      <c r="J165" s="1772"/>
      <c r="K165" s="856"/>
      <c r="L165" s="1877"/>
    </row>
    <row r="166" spans="2:12" hidden="1" x14ac:dyDescent="0.2">
      <c r="C166" s="459">
        <f>BUDGET!BA166</f>
        <v>0</v>
      </c>
      <c r="D166" s="459">
        <f>BUDGET!BB166</f>
        <v>0</v>
      </c>
      <c r="E166" s="795" t="str">
        <f>BUDGET!A166</f>
        <v>PUBLIC SAFETY:  SUB-TOTAL</v>
      </c>
      <c r="F166" s="859">
        <v>0</v>
      </c>
      <c r="G166" s="2899">
        <f>BUDGET!AZ166</f>
        <v>0</v>
      </c>
      <c r="H166" s="859"/>
      <c r="I166" s="1178"/>
      <c r="J166" s="1773"/>
      <c r="K166" s="859"/>
      <c r="L166" s="1878"/>
    </row>
    <row r="167" spans="2:12" hidden="1" x14ac:dyDescent="0.2">
      <c r="C167" s="459">
        <f>BUDGET!BA167</f>
        <v>0</v>
      </c>
      <c r="D167" s="459">
        <f>BUDGET!BB167</f>
        <v>0</v>
      </c>
      <c r="E167" s="878" t="str">
        <f>BUDGET!A167</f>
        <v xml:space="preserve">   SALARIES</v>
      </c>
      <c r="F167" s="919">
        <v>512283</v>
      </c>
      <c r="G167" s="2912">
        <f>BUDGET!AZ167</f>
        <v>0</v>
      </c>
      <c r="H167" s="919"/>
      <c r="I167" s="2171"/>
      <c r="J167" s="1784"/>
      <c r="K167" s="919"/>
      <c r="L167" s="1892"/>
    </row>
    <row r="168" spans="2:12" hidden="1" x14ac:dyDescent="0.2">
      <c r="C168" s="459">
        <f>BUDGET!BA168</f>
        <v>0</v>
      </c>
      <c r="D168" s="459">
        <f>BUDGET!BB168</f>
        <v>0</v>
      </c>
      <c r="E168" s="878" t="str">
        <f>BUDGET!A168</f>
        <v xml:space="preserve">   WAGES</v>
      </c>
      <c r="F168" s="919">
        <v>2257856</v>
      </c>
      <c r="G168" s="2912">
        <f>BUDGET!AZ168</f>
        <v>0</v>
      </c>
      <c r="H168" s="919"/>
      <c r="I168" s="2171"/>
      <c r="J168" s="1784"/>
      <c r="K168" s="919"/>
      <c r="L168" s="1892"/>
    </row>
    <row r="169" spans="2:12" hidden="1" x14ac:dyDescent="0.2">
      <c r="C169" s="459">
        <f>BUDGET!BA169</f>
        <v>0</v>
      </c>
      <c r="D169" s="459">
        <f>BUDGET!BB169</f>
        <v>0</v>
      </c>
      <c r="E169" s="878" t="str">
        <f>BUDGET!A169</f>
        <v xml:space="preserve">   OTHER</v>
      </c>
      <c r="F169" s="919">
        <v>305598</v>
      </c>
      <c r="G169" s="2912">
        <f>BUDGET!AZ169</f>
        <v>0</v>
      </c>
      <c r="H169" s="919"/>
      <c r="I169" s="2171"/>
      <c r="J169" s="1784"/>
      <c r="K169" s="919"/>
      <c r="L169" s="1892"/>
    </row>
    <row r="170" spans="2:12" ht="13.5" hidden="1" thickBot="1" x14ac:dyDescent="0.25">
      <c r="C170" s="459">
        <f>BUDGET!BA170</f>
        <v>0</v>
      </c>
      <c r="D170" s="459">
        <f>BUDGET!BB170</f>
        <v>0</v>
      </c>
      <c r="E170" s="946" t="str">
        <f>BUDGET!A170</f>
        <v>PUBLIC SAFETY:  SUB-TOTAL</v>
      </c>
      <c r="F170" s="1004">
        <v>3075737</v>
      </c>
      <c r="G170" s="2918">
        <f>BUDGET!AZ170</f>
        <v>0</v>
      </c>
      <c r="H170" s="1004"/>
      <c r="I170" s="2172"/>
      <c r="J170" s="1785"/>
      <c r="K170" s="1004"/>
      <c r="L170" s="1893"/>
    </row>
    <row r="171" spans="2:12" hidden="1" x14ac:dyDescent="0.2">
      <c r="C171" s="459">
        <f>BUDGET!BA171</f>
        <v>0</v>
      </c>
      <c r="D171" s="459">
        <f>BUDGET!BB171</f>
        <v>0</v>
      </c>
      <c r="E171" s="855"/>
      <c r="F171" s="859">
        <v>0</v>
      </c>
      <c r="G171" s="2899">
        <f>BUDGET!AZ171</f>
        <v>0</v>
      </c>
      <c r="H171" s="859"/>
      <c r="I171" s="1178"/>
      <c r="J171" s="1773"/>
      <c r="K171" s="859"/>
      <c r="L171" s="1878"/>
    </row>
    <row r="172" spans="2:12" hidden="1" x14ac:dyDescent="0.2">
      <c r="C172" s="459">
        <f>BUDGET!BA172</f>
        <v>0</v>
      </c>
      <c r="D172" s="459">
        <f>BUDGET!BB172</f>
        <v>0</v>
      </c>
      <c r="E172" s="795" t="str">
        <f>BUDGET!A172</f>
        <v>EDUCATION:   ELEMENTARY SCHS</v>
      </c>
      <c r="F172" s="817">
        <v>0</v>
      </c>
      <c r="G172" s="2900">
        <f>BUDGET!AZ172</f>
        <v>0</v>
      </c>
      <c r="H172" s="817"/>
      <c r="I172" s="877"/>
      <c r="J172" s="1768"/>
      <c r="K172" s="817"/>
      <c r="L172" s="1873"/>
    </row>
    <row r="173" spans="2:12" hidden="1" x14ac:dyDescent="0.2">
      <c r="C173" s="459">
        <f>BUDGET!BA173</f>
        <v>0</v>
      </c>
      <c r="D173" s="459">
        <f>BUDGET!BB173</f>
        <v>0</v>
      </c>
      <c r="E173" s="808" t="str">
        <f>BUDGET!A173</f>
        <v xml:space="preserve">  .GENERAL ADMINISTRATION</v>
      </c>
      <c r="F173" s="817">
        <v>0</v>
      </c>
      <c r="G173" s="2900">
        <f>BUDGET!AZ173</f>
        <v>0</v>
      </c>
      <c r="H173" s="817"/>
      <c r="I173" s="877"/>
      <c r="J173" s="1768"/>
      <c r="K173" s="817"/>
      <c r="L173" s="1873"/>
    </row>
    <row r="174" spans="2:12" hidden="1" x14ac:dyDescent="0.2">
      <c r="C174" s="459">
        <f>BUDGET!BA174</f>
        <v>0</v>
      </c>
      <c r="D174" s="459">
        <f>BUDGET!BB174</f>
        <v>0</v>
      </c>
      <c r="E174" s="808" t="str">
        <f>BUDGET!A174</f>
        <v xml:space="preserve">  .INSTRUCTIONAL SALARIES</v>
      </c>
      <c r="F174" s="817">
        <v>0</v>
      </c>
      <c r="G174" s="2900">
        <f>BUDGET!AZ174</f>
        <v>0</v>
      </c>
      <c r="H174" s="817"/>
      <c r="I174" s="877"/>
      <c r="J174" s="1768"/>
      <c r="K174" s="817"/>
      <c r="L174" s="1873"/>
    </row>
    <row r="175" spans="2:12" hidden="1" x14ac:dyDescent="0.2">
      <c r="C175" s="459">
        <f>BUDGET!BA175</f>
        <v>0</v>
      </c>
      <c r="D175" s="459">
        <f>BUDGET!BB175</f>
        <v>0</v>
      </c>
      <c r="E175" s="808" t="str">
        <f>BUDGET!A175</f>
        <v xml:space="preserve">  .INSTRUCTIONAL MATERIALS</v>
      </c>
      <c r="F175" s="817">
        <v>0</v>
      </c>
      <c r="G175" s="2900">
        <f>BUDGET!AZ175</f>
        <v>0</v>
      </c>
      <c r="H175" s="817"/>
      <c r="I175" s="877"/>
      <c r="J175" s="1768"/>
      <c r="K175" s="817"/>
      <c r="L175" s="1873"/>
    </row>
    <row r="176" spans="2:12" ht="14.25" hidden="1" x14ac:dyDescent="0.2">
      <c r="C176" s="459">
        <f>BUDGET!BA176</f>
        <v>0</v>
      </c>
      <c r="D176" s="459">
        <f>BUDGET!BB176</f>
        <v>0</v>
      </c>
      <c r="E176" s="808" t="str">
        <f>BUDGET!A176</f>
        <v xml:space="preserve"> ADMIN. EXPENDITURES</v>
      </c>
      <c r="F176" s="814">
        <v>0</v>
      </c>
      <c r="G176" s="2900">
        <f>BUDGET!AZ176</f>
        <v>0</v>
      </c>
      <c r="H176" s="2187"/>
      <c r="I176" s="2188"/>
      <c r="J176" s="1771"/>
      <c r="K176" s="814"/>
      <c r="L176" s="1876"/>
    </row>
    <row r="177" spans="2:12" hidden="1" x14ac:dyDescent="0.2">
      <c r="C177" s="459">
        <f>BUDGET!BA177</f>
        <v>0</v>
      </c>
      <c r="D177" s="459">
        <f>BUDGET!BB177</f>
        <v>0</v>
      </c>
      <c r="E177" s="1501" t="str">
        <f>BUDGET!A177</f>
        <v xml:space="preserve"> .TRANSPORTATION REGULAR</v>
      </c>
      <c r="F177" s="814">
        <v>0</v>
      </c>
      <c r="G177" s="2903">
        <f>BUDGET!AZ177</f>
        <v>0</v>
      </c>
      <c r="H177" s="814"/>
      <c r="I177" s="853"/>
      <c r="J177" s="1771"/>
      <c r="K177" s="814"/>
      <c r="L177" s="1876"/>
    </row>
    <row r="178" spans="2:12" hidden="1" x14ac:dyDescent="0.2">
      <c r="C178" s="459">
        <f>BUDGET!BA178</f>
        <v>0</v>
      </c>
      <c r="D178" s="459">
        <f>BUDGET!BB178</f>
        <v>0</v>
      </c>
      <c r="E178" s="808" t="str">
        <f>BUDGET!A178</f>
        <v xml:space="preserve">  .FUEL AND POWER</v>
      </c>
      <c r="F178" s="814">
        <v>0</v>
      </c>
      <c r="G178" s="2903">
        <f>BUDGET!AZ178</f>
        <v>0</v>
      </c>
      <c r="H178" s="814"/>
      <c r="I178" s="853"/>
      <c r="J178" s="1771"/>
      <c r="K178" s="814"/>
      <c r="L178" s="1876"/>
    </row>
    <row r="179" spans="2:12" hidden="1" x14ac:dyDescent="0.2">
      <c r="C179" s="459">
        <f>BUDGET!BA179</f>
        <v>0</v>
      </c>
      <c r="D179" s="459">
        <f>BUDGET!BB179</f>
        <v>0</v>
      </c>
      <c r="E179" s="808" t="str">
        <f>BUDGET!A179</f>
        <v xml:space="preserve">  .BLDG OPER. &amp; MAINTENANCE</v>
      </c>
      <c r="F179" s="814">
        <v>0</v>
      </c>
      <c r="G179" s="2903">
        <f>BUDGET!AZ179</f>
        <v>0</v>
      </c>
      <c r="H179" s="814"/>
      <c r="I179" s="853"/>
      <c r="J179" s="1771"/>
      <c r="K179" s="814"/>
      <c r="L179" s="1876"/>
    </row>
    <row r="180" spans="2:12" hidden="1" x14ac:dyDescent="0.2">
      <c r="C180" s="459">
        <f>BUDGET!BA180</f>
        <v>0</v>
      </c>
      <c r="D180" s="459">
        <f>BUDGET!BB180</f>
        <v>0</v>
      </c>
      <c r="E180" s="808" t="str">
        <f>BUDGET!A180</f>
        <v xml:space="preserve">  .SPECIAL NEEDS</v>
      </c>
      <c r="F180" s="814">
        <v>0</v>
      </c>
      <c r="G180" s="2903">
        <f>BUDGET!AZ180</f>
        <v>0</v>
      </c>
      <c r="H180" s="814"/>
      <c r="I180" s="853"/>
      <c r="J180" s="1771"/>
      <c r="K180" s="814"/>
      <c r="L180" s="1876"/>
    </row>
    <row r="181" spans="2:12" hidden="1" x14ac:dyDescent="0.2">
      <c r="C181" s="459">
        <f>BUDGET!BA181</f>
        <v>0</v>
      </c>
      <c r="D181" s="459">
        <f>BUDGET!BB181</f>
        <v>0</v>
      </c>
      <c r="E181" s="808" t="str">
        <f>BUDGET!A181</f>
        <v xml:space="preserve"> CONTRACT SERVICES</v>
      </c>
      <c r="F181" s="814">
        <v>0</v>
      </c>
      <c r="G181" s="2903">
        <f>BUDGET!AZ181</f>
        <v>0</v>
      </c>
      <c r="H181" s="814"/>
      <c r="I181" s="853"/>
      <c r="J181" s="1771"/>
      <c r="K181" s="814"/>
      <c r="L181" s="1876"/>
    </row>
    <row r="182" spans="2:12" hidden="1" x14ac:dyDescent="0.2">
      <c r="C182" s="459">
        <f>BUDGET!BA182</f>
        <v>0</v>
      </c>
      <c r="D182" s="459">
        <f>BUDGET!BB182</f>
        <v>0</v>
      </c>
      <c r="E182" s="855"/>
      <c r="F182" s="859">
        <v>0</v>
      </c>
      <c r="G182" s="2899">
        <f>BUDGET!AZ182</f>
        <v>0</v>
      </c>
      <c r="H182" s="859"/>
      <c r="I182" s="1178"/>
      <c r="J182" s="1773"/>
      <c r="K182" s="859"/>
      <c r="L182" s="1878"/>
    </row>
    <row r="183" spans="2:12" ht="13.5" thickBot="1" x14ac:dyDescent="0.25">
      <c r="B183" t="s">
        <v>1093</v>
      </c>
      <c r="C183" s="459" t="str">
        <f>BUDGET!BA183</f>
        <v>no</v>
      </c>
      <c r="D183" s="2943"/>
      <c r="E183" s="1018" t="str">
        <f>BUDGET!A183</f>
        <v>ELEM. SCHOOLS: SUB-TOTAL</v>
      </c>
      <c r="F183" s="1028">
        <v>9979342</v>
      </c>
      <c r="G183" s="2919">
        <f>BUDGET!AZ183</f>
        <v>1170896</v>
      </c>
      <c r="H183" s="1028"/>
      <c r="I183" s="2951">
        <v>44998</v>
      </c>
      <c r="J183" s="1028"/>
      <c r="K183" s="1028"/>
      <c r="L183" s="2949"/>
    </row>
    <row r="184" spans="2:12" ht="13.5" hidden="1" thickTop="1" x14ac:dyDescent="0.2">
      <c r="B184" s="459" t="s">
        <v>370</v>
      </c>
      <c r="C184" s="459">
        <f>BUDGET!BA184</f>
        <v>0</v>
      </c>
      <c r="D184" s="459">
        <f>BUDGET!BB184</f>
        <v>0</v>
      </c>
      <c r="E184" s="795" t="str">
        <f>BUDGET!A184</f>
        <v>PUBLIC WORKS &amp; FACILITIES</v>
      </c>
      <c r="F184" s="1730">
        <v>0</v>
      </c>
      <c r="G184" s="2920">
        <f>BUDGET!AZ184</f>
        <v>0</v>
      </c>
      <c r="H184" s="1730"/>
      <c r="I184" s="1746"/>
      <c r="J184" s="1787"/>
      <c r="K184" s="1730"/>
      <c r="L184" s="1895"/>
    </row>
    <row r="185" spans="2:12" ht="13.5" hidden="1" thickTop="1" x14ac:dyDescent="0.2">
      <c r="B185" t="s">
        <v>370</v>
      </c>
      <c r="C185" s="459">
        <f>BUDGET!BA185</f>
        <v>0</v>
      </c>
      <c r="D185" s="459" t="str">
        <f>BUDGET!BB185</f>
        <v>x</v>
      </c>
      <c r="E185" s="808" t="str">
        <f>BUDGET!A185</f>
        <v>TOWN ENGINEER</v>
      </c>
      <c r="F185" s="859">
        <v>0</v>
      </c>
      <c r="G185" s="2899">
        <f>BUDGET!AZ185</f>
        <v>0</v>
      </c>
      <c r="H185" s="859"/>
      <c r="I185" s="1178"/>
      <c r="J185" s="1773"/>
      <c r="K185" s="859"/>
      <c r="L185" s="1878"/>
    </row>
    <row r="186" spans="2:12" ht="13.5" hidden="1" thickTop="1" x14ac:dyDescent="0.2">
      <c r="B186" t="s">
        <v>370</v>
      </c>
      <c r="C186" s="459">
        <f>BUDGET!BA186</f>
        <v>0</v>
      </c>
      <c r="D186" s="459" t="str">
        <f>BUDGET!BB186</f>
        <v>x</v>
      </c>
      <c r="E186" s="808" t="str">
        <f>BUDGET!A186</f>
        <v xml:space="preserve">   SALARY</v>
      </c>
      <c r="F186" s="817">
        <v>0</v>
      </c>
      <c r="G186" s="2900">
        <f>BUDGET!AZ186</f>
        <v>0</v>
      </c>
      <c r="H186" s="817"/>
      <c r="I186" s="877"/>
      <c r="J186" s="1768"/>
      <c r="K186" s="817"/>
      <c r="L186" s="1873"/>
    </row>
    <row r="187" spans="2:12" ht="13.5" hidden="1" thickTop="1" x14ac:dyDescent="0.2">
      <c r="B187" t="s">
        <v>370</v>
      </c>
      <c r="C187" s="459">
        <f>BUDGET!BA187</f>
        <v>0</v>
      </c>
      <c r="D187" s="459" t="str">
        <f>BUDGET!BB187</f>
        <v>x</v>
      </c>
      <c r="E187" s="808" t="str">
        <f>BUDGET!A187</f>
        <v xml:space="preserve">   WAGES</v>
      </c>
      <c r="F187" s="817">
        <v>0</v>
      </c>
      <c r="G187" s="2900">
        <f>BUDGET!AZ187</f>
        <v>0</v>
      </c>
      <c r="H187" s="817"/>
      <c r="I187" s="877"/>
      <c r="J187" s="1768"/>
      <c r="K187" s="817"/>
      <c r="L187" s="1873"/>
    </row>
    <row r="188" spans="2:12" ht="13.5" hidden="1" thickTop="1" x14ac:dyDescent="0.2">
      <c r="B188" t="s">
        <v>370</v>
      </c>
      <c r="C188" s="459">
        <f>BUDGET!BA188</f>
        <v>0</v>
      </c>
      <c r="D188" s="459" t="str">
        <f>BUDGET!BB188</f>
        <v>x</v>
      </c>
      <c r="E188" s="808" t="str">
        <f>BUDGET!A188</f>
        <v xml:space="preserve">   OTHER</v>
      </c>
      <c r="F188" s="817">
        <v>0</v>
      </c>
      <c r="G188" s="2900">
        <f>BUDGET!AZ188</f>
        <v>0</v>
      </c>
      <c r="H188" s="817"/>
      <c r="I188" s="877"/>
      <c r="J188" s="1768"/>
      <c r="K188" s="817"/>
      <c r="L188" s="1873"/>
    </row>
    <row r="189" spans="2:12" ht="13.5" hidden="1" thickTop="1" x14ac:dyDescent="0.2">
      <c r="B189" t="s">
        <v>370</v>
      </c>
      <c r="C189" s="459">
        <f>BUDGET!BA189</f>
        <v>0</v>
      </c>
      <c r="D189" s="459" t="str">
        <f>BUDGET!BB189</f>
        <v>x</v>
      </c>
      <c r="E189" s="878" t="str">
        <f>BUDGET!A189</f>
        <v xml:space="preserve">   TOTAL</v>
      </c>
      <c r="F189" s="814">
        <v>0</v>
      </c>
      <c r="G189" s="2903">
        <f>BUDGET!AZ189</f>
        <v>0</v>
      </c>
      <c r="H189" s="814"/>
      <c r="I189" s="853"/>
      <c r="J189" s="1771"/>
      <c r="K189" s="814"/>
      <c r="L189" s="1876"/>
    </row>
    <row r="190" spans="2:12" ht="13.5" hidden="1" thickTop="1" x14ac:dyDescent="0.2">
      <c r="C190" s="459">
        <f>BUDGET!BA190</f>
        <v>0</v>
      </c>
      <c r="D190" s="459" t="str">
        <f>BUDGET!BB190</f>
        <v>x</v>
      </c>
      <c r="E190" s="978">
        <f>BUDGET!A190</f>
        <v>0</v>
      </c>
      <c r="F190" s="991">
        <v>0</v>
      </c>
      <c r="G190" s="2916">
        <f>BUDGET!AZ190</f>
        <v>0</v>
      </c>
      <c r="H190" s="991"/>
      <c r="I190" s="988"/>
      <c r="J190" s="1782"/>
      <c r="K190" s="991"/>
      <c r="L190" s="1890"/>
    </row>
    <row r="191" spans="2:12" ht="13.5" hidden="1" thickTop="1" x14ac:dyDescent="0.2">
      <c r="B191" s="459" t="s">
        <v>883</v>
      </c>
      <c r="C191" s="459">
        <f>BUDGET!BA191</f>
        <v>0</v>
      </c>
      <c r="D191" s="459">
        <f>BUDGET!BB191</f>
        <v>0</v>
      </c>
      <c r="E191" s="997" t="str">
        <f>BUDGET!A191</f>
        <v xml:space="preserve">STORM WATER </v>
      </c>
      <c r="F191" s="814">
        <v>0</v>
      </c>
      <c r="G191" s="2903">
        <f>BUDGET!AZ191</f>
        <v>0</v>
      </c>
      <c r="H191" s="814"/>
      <c r="I191" s="853"/>
      <c r="J191" s="1771"/>
      <c r="K191" s="814"/>
      <c r="L191" s="1876"/>
    </row>
    <row r="192" spans="2:12" ht="13.5" hidden="1" thickTop="1" x14ac:dyDescent="0.2">
      <c r="B192" t="s">
        <v>883</v>
      </c>
      <c r="C192" s="459">
        <f>BUDGET!BA192</f>
        <v>0</v>
      </c>
      <c r="D192" s="459">
        <f>BUDGET!BB192</f>
        <v>0</v>
      </c>
      <c r="E192" s="808" t="str">
        <f>BUDGET!A192</f>
        <v xml:space="preserve">   SALARY</v>
      </c>
      <c r="F192" s="814">
        <v>0</v>
      </c>
      <c r="G192" s="2903">
        <f>BUDGET!AZ192</f>
        <v>0</v>
      </c>
      <c r="H192" s="814"/>
      <c r="I192" s="853"/>
      <c r="J192" s="1771"/>
      <c r="K192" s="814"/>
      <c r="L192" s="1876"/>
    </row>
    <row r="193" spans="2:12" ht="13.5" hidden="1" thickTop="1" x14ac:dyDescent="0.2">
      <c r="B193" t="s">
        <v>883</v>
      </c>
      <c r="C193" s="459">
        <f>BUDGET!BA193</f>
        <v>0</v>
      </c>
      <c r="D193" s="459">
        <f>BUDGET!BB193</f>
        <v>0</v>
      </c>
      <c r="E193" s="808" t="str">
        <f>BUDGET!A193</f>
        <v xml:space="preserve">   WAGES</v>
      </c>
      <c r="F193" s="843">
        <v>5413</v>
      </c>
      <c r="G193" s="2902">
        <f>BUDGET!AZ193</f>
        <v>0</v>
      </c>
      <c r="H193" s="843"/>
      <c r="I193" s="1178"/>
      <c r="J193" s="1770"/>
      <c r="K193" s="843"/>
      <c r="L193" s="1875"/>
    </row>
    <row r="194" spans="2:12" ht="13.5" thickTop="1" x14ac:dyDescent="0.2">
      <c r="B194" t="s">
        <v>883</v>
      </c>
      <c r="C194" s="459" t="str">
        <f>BUDGET!BA194</f>
        <v>yes</v>
      </c>
      <c r="D194" s="2943">
        <f>BUDGET!BB194</f>
        <v>44998</v>
      </c>
      <c r="E194" s="808" t="str">
        <f>BUDGET!A194</f>
        <v xml:space="preserve">   OTHER</v>
      </c>
      <c r="F194" s="843">
        <v>10000</v>
      </c>
      <c r="G194" s="2902">
        <f>BUDGET!AZ194</f>
        <v>15000</v>
      </c>
      <c r="H194" s="843"/>
      <c r="I194" s="2944"/>
      <c r="J194" s="1768">
        <f t="shared" ref="J194" si="2">IF(C194="yes",G194,"")</f>
        <v>15000</v>
      </c>
      <c r="K194" s="859" t="s">
        <v>1101</v>
      </c>
      <c r="L194" s="2948">
        <f>D194</f>
        <v>44998</v>
      </c>
    </row>
    <row r="195" spans="2:12" hidden="1" x14ac:dyDescent="0.2">
      <c r="B195" t="s">
        <v>883</v>
      </c>
      <c r="C195" s="459">
        <f>BUDGET!BA195</f>
        <v>0</v>
      </c>
      <c r="D195" s="459" t="str">
        <f>BUDGET!BB195</f>
        <v>examine</v>
      </c>
      <c r="E195" s="878" t="str">
        <f>BUDGET!A195</f>
        <v xml:space="preserve">   TOTAL</v>
      </c>
      <c r="F195" s="814">
        <v>15413</v>
      </c>
      <c r="G195" s="2903">
        <f>BUDGET!AZ195</f>
        <v>0</v>
      </c>
      <c r="H195" s="814"/>
      <c r="I195" s="2898">
        <v>44998</v>
      </c>
      <c r="J195" s="1771"/>
      <c r="K195" s="814"/>
      <c r="L195" s="1876"/>
    </row>
    <row r="196" spans="2:12" hidden="1" x14ac:dyDescent="0.2">
      <c r="C196" s="459">
        <f>BUDGET!BA196</f>
        <v>0</v>
      </c>
      <c r="D196" s="459">
        <f>BUDGET!BB196</f>
        <v>0</v>
      </c>
      <c r="E196" s="855"/>
      <c r="F196" s="991">
        <v>0</v>
      </c>
      <c r="G196" s="2916">
        <f>BUDGET!AZ196</f>
        <v>0</v>
      </c>
      <c r="H196" s="991"/>
      <c r="I196" s="988"/>
      <c r="J196" s="1782"/>
      <c r="K196" s="991"/>
      <c r="L196" s="1890"/>
    </row>
    <row r="197" spans="2:12" hidden="1" x14ac:dyDescent="0.2">
      <c r="B197" s="459" t="s">
        <v>498</v>
      </c>
      <c r="C197" s="459">
        <f>BUDGET!BA197</f>
        <v>0</v>
      </c>
      <c r="D197" s="459">
        <f>BUDGET!BB197</f>
        <v>0</v>
      </c>
      <c r="E197" s="808" t="str">
        <f>BUDGET!A197</f>
        <v xml:space="preserve">MSW COLLECTION,HHW &amp; RECYCLING </v>
      </c>
      <c r="F197" s="814">
        <v>0</v>
      </c>
      <c r="G197" s="2903">
        <f>BUDGET!AZ197</f>
        <v>0</v>
      </c>
      <c r="H197" s="814"/>
      <c r="I197" s="853"/>
      <c r="J197" s="1771"/>
      <c r="K197" s="814"/>
      <c r="L197" s="1876"/>
    </row>
    <row r="198" spans="2:12" x14ac:dyDescent="0.2">
      <c r="B198" t="s">
        <v>498</v>
      </c>
      <c r="C198" s="459" t="str">
        <f>BUDGET!BA198</f>
        <v>yes</v>
      </c>
      <c r="D198" s="2943">
        <f>BUDGET!BB198</f>
        <v>44998</v>
      </c>
      <c r="E198" s="808" t="str">
        <f>BUDGET!A198</f>
        <v xml:space="preserve">   SERVICES</v>
      </c>
      <c r="F198" s="843">
        <v>573590</v>
      </c>
      <c r="G198" s="2902">
        <f>BUDGET!AZ198</f>
        <v>910</v>
      </c>
      <c r="H198" s="843"/>
      <c r="I198" s="2944"/>
      <c r="J198" s="1768">
        <f t="shared" ref="J198" si="3">IF(C198="yes",G198,"")</f>
        <v>910</v>
      </c>
      <c r="K198" s="859" t="s">
        <v>1101</v>
      </c>
      <c r="L198" s="2948">
        <f>D198</f>
        <v>44998</v>
      </c>
    </row>
    <row r="199" spans="2:12" hidden="1" x14ac:dyDescent="0.2">
      <c r="B199" t="s">
        <v>498</v>
      </c>
      <c r="C199" s="459">
        <f>BUDGET!BA199</f>
        <v>0</v>
      </c>
      <c r="D199" s="459" t="str">
        <f>BUDGET!BB199</f>
        <v>examine</v>
      </c>
      <c r="E199" s="878" t="str">
        <f>BUDGET!A199</f>
        <v xml:space="preserve">   TOTAL</v>
      </c>
      <c r="F199" s="814">
        <v>573590</v>
      </c>
      <c r="G199" s="2903">
        <f>BUDGET!AZ199</f>
        <v>0</v>
      </c>
      <c r="H199" s="814"/>
      <c r="I199" s="2898">
        <v>44998</v>
      </c>
      <c r="J199" s="1771"/>
      <c r="K199" s="814"/>
      <c r="L199" s="1876"/>
    </row>
    <row r="200" spans="2:12" hidden="1" x14ac:dyDescent="0.2">
      <c r="C200" s="459">
        <f>BUDGET!BA200</f>
        <v>0</v>
      </c>
      <c r="D200" s="459">
        <f>BUDGET!BB200</f>
        <v>0</v>
      </c>
      <c r="E200" s="855"/>
      <c r="F200" s="991">
        <v>0</v>
      </c>
      <c r="G200" s="2916">
        <f>BUDGET!AZ200</f>
        <v>0</v>
      </c>
      <c r="H200" s="991"/>
      <c r="I200" s="988"/>
      <c r="J200" s="1782"/>
      <c r="K200" s="991"/>
      <c r="L200" s="1890"/>
    </row>
    <row r="201" spans="2:12" hidden="1" x14ac:dyDescent="0.2">
      <c r="B201" s="459" t="s">
        <v>499</v>
      </c>
      <c r="C201" s="459">
        <f>BUDGET!BA201</f>
        <v>0</v>
      </c>
      <c r="D201" s="459">
        <f>BUDGET!BB201</f>
        <v>0</v>
      </c>
      <c r="E201" s="1040" t="str">
        <f>BUDGET!A201</f>
        <v>RECYCLING</v>
      </c>
      <c r="F201" s="814">
        <v>0</v>
      </c>
      <c r="G201" s="2903">
        <f>BUDGET!AZ201</f>
        <v>0</v>
      </c>
      <c r="H201" s="814"/>
      <c r="I201" s="853"/>
      <c r="J201" s="1771"/>
      <c r="K201" s="814"/>
      <c r="L201" s="1876"/>
    </row>
    <row r="202" spans="2:12" hidden="1" x14ac:dyDescent="0.2">
      <c r="B202" t="s">
        <v>499</v>
      </c>
      <c r="C202" s="459">
        <f>BUDGET!BA202</f>
        <v>0</v>
      </c>
      <c r="D202" s="459">
        <f>BUDGET!BB202</f>
        <v>0</v>
      </c>
      <c r="E202" s="808" t="str">
        <f>BUDGET!A202</f>
        <v xml:space="preserve">   WAGES</v>
      </c>
      <c r="F202" s="817">
        <v>0</v>
      </c>
      <c r="G202" s="2900">
        <f>BUDGET!AZ202</f>
        <v>0</v>
      </c>
      <c r="H202" s="817"/>
      <c r="I202" s="877"/>
      <c r="J202" s="1768"/>
      <c r="K202" s="817"/>
      <c r="L202" s="1873"/>
    </row>
    <row r="203" spans="2:12" hidden="1" x14ac:dyDescent="0.2">
      <c r="B203" t="s">
        <v>499</v>
      </c>
      <c r="C203" s="459">
        <f>BUDGET!BA203</f>
        <v>0</v>
      </c>
      <c r="D203" s="459">
        <f>BUDGET!BB203</f>
        <v>0</v>
      </c>
      <c r="E203" s="808" t="str">
        <f>BUDGET!A203</f>
        <v xml:space="preserve">   OTHER</v>
      </c>
      <c r="F203" s="843">
        <v>1650</v>
      </c>
      <c r="G203" s="2902">
        <f>BUDGET!AZ203</f>
        <v>0</v>
      </c>
      <c r="H203" s="843"/>
      <c r="I203" s="1178"/>
      <c r="J203" s="1770"/>
      <c r="K203" s="843"/>
      <c r="L203" s="1875"/>
    </row>
    <row r="204" spans="2:12" hidden="1" x14ac:dyDescent="0.2">
      <c r="B204" t="s">
        <v>499</v>
      </c>
      <c r="C204" s="459">
        <f>BUDGET!BA204</f>
        <v>0</v>
      </c>
      <c r="D204" s="459" t="str">
        <f>BUDGET!BB204</f>
        <v>examine</v>
      </c>
      <c r="E204" s="878" t="str">
        <f>BUDGET!A204</f>
        <v xml:space="preserve">   TOTAL</v>
      </c>
      <c r="F204" s="814">
        <v>1650</v>
      </c>
      <c r="G204" s="2903">
        <f>BUDGET!AZ204</f>
        <v>0</v>
      </c>
      <c r="H204" s="814"/>
      <c r="I204" s="2898">
        <v>44998</v>
      </c>
      <c r="J204" s="1771"/>
      <c r="K204" s="814"/>
      <c r="L204" s="1876"/>
    </row>
    <row r="205" spans="2:12" hidden="1" x14ac:dyDescent="0.2">
      <c r="C205" s="459">
        <f>BUDGET!BA205</f>
        <v>0</v>
      </c>
      <c r="D205" s="459">
        <f>BUDGET!BB205</f>
        <v>0</v>
      </c>
      <c r="E205" s="855"/>
      <c r="F205" s="991">
        <v>0</v>
      </c>
      <c r="G205" s="2916">
        <f>BUDGET!AZ205</f>
        <v>0</v>
      </c>
      <c r="H205" s="991"/>
      <c r="I205" s="988"/>
      <c r="J205" s="1782"/>
      <c r="K205" s="991"/>
      <c r="L205" s="1890"/>
    </row>
    <row r="206" spans="2:12" hidden="1" x14ac:dyDescent="0.2">
      <c r="B206" t="s">
        <v>2042</v>
      </c>
      <c r="C206" s="459">
        <f>BUDGET!BA206</f>
        <v>0</v>
      </c>
      <c r="D206" s="459">
        <f>BUDGET!BB206</f>
        <v>0</v>
      </c>
      <c r="E206" s="1542" t="str">
        <f>BUDGET!A206</f>
        <v>GAS DISTRUTION</v>
      </c>
      <c r="F206" s="814">
        <v>0</v>
      </c>
      <c r="G206" s="2903">
        <f>BUDGET!AZ206</f>
        <v>0</v>
      </c>
      <c r="H206" s="814"/>
      <c r="I206" s="2897"/>
      <c r="J206" s="1771"/>
      <c r="K206" s="814"/>
      <c r="L206" s="1876"/>
    </row>
    <row r="207" spans="2:12" hidden="1" x14ac:dyDescent="0.2">
      <c r="B207" t="s">
        <v>2042</v>
      </c>
      <c r="C207" s="459">
        <f>BUDGET!BA207</f>
        <v>0</v>
      </c>
      <c r="D207" s="459">
        <f>BUDGET!BB207</f>
        <v>0</v>
      </c>
      <c r="E207" s="808"/>
      <c r="F207" s="814">
        <v>0</v>
      </c>
      <c r="G207" s="2903">
        <f>BUDGET!AZ207</f>
        <v>0</v>
      </c>
      <c r="H207" s="814"/>
      <c r="I207" s="2897"/>
      <c r="J207" s="1771"/>
      <c r="K207" s="814"/>
      <c r="L207" s="1876"/>
    </row>
    <row r="208" spans="2:12" x14ac:dyDescent="0.2">
      <c r="B208" t="s">
        <v>2042</v>
      </c>
      <c r="C208" s="459" t="str">
        <f>BUDGET!BA208</f>
        <v>yes</v>
      </c>
      <c r="D208" s="2943">
        <f>BUDGET!BB208</f>
        <v>44998</v>
      </c>
      <c r="E208" s="1542" t="str">
        <f>BUDGET!A208</f>
        <v>OTHER</v>
      </c>
      <c r="F208" s="817">
        <v>59400</v>
      </c>
      <c r="G208" s="2900">
        <f>BUDGET!AZ208</f>
        <v>5600</v>
      </c>
      <c r="H208" s="814"/>
      <c r="I208" s="2944"/>
      <c r="J208" s="1768">
        <f t="shared" ref="J208" si="4">IF(C208="yes",G208,"")</f>
        <v>5600</v>
      </c>
      <c r="K208" s="859" t="s">
        <v>1101</v>
      </c>
      <c r="L208" s="2948">
        <f>D208</f>
        <v>44998</v>
      </c>
    </row>
    <row r="209" spans="2:12" hidden="1" x14ac:dyDescent="0.2">
      <c r="B209" t="s">
        <v>2042</v>
      </c>
      <c r="C209" s="459">
        <f>BUDGET!BA209</f>
        <v>0</v>
      </c>
      <c r="D209" s="459" t="str">
        <f>BUDGET!BB209</f>
        <v>examine</v>
      </c>
      <c r="E209" s="878" t="str">
        <f>BUDGET!A209</f>
        <v xml:space="preserve">   TOTAL</v>
      </c>
      <c r="F209" s="814">
        <v>59400</v>
      </c>
      <c r="G209" s="2903">
        <f>BUDGET!AZ209</f>
        <v>0</v>
      </c>
      <c r="H209" s="814"/>
      <c r="I209" s="2898">
        <v>44998</v>
      </c>
      <c r="J209" s="1771"/>
      <c r="K209" s="814"/>
      <c r="L209" s="1876"/>
    </row>
    <row r="210" spans="2:12" hidden="1" x14ac:dyDescent="0.2">
      <c r="C210" s="459">
        <f>BUDGET!BA210</f>
        <v>0</v>
      </c>
      <c r="D210" s="459">
        <f>BUDGET!BB210</f>
        <v>0</v>
      </c>
      <c r="E210" s="855"/>
      <c r="F210" s="814">
        <v>0</v>
      </c>
      <c r="G210" s="2903">
        <f>BUDGET!AZ210</f>
        <v>0</v>
      </c>
      <c r="H210" s="814"/>
      <c r="I210" s="2897"/>
      <c r="J210" s="1771"/>
      <c r="K210" s="814"/>
      <c r="L210" s="1876"/>
    </row>
    <row r="211" spans="2:12" hidden="1" x14ac:dyDescent="0.2">
      <c r="B211" s="459" t="s">
        <v>151</v>
      </c>
      <c r="C211" s="459">
        <f>BUDGET!BA211</f>
        <v>0</v>
      </c>
      <c r="D211" s="459">
        <f>BUDGET!BB211</f>
        <v>0</v>
      </c>
      <c r="E211" s="1040" t="str">
        <f>BUDGET!A211</f>
        <v>PARK AND CEMETERY</v>
      </c>
      <c r="F211" s="1536">
        <v>0</v>
      </c>
      <c r="G211" s="2903">
        <f>BUDGET!AZ211</f>
        <v>0</v>
      </c>
      <c r="H211" s="814"/>
      <c r="I211" s="853"/>
      <c r="J211" s="1771"/>
      <c r="K211" s="814"/>
      <c r="L211" s="1876"/>
    </row>
    <row r="212" spans="2:12" hidden="1" x14ac:dyDescent="0.2">
      <c r="B212" t="s">
        <v>151</v>
      </c>
      <c r="C212" s="459">
        <f>BUDGET!BA212</f>
        <v>0</v>
      </c>
      <c r="D212" s="459">
        <f>BUDGET!BB212</f>
        <v>0</v>
      </c>
      <c r="E212" s="808" t="str">
        <f>BUDGET!A212</f>
        <v xml:space="preserve">   SALARY</v>
      </c>
      <c r="F212" s="843">
        <v>46618</v>
      </c>
      <c r="G212" s="2902">
        <f>BUDGET!AZ212</f>
        <v>0</v>
      </c>
      <c r="H212" s="843"/>
      <c r="I212" s="1178"/>
      <c r="J212" s="1770"/>
      <c r="K212" s="843"/>
      <c r="L212" s="1875"/>
    </row>
    <row r="213" spans="2:12" x14ac:dyDescent="0.2">
      <c r="B213" t="s">
        <v>151</v>
      </c>
      <c r="C213" s="459" t="str">
        <f>BUDGET!BA213</f>
        <v>yes</v>
      </c>
      <c r="D213" s="2943">
        <v>44998</v>
      </c>
      <c r="E213" s="1542" t="str">
        <f>BUDGET!A213</f>
        <v xml:space="preserve">   WAGES</v>
      </c>
      <c r="F213" s="843">
        <v>188906</v>
      </c>
      <c r="G213" s="2902">
        <f>BUDGET!AZ213</f>
        <v>4000</v>
      </c>
      <c r="H213" s="843"/>
      <c r="I213" s="2945"/>
      <c r="J213" s="1768">
        <f t="shared" ref="J213" si="5">IF(C213="yes",G213,"")</f>
        <v>4000</v>
      </c>
      <c r="K213" s="859" t="s">
        <v>2515</v>
      </c>
      <c r="L213" s="2948">
        <f>D213</f>
        <v>44998</v>
      </c>
    </row>
    <row r="214" spans="2:12" hidden="1" x14ac:dyDescent="0.2">
      <c r="B214" t="s">
        <v>151</v>
      </c>
      <c r="C214" s="459">
        <f>BUDGET!BA214</f>
        <v>0</v>
      </c>
      <c r="D214" s="459">
        <f>BUDGET!BB214</f>
        <v>0</v>
      </c>
      <c r="E214" s="808" t="str">
        <f>BUDGET!A214</f>
        <v xml:space="preserve">   OTHER</v>
      </c>
      <c r="F214" s="843">
        <v>101970</v>
      </c>
      <c r="G214" s="2902">
        <f>BUDGET!AZ214</f>
        <v>0</v>
      </c>
      <c r="H214" s="843"/>
      <c r="I214" s="1178"/>
      <c r="J214" s="1770"/>
      <c r="K214" s="941"/>
      <c r="L214" s="2180"/>
    </row>
    <row r="215" spans="2:12" hidden="1" x14ac:dyDescent="0.2">
      <c r="B215" t="s">
        <v>151</v>
      </c>
      <c r="C215" s="459">
        <f>BUDGET!BA215</f>
        <v>0</v>
      </c>
      <c r="D215" s="459">
        <f>BUDGET!BB215</f>
        <v>0</v>
      </c>
      <c r="E215" s="808" t="str">
        <f>BUDGET!A215</f>
        <v xml:space="preserve">   SALE OF LOTS</v>
      </c>
      <c r="F215" s="817">
        <v>0</v>
      </c>
      <c r="G215" s="2900">
        <f>BUDGET!AZ215</f>
        <v>0</v>
      </c>
      <c r="H215" s="817"/>
      <c r="I215" s="877"/>
      <c r="J215" s="1768"/>
      <c r="K215" s="817"/>
      <c r="L215" s="1873"/>
    </row>
    <row r="216" spans="2:12" hidden="1" x14ac:dyDescent="0.2">
      <c r="B216" t="s">
        <v>151</v>
      </c>
      <c r="C216" s="459">
        <f>BUDGET!BA216</f>
        <v>0</v>
      </c>
      <c r="D216" s="459">
        <f>BUDGET!BB216</f>
        <v>0</v>
      </c>
      <c r="E216" s="808" t="str">
        <f>BUDGET!A216</f>
        <v xml:space="preserve">   PERPETUAL CARE TRUST FUND</v>
      </c>
      <c r="F216" s="861">
        <v>0</v>
      </c>
      <c r="G216" s="2909">
        <f>BUDGET!AZ216</f>
        <v>0</v>
      </c>
      <c r="H216" s="861"/>
      <c r="I216" s="1200"/>
      <c r="J216" s="1778"/>
      <c r="K216" s="861"/>
      <c r="L216" s="1883"/>
    </row>
    <row r="217" spans="2:12" hidden="1" x14ac:dyDescent="0.2">
      <c r="B217" t="s">
        <v>151</v>
      </c>
      <c r="C217" s="459">
        <f>BUDGET!BA217</f>
        <v>0</v>
      </c>
      <c r="D217" s="459" t="str">
        <f>BUDGET!BB217</f>
        <v>examine</v>
      </c>
      <c r="E217" s="878" t="str">
        <f>BUDGET!A217</f>
        <v xml:space="preserve">   TOTAL</v>
      </c>
      <c r="F217" s="814">
        <v>337494</v>
      </c>
      <c r="G217" s="2903">
        <f>BUDGET!AZ217</f>
        <v>0</v>
      </c>
      <c r="H217" s="814"/>
      <c r="I217" s="2898">
        <v>44998</v>
      </c>
      <c r="J217" s="1771"/>
      <c r="K217" s="814"/>
      <c r="L217" s="1876"/>
    </row>
    <row r="218" spans="2:12" hidden="1" x14ac:dyDescent="0.2">
      <c r="C218" s="459">
        <f>BUDGET!BA218</f>
        <v>0</v>
      </c>
      <c r="D218" s="459">
        <f>BUDGET!BB218</f>
        <v>0</v>
      </c>
      <c r="E218" s="855"/>
      <c r="F218" s="814">
        <v>0</v>
      </c>
      <c r="G218" s="2903">
        <f>BUDGET!AZ218</f>
        <v>0</v>
      </c>
      <c r="H218" s="814"/>
      <c r="I218" s="853"/>
      <c r="J218" s="1771"/>
      <c r="K218" s="814"/>
      <c r="L218" s="1876"/>
    </row>
    <row r="219" spans="2:12" hidden="1" x14ac:dyDescent="0.2">
      <c r="B219" s="459" t="s">
        <v>948</v>
      </c>
      <c r="C219" s="459">
        <f>BUDGET!BA219</f>
        <v>0</v>
      </c>
      <c r="D219" s="459">
        <f>BUDGET!BB219</f>
        <v>0</v>
      </c>
      <c r="E219" s="1541" t="str">
        <f>BUDGET!A219</f>
        <v>LANDFILL</v>
      </c>
      <c r="F219" s="1536">
        <v>0</v>
      </c>
      <c r="G219" s="2921">
        <f>BUDGET!AZ219</f>
        <v>0</v>
      </c>
      <c r="H219" s="1536"/>
      <c r="I219" s="1747"/>
      <c r="J219" s="1788"/>
      <c r="K219" s="1536"/>
      <c r="L219" s="1896"/>
    </row>
    <row r="220" spans="2:12" x14ac:dyDescent="0.2">
      <c r="B220" t="s">
        <v>948</v>
      </c>
      <c r="C220" s="459" t="str">
        <f>BUDGET!BA220</f>
        <v>yes</v>
      </c>
      <c r="D220" s="2943">
        <f>BUDGET!BB220</f>
        <v>44998</v>
      </c>
      <c r="E220" s="1542" t="str">
        <f>BUDGET!A220</f>
        <v xml:space="preserve">   OTHER</v>
      </c>
      <c r="F220" s="817">
        <v>29600</v>
      </c>
      <c r="G220" s="2900">
        <f>BUDGET!AZ220</f>
        <v>3000</v>
      </c>
      <c r="H220" s="817"/>
      <c r="I220" s="2944"/>
      <c r="J220" s="1768">
        <f t="shared" ref="J220" si="6">IF(C220="yes",G220,"")</f>
        <v>3000</v>
      </c>
      <c r="K220" s="859" t="s">
        <v>1101</v>
      </c>
      <c r="L220" s="2948">
        <f>D220</f>
        <v>44998</v>
      </c>
    </row>
    <row r="221" spans="2:12" hidden="1" x14ac:dyDescent="0.2">
      <c r="B221" t="s">
        <v>948</v>
      </c>
      <c r="C221" s="459">
        <f>BUDGET!BA221</f>
        <v>0</v>
      </c>
      <c r="D221" s="459" t="str">
        <f>BUDGET!BB221</f>
        <v>examine</v>
      </c>
      <c r="E221" s="878" t="str">
        <f>BUDGET!A221</f>
        <v xml:space="preserve">   TOTAL</v>
      </c>
      <c r="F221" s="814">
        <v>29600</v>
      </c>
      <c r="G221" s="2903">
        <f>BUDGET!AZ221</f>
        <v>0</v>
      </c>
      <c r="H221" s="814"/>
      <c r="I221" s="2898">
        <v>44998</v>
      </c>
      <c r="J221" s="1771"/>
      <c r="K221" s="814"/>
      <c r="L221" s="1876"/>
    </row>
    <row r="222" spans="2:12" hidden="1" x14ac:dyDescent="0.2">
      <c r="C222" s="459">
        <f>BUDGET!BA222</f>
        <v>0</v>
      </c>
      <c r="D222" s="459">
        <f>BUDGET!BB222</f>
        <v>0</v>
      </c>
      <c r="E222" s="855"/>
      <c r="F222" s="856">
        <v>0</v>
      </c>
      <c r="G222" s="2904">
        <f>BUDGET!AZ222</f>
        <v>0</v>
      </c>
      <c r="H222" s="856"/>
      <c r="I222" s="1237"/>
      <c r="J222" s="1772"/>
      <c r="K222" s="856"/>
      <c r="L222" s="1877"/>
    </row>
    <row r="223" spans="2:12" hidden="1" x14ac:dyDescent="0.2">
      <c r="B223" s="459" t="s">
        <v>372</v>
      </c>
      <c r="C223" s="459">
        <f>BUDGET!BA223</f>
        <v>0</v>
      </c>
      <c r="D223" s="459">
        <f>BUDGET!BB223</f>
        <v>0</v>
      </c>
      <c r="E223" s="808" t="str">
        <f>BUDGET!A223</f>
        <v>GENERAL HIGHWAY</v>
      </c>
      <c r="F223" s="859">
        <v>0</v>
      </c>
      <c r="G223" s="2899">
        <f>BUDGET!AZ223</f>
        <v>0</v>
      </c>
      <c r="H223" s="859"/>
      <c r="I223" s="1178"/>
      <c r="J223" s="1773"/>
      <c r="K223" s="859"/>
      <c r="L223" s="1878"/>
    </row>
    <row r="224" spans="2:12" hidden="1" x14ac:dyDescent="0.2">
      <c r="B224" t="s">
        <v>372</v>
      </c>
      <c r="C224" s="459">
        <f>BUDGET!BA224</f>
        <v>0</v>
      </c>
      <c r="D224" s="459">
        <f>BUDGET!BB224</f>
        <v>0</v>
      </c>
      <c r="E224" s="808" t="str">
        <f>BUDGET!A224</f>
        <v xml:space="preserve">   SALARY</v>
      </c>
      <c r="F224" s="843">
        <v>69927</v>
      </c>
      <c r="G224" s="2902">
        <f>BUDGET!AZ224</f>
        <v>0</v>
      </c>
      <c r="H224" s="843"/>
      <c r="I224" s="1178"/>
      <c r="J224" s="1770"/>
      <c r="K224" s="843"/>
      <c r="L224" s="1875"/>
    </row>
    <row r="225" spans="2:12" hidden="1" x14ac:dyDescent="0.2">
      <c r="B225" t="s">
        <v>372</v>
      </c>
      <c r="C225" s="459">
        <f>BUDGET!BA225</f>
        <v>0</v>
      </c>
      <c r="D225" s="459">
        <f>BUDGET!BB225</f>
        <v>0</v>
      </c>
      <c r="E225" s="808" t="str">
        <f>BUDGET!A225</f>
        <v xml:space="preserve">   WAGES</v>
      </c>
      <c r="F225" s="843">
        <v>341338</v>
      </c>
      <c r="G225" s="2902">
        <f>BUDGET!AZ225</f>
        <v>0</v>
      </c>
      <c r="H225" s="843"/>
      <c r="I225" s="1178"/>
      <c r="J225" s="1770"/>
      <c r="K225" s="843"/>
      <c r="L225" s="1875"/>
    </row>
    <row r="226" spans="2:12" hidden="1" x14ac:dyDescent="0.2">
      <c r="B226" t="s">
        <v>372</v>
      </c>
      <c r="C226" s="459">
        <f>BUDGET!BA226</f>
        <v>0</v>
      </c>
      <c r="D226" s="459">
        <f>BUDGET!BB226</f>
        <v>0</v>
      </c>
      <c r="E226" s="808" t="str">
        <f>BUDGET!A226</f>
        <v xml:space="preserve">   CAPITAL  (LEASES)</v>
      </c>
      <c r="F226" s="843">
        <v>0</v>
      </c>
      <c r="G226" s="2902">
        <f>BUDGET!AZ226</f>
        <v>0</v>
      </c>
      <c r="H226" s="843"/>
      <c r="I226" s="1178"/>
      <c r="J226" s="1770"/>
      <c r="K226" s="843"/>
      <c r="L226" s="1875"/>
    </row>
    <row r="227" spans="2:12" hidden="1" x14ac:dyDescent="0.2">
      <c r="B227" t="s">
        <v>372</v>
      </c>
      <c r="C227" s="459">
        <f>BUDGET!BA227</f>
        <v>0</v>
      </c>
      <c r="D227" s="459">
        <f>BUDGET!BB227</f>
        <v>0</v>
      </c>
      <c r="E227" s="808" t="str">
        <f>BUDGET!A227</f>
        <v xml:space="preserve">   ROADS &amp; BRIDGES</v>
      </c>
      <c r="F227" s="843">
        <v>74067</v>
      </c>
      <c r="G227" s="2902">
        <f>BUDGET!AZ227</f>
        <v>0</v>
      </c>
      <c r="H227" s="843"/>
      <c r="I227" s="1178"/>
      <c r="J227" s="1770"/>
      <c r="K227" s="843"/>
      <c r="L227" s="1875"/>
    </row>
    <row r="228" spans="2:12" hidden="1" x14ac:dyDescent="0.2">
      <c r="B228" t="s">
        <v>372</v>
      </c>
      <c r="C228" s="459">
        <f>BUDGET!BA228</f>
        <v>0</v>
      </c>
      <c r="D228" s="459">
        <f>BUDGET!BB228</f>
        <v>0</v>
      </c>
      <c r="E228" s="808" t="str">
        <f>BUDGET!A228</f>
        <v xml:space="preserve">   SUPPLIES, SERVICES</v>
      </c>
      <c r="F228" s="843">
        <v>119509</v>
      </c>
      <c r="G228" s="2902">
        <f>BUDGET!AZ228</f>
        <v>0</v>
      </c>
      <c r="H228" s="843"/>
      <c r="I228" s="1178"/>
      <c r="J228" s="1770"/>
      <c r="K228" s="843"/>
      <c r="L228" s="1875"/>
    </row>
    <row r="229" spans="2:12" hidden="1" x14ac:dyDescent="0.2">
      <c r="B229" t="s">
        <v>372</v>
      </c>
      <c r="C229" s="459">
        <f>BUDGET!BA229</f>
        <v>0</v>
      </c>
      <c r="D229" s="459">
        <f>BUDGET!BB229</f>
        <v>0</v>
      </c>
      <c r="E229" s="808" t="str">
        <f>BUDGET!A229</f>
        <v xml:space="preserve"> DIESEL &amp; GASOLINE</v>
      </c>
      <c r="F229" s="843">
        <v>0</v>
      </c>
      <c r="G229" s="2902">
        <f>BUDGET!AZ229</f>
        <v>0</v>
      </c>
      <c r="H229" s="843"/>
      <c r="I229" s="1178"/>
      <c r="J229" s="1770"/>
      <c r="K229" s="843"/>
      <c r="L229" s="1875"/>
    </row>
    <row r="230" spans="2:12" hidden="1" x14ac:dyDescent="0.2">
      <c r="B230" t="s">
        <v>372</v>
      </c>
      <c r="C230" s="459">
        <f>BUDGET!BA230</f>
        <v>0</v>
      </c>
      <c r="D230" s="459" t="str">
        <f>BUDGET!BB230</f>
        <v>examine</v>
      </c>
      <c r="E230" s="878" t="str">
        <f>BUDGET!A230</f>
        <v xml:space="preserve">   TOTAL</v>
      </c>
      <c r="F230" s="814">
        <v>604841</v>
      </c>
      <c r="G230" s="2903">
        <f>BUDGET!AZ230</f>
        <v>0</v>
      </c>
      <c r="H230" s="814"/>
      <c r="I230" s="2898">
        <v>44998</v>
      </c>
      <c r="J230" s="1771"/>
      <c r="K230" s="814"/>
      <c r="L230" s="1876"/>
    </row>
    <row r="231" spans="2:12" hidden="1" x14ac:dyDescent="0.2">
      <c r="C231" s="459">
        <f>BUDGET!BA231</f>
        <v>0</v>
      </c>
      <c r="D231" s="459">
        <f>BUDGET!BB231</f>
        <v>0</v>
      </c>
      <c r="E231" s="855" t="str">
        <f>BUDGET!A231</f>
        <v xml:space="preserve"> </v>
      </c>
      <c r="F231" s="828">
        <v>0</v>
      </c>
      <c r="G231" s="2904">
        <f>BUDGET!AZ231</f>
        <v>0</v>
      </c>
      <c r="H231" s="828"/>
      <c r="I231" s="1748"/>
      <c r="J231" s="1789"/>
      <c r="K231" s="828"/>
      <c r="L231" s="1897"/>
    </row>
    <row r="232" spans="2:12" hidden="1" x14ac:dyDescent="0.2">
      <c r="B232" s="459" t="s">
        <v>223</v>
      </c>
      <c r="C232" s="459">
        <f>BUDGET!BA232</f>
        <v>0</v>
      </c>
      <c r="D232" s="459">
        <f>BUDGET!BB232</f>
        <v>0</v>
      </c>
      <c r="E232" s="808" t="str">
        <f>BUDGET!A232</f>
        <v>SNOW AND ICE</v>
      </c>
      <c r="F232" s="859">
        <v>0</v>
      </c>
      <c r="G232" s="2899">
        <f>BUDGET!AZ232</f>
        <v>0</v>
      </c>
      <c r="H232" s="859"/>
      <c r="I232" s="1178"/>
      <c r="J232" s="1773"/>
      <c r="K232" s="859"/>
      <c r="L232" s="1878"/>
    </row>
    <row r="233" spans="2:12" hidden="1" x14ac:dyDescent="0.2">
      <c r="B233" t="s">
        <v>223</v>
      </c>
      <c r="C233" s="459">
        <f>BUDGET!BA233</f>
        <v>0</v>
      </c>
      <c r="D233" s="459">
        <f>BUDGET!BB233</f>
        <v>0</v>
      </c>
      <c r="E233" s="1051" t="str">
        <f>BUDGET!A233</f>
        <v xml:space="preserve">   WAGES</v>
      </c>
      <c r="F233" s="843">
        <v>38870</v>
      </c>
      <c r="G233" s="2902">
        <f>BUDGET!AZ233</f>
        <v>0</v>
      </c>
      <c r="H233" s="843"/>
      <c r="I233" s="1178"/>
      <c r="J233" s="1770"/>
      <c r="K233" s="843"/>
      <c r="L233" s="1875"/>
    </row>
    <row r="234" spans="2:12" hidden="1" x14ac:dyDescent="0.2">
      <c r="B234" t="s">
        <v>223</v>
      </c>
      <c r="C234" s="459">
        <f>BUDGET!BA234</f>
        <v>0</v>
      </c>
      <c r="D234" s="459">
        <f>BUDGET!BB234</f>
        <v>0</v>
      </c>
      <c r="E234" s="808" t="str">
        <f>BUDGET!A234</f>
        <v xml:space="preserve">   OTHER</v>
      </c>
      <c r="F234" s="843">
        <v>176845</v>
      </c>
      <c r="G234" s="2902">
        <f>BUDGET!AZ234</f>
        <v>0</v>
      </c>
      <c r="H234" s="843"/>
      <c r="I234" s="1178"/>
      <c r="J234" s="1770"/>
      <c r="K234" s="843"/>
      <c r="L234" s="1875"/>
    </row>
    <row r="235" spans="2:12" hidden="1" x14ac:dyDescent="0.2">
      <c r="B235" t="s">
        <v>223</v>
      </c>
      <c r="C235" s="459">
        <f>BUDGET!BA235</f>
        <v>0</v>
      </c>
      <c r="D235" s="459" t="str">
        <f>BUDGET!BB235</f>
        <v>examine</v>
      </c>
      <c r="E235" s="878" t="str">
        <f>BUDGET!A235</f>
        <v xml:space="preserve">   TOTAL</v>
      </c>
      <c r="F235" s="814">
        <v>215715</v>
      </c>
      <c r="G235" s="2903">
        <f>BUDGET!AZ235</f>
        <v>0</v>
      </c>
      <c r="H235" s="814"/>
      <c r="I235" s="2898">
        <v>44998</v>
      </c>
      <c r="J235" s="1771"/>
      <c r="K235" s="814"/>
      <c r="L235" s="1876"/>
    </row>
    <row r="236" spans="2:12" hidden="1" x14ac:dyDescent="0.2">
      <c r="C236" s="459">
        <f>BUDGET!BA236</f>
        <v>0</v>
      </c>
      <c r="D236" s="459">
        <f>BUDGET!BB236</f>
        <v>0</v>
      </c>
      <c r="E236" s="821" t="str">
        <f>BUDGET!A236</f>
        <v>5-YR ROLLING AVG</v>
      </c>
      <c r="F236" s="828">
        <v>0</v>
      </c>
      <c r="G236" s="2904">
        <f>BUDGET!AZ236</f>
        <v>0</v>
      </c>
      <c r="H236" s="828"/>
      <c r="I236" s="1748"/>
      <c r="J236" s="1789"/>
      <c r="K236" s="828"/>
      <c r="L236" s="1897"/>
    </row>
    <row r="237" spans="2:12" hidden="1" x14ac:dyDescent="0.2">
      <c r="B237" s="459" t="s">
        <v>224</v>
      </c>
      <c r="C237" s="459">
        <f>BUDGET!BA237</f>
        <v>0</v>
      </c>
      <c r="D237" s="459">
        <f>BUDGET!BB237</f>
        <v>0</v>
      </c>
      <c r="E237" s="808" t="str">
        <f>BUDGET!A237</f>
        <v>STREET LIGHTS</v>
      </c>
      <c r="F237" s="859">
        <v>0</v>
      </c>
      <c r="G237" s="2899">
        <f>BUDGET!AZ237</f>
        <v>0</v>
      </c>
      <c r="H237" s="859"/>
      <c r="I237" s="1178"/>
      <c r="J237" s="1773"/>
      <c r="K237" s="859"/>
      <c r="L237" s="1878"/>
    </row>
    <row r="238" spans="2:12" hidden="1" x14ac:dyDescent="0.2">
      <c r="B238" t="s">
        <v>224</v>
      </c>
      <c r="C238" s="459">
        <f>BUDGET!BA238</f>
        <v>0</v>
      </c>
      <c r="D238" s="459">
        <f>BUDGET!BB238</f>
        <v>0</v>
      </c>
      <c r="E238" s="808" t="str">
        <f>BUDGET!A238</f>
        <v xml:space="preserve">   SERVICES</v>
      </c>
      <c r="F238" s="817">
        <v>0</v>
      </c>
      <c r="G238" s="2900">
        <f>BUDGET!AZ238</f>
        <v>0</v>
      </c>
      <c r="H238" s="817"/>
      <c r="I238" s="877"/>
      <c r="J238" s="1768"/>
      <c r="K238" s="817"/>
      <c r="L238" s="1873"/>
    </row>
    <row r="239" spans="2:12" x14ac:dyDescent="0.2">
      <c r="B239" t="s">
        <v>224</v>
      </c>
      <c r="C239" s="459" t="str">
        <f>BUDGET!BA239</f>
        <v>no</v>
      </c>
      <c r="D239" s="2943">
        <v>44998</v>
      </c>
      <c r="E239" s="808" t="str">
        <f>BUDGET!A239</f>
        <v xml:space="preserve">   OTHER</v>
      </c>
      <c r="F239" s="843">
        <v>33000</v>
      </c>
      <c r="G239" s="2902">
        <f>BUDGET!AZ239</f>
        <v>5000</v>
      </c>
      <c r="H239" s="843"/>
      <c r="I239" s="2945"/>
      <c r="J239" s="1768" t="str">
        <f t="shared" ref="J239" si="7">IF(C239="yes",G239,"")</f>
        <v/>
      </c>
      <c r="K239" s="859" t="s">
        <v>2515</v>
      </c>
      <c r="L239" s="2948">
        <f>D239</f>
        <v>44998</v>
      </c>
    </row>
    <row r="240" spans="2:12" hidden="1" x14ac:dyDescent="0.2">
      <c r="B240" t="s">
        <v>224</v>
      </c>
      <c r="C240" s="459">
        <f>BUDGET!BA240</f>
        <v>0</v>
      </c>
      <c r="D240" s="459" t="str">
        <f>BUDGET!BB240</f>
        <v>examine</v>
      </c>
      <c r="E240" s="894" t="str">
        <f>BUDGET!A240</f>
        <v xml:space="preserve">   TOTAL</v>
      </c>
      <c r="F240" s="814">
        <v>33000</v>
      </c>
      <c r="G240" s="2903">
        <f>BUDGET!AZ240</f>
        <v>0</v>
      </c>
      <c r="H240" s="814"/>
      <c r="I240" s="2898">
        <v>44998</v>
      </c>
      <c r="J240" s="1771"/>
      <c r="K240" s="814"/>
      <c r="L240" s="1876"/>
    </row>
    <row r="241" spans="2:12" hidden="1" x14ac:dyDescent="0.2">
      <c r="C241" s="459">
        <f>BUDGET!BA241</f>
        <v>0</v>
      </c>
      <c r="D241" s="459">
        <f>BUDGET!BB241</f>
        <v>0</v>
      </c>
      <c r="E241" s="855"/>
      <c r="F241" s="828">
        <v>0</v>
      </c>
      <c r="G241" s="2904">
        <f>BUDGET!AZ241</f>
        <v>0</v>
      </c>
      <c r="H241" s="828"/>
      <c r="I241" s="1748"/>
      <c r="J241" s="1789"/>
      <c r="K241" s="828"/>
      <c r="L241" s="1897"/>
    </row>
    <row r="242" spans="2:12" hidden="1" x14ac:dyDescent="0.2">
      <c r="C242" s="459">
        <f>BUDGET!BA242</f>
        <v>0</v>
      </c>
      <c r="D242" s="459">
        <f>BUDGET!BB242</f>
        <v>0</v>
      </c>
      <c r="E242" s="795" t="str">
        <f>BUDGET!A242</f>
        <v>PUBLIC WKS &amp; FACIL.:  SUB-TOTAL</v>
      </c>
      <c r="F242" s="859">
        <v>0</v>
      </c>
      <c r="G242" s="2899">
        <f>BUDGET!AZ242</f>
        <v>0</v>
      </c>
      <c r="H242" s="859"/>
      <c r="I242" s="1178"/>
      <c r="J242" s="1773"/>
      <c r="K242" s="859"/>
      <c r="L242" s="1878"/>
    </row>
    <row r="243" spans="2:12" hidden="1" x14ac:dyDescent="0.2">
      <c r="C243" s="459">
        <f>BUDGET!BA243</f>
        <v>0</v>
      </c>
      <c r="D243" s="459">
        <f>BUDGET!BB243</f>
        <v>0</v>
      </c>
      <c r="E243" s="795" t="str">
        <f>BUDGET!A243</f>
        <v xml:space="preserve">   SALARIES</v>
      </c>
      <c r="F243" s="928">
        <v>116545</v>
      </c>
      <c r="G243" s="2912">
        <f>BUDGET!AZ243</f>
        <v>0</v>
      </c>
      <c r="H243" s="928"/>
      <c r="I243" s="853"/>
      <c r="J243" s="1780"/>
      <c r="K243" s="928"/>
      <c r="L243" s="1886"/>
    </row>
    <row r="244" spans="2:12" hidden="1" x14ac:dyDescent="0.2">
      <c r="C244" s="459">
        <f>BUDGET!BA244</f>
        <v>0</v>
      </c>
      <c r="D244" s="459">
        <f>BUDGET!BB244</f>
        <v>0</v>
      </c>
      <c r="E244" s="795" t="str">
        <f>BUDGET!A244</f>
        <v xml:space="preserve">   WAGES</v>
      </c>
      <c r="F244" s="928">
        <v>574527</v>
      </c>
      <c r="G244" s="2912">
        <f>BUDGET!AZ244</f>
        <v>0</v>
      </c>
      <c r="H244" s="928"/>
      <c r="I244" s="853"/>
      <c r="J244" s="1780"/>
      <c r="K244" s="928"/>
      <c r="L244" s="1886"/>
    </row>
    <row r="245" spans="2:12" hidden="1" x14ac:dyDescent="0.2">
      <c r="C245" s="459">
        <f>BUDGET!BA245</f>
        <v>0</v>
      </c>
      <c r="D245" s="459">
        <f>BUDGET!BB245</f>
        <v>0</v>
      </c>
      <c r="E245" s="795" t="str">
        <f>BUDGET!A245</f>
        <v xml:space="preserve">   OTHER</v>
      </c>
      <c r="F245" s="881">
        <v>1179631</v>
      </c>
      <c r="G245" s="2922">
        <f>BUDGET!AZ245</f>
        <v>0</v>
      </c>
      <c r="H245" s="881"/>
      <c r="I245" s="1117"/>
      <c r="J245" s="1780"/>
      <c r="K245" s="881"/>
      <c r="L245" s="1898"/>
    </row>
    <row r="246" spans="2:12" hidden="1" x14ac:dyDescent="0.2">
      <c r="C246" s="459">
        <f>BUDGET!BA246</f>
        <v>0</v>
      </c>
      <c r="D246" s="459">
        <f>BUDGET!BB246</f>
        <v>0</v>
      </c>
      <c r="E246" s="795" t="str">
        <f>BUDGET!A246</f>
        <v>CAPITAL EQUIP.</v>
      </c>
      <c r="F246" s="1559">
        <v>0</v>
      </c>
      <c r="G246" s="2923">
        <f>BUDGET!AZ246</f>
        <v>0</v>
      </c>
      <c r="H246" s="1559"/>
      <c r="I246" s="877"/>
      <c r="J246" s="1790"/>
      <c r="K246" s="1559"/>
      <c r="L246" s="1899"/>
    </row>
    <row r="247" spans="2:12" ht="13.5" hidden="1" thickBot="1" x14ac:dyDescent="0.25">
      <c r="C247" s="459">
        <f>BUDGET!BA247</f>
        <v>0</v>
      </c>
      <c r="D247" s="459" t="str">
        <f>BUDGET!BB247</f>
        <v>examine</v>
      </c>
      <c r="E247" s="1018" t="str">
        <f>BUDGET!A247</f>
        <v>PUBLIC WKS &amp; FACIL: SUB-TOTAL</v>
      </c>
      <c r="F247" s="1071">
        <v>1870703</v>
      </c>
      <c r="G247" s="2918">
        <f>BUDGET!AZ247</f>
        <v>0</v>
      </c>
      <c r="H247" s="1071"/>
      <c r="I247" s="2173"/>
      <c r="J247" s="1781"/>
      <c r="K247" s="1071"/>
      <c r="L247" s="1900"/>
    </row>
    <row r="248" spans="2:12" hidden="1" x14ac:dyDescent="0.2">
      <c r="B248" s="459"/>
      <c r="C248" s="459">
        <f>BUDGET!BA248</f>
        <v>0</v>
      </c>
      <c r="D248" s="459">
        <f>BUDGET!BB248</f>
        <v>0</v>
      </c>
      <c r="E248" s="795" t="str">
        <f>BUDGET!A248</f>
        <v>HUMAN SERVICES</v>
      </c>
      <c r="F248" s="859">
        <v>0</v>
      </c>
      <c r="G248" s="2899">
        <f>BUDGET!AZ248</f>
        <v>0</v>
      </c>
      <c r="H248" s="859"/>
      <c r="I248" s="1178"/>
      <c r="J248" s="1773"/>
      <c r="K248" s="859"/>
      <c r="L248" s="1878"/>
    </row>
    <row r="249" spans="2:12" hidden="1" x14ac:dyDescent="0.2">
      <c r="B249" s="459" t="s">
        <v>367</v>
      </c>
      <c r="C249" s="459">
        <f>BUDGET!BA249</f>
        <v>0</v>
      </c>
      <c r="D249" s="459">
        <f>BUDGET!BB249</f>
        <v>0</v>
      </c>
      <c r="E249" s="808" t="str">
        <f>BUDGET!A249</f>
        <v>BOARD OF HEALTH</v>
      </c>
      <c r="F249" s="817">
        <v>0</v>
      </c>
      <c r="G249" s="2900">
        <f>BUDGET!AZ249</f>
        <v>0</v>
      </c>
      <c r="H249" s="817"/>
      <c r="I249" s="877"/>
      <c r="J249" s="1768"/>
      <c r="K249" s="817"/>
      <c r="L249" s="1873"/>
    </row>
    <row r="250" spans="2:12" hidden="1" x14ac:dyDescent="0.2">
      <c r="B250" t="s">
        <v>367</v>
      </c>
      <c r="C250" s="459">
        <f>BUDGET!BA250</f>
        <v>0</v>
      </c>
      <c r="D250" s="459">
        <f>BUDGET!BB250</f>
        <v>0</v>
      </c>
      <c r="E250" s="808" t="str">
        <f>BUDGET!A250</f>
        <v xml:space="preserve">   SALARIES</v>
      </c>
      <c r="F250" s="843">
        <v>74187</v>
      </c>
      <c r="G250" s="2902">
        <f>BUDGET!AZ250</f>
        <v>0</v>
      </c>
      <c r="H250" s="843"/>
      <c r="I250" s="1178"/>
      <c r="J250" s="1770"/>
      <c r="K250" s="843"/>
      <c r="L250" s="1875"/>
    </row>
    <row r="251" spans="2:12" hidden="1" x14ac:dyDescent="0.2">
      <c r="B251" t="s">
        <v>367</v>
      </c>
      <c r="C251" s="459">
        <f>BUDGET!BA251</f>
        <v>0</v>
      </c>
      <c r="D251" s="459">
        <f>BUDGET!BB251</f>
        <v>0</v>
      </c>
      <c r="E251" s="808" t="str">
        <f>BUDGET!A251</f>
        <v xml:space="preserve">   WAGES</v>
      </c>
      <c r="F251" s="843">
        <v>30532</v>
      </c>
      <c r="G251" s="2902">
        <f>BUDGET!AZ251</f>
        <v>0</v>
      </c>
      <c r="H251" s="843"/>
      <c r="I251" s="1178"/>
      <c r="J251" s="1770"/>
      <c r="K251" s="843"/>
      <c r="L251" s="1875"/>
    </row>
    <row r="252" spans="2:12" x14ac:dyDescent="0.2">
      <c r="B252" t="s">
        <v>367</v>
      </c>
      <c r="C252" s="459" t="str">
        <f>BUDGET!BA252</f>
        <v>yes</v>
      </c>
      <c r="D252" s="2943">
        <f>BUDGET!BB252</f>
        <v>44998</v>
      </c>
      <c r="E252" s="808" t="str">
        <f>BUDGET!A252</f>
        <v xml:space="preserve">   OTHER</v>
      </c>
      <c r="F252" s="843">
        <v>36576</v>
      </c>
      <c r="G252" s="2902">
        <f>BUDGET!AZ252</f>
        <v>308</v>
      </c>
      <c r="H252" s="843"/>
      <c r="I252" s="2944"/>
      <c r="J252" s="1768">
        <f t="shared" ref="J252" si="8">IF(C252="yes",G252,"")</f>
        <v>308</v>
      </c>
      <c r="K252" s="859" t="s">
        <v>1101</v>
      </c>
      <c r="L252" s="2948">
        <f>D252</f>
        <v>44998</v>
      </c>
    </row>
    <row r="253" spans="2:12" hidden="1" x14ac:dyDescent="0.2">
      <c r="B253" t="s">
        <v>367</v>
      </c>
      <c r="C253" s="459">
        <f>BUDGET!BA253</f>
        <v>0</v>
      </c>
      <c r="D253" s="459">
        <f>BUDGET!BB253</f>
        <v>0</v>
      </c>
      <c r="E253" s="878" t="str">
        <f>BUDGET!A253</f>
        <v xml:space="preserve">   TOTAL</v>
      </c>
      <c r="F253" s="814">
        <v>141295</v>
      </c>
      <c r="G253" s="2903">
        <f>BUDGET!AZ253</f>
        <v>0</v>
      </c>
      <c r="H253" s="814"/>
      <c r="I253" s="2898">
        <v>44998</v>
      </c>
      <c r="J253" s="1771"/>
      <c r="K253" s="814"/>
      <c r="L253" s="1876"/>
    </row>
    <row r="254" spans="2:12" hidden="1" x14ac:dyDescent="0.2">
      <c r="C254" s="459">
        <f>BUDGET!BA254</f>
        <v>0</v>
      </c>
      <c r="D254" s="459">
        <f>BUDGET!BB254</f>
        <v>0</v>
      </c>
      <c r="E254" s="855"/>
      <c r="F254" s="856">
        <v>0</v>
      </c>
      <c r="G254" s="2904">
        <f>BUDGET!AZ254</f>
        <v>0</v>
      </c>
      <c r="H254" s="856"/>
      <c r="I254" s="1237"/>
      <c r="J254" s="1772"/>
      <c r="K254" s="856"/>
      <c r="L254" s="1877"/>
    </row>
    <row r="255" spans="2:12" hidden="1" x14ac:dyDescent="0.2">
      <c r="C255" s="459">
        <f>BUDGET!BA255</f>
        <v>0</v>
      </c>
      <c r="D255" s="459" t="str">
        <f>BUDGET!BB255</f>
        <v>x</v>
      </c>
      <c r="E255" s="808" t="str">
        <f>BUDGET!A255</f>
        <v>MOSQUITO CONTROL</v>
      </c>
      <c r="F255" s="859">
        <v>0</v>
      </c>
      <c r="G255" s="2899">
        <f>BUDGET!AZ255</f>
        <v>0</v>
      </c>
      <c r="H255" s="859"/>
      <c r="I255" s="1178"/>
      <c r="J255" s="1773"/>
      <c r="K255" s="859"/>
      <c r="L255" s="1878"/>
    </row>
    <row r="256" spans="2:12" hidden="1" x14ac:dyDescent="0.2">
      <c r="C256" s="459">
        <f>BUDGET!BA256</f>
        <v>0</v>
      </c>
      <c r="D256" s="459" t="str">
        <f>BUDGET!BB256</f>
        <v>x</v>
      </c>
      <c r="E256" s="808" t="str">
        <f>BUDGET!A256</f>
        <v>WAGES</v>
      </c>
      <c r="F256" s="859">
        <v>0</v>
      </c>
      <c r="G256" s="2899">
        <f>BUDGET!AZ256</f>
        <v>0</v>
      </c>
      <c r="H256" s="859"/>
      <c r="I256" s="1178"/>
      <c r="J256" s="1773"/>
      <c r="K256" s="859"/>
      <c r="L256" s="1878"/>
    </row>
    <row r="257" spans="2:12" hidden="1" x14ac:dyDescent="0.2">
      <c r="C257" s="459">
        <f>BUDGET!BA257</f>
        <v>0</v>
      </c>
      <c r="D257" s="459" t="str">
        <f>BUDGET!BB257</f>
        <v>x</v>
      </c>
      <c r="E257" s="808" t="str">
        <f>BUDGET!A257</f>
        <v xml:space="preserve">OTHER </v>
      </c>
      <c r="F257" s="859">
        <v>0</v>
      </c>
      <c r="G257" s="2899">
        <f>BUDGET!AZ257</f>
        <v>0</v>
      </c>
      <c r="H257" s="859"/>
      <c r="I257" s="1178"/>
      <c r="J257" s="1773"/>
      <c r="K257" s="859"/>
      <c r="L257" s="1878"/>
    </row>
    <row r="258" spans="2:12" hidden="1" x14ac:dyDescent="0.2">
      <c r="C258" s="459">
        <f>BUDGET!BA258</f>
        <v>0</v>
      </c>
      <c r="D258" s="459" t="str">
        <f>BUDGET!BB258</f>
        <v>x</v>
      </c>
      <c r="E258" s="878" t="str">
        <f>BUDGET!A258</f>
        <v>TOTAL</v>
      </c>
      <c r="F258" s="814">
        <v>0</v>
      </c>
      <c r="G258" s="2903">
        <f>BUDGET!AZ258</f>
        <v>0</v>
      </c>
      <c r="H258" s="814"/>
      <c r="I258" s="853"/>
      <c r="J258" s="1771"/>
      <c r="K258" s="814"/>
      <c r="L258" s="1876"/>
    </row>
    <row r="259" spans="2:12" hidden="1" x14ac:dyDescent="0.2">
      <c r="C259" s="459">
        <f>BUDGET!BA259</f>
        <v>0</v>
      </c>
      <c r="D259" s="459" t="str">
        <f>BUDGET!BB259</f>
        <v>x</v>
      </c>
      <c r="E259" s="821">
        <f>BUDGET!A259</f>
        <v>0</v>
      </c>
      <c r="F259" s="856">
        <v>0</v>
      </c>
      <c r="G259" s="2904">
        <f>BUDGET!AZ259</f>
        <v>0</v>
      </c>
      <c r="H259" s="856"/>
      <c r="I259" s="1237"/>
      <c r="J259" s="1772"/>
      <c r="K259" s="856"/>
      <c r="L259" s="1877"/>
    </row>
    <row r="260" spans="2:12" hidden="1" x14ac:dyDescent="0.2">
      <c r="C260" s="459">
        <f>BUDGET!BA260</f>
        <v>0</v>
      </c>
      <c r="D260" s="459" t="str">
        <f>BUDGET!BB260</f>
        <v>x</v>
      </c>
      <c r="E260" s="808" t="str">
        <f>BUDGET!A260</f>
        <v xml:space="preserve">MSW COLLECTION,HHW &amp; RECYCLING </v>
      </c>
      <c r="F260" s="1087">
        <v>0</v>
      </c>
      <c r="G260" s="2906">
        <f>BUDGET!AZ260</f>
        <v>0</v>
      </c>
      <c r="H260" s="1087"/>
      <c r="I260" s="1523"/>
      <c r="J260" s="1775"/>
      <c r="K260" s="1087"/>
      <c r="L260" s="1880"/>
    </row>
    <row r="261" spans="2:12" hidden="1" x14ac:dyDescent="0.2">
      <c r="C261" s="459">
        <f>BUDGET!BA261</f>
        <v>0</v>
      </c>
      <c r="D261" s="459" t="str">
        <f>BUDGET!BB261</f>
        <v>x</v>
      </c>
      <c r="E261" s="808" t="str">
        <f>BUDGET!A261</f>
        <v xml:space="preserve">   SERVICES</v>
      </c>
      <c r="F261" s="1088">
        <v>0</v>
      </c>
      <c r="G261" s="2924">
        <f>BUDGET!AZ261</f>
        <v>0</v>
      </c>
      <c r="H261" s="1088"/>
      <c r="I261" s="2174"/>
      <c r="J261" s="1791"/>
      <c r="K261" s="1088"/>
      <c r="L261" s="1901"/>
    </row>
    <row r="262" spans="2:12" hidden="1" x14ac:dyDescent="0.2">
      <c r="C262" s="459">
        <f>BUDGET!BA262</f>
        <v>0</v>
      </c>
      <c r="D262" s="459" t="str">
        <f>BUDGET!BB262</f>
        <v>x</v>
      </c>
      <c r="E262" s="878" t="str">
        <f>BUDGET!A262</f>
        <v xml:space="preserve">   TOTAL</v>
      </c>
      <c r="F262" s="1090">
        <v>0</v>
      </c>
      <c r="G262" s="2925">
        <f>BUDGET!AZ262</f>
        <v>0</v>
      </c>
      <c r="H262" s="1090"/>
      <c r="I262" s="2175"/>
      <c r="J262" s="1792"/>
      <c r="K262" s="1090"/>
      <c r="L262" s="1902"/>
    </row>
    <row r="263" spans="2:12" hidden="1" x14ac:dyDescent="0.2">
      <c r="C263" s="459">
        <f>BUDGET!BA263</f>
        <v>0</v>
      </c>
      <c r="D263" s="459" t="str">
        <f>BUDGET!BB263</f>
        <v>x</v>
      </c>
      <c r="E263" s="855">
        <f>BUDGET!A263</f>
        <v>0</v>
      </c>
      <c r="F263" s="1092">
        <v>0</v>
      </c>
      <c r="G263" s="2908">
        <f>BUDGET!AZ263</f>
        <v>0</v>
      </c>
      <c r="H263" s="1092"/>
      <c r="I263" s="1736"/>
      <c r="J263" s="1777"/>
      <c r="K263" s="1092"/>
      <c r="L263" s="1882"/>
    </row>
    <row r="264" spans="2:12" hidden="1" x14ac:dyDescent="0.2">
      <c r="C264" s="459">
        <f>BUDGET!BA264</f>
        <v>0</v>
      </c>
      <c r="D264" s="459" t="str">
        <f>BUDGET!BB264</f>
        <v>x</v>
      </c>
      <c r="E264" s="1040" t="str">
        <f>BUDGET!A264</f>
        <v>RECYCLING</v>
      </c>
      <c r="F264" s="1087">
        <v>0</v>
      </c>
      <c r="G264" s="2906">
        <f>BUDGET!AZ264</f>
        <v>0</v>
      </c>
      <c r="H264" s="1087"/>
      <c r="I264" s="1523"/>
      <c r="J264" s="1775"/>
      <c r="K264" s="1087"/>
      <c r="L264" s="1880"/>
    </row>
    <row r="265" spans="2:12" hidden="1" x14ac:dyDescent="0.2">
      <c r="C265" s="459">
        <f>BUDGET!BA265</f>
        <v>0</v>
      </c>
      <c r="D265" s="459" t="str">
        <f>BUDGET!BB265</f>
        <v>x</v>
      </c>
      <c r="E265" s="808" t="str">
        <f>BUDGET!A265</f>
        <v xml:space="preserve">   WAGES</v>
      </c>
      <c r="F265" s="1090">
        <v>0</v>
      </c>
      <c r="G265" s="2925">
        <f>BUDGET!AZ265</f>
        <v>0</v>
      </c>
      <c r="H265" s="1090"/>
      <c r="I265" s="2175"/>
      <c r="J265" s="1792"/>
      <c r="K265" s="1090"/>
      <c r="L265" s="1902"/>
    </row>
    <row r="266" spans="2:12" hidden="1" x14ac:dyDescent="0.2">
      <c r="C266" s="459">
        <f>BUDGET!BA266</f>
        <v>0</v>
      </c>
      <c r="D266" s="459" t="str">
        <f>BUDGET!BB266</f>
        <v>x</v>
      </c>
      <c r="E266" s="808" t="str">
        <f>BUDGET!A266</f>
        <v xml:space="preserve">   OTHER</v>
      </c>
      <c r="F266" s="1090">
        <v>0</v>
      </c>
      <c r="G266" s="2925">
        <f>BUDGET!AZ266</f>
        <v>0</v>
      </c>
      <c r="H266" s="1090"/>
      <c r="I266" s="2175"/>
      <c r="J266" s="1792"/>
      <c r="K266" s="1090"/>
      <c r="L266" s="1902"/>
    </row>
    <row r="267" spans="2:12" hidden="1" x14ac:dyDescent="0.2">
      <c r="C267" s="459">
        <f>BUDGET!BA267</f>
        <v>0</v>
      </c>
      <c r="D267" s="459" t="str">
        <f>BUDGET!BB267</f>
        <v>x</v>
      </c>
      <c r="E267" s="878" t="str">
        <f>BUDGET!A267</f>
        <v xml:space="preserve">   TOTAL</v>
      </c>
      <c r="F267" s="1090">
        <v>0</v>
      </c>
      <c r="G267" s="2925">
        <f>BUDGET!AZ267</f>
        <v>0</v>
      </c>
      <c r="H267" s="1090"/>
      <c r="I267" s="2175"/>
      <c r="J267" s="1792"/>
      <c r="K267" s="1090"/>
      <c r="L267" s="1902"/>
    </row>
    <row r="268" spans="2:12" hidden="1" x14ac:dyDescent="0.2">
      <c r="C268" s="459">
        <f>BUDGET!BA268</f>
        <v>0</v>
      </c>
      <c r="D268" s="459" t="str">
        <f>BUDGET!BB268</f>
        <v>x</v>
      </c>
      <c r="E268" s="855">
        <f>BUDGET!A268</f>
        <v>0</v>
      </c>
      <c r="F268" s="1092">
        <v>0</v>
      </c>
      <c r="G268" s="2908">
        <f>BUDGET!AZ268</f>
        <v>0</v>
      </c>
      <c r="H268" s="1092"/>
      <c r="I268" s="1736"/>
      <c r="J268" s="1777"/>
      <c r="K268" s="1092"/>
      <c r="L268" s="1882"/>
    </row>
    <row r="269" spans="2:12" hidden="1" x14ac:dyDescent="0.2">
      <c r="B269" s="459" t="s">
        <v>628</v>
      </c>
      <c r="C269" s="459">
        <f>BUDGET!BA269</f>
        <v>0</v>
      </c>
      <c r="D269" s="459">
        <f>BUDGET!BB269</f>
        <v>0</v>
      </c>
      <c r="E269" s="808" t="str">
        <f>BUDGET!A269</f>
        <v>COUNCIL ON AGING</v>
      </c>
      <c r="F269" s="817">
        <v>0</v>
      </c>
      <c r="G269" s="2900">
        <f>BUDGET!AZ269</f>
        <v>0</v>
      </c>
      <c r="H269" s="817"/>
      <c r="I269" s="877"/>
      <c r="J269" s="1768"/>
      <c r="K269" s="817"/>
      <c r="L269" s="1873"/>
    </row>
    <row r="270" spans="2:12" hidden="1" x14ac:dyDescent="0.2">
      <c r="B270" t="s">
        <v>628</v>
      </c>
      <c r="C270" s="459">
        <f>BUDGET!BA270</f>
        <v>0</v>
      </c>
      <c r="D270" s="459">
        <f>BUDGET!BB270</f>
        <v>0</v>
      </c>
      <c r="E270" s="808" t="str">
        <f>BUDGET!A270</f>
        <v xml:space="preserve">   SALARIES </v>
      </c>
      <c r="F270" s="843">
        <v>78042</v>
      </c>
      <c r="G270" s="2902">
        <f>BUDGET!AZ270</f>
        <v>0</v>
      </c>
      <c r="H270" s="843"/>
      <c r="I270" s="1178"/>
      <c r="J270" s="1770"/>
      <c r="K270" s="843"/>
      <c r="L270" s="1875"/>
    </row>
    <row r="271" spans="2:12" hidden="1" x14ac:dyDescent="0.2">
      <c r="B271" t="s">
        <v>628</v>
      </c>
      <c r="C271" s="459">
        <f>BUDGET!BA271</f>
        <v>0</v>
      </c>
      <c r="D271" s="459">
        <f>BUDGET!BB271</f>
        <v>0</v>
      </c>
      <c r="E271" s="808" t="str">
        <f>BUDGET!A271</f>
        <v xml:space="preserve">   WAGES</v>
      </c>
      <c r="F271" s="843">
        <v>66131</v>
      </c>
      <c r="G271" s="2902">
        <f>BUDGET!AZ271</f>
        <v>0</v>
      </c>
      <c r="H271" s="843"/>
      <c r="I271" s="1178"/>
      <c r="J271" s="1770"/>
      <c r="K271" s="843"/>
      <c r="L271" s="1875"/>
    </row>
    <row r="272" spans="2:12" hidden="1" x14ac:dyDescent="0.2">
      <c r="B272" t="s">
        <v>628</v>
      </c>
      <c r="C272" s="459">
        <f>BUDGET!BA272</f>
        <v>0</v>
      </c>
      <c r="D272" s="459">
        <f>BUDGET!BB272</f>
        <v>0</v>
      </c>
      <c r="E272" s="808" t="str">
        <f>BUDGET!A272</f>
        <v xml:space="preserve">   OTHER</v>
      </c>
      <c r="F272" s="843">
        <v>5561</v>
      </c>
      <c r="G272" s="2902">
        <f>BUDGET!AZ272</f>
        <v>0</v>
      </c>
      <c r="H272" s="843"/>
      <c r="I272" s="1178"/>
      <c r="J272" s="1770"/>
      <c r="K272" s="843"/>
      <c r="L272" s="1875"/>
    </row>
    <row r="273" spans="2:12" hidden="1" x14ac:dyDescent="0.2">
      <c r="B273" t="s">
        <v>628</v>
      </c>
      <c r="C273" s="459">
        <f>BUDGET!BA273</f>
        <v>0</v>
      </c>
      <c r="D273" s="459">
        <f>BUDGET!BB273</f>
        <v>0</v>
      </c>
      <c r="E273" s="878" t="str">
        <f>BUDGET!A273</f>
        <v xml:space="preserve">   TOTAL</v>
      </c>
      <c r="F273" s="814">
        <v>149734</v>
      </c>
      <c r="G273" s="2903">
        <f>BUDGET!AZ273</f>
        <v>0</v>
      </c>
      <c r="H273" s="814"/>
      <c r="I273" s="2898">
        <v>44998</v>
      </c>
      <c r="J273" s="1771"/>
      <c r="K273" s="814"/>
      <c r="L273" s="1876"/>
    </row>
    <row r="274" spans="2:12" hidden="1" x14ac:dyDescent="0.2">
      <c r="C274" s="459">
        <f>BUDGET!BA274</f>
        <v>0</v>
      </c>
      <c r="D274" s="459">
        <f>BUDGET!BB274</f>
        <v>0</v>
      </c>
      <c r="E274" s="855"/>
      <c r="F274" s="856">
        <v>0</v>
      </c>
      <c r="G274" s="2904">
        <f>BUDGET!AZ274</f>
        <v>0</v>
      </c>
      <c r="H274" s="856"/>
      <c r="I274" s="1237"/>
      <c r="J274" s="1772"/>
      <c r="K274" s="856"/>
      <c r="L274" s="1877"/>
    </row>
    <row r="275" spans="2:12" hidden="1" x14ac:dyDescent="0.2">
      <c r="B275" t="s">
        <v>628</v>
      </c>
      <c r="C275" s="459">
        <f>BUDGET!BA275</f>
        <v>0</v>
      </c>
      <c r="D275" s="459" t="str">
        <f>BUDGET!BB275</f>
        <v>x</v>
      </c>
      <c r="E275" s="808" t="str">
        <f>BUDGET!A275</f>
        <v>TRI-TOWN COUNCIL</v>
      </c>
      <c r="F275" s="817">
        <v>0</v>
      </c>
      <c r="G275" s="2900">
        <f>BUDGET!AZ275</f>
        <v>0</v>
      </c>
      <c r="H275" s="817"/>
      <c r="I275" s="877"/>
      <c r="J275" s="1768"/>
      <c r="K275" s="817"/>
      <c r="L275" s="1873"/>
    </row>
    <row r="276" spans="2:12" hidden="1" x14ac:dyDescent="0.2">
      <c r="B276" t="s">
        <v>628</v>
      </c>
      <c r="C276" s="459">
        <f>BUDGET!BA276</f>
        <v>0</v>
      </c>
      <c r="D276" s="459" t="str">
        <f>BUDGET!BB276</f>
        <v>x</v>
      </c>
      <c r="E276" s="808" t="str">
        <f>BUDGET!A276</f>
        <v xml:space="preserve">   SERVICES</v>
      </c>
      <c r="F276" s="859">
        <v>0</v>
      </c>
      <c r="G276" s="2899">
        <f>BUDGET!AZ276</f>
        <v>0</v>
      </c>
      <c r="H276" s="859"/>
      <c r="I276" s="1178"/>
      <c r="J276" s="1773"/>
      <c r="K276" s="859"/>
      <c r="L276" s="1878"/>
    </row>
    <row r="277" spans="2:12" hidden="1" x14ac:dyDescent="0.2">
      <c r="B277" t="s">
        <v>628</v>
      </c>
      <c r="C277" s="459">
        <f>BUDGET!BA277</f>
        <v>0</v>
      </c>
      <c r="D277" s="459" t="str">
        <f>BUDGET!BB277</f>
        <v>x</v>
      </c>
      <c r="E277" s="878" t="str">
        <f>BUDGET!A277</f>
        <v xml:space="preserve">   TOTAL</v>
      </c>
      <c r="F277" s="814">
        <v>0</v>
      </c>
      <c r="G277" s="2903">
        <f>BUDGET!AZ277</f>
        <v>0</v>
      </c>
      <c r="H277" s="814"/>
      <c r="I277" s="853"/>
      <c r="J277" s="1771"/>
      <c r="K277" s="814"/>
      <c r="L277" s="1876"/>
    </row>
    <row r="278" spans="2:12" hidden="1" x14ac:dyDescent="0.2">
      <c r="C278" s="459">
        <f>BUDGET!BA278</f>
        <v>0</v>
      </c>
      <c r="D278" s="459" t="str">
        <f>BUDGET!BB278</f>
        <v>x</v>
      </c>
      <c r="E278" s="821">
        <f>BUDGET!A278</f>
        <v>0</v>
      </c>
      <c r="F278" s="831">
        <v>0</v>
      </c>
      <c r="G278" s="2901">
        <f>BUDGET!AZ278</f>
        <v>0</v>
      </c>
      <c r="H278" s="831"/>
      <c r="I278" s="1733"/>
      <c r="J278" s="1769"/>
      <c r="K278" s="831"/>
      <c r="L278" s="1874"/>
    </row>
    <row r="279" spans="2:12" hidden="1" x14ac:dyDescent="0.2">
      <c r="C279" s="459">
        <f>BUDGET!BA279</f>
        <v>0</v>
      </c>
      <c r="D279" s="459" t="str">
        <f>BUDGET!BB279</f>
        <v>x</v>
      </c>
      <c r="E279" s="808" t="str">
        <f>BUDGET!A279</f>
        <v>HAWC</v>
      </c>
      <c r="F279" s="817">
        <v>0</v>
      </c>
      <c r="G279" s="2900">
        <f>BUDGET!AZ279</f>
        <v>0</v>
      </c>
      <c r="H279" s="817"/>
      <c r="I279" s="877"/>
      <c r="J279" s="1768"/>
      <c r="K279" s="817"/>
      <c r="L279" s="1873"/>
    </row>
    <row r="280" spans="2:12" hidden="1" x14ac:dyDescent="0.2">
      <c r="C280" s="459">
        <f>BUDGET!BA280</f>
        <v>0</v>
      </c>
      <c r="D280" s="459" t="str">
        <f>BUDGET!BB280</f>
        <v>x</v>
      </c>
      <c r="E280" s="808" t="str">
        <f>BUDGET!A280</f>
        <v xml:space="preserve">  OTHER</v>
      </c>
      <c r="F280" s="859">
        <v>0</v>
      </c>
      <c r="G280" s="2899">
        <f>BUDGET!AZ280</f>
        <v>0</v>
      </c>
      <c r="H280" s="859"/>
      <c r="I280" s="1178"/>
      <c r="J280" s="1773"/>
      <c r="K280" s="859"/>
      <c r="L280" s="1878"/>
    </row>
    <row r="281" spans="2:12" hidden="1" x14ac:dyDescent="0.2">
      <c r="B281">
        <v>0</v>
      </c>
      <c r="C281" s="459">
        <f>BUDGET!BA281</f>
        <v>0</v>
      </c>
      <c r="D281" s="459" t="str">
        <f>BUDGET!BB281</f>
        <v>x</v>
      </c>
      <c r="E281" s="821" t="str">
        <f>BUDGET!A281</f>
        <v xml:space="preserve">  TOTAL</v>
      </c>
      <c r="F281" s="861">
        <v>0</v>
      </c>
      <c r="G281" s="2909">
        <f>BUDGET!AZ281</f>
        <v>0</v>
      </c>
      <c r="H281" s="861"/>
      <c r="I281" s="1200"/>
      <c r="J281" s="1778"/>
      <c r="K281" s="861"/>
      <c r="L281" s="1883"/>
    </row>
    <row r="282" spans="2:12" hidden="1" x14ac:dyDescent="0.2">
      <c r="B282" s="459" t="s">
        <v>222</v>
      </c>
      <c r="C282" s="459">
        <f>BUDGET!BA282</f>
        <v>0</v>
      </c>
      <c r="D282" s="459">
        <f>BUDGET!BB282</f>
        <v>0</v>
      </c>
      <c r="E282" s="808" t="str">
        <f>BUDGET!A282</f>
        <v>VETERANS BENEFITS</v>
      </c>
      <c r="F282" s="817">
        <v>0</v>
      </c>
      <c r="G282" s="2900">
        <f>BUDGET!AZ282</f>
        <v>0</v>
      </c>
      <c r="H282" s="817"/>
      <c r="I282" s="877"/>
      <c r="J282" s="1768"/>
      <c r="K282" s="817"/>
      <c r="L282" s="1873"/>
    </row>
    <row r="283" spans="2:12" hidden="1" x14ac:dyDescent="0.2">
      <c r="B283" t="s">
        <v>222</v>
      </c>
      <c r="C283" s="459">
        <f>BUDGET!BA283</f>
        <v>0</v>
      </c>
      <c r="D283" s="459">
        <f>BUDGET!BB283</f>
        <v>0</v>
      </c>
      <c r="E283" s="808" t="str">
        <f>BUDGET!A283</f>
        <v xml:space="preserve">   VET. BNFTS</v>
      </c>
      <c r="F283" s="843">
        <v>20960</v>
      </c>
      <c r="G283" s="2902">
        <f>BUDGET!AZ283</f>
        <v>0</v>
      </c>
      <c r="H283" s="843"/>
      <c r="I283" s="1178"/>
      <c r="J283" s="1770"/>
      <c r="K283" s="843"/>
      <c r="L283" s="1875"/>
    </row>
    <row r="284" spans="2:12" hidden="1" x14ac:dyDescent="0.2">
      <c r="B284" t="s">
        <v>222</v>
      </c>
      <c r="C284" s="459">
        <f>BUDGET!BA284</f>
        <v>0</v>
      </c>
      <c r="D284" s="459">
        <f>BUDGET!BB284</f>
        <v>0</v>
      </c>
      <c r="E284" s="878" t="str">
        <f>BUDGET!A284</f>
        <v xml:space="preserve">   TOTAL</v>
      </c>
      <c r="F284" s="814">
        <v>20960</v>
      </c>
      <c r="G284" s="2903">
        <f>BUDGET!AZ284</f>
        <v>0</v>
      </c>
      <c r="H284" s="814"/>
      <c r="I284" s="2898">
        <v>44998</v>
      </c>
      <c r="J284" s="1771"/>
      <c r="K284" s="814"/>
      <c r="L284" s="1876"/>
    </row>
    <row r="285" spans="2:12" hidden="1" x14ac:dyDescent="0.2">
      <c r="C285" s="459">
        <f>BUDGET!BA285</f>
        <v>0</v>
      </c>
      <c r="D285" s="459">
        <f>BUDGET!BB285</f>
        <v>0</v>
      </c>
      <c r="E285" s="855"/>
      <c r="F285" s="856">
        <v>0</v>
      </c>
      <c r="G285" s="2904">
        <f>BUDGET!AZ285</f>
        <v>0</v>
      </c>
      <c r="H285" s="856"/>
      <c r="I285" s="1237"/>
      <c r="J285" s="1772"/>
      <c r="K285" s="856"/>
      <c r="L285" s="1877"/>
    </row>
    <row r="286" spans="2:12" hidden="1" x14ac:dyDescent="0.2">
      <c r="B286" t="s">
        <v>222</v>
      </c>
      <c r="C286" s="459">
        <f>BUDGET!BA286</f>
        <v>0</v>
      </c>
      <c r="D286" s="459">
        <f>BUDGET!BB286</f>
        <v>0</v>
      </c>
      <c r="E286" s="808" t="str">
        <f>BUDGET!A286</f>
        <v>SOLDIERS &amp; SAILORS GRAVES</v>
      </c>
      <c r="F286" s="817">
        <v>0</v>
      </c>
      <c r="G286" s="2900">
        <f>BUDGET!AZ286</f>
        <v>0</v>
      </c>
      <c r="H286" s="817"/>
      <c r="I286" s="877"/>
      <c r="J286" s="1768"/>
      <c r="K286" s="817"/>
      <c r="L286" s="1873"/>
    </row>
    <row r="287" spans="2:12" hidden="1" x14ac:dyDescent="0.2">
      <c r="B287" t="s">
        <v>222</v>
      </c>
      <c r="C287" s="459">
        <f>BUDGET!BA287</f>
        <v>0</v>
      </c>
      <c r="D287" s="459">
        <f>BUDGET!BB287</f>
        <v>0</v>
      </c>
      <c r="E287" s="808" t="str">
        <f>BUDGET!A287</f>
        <v xml:space="preserve">   OTHER</v>
      </c>
      <c r="F287" s="843">
        <v>1000</v>
      </c>
      <c r="G287" s="2902">
        <f>BUDGET!AZ287</f>
        <v>0</v>
      </c>
      <c r="H287" s="843"/>
      <c r="I287" s="1178"/>
      <c r="J287" s="1770"/>
      <c r="K287" s="843"/>
      <c r="L287" s="1875"/>
    </row>
    <row r="288" spans="2:12" hidden="1" x14ac:dyDescent="0.2">
      <c r="B288" t="s">
        <v>222</v>
      </c>
      <c r="C288" s="459">
        <f>BUDGET!BA288</f>
        <v>0</v>
      </c>
      <c r="D288" s="459">
        <f>BUDGET!BB288</f>
        <v>0</v>
      </c>
      <c r="E288" s="878" t="str">
        <f>BUDGET!A288</f>
        <v xml:space="preserve">   TOTAL</v>
      </c>
      <c r="F288" s="814">
        <v>1000</v>
      </c>
      <c r="G288" s="2903">
        <f>BUDGET!AZ288</f>
        <v>0</v>
      </c>
      <c r="H288" s="814"/>
      <c r="I288" s="2898">
        <v>44998</v>
      </c>
      <c r="J288" s="1771"/>
      <c r="K288" s="814"/>
      <c r="L288" s="1876"/>
    </row>
    <row r="289" spans="2:12" hidden="1" x14ac:dyDescent="0.2">
      <c r="C289" s="459">
        <f>BUDGET!BA289</f>
        <v>0</v>
      </c>
      <c r="D289" s="459">
        <f>BUDGET!BB289</f>
        <v>0</v>
      </c>
      <c r="E289" s="855"/>
      <c r="F289" s="856">
        <v>0</v>
      </c>
      <c r="G289" s="2904">
        <f>BUDGET!AZ289</f>
        <v>0</v>
      </c>
      <c r="H289" s="856"/>
      <c r="I289" s="1237"/>
      <c r="J289" s="1772"/>
      <c r="K289" s="856"/>
      <c r="L289" s="1877"/>
    </row>
    <row r="290" spans="2:12" hidden="1" x14ac:dyDescent="0.2">
      <c r="C290" s="459">
        <f>BUDGET!BA290</f>
        <v>0</v>
      </c>
      <c r="D290" s="459">
        <f>BUDGET!BB290</f>
        <v>0</v>
      </c>
      <c r="E290" s="795" t="str">
        <f>BUDGET!A290</f>
        <v>SUBTOTAL:    HUMAN SERVICES</v>
      </c>
      <c r="F290" s="861">
        <v>0</v>
      </c>
      <c r="G290" s="2909">
        <f>BUDGET!AZ290</f>
        <v>0</v>
      </c>
      <c r="H290" s="861"/>
      <c r="I290" s="1200"/>
      <c r="J290" s="1778"/>
      <c r="K290" s="861"/>
      <c r="L290" s="1883"/>
    </row>
    <row r="291" spans="2:12" hidden="1" x14ac:dyDescent="0.2">
      <c r="C291" s="459">
        <f>BUDGET!BA291</f>
        <v>0</v>
      </c>
      <c r="D291" s="459">
        <f>BUDGET!BB291</f>
        <v>0</v>
      </c>
      <c r="E291" s="878" t="str">
        <f>BUDGET!A291</f>
        <v xml:space="preserve">   SALARIES</v>
      </c>
      <c r="F291" s="928">
        <v>152229</v>
      </c>
      <c r="G291" s="2912">
        <f>BUDGET!AZ291</f>
        <v>0</v>
      </c>
      <c r="H291" s="928"/>
      <c r="I291" s="853"/>
      <c r="J291" s="1780"/>
      <c r="K291" s="928"/>
      <c r="L291" s="1886"/>
    </row>
    <row r="292" spans="2:12" hidden="1" x14ac:dyDescent="0.2">
      <c r="C292" s="459">
        <f>BUDGET!BA292</f>
        <v>0</v>
      </c>
      <c r="D292" s="459">
        <f>BUDGET!BB292</f>
        <v>0</v>
      </c>
      <c r="E292" s="878" t="str">
        <f>BUDGET!A292</f>
        <v xml:space="preserve">   WAGES</v>
      </c>
      <c r="F292" s="928">
        <v>96663</v>
      </c>
      <c r="G292" s="2912">
        <f>BUDGET!AZ292</f>
        <v>0</v>
      </c>
      <c r="H292" s="928"/>
      <c r="I292" s="853"/>
      <c r="J292" s="1780"/>
      <c r="K292" s="928"/>
      <c r="L292" s="1886"/>
    </row>
    <row r="293" spans="2:12" hidden="1" x14ac:dyDescent="0.2">
      <c r="C293" s="459">
        <f>BUDGET!BA293</f>
        <v>0</v>
      </c>
      <c r="D293" s="459">
        <f>BUDGET!BB293</f>
        <v>0</v>
      </c>
      <c r="E293" s="878" t="str">
        <f>BUDGET!A293</f>
        <v xml:space="preserve">   SERVICES</v>
      </c>
      <c r="F293" s="928">
        <v>0</v>
      </c>
      <c r="G293" s="2912">
        <f>BUDGET!AZ293</f>
        <v>0</v>
      </c>
      <c r="H293" s="928"/>
      <c r="I293" s="853"/>
      <c r="J293" s="1780"/>
      <c r="K293" s="928"/>
      <c r="L293" s="1886"/>
    </row>
    <row r="294" spans="2:12" hidden="1" x14ac:dyDescent="0.2">
      <c r="C294" s="459">
        <f>BUDGET!BA294</f>
        <v>0</v>
      </c>
      <c r="D294" s="459">
        <f>BUDGET!BB294</f>
        <v>0</v>
      </c>
      <c r="E294" s="878" t="str">
        <f>BUDGET!A294</f>
        <v xml:space="preserve">   OTHER</v>
      </c>
      <c r="F294" s="928">
        <v>43137</v>
      </c>
      <c r="G294" s="2912">
        <f>BUDGET!AZ294</f>
        <v>0</v>
      </c>
      <c r="H294" s="928"/>
      <c r="I294" s="853"/>
      <c r="J294" s="1780"/>
      <c r="K294" s="928"/>
      <c r="L294" s="1886"/>
    </row>
    <row r="295" spans="2:12" hidden="1" x14ac:dyDescent="0.2">
      <c r="C295" s="459">
        <f>BUDGET!BA295</f>
        <v>0</v>
      </c>
      <c r="D295" s="459">
        <f>BUDGET!BB295</f>
        <v>0</v>
      </c>
      <c r="E295" s="878" t="str">
        <f>BUDGET!A295</f>
        <v>VET'S BENEFITS</v>
      </c>
      <c r="F295" s="928">
        <v>20960</v>
      </c>
      <c r="G295" s="2912">
        <f>BUDGET!AZ295</f>
        <v>0</v>
      </c>
      <c r="H295" s="928"/>
      <c r="I295" s="853"/>
      <c r="J295" s="1780"/>
      <c r="K295" s="928"/>
      <c r="L295" s="1886"/>
    </row>
    <row r="296" spans="2:12" ht="13.5" hidden="1" thickBot="1" x14ac:dyDescent="0.25">
      <c r="C296" s="459">
        <f>BUDGET!BA296</f>
        <v>0</v>
      </c>
      <c r="D296" s="459">
        <f>BUDGET!BB296</f>
        <v>0</v>
      </c>
      <c r="E296" s="946" t="str">
        <f>BUDGET!A296</f>
        <v>HUMAN SERVICES:  SUB-TOTAL</v>
      </c>
      <c r="F296" s="1071">
        <v>312989</v>
      </c>
      <c r="G296" s="2918">
        <f>BUDGET!AZ296</f>
        <v>0</v>
      </c>
      <c r="H296" s="1071"/>
      <c r="I296" s="2173"/>
      <c r="J296" s="1781"/>
      <c r="K296" s="1071"/>
      <c r="L296" s="1900"/>
    </row>
    <row r="297" spans="2:12" hidden="1" x14ac:dyDescent="0.2">
      <c r="C297" s="459">
        <f>BUDGET!BA297</f>
        <v>0</v>
      </c>
      <c r="D297" s="459">
        <f>BUDGET!BB297</f>
        <v>0</v>
      </c>
      <c r="E297" s="795" t="str">
        <f>BUDGET!A297</f>
        <v>CULTURE AND RECREATION</v>
      </c>
      <c r="F297" s="859">
        <v>0</v>
      </c>
      <c r="G297" s="2899">
        <f>BUDGET!AZ297</f>
        <v>0</v>
      </c>
      <c r="H297" s="859"/>
      <c r="I297" s="1178"/>
      <c r="J297" s="1773"/>
      <c r="K297" s="859"/>
      <c r="L297" s="1878"/>
    </row>
    <row r="298" spans="2:12" hidden="1" x14ac:dyDescent="0.2">
      <c r="B298" s="459" t="s">
        <v>156</v>
      </c>
      <c r="C298" s="459">
        <f>BUDGET!BA298</f>
        <v>0</v>
      </c>
      <c r="D298" s="459">
        <f>BUDGET!BB298</f>
        <v>0</v>
      </c>
      <c r="E298" s="808" t="str">
        <f>BUDGET!A298</f>
        <v>LIBRARY</v>
      </c>
      <c r="F298" s="817">
        <v>0</v>
      </c>
      <c r="G298" s="2900">
        <f>BUDGET!AZ298</f>
        <v>0</v>
      </c>
      <c r="H298" s="817"/>
      <c r="I298" s="877"/>
      <c r="J298" s="1768"/>
      <c r="K298" s="817"/>
      <c r="L298" s="1873"/>
    </row>
    <row r="299" spans="2:12" hidden="1" x14ac:dyDescent="0.2">
      <c r="B299" t="s">
        <v>156</v>
      </c>
      <c r="C299" s="459">
        <f>BUDGET!BA299</f>
        <v>0</v>
      </c>
      <c r="D299" s="459">
        <f>BUDGET!BB299</f>
        <v>0</v>
      </c>
      <c r="E299" s="808" t="str">
        <f>BUDGET!A299</f>
        <v xml:space="preserve">   SALARIES</v>
      </c>
      <c r="F299" s="843">
        <v>281779</v>
      </c>
      <c r="G299" s="2902">
        <f>BUDGET!AZ299</f>
        <v>0</v>
      </c>
      <c r="H299" s="843"/>
      <c r="I299" s="1178"/>
      <c r="J299" s="1770"/>
      <c r="K299" s="843"/>
      <c r="L299" s="1875"/>
    </row>
    <row r="300" spans="2:12" hidden="1" x14ac:dyDescent="0.2">
      <c r="B300" t="s">
        <v>156</v>
      </c>
      <c r="C300" s="459">
        <f>BUDGET!BA300</f>
        <v>0</v>
      </c>
      <c r="D300" s="459">
        <f>BUDGET!BB300</f>
        <v>0</v>
      </c>
      <c r="E300" s="808" t="str">
        <f>BUDGET!A300</f>
        <v xml:space="preserve">   WAGES</v>
      </c>
      <c r="F300" s="843">
        <v>224075</v>
      </c>
      <c r="G300" s="2902">
        <f>BUDGET!AZ300</f>
        <v>0</v>
      </c>
      <c r="H300" s="843"/>
      <c r="I300" s="1178"/>
      <c r="J300" s="1770"/>
      <c r="K300" s="843"/>
      <c r="L300" s="1875"/>
    </row>
    <row r="301" spans="2:12" x14ac:dyDescent="0.2">
      <c r="B301" t="s">
        <v>156</v>
      </c>
      <c r="C301" s="459" t="str">
        <f>BUDGET!BA301</f>
        <v>yes</v>
      </c>
      <c r="D301" s="2943">
        <f>BUDGET!BB301</f>
        <v>44998</v>
      </c>
      <c r="E301" s="808" t="str">
        <f>BUDGET!A301</f>
        <v xml:space="preserve">   OTHER</v>
      </c>
      <c r="F301" s="843">
        <f>177586-90</f>
        <v>177496</v>
      </c>
      <c r="G301" s="2902">
        <f>BUDGET!AZ301</f>
        <v>90</v>
      </c>
      <c r="H301" s="843"/>
      <c r="I301" s="2944"/>
      <c r="J301" s="1768">
        <f t="shared" ref="J301" si="9">IF(C301="yes",G301,"")</f>
        <v>90</v>
      </c>
      <c r="K301" s="859" t="s">
        <v>1101</v>
      </c>
      <c r="L301" s="2948">
        <f>D301</f>
        <v>44998</v>
      </c>
    </row>
    <row r="302" spans="2:12" hidden="1" x14ac:dyDescent="0.2">
      <c r="B302" t="s">
        <v>156</v>
      </c>
      <c r="C302" s="459">
        <f>BUDGET!BA302</f>
        <v>0</v>
      </c>
      <c r="D302" s="459">
        <f>BUDGET!BB302</f>
        <v>0</v>
      </c>
      <c r="E302" s="808" t="str">
        <f>BUDGET!A302</f>
        <v xml:space="preserve">   MISC.</v>
      </c>
      <c r="F302" s="817">
        <v>0</v>
      </c>
      <c r="G302" s="2900">
        <f>BUDGET!AZ302</f>
        <v>0</v>
      </c>
      <c r="H302" s="817"/>
      <c r="I302" s="877"/>
      <c r="J302" s="1768"/>
      <c r="K302" s="817"/>
      <c r="L302" s="1873"/>
    </row>
    <row r="303" spans="2:12" hidden="1" x14ac:dyDescent="0.2">
      <c r="B303" t="s">
        <v>156</v>
      </c>
      <c r="C303" s="459">
        <f>BUDGET!BA303</f>
        <v>0</v>
      </c>
      <c r="D303" s="459">
        <f>BUDGET!BB303</f>
        <v>0</v>
      </c>
      <c r="E303" s="808" t="str">
        <f>BUDGET!A303</f>
        <v xml:space="preserve">   SUB-TOTAL</v>
      </c>
      <c r="F303" s="1560">
        <v>505854</v>
      </c>
      <c r="G303" s="2923">
        <f>BUDGET!AZ303</f>
        <v>0</v>
      </c>
      <c r="H303" s="1560"/>
      <c r="I303" s="1085"/>
      <c r="J303" s="1793"/>
      <c r="K303" s="1560"/>
      <c r="L303" s="1903"/>
    </row>
    <row r="304" spans="2:12" hidden="1" x14ac:dyDescent="0.2">
      <c r="B304" t="s">
        <v>156</v>
      </c>
      <c r="C304" s="459">
        <f>BUDGET!BA304</f>
        <v>0</v>
      </c>
      <c r="D304" s="459">
        <f>BUDGET!BB304</f>
        <v>0</v>
      </c>
      <c r="E304" s="808" t="str">
        <f>BUDGET!A304</f>
        <v xml:space="preserve">   TRUST FUNDS</v>
      </c>
      <c r="F304" s="901">
        <v>0</v>
      </c>
      <c r="G304" s="2909">
        <f>BUDGET!AZ304</f>
        <v>0</v>
      </c>
      <c r="H304" s="901"/>
      <c r="I304" s="1201"/>
      <c r="J304" s="1794"/>
      <c r="K304" s="901"/>
      <c r="L304" s="1904"/>
    </row>
    <row r="305" spans="2:12" hidden="1" x14ac:dyDescent="0.2">
      <c r="B305" t="s">
        <v>156</v>
      </c>
      <c r="C305" s="459">
        <f>BUDGET!BA305</f>
        <v>0</v>
      </c>
      <c r="D305" s="459">
        <f>BUDGET!BB305</f>
        <v>0</v>
      </c>
      <c r="E305" s="878" t="str">
        <f>BUDGET!A305</f>
        <v xml:space="preserve">   TOTAL</v>
      </c>
      <c r="F305" s="814">
        <v>505854</v>
      </c>
      <c r="G305" s="2903">
        <f>BUDGET!AZ305</f>
        <v>0</v>
      </c>
      <c r="H305" s="814"/>
      <c r="I305" s="2898">
        <v>44998</v>
      </c>
      <c r="J305" s="1771"/>
      <c r="K305" s="814"/>
      <c r="L305" s="1876"/>
    </row>
    <row r="306" spans="2:12" hidden="1" x14ac:dyDescent="0.2">
      <c r="C306" s="459">
        <f>BUDGET!BA306</f>
        <v>0</v>
      </c>
      <c r="D306" s="459">
        <f>BUDGET!BB306</f>
        <v>0</v>
      </c>
      <c r="E306" s="855"/>
      <c r="F306" s="856">
        <v>0</v>
      </c>
      <c r="G306" s="2904">
        <f>BUDGET!AZ306</f>
        <v>0</v>
      </c>
      <c r="H306" s="856"/>
      <c r="I306" s="1237"/>
      <c r="J306" s="1772"/>
      <c r="K306" s="856"/>
      <c r="L306" s="1877"/>
    </row>
    <row r="307" spans="2:12" hidden="1" x14ac:dyDescent="0.2">
      <c r="B307" s="459" t="s">
        <v>1072</v>
      </c>
      <c r="C307" s="459">
        <f>BUDGET!BA307</f>
        <v>0</v>
      </c>
      <c r="D307" s="459">
        <f>BUDGET!BB307</f>
        <v>0</v>
      </c>
      <c r="E307" s="1542" t="str">
        <f>BUDGET!A307</f>
        <v>RECREATION</v>
      </c>
      <c r="F307" s="859">
        <v>0</v>
      </c>
      <c r="G307" s="2899">
        <f>BUDGET!AZ307</f>
        <v>0</v>
      </c>
      <c r="H307" s="859"/>
      <c r="I307" s="1178"/>
      <c r="J307" s="1773"/>
      <c r="K307" s="859"/>
      <c r="L307" s="1878"/>
    </row>
    <row r="308" spans="2:12" hidden="1" x14ac:dyDescent="0.2">
      <c r="B308" t="s">
        <v>1072</v>
      </c>
      <c r="C308" s="459">
        <f>BUDGET!BA308</f>
        <v>0</v>
      </c>
      <c r="D308" s="459">
        <f>BUDGET!BB308</f>
        <v>0</v>
      </c>
      <c r="E308" s="808" t="str">
        <f>BUDGET!A308</f>
        <v xml:space="preserve">   SALARY</v>
      </c>
      <c r="F308" s="859">
        <v>0</v>
      </c>
      <c r="G308" s="2899">
        <f>BUDGET!AZ308</f>
        <v>0</v>
      </c>
      <c r="H308" s="859"/>
      <c r="I308" s="1178"/>
      <c r="J308" s="1773"/>
      <c r="K308" s="859"/>
      <c r="L308" s="1878"/>
    </row>
    <row r="309" spans="2:12" hidden="1" x14ac:dyDescent="0.2">
      <c r="B309" t="s">
        <v>1072</v>
      </c>
      <c r="C309" s="459">
        <f>BUDGET!BA309</f>
        <v>0</v>
      </c>
      <c r="D309" s="459">
        <f>BUDGET!BB309</f>
        <v>0</v>
      </c>
      <c r="E309" s="808" t="str">
        <f>BUDGET!A309</f>
        <v xml:space="preserve">   WAGES</v>
      </c>
      <c r="F309" s="859">
        <v>33251</v>
      </c>
      <c r="G309" s="2899">
        <f>BUDGET!AZ309</f>
        <v>0</v>
      </c>
      <c r="H309" s="859"/>
      <c r="I309" s="1178"/>
      <c r="J309" s="1773"/>
      <c r="K309" s="859"/>
      <c r="L309" s="1878"/>
    </row>
    <row r="310" spans="2:12" hidden="1" x14ac:dyDescent="0.2">
      <c r="B310" t="s">
        <v>1072</v>
      </c>
      <c r="C310" s="459">
        <f>BUDGET!BA310</f>
        <v>0</v>
      </c>
      <c r="D310" s="459">
        <f>BUDGET!BB310</f>
        <v>0</v>
      </c>
      <c r="E310" s="808" t="str">
        <f>BUDGET!A310</f>
        <v xml:space="preserve">   OTHER</v>
      </c>
      <c r="F310" s="859">
        <v>2000</v>
      </c>
      <c r="G310" s="2899">
        <f>BUDGET!AZ310</f>
        <v>0</v>
      </c>
      <c r="H310" s="859"/>
      <c r="I310" s="1178"/>
      <c r="J310" s="1773"/>
      <c r="K310" s="859"/>
      <c r="L310" s="1878"/>
    </row>
    <row r="311" spans="2:12" hidden="1" x14ac:dyDescent="0.2">
      <c r="B311" t="s">
        <v>1072</v>
      </c>
      <c r="C311" s="459">
        <f>BUDGET!BA311</f>
        <v>0</v>
      </c>
      <c r="D311" s="459">
        <f>BUDGET!BB311</f>
        <v>0</v>
      </c>
      <c r="E311" s="878" t="str">
        <f>BUDGET!A311</f>
        <v xml:space="preserve">   TOTAL</v>
      </c>
      <c r="F311" s="861">
        <v>35251</v>
      </c>
      <c r="G311" s="2909">
        <f>BUDGET!AZ311</f>
        <v>0</v>
      </c>
      <c r="H311" s="861"/>
      <c r="I311" s="2898">
        <v>44998</v>
      </c>
      <c r="J311" s="1778"/>
      <c r="K311" s="861"/>
      <c r="L311" s="1883"/>
    </row>
    <row r="312" spans="2:12" hidden="1" x14ac:dyDescent="0.2">
      <c r="C312" s="459">
        <f>BUDGET!BA312</f>
        <v>0</v>
      </c>
      <c r="D312" s="459">
        <f>BUDGET!BB312</f>
        <v>0</v>
      </c>
      <c r="E312" s="855"/>
      <c r="F312" s="856">
        <v>0</v>
      </c>
      <c r="G312" s="2904">
        <f>BUDGET!AZ312</f>
        <v>0</v>
      </c>
      <c r="H312" s="856"/>
      <c r="I312" s="1237"/>
      <c r="J312" s="1772"/>
      <c r="K312" s="856"/>
      <c r="L312" s="1877"/>
    </row>
    <row r="313" spans="2:12" hidden="1" x14ac:dyDescent="0.2">
      <c r="C313" s="459">
        <f>BUDGET!BA313</f>
        <v>0</v>
      </c>
      <c r="D313" s="459" t="str">
        <f>BUDGET!BB313</f>
        <v>x</v>
      </c>
      <c r="E313" s="808">
        <f>BUDGET!A313</f>
        <v>0</v>
      </c>
      <c r="F313" s="859">
        <v>0</v>
      </c>
      <c r="G313" s="2899">
        <f>BUDGET!AZ313</f>
        <v>0</v>
      </c>
      <c r="H313" s="859"/>
      <c r="I313" s="1178"/>
      <c r="J313" s="1773"/>
      <c r="K313" s="859"/>
      <c r="L313" s="1878"/>
    </row>
    <row r="314" spans="2:12" hidden="1" x14ac:dyDescent="0.2">
      <c r="C314" s="459">
        <f>BUDGET!BA314</f>
        <v>0</v>
      </c>
      <c r="D314" s="459" t="str">
        <f>BUDGET!BB314</f>
        <v>x</v>
      </c>
      <c r="E314" s="808">
        <f>BUDGET!A314</f>
        <v>0</v>
      </c>
      <c r="F314" s="859">
        <v>0</v>
      </c>
      <c r="G314" s="2899">
        <f>BUDGET!AZ314</f>
        <v>0</v>
      </c>
      <c r="H314" s="859"/>
      <c r="I314" s="1178"/>
      <c r="J314" s="1773"/>
      <c r="K314" s="859"/>
      <c r="L314" s="1878"/>
    </row>
    <row r="315" spans="2:12" hidden="1" x14ac:dyDescent="0.2">
      <c r="C315" s="459">
        <f>BUDGET!BA315</f>
        <v>0</v>
      </c>
      <c r="D315" s="459" t="str">
        <f>BUDGET!BB315</f>
        <v>x</v>
      </c>
      <c r="E315" s="808" t="str">
        <f>BUDGET!A315</f>
        <v>PARK AND CEMETERY</v>
      </c>
      <c r="F315" s="1087">
        <v>0</v>
      </c>
      <c r="G315" s="2906">
        <f>BUDGET!AZ315</f>
        <v>0</v>
      </c>
      <c r="H315" s="1087"/>
      <c r="I315" s="1523"/>
      <c r="J315" s="1775"/>
      <c r="K315" s="1087"/>
      <c r="L315" s="1880"/>
    </row>
    <row r="316" spans="2:12" hidden="1" x14ac:dyDescent="0.2">
      <c r="C316" s="459">
        <f>BUDGET!BA316</f>
        <v>0</v>
      </c>
      <c r="D316" s="459" t="str">
        <f>BUDGET!BB316</f>
        <v>x</v>
      </c>
      <c r="E316" s="808" t="str">
        <f>BUDGET!A316</f>
        <v xml:space="preserve">   SALARY</v>
      </c>
      <c r="F316" s="1088">
        <v>0</v>
      </c>
      <c r="G316" s="2924">
        <f>BUDGET!AZ316</f>
        <v>0</v>
      </c>
      <c r="H316" s="1088"/>
      <c r="I316" s="2174"/>
      <c r="J316" s="1791"/>
      <c r="K316" s="1088"/>
      <c r="L316" s="1901"/>
    </row>
    <row r="317" spans="2:12" hidden="1" x14ac:dyDescent="0.2">
      <c r="C317" s="459">
        <f>BUDGET!BA317</f>
        <v>0</v>
      </c>
      <c r="D317" s="459" t="str">
        <f>BUDGET!BB317</f>
        <v>x</v>
      </c>
      <c r="E317" s="808" t="str">
        <f>BUDGET!A317</f>
        <v xml:space="preserve">   WAGES</v>
      </c>
      <c r="F317" s="1088">
        <v>0</v>
      </c>
      <c r="G317" s="2924">
        <f>BUDGET!AZ317</f>
        <v>0</v>
      </c>
      <c r="H317" s="1088"/>
      <c r="I317" s="2174"/>
      <c r="J317" s="1791"/>
      <c r="K317" s="1088"/>
      <c r="L317" s="1901"/>
    </row>
    <row r="318" spans="2:12" hidden="1" x14ac:dyDescent="0.2">
      <c r="C318" s="459">
        <f>BUDGET!BA318</f>
        <v>0</v>
      </c>
      <c r="D318" s="459" t="str">
        <f>BUDGET!BB318</f>
        <v>x</v>
      </c>
      <c r="E318" s="808" t="str">
        <f>BUDGET!A318</f>
        <v xml:space="preserve">   OTHER</v>
      </c>
      <c r="F318" s="1088">
        <v>0</v>
      </c>
      <c r="G318" s="2924">
        <f>BUDGET!AZ318</f>
        <v>0</v>
      </c>
      <c r="H318" s="1088"/>
      <c r="I318" s="2174"/>
      <c r="J318" s="1791"/>
      <c r="K318" s="1088"/>
      <c r="L318" s="1901"/>
    </row>
    <row r="319" spans="2:12" hidden="1" x14ac:dyDescent="0.2">
      <c r="C319" s="459">
        <f>BUDGET!BA319</f>
        <v>0</v>
      </c>
      <c r="D319" s="459" t="str">
        <f>BUDGET!BB319</f>
        <v>x</v>
      </c>
      <c r="E319" s="808" t="str">
        <f>BUDGET!A319</f>
        <v xml:space="preserve">   SALE OF LOTS</v>
      </c>
      <c r="F319" s="1088">
        <v>0</v>
      </c>
      <c r="G319" s="2924">
        <f>BUDGET!AZ319</f>
        <v>0</v>
      </c>
      <c r="H319" s="1088"/>
      <c r="I319" s="2174"/>
      <c r="J319" s="1791"/>
      <c r="K319" s="1088"/>
      <c r="L319" s="1901"/>
    </row>
    <row r="320" spans="2:12" hidden="1" x14ac:dyDescent="0.2">
      <c r="C320" s="459">
        <f>BUDGET!BA320</f>
        <v>0</v>
      </c>
      <c r="D320" s="459" t="str">
        <f>BUDGET!BB320</f>
        <v>x</v>
      </c>
      <c r="E320" s="808" t="str">
        <f>BUDGET!A320</f>
        <v xml:space="preserve">   PERPETUAL CARE TRUST FUND</v>
      </c>
      <c r="F320" s="1088">
        <v>0</v>
      </c>
      <c r="G320" s="2924">
        <f>BUDGET!AZ320</f>
        <v>0</v>
      </c>
      <c r="H320" s="1088"/>
      <c r="I320" s="2174"/>
      <c r="J320" s="1791"/>
      <c r="K320" s="1088"/>
      <c r="L320" s="1901"/>
    </row>
    <row r="321" spans="2:12" hidden="1" x14ac:dyDescent="0.2">
      <c r="C321" s="459">
        <f>BUDGET!BA321</f>
        <v>0</v>
      </c>
      <c r="D321" s="459" t="str">
        <f>BUDGET!BB321</f>
        <v>x</v>
      </c>
      <c r="E321" s="878" t="str">
        <f>BUDGET!A321</f>
        <v xml:space="preserve">   TOTAL</v>
      </c>
      <c r="F321" s="1088">
        <v>0</v>
      </c>
      <c r="G321" s="2924">
        <f>BUDGET!AZ321</f>
        <v>0</v>
      </c>
      <c r="H321" s="1088"/>
      <c r="I321" s="2174"/>
      <c r="J321" s="1791"/>
      <c r="K321" s="1088"/>
      <c r="L321" s="1901"/>
    </row>
    <row r="322" spans="2:12" hidden="1" x14ac:dyDescent="0.2">
      <c r="C322" s="459">
        <f>BUDGET!BA322</f>
        <v>0</v>
      </c>
      <c r="D322" s="459" t="str">
        <f>BUDGET!BB322</f>
        <v>x</v>
      </c>
      <c r="E322" s="855">
        <f>BUDGET!A322</f>
        <v>0</v>
      </c>
      <c r="F322" s="1092">
        <v>0</v>
      </c>
      <c r="G322" s="2908">
        <f>BUDGET!AZ322</f>
        <v>0</v>
      </c>
      <c r="H322" s="1092"/>
      <c r="I322" s="1736"/>
      <c r="J322" s="1777"/>
      <c r="K322" s="1092"/>
      <c r="L322" s="1882"/>
    </row>
    <row r="323" spans="2:12" hidden="1" x14ac:dyDescent="0.2">
      <c r="C323" s="459">
        <f>BUDGET!BA323</f>
        <v>0</v>
      </c>
      <c r="D323" s="459" t="str">
        <f>BUDGET!BB323</f>
        <v>x</v>
      </c>
      <c r="E323" s="808" t="str">
        <f>BUDGET!A323</f>
        <v>TREE DEPARTMENT</v>
      </c>
      <c r="F323" s="1087">
        <v>0</v>
      </c>
      <c r="G323" s="2906">
        <f>BUDGET!AZ323</f>
        <v>0</v>
      </c>
      <c r="H323" s="1087"/>
      <c r="I323" s="1523"/>
      <c r="J323" s="1775"/>
      <c r="K323" s="1087"/>
      <c r="L323" s="1880"/>
    </row>
    <row r="324" spans="2:12" hidden="1" x14ac:dyDescent="0.2">
      <c r="C324" s="459">
        <f>BUDGET!BA324</f>
        <v>0</v>
      </c>
      <c r="D324" s="459" t="str">
        <f>BUDGET!BB324</f>
        <v>x</v>
      </c>
      <c r="E324" s="808" t="str">
        <f>BUDGET!A324</f>
        <v xml:space="preserve">   SALARIES</v>
      </c>
      <c r="F324" s="1088">
        <v>0</v>
      </c>
      <c r="G324" s="2924">
        <f>BUDGET!AZ324</f>
        <v>0</v>
      </c>
      <c r="H324" s="1088"/>
      <c r="I324" s="2174"/>
      <c r="J324" s="1791"/>
      <c r="K324" s="1088"/>
      <c r="L324" s="1901"/>
    </row>
    <row r="325" spans="2:12" hidden="1" x14ac:dyDescent="0.2">
      <c r="C325" s="459">
        <f>BUDGET!BA325</f>
        <v>0</v>
      </c>
      <c r="D325" s="459" t="str">
        <f>BUDGET!BB325</f>
        <v>x</v>
      </c>
      <c r="E325" s="808" t="str">
        <f>BUDGET!A325</f>
        <v xml:space="preserve">   WAGES</v>
      </c>
      <c r="F325" s="1088">
        <v>0</v>
      </c>
      <c r="G325" s="2924">
        <f>BUDGET!AZ325</f>
        <v>0</v>
      </c>
      <c r="H325" s="1088"/>
      <c r="I325" s="2174"/>
      <c r="J325" s="1791"/>
      <c r="K325" s="1088"/>
      <c r="L325" s="1901"/>
    </row>
    <row r="326" spans="2:12" hidden="1" x14ac:dyDescent="0.2">
      <c r="C326" s="459">
        <f>BUDGET!BA326</f>
        <v>0</v>
      </c>
      <c r="D326" s="459" t="str">
        <f>BUDGET!BB326</f>
        <v>x</v>
      </c>
      <c r="E326" s="808" t="str">
        <f>BUDGET!A326</f>
        <v xml:space="preserve">   OTHER</v>
      </c>
      <c r="F326" s="1088">
        <v>0</v>
      </c>
      <c r="G326" s="2924">
        <f>BUDGET!AZ326</f>
        <v>0</v>
      </c>
      <c r="H326" s="1088"/>
      <c r="I326" s="2174"/>
      <c r="J326" s="1791"/>
      <c r="K326" s="1088"/>
      <c r="L326" s="1901"/>
    </row>
    <row r="327" spans="2:12" hidden="1" x14ac:dyDescent="0.2">
      <c r="C327" s="459">
        <f>BUDGET!BA327</f>
        <v>0</v>
      </c>
      <c r="D327" s="459" t="str">
        <f>BUDGET!BB327</f>
        <v>x</v>
      </c>
      <c r="E327" s="878" t="str">
        <f>BUDGET!A327</f>
        <v xml:space="preserve">   TOTAL</v>
      </c>
      <c r="F327" s="1088">
        <v>0</v>
      </c>
      <c r="G327" s="2924">
        <f>BUDGET!AZ327</f>
        <v>0</v>
      </c>
      <c r="H327" s="1088"/>
      <c r="I327" s="2174"/>
      <c r="J327" s="1791"/>
      <c r="K327" s="1088"/>
      <c r="L327" s="1901"/>
    </row>
    <row r="328" spans="2:12" hidden="1" x14ac:dyDescent="0.2">
      <c r="C328" s="459">
        <f>BUDGET!BA328</f>
        <v>0</v>
      </c>
      <c r="D328" s="459" t="str">
        <f>BUDGET!BB328</f>
        <v>x</v>
      </c>
      <c r="E328" s="855">
        <f>BUDGET!A328</f>
        <v>0</v>
      </c>
      <c r="F328" s="1092">
        <v>0</v>
      </c>
      <c r="G328" s="2908">
        <f>BUDGET!AZ328</f>
        <v>0</v>
      </c>
      <c r="H328" s="1092"/>
      <c r="I328" s="1736"/>
      <c r="J328" s="1777"/>
      <c r="K328" s="1092"/>
      <c r="L328" s="1882"/>
    </row>
    <row r="329" spans="2:12" hidden="1" x14ac:dyDescent="0.2">
      <c r="B329" s="459" t="s">
        <v>506</v>
      </c>
      <c r="C329" s="459">
        <f>BUDGET!BA329</f>
        <v>0</v>
      </c>
      <c r="D329" s="459">
        <f>BUDGET!BB329</f>
        <v>0</v>
      </c>
      <c r="E329" s="808" t="str">
        <f>BUDGET!A329</f>
        <v>MEMORIAL DAY &amp; VETERANS DAY</v>
      </c>
      <c r="F329" s="817">
        <v>0</v>
      </c>
      <c r="G329" s="2900">
        <f>BUDGET!AZ329</f>
        <v>0</v>
      </c>
      <c r="H329" s="817"/>
      <c r="I329" s="877"/>
      <c r="J329" s="1768"/>
      <c r="K329" s="817"/>
      <c r="L329" s="1873"/>
    </row>
    <row r="330" spans="2:12" hidden="1" x14ac:dyDescent="0.2">
      <c r="B330" t="s">
        <v>506</v>
      </c>
      <c r="C330" s="459">
        <f>BUDGET!BA330</f>
        <v>0</v>
      </c>
      <c r="D330" s="459">
        <f>BUDGET!BB330</f>
        <v>0</v>
      </c>
      <c r="E330" s="808" t="str">
        <f>BUDGET!A330</f>
        <v xml:space="preserve">   OTHER</v>
      </c>
      <c r="F330" s="843">
        <v>1850</v>
      </c>
      <c r="G330" s="2902">
        <f>BUDGET!AZ330</f>
        <v>0</v>
      </c>
      <c r="H330" s="843"/>
      <c r="I330" s="1178"/>
      <c r="J330" s="1770"/>
      <c r="K330" s="843"/>
      <c r="L330" s="1875"/>
    </row>
    <row r="331" spans="2:12" hidden="1" x14ac:dyDescent="0.2">
      <c r="B331" t="s">
        <v>506</v>
      </c>
      <c r="C331" s="459">
        <f>BUDGET!BA331</f>
        <v>0</v>
      </c>
      <c r="D331" s="459">
        <f>BUDGET!BB331</f>
        <v>0</v>
      </c>
      <c r="E331" s="878" t="str">
        <f>BUDGET!A331</f>
        <v xml:space="preserve">   TOTAL</v>
      </c>
      <c r="F331" s="852">
        <v>1850</v>
      </c>
      <c r="G331" s="2926">
        <f>BUDGET!AZ331</f>
        <v>0</v>
      </c>
      <c r="H331" s="852"/>
      <c r="I331" s="2898">
        <v>44998</v>
      </c>
      <c r="J331" s="1771"/>
      <c r="K331" s="852"/>
      <c r="L331" s="1884"/>
    </row>
    <row r="332" spans="2:12" hidden="1" x14ac:dyDescent="0.2">
      <c r="C332" s="459">
        <f>BUDGET!BA332</f>
        <v>0</v>
      </c>
      <c r="D332" s="459">
        <f>BUDGET!BB332</f>
        <v>0</v>
      </c>
      <c r="E332" s="855"/>
      <c r="F332" s="856">
        <v>0</v>
      </c>
      <c r="G332" s="2904">
        <f>BUDGET!AZ332</f>
        <v>0</v>
      </c>
      <c r="H332" s="856"/>
      <c r="I332" s="1237"/>
      <c r="J332" s="1772"/>
      <c r="K332" s="856"/>
      <c r="L332" s="1877"/>
    </row>
    <row r="333" spans="2:12" hidden="1" x14ac:dyDescent="0.2">
      <c r="B333" s="459" t="s">
        <v>504</v>
      </c>
      <c r="C333" s="459">
        <f>BUDGET!BA333</f>
        <v>0</v>
      </c>
      <c r="D333" s="459">
        <f>BUDGET!BB333</f>
        <v>0</v>
      </c>
      <c r="E333" s="808" t="str">
        <f>BUDGET!A333</f>
        <v>HISTORICAL COMMISSION</v>
      </c>
      <c r="F333" s="817">
        <v>0</v>
      </c>
      <c r="G333" s="2900">
        <f>BUDGET!AZ333</f>
        <v>0</v>
      </c>
      <c r="H333" s="817"/>
      <c r="I333" s="877"/>
      <c r="J333" s="1768"/>
      <c r="K333" s="817"/>
      <c r="L333" s="1873"/>
    </row>
    <row r="334" spans="2:12" hidden="1" x14ac:dyDescent="0.2">
      <c r="B334" t="s">
        <v>504</v>
      </c>
      <c r="C334" s="459">
        <f>BUDGET!BA334</f>
        <v>0</v>
      </c>
      <c r="D334" s="459">
        <f>BUDGET!BB334</f>
        <v>0</v>
      </c>
      <c r="E334" s="808" t="str">
        <f>BUDGET!A334</f>
        <v xml:space="preserve">   WAGES</v>
      </c>
      <c r="F334" s="817">
        <v>0</v>
      </c>
      <c r="G334" s="2900">
        <f>BUDGET!AZ334</f>
        <v>0</v>
      </c>
      <c r="H334" s="817"/>
      <c r="I334" s="877"/>
      <c r="J334" s="1768"/>
      <c r="K334" s="817"/>
      <c r="L334" s="1873"/>
    </row>
    <row r="335" spans="2:12" hidden="1" x14ac:dyDescent="0.2">
      <c r="B335" t="s">
        <v>504</v>
      </c>
      <c r="C335" s="459">
        <f>BUDGET!BA335</f>
        <v>0</v>
      </c>
      <c r="D335" s="459">
        <f>BUDGET!BB335</f>
        <v>0</v>
      </c>
      <c r="E335" s="808" t="str">
        <f>BUDGET!A335</f>
        <v xml:space="preserve">   OTHER</v>
      </c>
      <c r="F335" s="843">
        <v>300</v>
      </c>
      <c r="G335" s="2902">
        <f>BUDGET!AZ335</f>
        <v>0</v>
      </c>
      <c r="H335" s="843"/>
      <c r="I335" s="1178"/>
      <c r="J335" s="1770"/>
      <c r="K335" s="843"/>
      <c r="L335" s="1875"/>
    </row>
    <row r="336" spans="2:12" hidden="1" x14ac:dyDescent="0.2">
      <c r="B336" t="s">
        <v>504</v>
      </c>
      <c r="C336" s="459">
        <f>BUDGET!BA336</f>
        <v>0</v>
      </c>
      <c r="D336" s="459">
        <f>BUDGET!BB336</f>
        <v>0</v>
      </c>
      <c r="E336" s="878" t="str">
        <f>BUDGET!A336</f>
        <v xml:space="preserve">   TOTAL</v>
      </c>
      <c r="F336" s="852">
        <v>400</v>
      </c>
      <c r="G336" s="2926">
        <f>BUDGET!AZ336</f>
        <v>0</v>
      </c>
      <c r="H336" s="852"/>
      <c r="I336" s="2898">
        <v>44998</v>
      </c>
      <c r="J336" s="1771"/>
      <c r="K336" s="852"/>
      <c r="L336" s="1884"/>
    </row>
    <row r="337" spans="2:12" hidden="1" x14ac:dyDescent="0.2">
      <c r="C337" s="459">
        <f>BUDGET!BA337</f>
        <v>0</v>
      </c>
      <c r="D337" s="459">
        <f>BUDGET!BB337</f>
        <v>0</v>
      </c>
      <c r="E337" s="855"/>
      <c r="F337" s="831">
        <v>0</v>
      </c>
      <c r="G337" s="2901">
        <f>BUDGET!AZ337</f>
        <v>0</v>
      </c>
      <c r="H337" s="831"/>
      <c r="I337" s="1733"/>
      <c r="J337" s="1769"/>
      <c r="K337" s="831"/>
      <c r="L337" s="1874"/>
    </row>
    <row r="338" spans="2:12" hidden="1" x14ac:dyDescent="0.2">
      <c r="B338" t="s">
        <v>504</v>
      </c>
      <c r="C338" s="459">
        <f>BUDGET!BA338</f>
        <v>0</v>
      </c>
      <c r="D338" s="459">
        <f>BUDGET!BB338</f>
        <v>0</v>
      </c>
      <c r="E338" s="795" t="str">
        <f>BUDGET!A338</f>
        <v>CULTURAL COUNCIL</v>
      </c>
      <c r="F338" s="817">
        <v>0</v>
      </c>
      <c r="G338" s="2900">
        <f>BUDGET!AZ338</f>
        <v>0</v>
      </c>
      <c r="H338" s="817"/>
      <c r="I338" s="877"/>
      <c r="J338" s="1768"/>
      <c r="K338" s="817"/>
      <c r="L338" s="1873"/>
    </row>
    <row r="339" spans="2:12" hidden="1" x14ac:dyDescent="0.2">
      <c r="B339" t="s">
        <v>504</v>
      </c>
      <c r="C339" s="459">
        <f>BUDGET!BA339</f>
        <v>0</v>
      </c>
      <c r="D339" s="459">
        <f>BUDGET!BB339</f>
        <v>0</v>
      </c>
      <c r="E339" s="808" t="str">
        <f>BUDGET!A339</f>
        <v xml:space="preserve">   OTHER</v>
      </c>
      <c r="F339" s="861">
        <v>0</v>
      </c>
      <c r="G339" s="2909">
        <f>BUDGET!AZ339</f>
        <v>0</v>
      </c>
      <c r="H339" s="861"/>
      <c r="I339" s="1200"/>
      <c r="J339" s="1778"/>
      <c r="K339" s="861"/>
      <c r="L339" s="1883"/>
    </row>
    <row r="340" spans="2:12" hidden="1" x14ac:dyDescent="0.2">
      <c r="B340" t="s">
        <v>504</v>
      </c>
      <c r="C340" s="459">
        <f>BUDGET!BA340</f>
        <v>0</v>
      </c>
      <c r="D340" s="459">
        <f>BUDGET!BB340</f>
        <v>0</v>
      </c>
      <c r="E340" s="795" t="str">
        <f>BUDGET!A340</f>
        <v xml:space="preserve">   TOTAL</v>
      </c>
      <c r="F340" s="861">
        <v>0</v>
      </c>
      <c r="G340" s="2909">
        <f>BUDGET!AZ340</f>
        <v>0</v>
      </c>
      <c r="H340" s="861"/>
      <c r="I340" s="2898">
        <v>44998</v>
      </c>
      <c r="J340" s="1778"/>
      <c r="K340" s="861"/>
      <c r="L340" s="1883"/>
    </row>
    <row r="341" spans="2:12" hidden="1" x14ac:dyDescent="0.2">
      <c r="C341" s="459">
        <f>BUDGET!BA341</f>
        <v>0</v>
      </c>
      <c r="D341" s="459">
        <f>BUDGET!BB341</f>
        <v>0</v>
      </c>
      <c r="E341" s="855"/>
      <c r="F341" s="831">
        <v>0</v>
      </c>
      <c r="G341" s="2901">
        <f>BUDGET!AZ341</f>
        <v>0</v>
      </c>
      <c r="H341" s="831"/>
      <c r="I341" s="1733"/>
      <c r="J341" s="1769"/>
      <c r="K341" s="831"/>
      <c r="L341" s="1874"/>
    </row>
    <row r="342" spans="2:12" hidden="1" x14ac:dyDescent="0.2">
      <c r="C342" s="459">
        <f>BUDGET!BA342</f>
        <v>0</v>
      </c>
      <c r="D342" s="459">
        <f>BUDGET!BB342</f>
        <v>0</v>
      </c>
      <c r="E342" s="795" t="str">
        <f>BUDGET!A342</f>
        <v>CULTURAL &amp; RECREATION:  TOTAL</v>
      </c>
      <c r="F342" s="861">
        <v>0</v>
      </c>
      <c r="G342" s="2909">
        <f>BUDGET!AZ342</f>
        <v>0</v>
      </c>
      <c r="H342" s="861"/>
      <c r="I342" s="1200"/>
      <c r="J342" s="1778"/>
      <c r="K342" s="861"/>
      <c r="L342" s="1883"/>
    </row>
    <row r="343" spans="2:12" hidden="1" x14ac:dyDescent="0.2">
      <c r="C343" s="459">
        <f>BUDGET!BA343</f>
        <v>0</v>
      </c>
      <c r="D343" s="459">
        <f>BUDGET!BB343</f>
        <v>0</v>
      </c>
      <c r="E343" s="878" t="str">
        <f>BUDGET!A343</f>
        <v xml:space="preserve">   SALARIES</v>
      </c>
      <c r="F343" s="881">
        <v>281779</v>
      </c>
      <c r="G343" s="2922">
        <f>BUDGET!AZ343</f>
        <v>0</v>
      </c>
      <c r="H343" s="881"/>
      <c r="I343" s="1117"/>
      <c r="J343" s="1780"/>
      <c r="K343" s="881"/>
      <c r="L343" s="1898"/>
    </row>
    <row r="344" spans="2:12" hidden="1" x14ac:dyDescent="0.2">
      <c r="C344" s="459">
        <f>BUDGET!BA344</f>
        <v>0</v>
      </c>
      <c r="D344" s="459">
        <f>BUDGET!BB344</f>
        <v>0</v>
      </c>
      <c r="E344" s="878" t="str">
        <f>BUDGET!A344</f>
        <v xml:space="preserve">   WAGES</v>
      </c>
      <c r="F344" s="881">
        <v>257326</v>
      </c>
      <c r="G344" s="2922">
        <f>BUDGET!AZ344</f>
        <v>0</v>
      </c>
      <c r="H344" s="881"/>
      <c r="I344" s="1117"/>
      <c r="J344" s="1780"/>
      <c r="K344" s="881"/>
      <c r="L344" s="1898"/>
    </row>
    <row r="345" spans="2:12" hidden="1" x14ac:dyDescent="0.2">
      <c r="C345" s="459">
        <f>BUDGET!BA345</f>
        <v>0</v>
      </c>
      <c r="D345" s="459">
        <f>BUDGET!BB345</f>
        <v>0</v>
      </c>
      <c r="E345" s="878" t="str">
        <f>BUDGET!A345</f>
        <v xml:space="preserve">   OTHER</v>
      </c>
      <c r="F345" s="881">
        <v>4150</v>
      </c>
      <c r="G345" s="2922">
        <f>BUDGET!AZ345</f>
        <v>0</v>
      </c>
      <c r="H345" s="881"/>
      <c r="I345" s="1117"/>
      <c r="J345" s="1780"/>
      <c r="K345" s="881"/>
      <c r="L345" s="1898"/>
    </row>
    <row r="346" spans="2:12" hidden="1" x14ac:dyDescent="0.2">
      <c r="C346" s="459">
        <f>BUDGET!BA346</f>
        <v>0</v>
      </c>
      <c r="D346" s="459">
        <f>BUDGET!BB346</f>
        <v>0</v>
      </c>
      <c r="E346" s="878" t="str">
        <f>BUDGET!A346</f>
        <v xml:space="preserve">   BOOKS</v>
      </c>
      <c r="F346" s="814">
        <v>0</v>
      </c>
      <c r="G346" s="2903">
        <f>BUDGET!AZ346</f>
        <v>0</v>
      </c>
      <c r="H346" s="814"/>
      <c r="I346" s="853"/>
      <c r="J346" s="1771"/>
      <c r="K346" s="814"/>
      <c r="L346" s="1876"/>
    </row>
    <row r="347" spans="2:12" hidden="1" x14ac:dyDescent="0.2">
      <c r="C347" s="459">
        <f>BUDGET!BA347</f>
        <v>0</v>
      </c>
      <c r="D347" s="459">
        <f>BUDGET!BB347</f>
        <v>0</v>
      </c>
      <c r="E347" s="878" t="str">
        <f>BUDGET!A347</f>
        <v xml:space="preserve">   SUB-TOTAL</v>
      </c>
      <c r="F347" s="928">
        <v>543255</v>
      </c>
      <c r="G347" s="2912">
        <f>BUDGET!AZ347</f>
        <v>0</v>
      </c>
      <c r="H347" s="928"/>
      <c r="I347" s="853"/>
      <c r="J347" s="1780"/>
      <c r="K347" s="928"/>
      <c r="L347" s="1886"/>
    </row>
    <row r="348" spans="2:12" hidden="1" x14ac:dyDescent="0.2">
      <c r="C348" s="459">
        <f>BUDGET!BA348</f>
        <v>0</v>
      </c>
      <c r="D348" s="459">
        <f>BUDGET!BB348</f>
        <v>0</v>
      </c>
      <c r="E348" s="878" t="str">
        <f>BUDGET!A348</f>
        <v xml:space="preserve">   TRUST FUNDS</v>
      </c>
      <c r="F348" s="814">
        <v>0</v>
      </c>
      <c r="G348" s="2903">
        <f>BUDGET!AZ348</f>
        <v>0</v>
      </c>
      <c r="H348" s="814"/>
      <c r="I348" s="853"/>
      <c r="J348" s="1771"/>
      <c r="K348" s="814"/>
      <c r="L348" s="1876"/>
    </row>
    <row r="349" spans="2:12" hidden="1" x14ac:dyDescent="0.2">
      <c r="C349" s="459">
        <f>BUDGET!BA349</f>
        <v>0</v>
      </c>
      <c r="D349" s="459">
        <f>BUDGET!BB349</f>
        <v>0</v>
      </c>
      <c r="E349" s="878" t="str">
        <f>BUDGET!A349</f>
        <v xml:space="preserve">   SALE OF LOTS</v>
      </c>
      <c r="F349" s="814">
        <v>0</v>
      </c>
      <c r="G349" s="2903">
        <f>BUDGET!AZ349</f>
        <v>0</v>
      </c>
      <c r="H349" s="814"/>
      <c r="I349" s="853"/>
      <c r="J349" s="1771"/>
      <c r="K349" s="814"/>
      <c r="L349" s="1876"/>
    </row>
    <row r="350" spans="2:12" ht="13.5" hidden="1" thickBot="1" x14ac:dyDescent="0.25">
      <c r="C350" s="459">
        <f>BUDGET!BA350</f>
        <v>0</v>
      </c>
      <c r="D350" s="459">
        <f>BUDGET!BB350</f>
        <v>0</v>
      </c>
      <c r="E350" s="946" t="str">
        <f>BUDGET!A350</f>
        <v>CULTURE &amp; REC. : SUB-TOTAL</v>
      </c>
      <c r="F350" s="953">
        <v>543255</v>
      </c>
      <c r="G350" s="2913">
        <f>BUDGET!AZ350</f>
        <v>0</v>
      </c>
      <c r="H350" s="953"/>
      <c r="I350" s="1758"/>
      <c r="J350" s="1781"/>
      <c r="K350" s="953"/>
      <c r="L350" s="1887"/>
    </row>
    <row r="351" spans="2:12" hidden="1" x14ac:dyDescent="0.2">
      <c r="B351" s="459"/>
      <c r="C351" s="459">
        <f>BUDGET!BA351</f>
        <v>0</v>
      </c>
      <c r="D351" s="459">
        <f>BUDGET!BB351</f>
        <v>0</v>
      </c>
      <c r="E351" s="795" t="str">
        <f>BUDGET!A351</f>
        <v>DEBT SERVICE</v>
      </c>
      <c r="F351" s="859">
        <v>0</v>
      </c>
      <c r="G351" s="2899">
        <f>BUDGET!AZ351</f>
        <v>0</v>
      </c>
      <c r="H351" s="859"/>
      <c r="I351" s="1178"/>
      <c r="J351" s="1773"/>
      <c r="K351" s="859"/>
      <c r="L351" s="1878"/>
    </row>
    <row r="352" spans="2:12" hidden="1" x14ac:dyDescent="0.2">
      <c r="B352" s="459" t="s">
        <v>761</v>
      </c>
      <c r="C352" s="459">
        <f>BUDGET!BA352</f>
        <v>0</v>
      </c>
      <c r="D352" s="459">
        <f>BUDGET!BB352</f>
        <v>0</v>
      </c>
      <c r="E352" s="808" t="str">
        <f>BUDGET!A352</f>
        <v>LONG-TERM DEBT PRINCIPAL</v>
      </c>
      <c r="F352" s="859">
        <v>0</v>
      </c>
      <c r="G352" s="2899">
        <f>BUDGET!AZ352</f>
        <v>0</v>
      </c>
      <c r="H352" s="859"/>
      <c r="I352" s="1178"/>
      <c r="J352" s="1773"/>
      <c r="K352" s="859"/>
      <c r="L352" s="1878"/>
    </row>
    <row r="353" spans="2:12" hidden="1" x14ac:dyDescent="0.2">
      <c r="B353" t="s">
        <v>761</v>
      </c>
      <c r="C353" s="459">
        <f>BUDGET!BA353</f>
        <v>0</v>
      </c>
      <c r="D353" s="459">
        <f>BUDGET!BB353</f>
        <v>0</v>
      </c>
      <c r="E353" s="808" t="str">
        <f>BUDGET!A353</f>
        <v xml:space="preserve">      TOWN MAPS/ELEM. SCH RENOVA.     </v>
      </c>
      <c r="F353" s="859">
        <v>0</v>
      </c>
      <c r="G353" s="2899">
        <f>BUDGET!AZ353</f>
        <v>0</v>
      </c>
      <c r="H353" s="859"/>
      <c r="I353" s="1178"/>
      <c r="J353" s="1773"/>
      <c r="K353" s="859"/>
      <c r="L353" s="1878"/>
    </row>
    <row r="354" spans="2:12" hidden="1" x14ac:dyDescent="0.2">
      <c r="B354" t="s">
        <v>761</v>
      </c>
      <c r="C354" s="459">
        <f>BUDGET!BA354</f>
        <v>0</v>
      </c>
      <c r="D354" s="459">
        <f>BUDGET!BB354</f>
        <v>0</v>
      </c>
      <c r="E354" s="808" t="str">
        <f>BUDGET!A354</f>
        <v xml:space="preserve">       MULTI-PURPOSE MARCH 2001</v>
      </c>
      <c r="F354" s="817">
        <v>0</v>
      </c>
      <c r="G354" s="2900">
        <f>BUDGET!AZ354</f>
        <v>0</v>
      </c>
      <c r="H354" s="817"/>
      <c r="I354" s="877"/>
      <c r="J354" s="1768"/>
      <c r="K354" s="817"/>
      <c r="L354" s="1873"/>
    </row>
    <row r="355" spans="2:12" hidden="1" x14ac:dyDescent="0.2">
      <c r="B355" t="s">
        <v>761</v>
      </c>
      <c r="C355" s="459">
        <f>BUDGET!BA355</f>
        <v>0</v>
      </c>
      <c r="D355" s="459">
        <f>BUDGET!BB355</f>
        <v>0</v>
      </c>
      <c r="E355" s="1132" t="str">
        <f>BUDGET!A355</f>
        <v xml:space="preserve">       MULTIPURPOSE  MARCH 2002</v>
      </c>
      <c r="F355" s="932">
        <v>0</v>
      </c>
      <c r="G355" s="2927">
        <f>BUDGET!AZ355</f>
        <v>0</v>
      </c>
      <c r="H355" s="932"/>
      <c r="I355" s="1145"/>
      <c r="J355" s="1768"/>
      <c r="K355" s="932"/>
      <c r="L355" s="1905"/>
    </row>
    <row r="356" spans="2:12" hidden="1" x14ac:dyDescent="0.2">
      <c r="B356" t="s">
        <v>761</v>
      </c>
      <c r="C356" s="459">
        <f>BUDGET!BA356</f>
        <v>0</v>
      </c>
      <c r="D356" s="459">
        <f>BUDGET!BB356</f>
        <v>0</v>
      </c>
      <c r="E356" s="1132" t="str">
        <f>BUDGET!A356</f>
        <v>MULTIPURPOSE 2011</v>
      </c>
      <c r="F356" s="817">
        <v>0</v>
      </c>
      <c r="G356" s="2900">
        <f>BUDGET!AZ356</f>
        <v>0</v>
      </c>
      <c r="H356" s="817"/>
      <c r="I356" s="877"/>
      <c r="J356" s="1768"/>
      <c r="K356" s="817"/>
      <c r="L356" s="1873"/>
    </row>
    <row r="357" spans="2:12" hidden="1" x14ac:dyDescent="0.2">
      <c r="B357" t="s">
        <v>761</v>
      </c>
      <c r="C357" s="459">
        <f>BUDGET!BA357</f>
        <v>0</v>
      </c>
      <c r="D357" s="459">
        <f>BUDGET!BB357</f>
        <v>0</v>
      </c>
      <c r="E357" s="1132" t="str">
        <f>BUDGET!A357</f>
        <v>MULTIPURPOSE 2012</v>
      </c>
      <c r="F357" s="817">
        <v>0</v>
      </c>
      <c r="G357" s="2900">
        <f>BUDGET!AZ357</f>
        <v>0</v>
      </c>
      <c r="H357" s="817"/>
      <c r="I357" s="877"/>
      <c r="J357" s="1768"/>
      <c r="K357" s="817"/>
      <c r="L357" s="1873"/>
    </row>
    <row r="358" spans="2:12" hidden="1" x14ac:dyDescent="0.2">
      <c r="B358" t="s">
        <v>761</v>
      </c>
      <c r="C358" s="459">
        <f>BUDGET!BA358</f>
        <v>0</v>
      </c>
      <c r="D358" s="459">
        <f>BUDGET!BB358</f>
        <v>0</v>
      </c>
      <c r="E358" s="1132" t="str">
        <f>BUDGET!A358</f>
        <v>MULTIPURPOSE 2015+2016 Principal Paydown</v>
      </c>
      <c r="F358" s="817">
        <v>0</v>
      </c>
      <c r="G358" s="2900">
        <f>BUDGET!AZ358</f>
        <v>0</v>
      </c>
      <c r="H358" s="817"/>
      <c r="I358" s="877"/>
      <c r="J358" s="1768"/>
      <c r="K358" s="817"/>
      <c r="L358" s="1873"/>
    </row>
    <row r="359" spans="2:12" hidden="1" x14ac:dyDescent="0.2">
      <c r="B359" t="s">
        <v>761</v>
      </c>
      <c r="C359" s="459">
        <f>BUDGET!BA359</f>
        <v>0</v>
      </c>
      <c r="D359" s="459">
        <f>BUDGET!BB359</f>
        <v>0</v>
      </c>
      <c r="E359" s="1132" t="str">
        <f>BUDGET!A359</f>
        <v>MULTIPURPOSE 2018</v>
      </c>
      <c r="F359" s="817">
        <v>160000</v>
      </c>
      <c r="G359" s="2900">
        <f>BUDGET!AZ359</f>
        <v>0</v>
      </c>
      <c r="H359" s="817"/>
      <c r="I359" s="877"/>
      <c r="J359" s="1768"/>
      <c r="K359" s="817"/>
      <c r="L359" s="1873"/>
    </row>
    <row r="360" spans="2:12" hidden="1" x14ac:dyDescent="0.2">
      <c r="B360" t="s">
        <v>761</v>
      </c>
      <c r="C360" s="459">
        <f>BUDGET!BA360</f>
        <v>0</v>
      </c>
      <c r="D360" s="459">
        <f>BUDGET!BB360</f>
        <v>0</v>
      </c>
      <c r="E360" s="1498" t="str">
        <f>BUDGET!A360</f>
        <v>MULTIPURPOSE 2019</v>
      </c>
      <c r="F360" s="817">
        <v>320000</v>
      </c>
      <c r="G360" s="2900">
        <f>BUDGET!AZ360</f>
        <v>0</v>
      </c>
      <c r="H360" s="817"/>
      <c r="I360" s="877"/>
      <c r="J360" s="1768"/>
      <c r="K360" s="817"/>
      <c r="L360" s="1873"/>
    </row>
    <row r="361" spans="2:12" hidden="1" x14ac:dyDescent="0.2">
      <c r="B361" t="s">
        <v>761</v>
      </c>
      <c r="C361" s="459">
        <f>BUDGET!BA361</f>
        <v>0</v>
      </c>
      <c r="D361" s="459">
        <f>BUDGET!BB361</f>
        <v>0</v>
      </c>
      <c r="E361" s="1498" t="str">
        <f>BUDGET!A361</f>
        <v>MULTIPUPRPOSE 2020</v>
      </c>
      <c r="F361" s="817">
        <v>140000</v>
      </c>
      <c r="G361" s="2900">
        <f>BUDGET!AZ361</f>
        <v>0</v>
      </c>
      <c r="H361" s="817"/>
      <c r="I361" s="877"/>
      <c r="J361" s="1768"/>
      <c r="K361" s="817"/>
      <c r="L361" s="1873"/>
    </row>
    <row r="362" spans="2:12" hidden="1" x14ac:dyDescent="0.2">
      <c r="C362" s="459">
        <f>BUDGET!BA362</f>
        <v>0</v>
      </c>
      <c r="D362" s="459">
        <f>BUDGET!BB362</f>
        <v>0</v>
      </c>
      <c r="E362" s="855"/>
      <c r="F362" s="817">
        <v>0</v>
      </c>
      <c r="G362" s="2900">
        <f>BUDGET!AZ362</f>
        <v>0</v>
      </c>
      <c r="H362" s="817"/>
      <c r="I362" s="877"/>
      <c r="J362" s="1768"/>
      <c r="K362" s="817"/>
      <c r="L362" s="1873"/>
    </row>
    <row r="363" spans="2:12" hidden="1" x14ac:dyDescent="0.2">
      <c r="B363">
        <v>0</v>
      </c>
      <c r="C363" s="459">
        <f>BUDGET!BA363</f>
        <v>0</v>
      </c>
      <c r="D363" s="459">
        <f>BUDGET!BB363</f>
        <v>0</v>
      </c>
      <c r="E363" s="878" t="str">
        <f>BUDGET!A363</f>
        <v xml:space="preserve">       TOTAL</v>
      </c>
      <c r="F363" s="814">
        <v>620000</v>
      </c>
      <c r="G363" s="2903">
        <f>BUDGET!AZ363</f>
        <v>0</v>
      </c>
      <c r="H363" s="814"/>
      <c r="I363" s="2898">
        <v>44998</v>
      </c>
      <c r="J363" s="1771"/>
      <c r="K363" s="814"/>
      <c r="L363" s="1876"/>
    </row>
    <row r="364" spans="2:12" hidden="1" x14ac:dyDescent="0.2">
      <c r="C364" s="459">
        <f>BUDGET!BA364</f>
        <v>0</v>
      </c>
      <c r="D364" s="459">
        <f>BUDGET!BB364</f>
        <v>0</v>
      </c>
      <c r="E364" s="855"/>
      <c r="F364" s="857">
        <v>0</v>
      </c>
      <c r="G364" s="2915">
        <f>BUDGET!AZ364</f>
        <v>0</v>
      </c>
      <c r="H364" s="857"/>
      <c r="I364" s="1741"/>
      <c r="J364" s="1772"/>
      <c r="K364" s="857"/>
      <c r="L364" s="1889"/>
    </row>
    <row r="365" spans="2:12" hidden="1" x14ac:dyDescent="0.2">
      <c r="B365" s="459" t="s">
        <v>634</v>
      </c>
      <c r="C365" s="459">
        <f>BUDGET!BA365</f>
        <v>0</v>
      </c>
      <c r="D365" s="459">
        <f>BUDGET!BB365</f>
        <v>0</v>
      </c>
      <c r="E365" s="808" t="str">
        <f>BUDGET!A365</f>
        <v xml:space="preserve">    LONG-TERM DEBT INTEREST</v>
      </c>
      <c r="F365" s="859">
        <v>0</v>
      </c>
      <c r="G365" s="2899">
        <f>BUDGET!AZ365</f>
        <v>0</v>
      </c>
      <c r="H365" s="859"/>
      <c r="I365" s="1178"/>
      <c r="J365" s="1773"/>
      <c r="K365" s="859"/>
      <c r="L365" s="1878"/>
    </row>
    <row r="366" spans="2:12" hidden="1" x14ac:dyDescent="0.2">
      <c r="B366" t="s">
        <v>634</v>
      </c>
      <c r="C366" s="459">
        <f>BUDGET!BA366</f>
        <v>0</v>
      </c>
      <c r="D366" s="459">
        <f>BUDGET!BB366</f>
        <v>0</v>
      </c>
      <c r="E366" s="1051" t="str">
        <f>BUDGET!A366</f>
        <v xml:space="preserve">       TOWN MAPS/ELEM. SCH RENOVA.</v>
      </c>
      <c r="F366" s="859">
        <v>0</v>
      </c>
      <c r="G366" s="2899">
        <f>BUDGET!AZ366</f>
        <v>0</v>
      </c>
      <c r="H366" s="859"/>
      <c r="I366" s="1178"/>
      <c r="J366" s="1773"/>
      <c r="K366" s="859"/>
      <c r="L366" s="1878"/>
    </row>
    <row r="367" spans="2:12" hidden="1" x14ac:dyDescent="0.2">
      <c r="B367" t="s">
        <v>634</v>
      </c>
      <c r="C367" s="459">
        <f>BUDGET!BA367</f>
        <v>0</v>
      </c>
      <c r="D367" s="459">
        <f>BUDGET!BB367</f>
        <v>0</v>
      </c>
      <c r="E367" s="1051" t="str">
        <f>BUDGET!A367</f>
        <v xml:space="preserve">       MULTIPURPOSE MARCH 2001</v>
      </c>
      <c r="F367" s="859">
        <v>0</v>
      </c>
      <c r="G367" s="2899">
        <f>BUDGET!AZ367</f>
        <v>0</v>
      </c>
      <c r="H367" s="859"/>
      <c r="I367" s="1178"/>
      <c r="J367" s="1773"/>
      <c r="K367" s="859"/>
      <c r="L367" s="1878"/>
    </row>
    <row r="368" spans="2:12" hidden="1" x14ac:dyDescent="0.2">
      <c r="B368" t="s">
        <v>634</v>
      </c>
      <c r="C368" s="459">
        <f>BUDGET!BA368</f>
        <v>0</v>
      </c>
      <c r="D368" s="459">
        <f>BUDGET!BB368</f>
        <v>0</v>
      </c>
      <c r="E368" s="1051" t="str">
        <f>BUDGET!A368</f>
        <v xml:space="preserve">       MULTIPURPOSE MARCH 2002</v>
      </c>
      <c r="F368" s="817">
        <v>0</v>
      </c>
      <c r="G368" s="2900">
        <f>BUDGET!AZ368</f>
        <v>0</v>
      </c>
      <c r="H368" s="817"/>
      <c r="I368" s="877"/>
      <c r="J368" s="1768"/>
      <c r="K368" s="817"/>
      <c r="L368" s="1873"/>
    </row>
    <row r="369" spans="2:12" hidden="1" x14ac:dyDescent="0.2">
      <c r="B369" t="s">
        <v>634</v>
      </c>
      <c r="C369" s="459">
        <f>BUDGET!BA369</f>
        <v>0</v>
      </c>
      <c r="D369" s="459">
        <f>BUDGET!BB369</f>
        <v>0</v>
      </c>
      <c r="E369" s="1051" t="str">
        <f>BUDGET!A369</f>
        <v>MULTIPURPOSE 2011</v>
      </c>
      <c r="F369" s="1651">
        <v>0</v>
      </c>
      <c r="G369" s="2928">
        <f>BUDGET!AZ369</f>
        <v>0</v>
      </c>
      <c r="H369" s="1651"/>
      <c r="I369" s="1752"/>
      <c r="J369" s="1795"/>
      <c r="K369" s="1651"/>
      <c r="L369" s="1906"/>
    </row>
    <row r="370" spans="2:12" hidden="1" x14ac:dyDescent="0.2">
      <c r="B370" t="s">
        <v>634</v>
      </c>
      <c r="C370" s="459">
        <f>BUDGET!BA370</f>
        <v>0</v>
      </c>
      <c r="D370" s="459">
        <f>BUDGET!BB370</f>
        <v>0</v>
      </c>
      <c r="E370" s="1051" t="str">
        <f>BUDGET!A370</f>
        <v>MULTIPURPOSE 2012</v>
      </c>
      <c r="F370" s="1651">
        <v>0</v>
      </c>
      <c r="G370" s="2928">
        <f>BUDGET!AZ370</f>
        <v>0</v>
      </c>
      <c r="H370" s="1651"/>
      <c r="I370" s="1752"/>
      <c r="J370" s="1795"/>
      <c r="K370" s="1651"/>
      <c r="L370" s="1906"/>
    </row>
    <row r="371" spans="2:12" hidden="1" x14ac:dyDescent="0.2">
      <c r="B371" t="s">
        <v>634</v>
      </c>
      <c r="C371" s="459">
        <f>BUDGET!BA371</f>
        <v>0</v>
      </c>
      <c r="D371" s="459">
        <f>BUDGET!BB371</f>
        <v>0</v>
      </c>
      <c r="E371" s="1051" t="str">
        <f>BUDGET!A371</f>
        <v>MULTIPURPOSE 2015</v>
      </c>
      <c r="F371" s="1651">
        <v>0</v>
      </c>
      <c r="G371" s="2928">
        <f>BUDGET!AZ371</f>
        <v>0</v>
      </c>
      <c r="H371" s="1651"/>
      <c r="I371" s="1752"/>
      <c r="J371" s="1795"/>
      <c r="K371" s="1651"/>
      <c r="L371" s="1906"/>
    </row>
    <row r="372" spans="2:12" hidden="1" x14ac:dyDescent="0.2">
      <c r="B372" t="s">
        <v>634</v>
      </c>
      <c r="C372" s="459">
        <f>BUDGET!BA372</f>
        <v>0</v>
      </c>
      <c r="D372" s="459">
        <f>BUDGET!BB372</f>
        <v>0</v>
      </c>
      <c r="E372" s="1498" t="str">
        <f>BUDGET!A372</f>
        <v>MULTIPURPOSE 2018</v>
      </c>
      <c r="F372" s="1651">
        <v>71843.760000000009</v>
      </c>
      <c r="G372" s="2928">
        <f>BUDGET!AZ372</f>
        <v>0</v>
      </c>
      <c r="H372" s="1651"/>
      <c r="I372" s="1752"/>
      <c r="J372" s="1795"/>
      <c r="K372" s="1651"/>
      <c r="L372" s="1906"/>
    </row>
    <row r="373" spans="2:12" hidden="1" x14ac:dyDescent="0.2">
      <c r="B373" s="256" t="s">
        <v>634</v>
      </c>
      <c r="C373" s="459">
        <f>BUDGET!BA373</f>
        <v>0</v>
      </c>
      <c r="D373" s="459">
        <f>BUDGET!BB373</f>
        <v>0</v>
      </c>
      <c r="E373" s="1498" t="str">
        <f>BUDGET!A373</f>
        <v>MULTIPURPOSE 2019</v>
      </c>
      <c r="F373" s="1651">
        <v>302462.5</v>
      </c>
      <c r="G373" s="2928">
        <f>BUDGET!AZ373</f>
        <v>0</v>
      </c>
      <c r="H373" s="1651"/>
      <c r="I373" s="1752"/>
      <c r="J373" s="1795"/>
      <c r="K373" s="1651"/>
      <c r="L373" s="1906"/>
    </row>
    <row r="374" spans="2:12" hidden="1" x14ac:dyDescent="0.2">
      <c r="B374" s="256" t="s">
        <v>634</v>
      </c>
      <c r="C374" s="459">
        <f>BUDGET!BA374</f>
        <v>0</v>
      </c>
      <c r="D374" s="459">
        <f>BUDGET!BB374</f>
        <v>0</v>
      </c>
      <c r="E374" s="1498" t="str">
        <f>BUDGET!A374</f>
        <v>MULTIPURPOSE 2020</v>
      </c>
      <c r="F374" s="1651">
        <v>101756.5</v>
      </c>
      <c r="G374" s="2928">
        <f>BUDGET!AZ374</f>
        <v>0</v>
      </c>
      <c r="H374" s="1651"/>
      <c r="I374" s="1752"/>
      <c r="J374" s="1795"/>
      <c r="K374" s="1651"/>
      <c r="L374" s="1906"/>
    </row>
    <row r="375" spans="2:12" hidden="1" x14ac:dyDescent="0.2">
      <c r="C375" s="459">
        <f>BUDGET!BA375</f>
        <v>0</v>
      </c>
      <c r="D375" s="459">
        <f>BUDGET!BB375</f>
        <v>0</v>
      </c>
      <c r="E375" s="855"/>
      <c r="F375" s="1651">
        <v>0</v>
      </c>
      <c r="G375" s="2928">
        <f>BUDGET!AZ375</f>
        <v>0</v>
      </c>
      <c r="H375" s="1651"/>
      <c r="I375" s="1752"/>
      <c r="J375" s="1795"/>
      <c r="K375" s="1651"/>
      <c r="L375" s="1906"/>
    </row>
    <row r="376" spans="2:12" hidden="1" x14ac:dyDescent="0.2">
      <c r="B376">
        <v>0</v>
      </c>
      <c r="C376" s="459">
        <f>BUDGET!BA376</f>
        <v>0</v>
      </c>
      <c r="D376" s="459">
        <f>BUDGET!BB376</f>
        <v>0</v>
      </c>
      <c r="E376" s="894" t="str">
        <f>BUDGET!A376</f>
        <v xml:space="preserve">       TOTAL</v>
      </c>
      <c r="F376" s="1653">
        <v>476062.76</v>
      </c>
      <c r="G376" s="2929">
        <f>BUDGET!AZ376</f>
        <v>0</v>
      </c>
      <c r="H376" s="1653"/>
      <c r="I376" s="2898">
        <v>44998</v>
      </c>
      <c r="J376" s="1796"/>
      <c r="K376" s="1653"/>
      <c r="L376" s="1907"/>
    </row>
    <row r="377" spans="2:12" hidden="1" x14ac:dyDescent="0.2">
      <c r="C377" s="459">
        <f>BUDGET!BA377</f>
        <v>0</v>
      </c>
      <c r="D377" s="459">
        <f>BUDGET!BB377</f>
        <v>0</v>
      </c>
      <c r="E377" s="855"/>
      <c r="F377" s="856">
        <v>0</v>
      </c>
      <c r="G377" s="2904">
        <f>BUDGET!AZ377</f>
        <v>0</v>
      </c>
      <c r="H377" s="856"/>
      <c r="I377" s="1237"/>
      <c r="J377" s="1772"/>
      <c r="K377" s="856"/>
      <c r="L377" s="1877"/>
    </row>
    <row r="378" spans="2:12" hidden="1" x14ac:dyDescent="0.2">
      <c r="B378" s="459" t="s">
        <v>847</v>
      </c>
      <c r="C378" s="459">
        <f>BUDGET!BA378</f>
        <v>0</v>
      </c>
      <c r="D378" s="459">
        <f>BUDGET!BB378</f>
        <v>0</v>
      </c>
      <c r="E378" s="808" t="str">
        <f>BUDGET!A378</f>
        <v>INTEREST FOR TEMPORARY LOANS</v>
      </c>
      <c r="F378" s="859">
        <v>0</v>
      </c>
      <c r="G378" s="2899">
        <f>BUDGET!AZ378</f>
        <v>0</v>
      </c>
      <c r="H378" s="859"/>
      <c r="I378" s="1178"/>
      <c r="J378" s="1773"/>
      <c r="K378" s="859"/>
      <c r="L378" s="1878"/>
    </row>
    <row r="379" spans="2:12" hidden="1" x14ac:dyDescent="0.2">
      <c r="B379" t="s">
        <v>847</v>
      </c>
      <c r="C379" s="459">
        <f>BUDGET!BA379</f>
        <v>0</v>
      </c>
      <c r="D379" s="459">
        <f>BUDGET!BB379</f>
        <v>0</v>
      </c>
      <c r="E379" s="808" t="str">
        <f>BUDGET!A379</f>
        <v xml:space="preserve">       DEBT SERVICE</v>
      </c>
      <c r="F379" s="1652">
        <v>0</v>
      </c>
      <c r="G379" s="2930">
        <f>BUDGET!AZ379</f>
        <v>0</v>
      </c>
      <c r="H379" s="1652"/>
      <c r="I379" s="2176"/>
      <c r="J379" s="1797"/>
      <c r="K379" s="1652"/>
      <c r="L379" s="1908"/>
    </row>
    <row r="380" spans="2:12" hidden="1" x14ac:dyDescent="0.2">
      <c r="B380" t="s">
        <v>847</v>
      </c>
      <c r="C380" s="459">
        <f>BUDGET!BA380</f>
        <v>0</v>
      </c>
      <c r="D380" s="459">
        <f>BUDGET!BB380</f>
        <v>0</v>
      </c>
      <c r="E380" s="878" t="str">
        <f>BUDGET!A380</f>
        <v xml:space="preserve">       TOTAL</v>
      </c>
      <c r="F380" s="1653">
        <v>0</v>
      </c>
      <c r="G380" s="2929">
        <f>BUDGET!AZ380</f>
        <v>0</v>
      </c>
      <c r="H380" s="1653"/>
      <c r="I380" s="1753"/>
      <c r="J380" s="1796"/>
      <c r="K380" s="1653"/>
      <c r="L380" s="1907"/>
    </row>
    <row r="381" spans="2:12" hidden="1" x14ac:dyDescent="0.2">
      <c r="C381" s="459">
        <f>BUDGET!BA381</f>
        <v>0</v>
      </c>
      <c r="D381" s="459">
        <f>BUDGET!BB381</f>
        <v>0</v>
      </c>
      <c r="E381" s="855"/>
      <c r="F381" s="1654">
        <v>0</v>
      </c>
      <c r="G381" s="2931">
        <f>BUDGET!AZ381</f>
        <v>0</v>
      </c>
      <c r="H381" s="1654"/>
      <c r="I381" s="1755"/>
      <c r="J381" s="1798"/>
      <c r="K381" s="1654"/>
      <c r="L381" s="1909"/>
    </row>
    <row r="382" spans="2:12" hidden="1" x14ac:dyDescent="0.2">
      <c r="B382" s="459" t="s">
        <v>689</v>
      </c>
      <c r="C382" s="459">
        <f>BUDGET!BA382</f>
        <v>0</v>
      </c>
      <c r="D382" s="459">
        <f>BUDGET!BB382</f>
        <v>0</v>
      </c>
      <c r="E382" s="808" t="str">
        <f>BUDGET!A382</f>
        <v>BANK DISCLOSURE ISSUE COST</v>
      </c>
      <c r="F382" s="1655">
        <v>1850</v>
      </c>
      <c r="G382" s="2932">
        <f>BUDGET!AZ382</f>
        <v>0</v>
      </c>
      <c r="H382" s="1655"/>
      <c r="I382" s="1756"/>
      <c r="J382" s="1799"/>
      <c r="K382" s="1655"/>
      <c r="L382" s="1910"/>
    </row>
    <row r="383" spans="2:12" hidden="1" x14ac:dyDescent="0.2">
      <c r="B383" t="s">
        <v>689</v>
      </c>
      <c r="C383" s="459">
        <f>BUDGET!BA383</f>
        <v>0</v>
      </c>
      <c r="D383" s="459">
        <f>BUDGET!BB383</f>
        <v>0</v>
      </c>
      <c r="E383" s="795" t="str">
        <f>BUDGET!A383</f>
        <v>CERTIFICATION  of NOTES</v>
      </c>
      <c r="F383" s="1655">
        <v>0</v>
      </c>
      <c r="G383" s="2932">
        <f>BUDGET!AZ383</f>
        <v>0</v>
      </c>
      <c r="H383" s="1655"/>
      <c r="I383" s="1756"/>
      <c r="J383" s="1799"/>
      <c r="K383" s="1655"/>
      <c r="L383" s="1910"/>
    </row>
    <row r="384" spans="2:12" hidden="1" x14ac:dyDescent="0.2">
      <c r="B384" t="s">
        <v>689</v>
      </c>
      <c r="C384" s="459">
        <f>BUDGET!BA384</f>
        <v>0</v>
      </c>
      <c r="D384" s="459">
        <f>BUDGET!BB384</f>
        <v>0</v>
      </c>
      <c r="E384" s="878" t="str">
        <f>BUDGET!A384</f>
        <v xml:space="preserve">      TOTAL</v>
      </c>
      <c r="F384" s="1653">
        <v>1850</v>
      </c>
      <c r="G384" s="2929">
        <f>BUDGET!AZ384</f>
        <v>0</v>
      </c>
      <c r="H384" s="1653"/>
      <c r="I384" s="2898">
        <v>44998</v>
      </c>
      <c r="J384" s="1796"/>
      <c r="K384" s="1653"/>
      <c r="L384" s="1907"/>
    </row>
    <row r="385" spans="2:12" hidden="1" x14ac:dyDescent="0.2">
      <c r="C385" s="459">
        <f>BUDGET!BA385</f>
        <v>0</v>
      </c>
      <c r="D385" s="459">
        <f>BUDGET!BB385</f>
        <v>0</v>
      </c>
      <c r="E385" s="855"/>
      <c r="F385" s="861">
        <v>0</v>
      </c>
      <c r="G385" s="2909">
        <f>BUDGET!AZ385</f>
        <v>0</v>
      </c>
      <c r="H385" s="861"/>
      <c r="I385" s="1200"/>
      <c r="J385" s="1778"/>
      <c r="K385" s="861"/>
      <c r="L385" s="1883"/>
    </row>
    <row r="386" spans="2:12" ht="13.5" hidden="1" thickBot="1" x14ac:dyDescent="0.25">
      <c r="B386" t="s">
        <v>689</v>
      </c>
      <c r="C386" s="459">
        <f>BUDGET!BA386</f>
        <v>0</v>
      </c>
      <c r="D386" s="459">
        <f>BUDGET!BB386</f>
        <v>0</v>
      </c>
      <c r="E386" s="946" t="str">
        <f>BUDGET!A386</f>
        <v>DEBT SERVICE:  SUB-TOTAL</v>
      </c>
      <c r="F386" s="1071">
        <v>1098562.76</v>
      </c>
      <c r="G386" s="2918">
        <f>BUDGET!AZ386</f>
        <v>0</v>
      </c>
      <c r="H386" s="1071"/>
      <c r="I386" s="2173"/>
      <c r="J386" s="1781"/>
      <c r="K386" s="1071"/>
      <c r="L386" s="1900"/>
    </row>
    <row r="387" spans="2:12" hidden="1" x14ac:dyDescent="0.2">
      <c r="C387" s="459">
        <f>BUDGET!BA387</f>
        <v>0</v>
      </c>
      <c r="D387" s="459">
        <f>BUDGET!BB387</f>
        <v>0</v>
      </c>
      <c r="E387" s="795" t="str">
        <f>BUDGET!A387</f>
        <v>OTHER EXPENDITURES</v>
      </c>
      <c r="F387" s="859">
        <v>0</v>
      </c>
      <c r="G387" s="2899">
        <f>BUDGET!AZ387</f>
        <v>0</v>
      </c>
      <c r="H387" s="859"/>
      <c r="I387" s="1178"/>
      <c r="J387" s="1773"/>
      <c r="K387" s="859"/>
      <c r="L387" s="1878"/>
    </row>
    <row r="388" spans="2:12" hidden="1" x14ac:dyDescent="0.2">
      <c r="B388" s="459" t="s">
        <v>433</v>
      </c>
      <c r="C388" s="459">
        <f>BUDGET!BA388</f>
        <v>0</v>
      </c>
      <c r="D388" s="459">
        <f>BUDGET!BB388</f>
        <v>0</v>
      </c>
      <c r="E388" s="808" t="str">
        <f>BUDGET!A388</f>
        <v xml:space="preserve">   PENSIONS</v>
      </c>
      <c r="F388" s="817">
        <v>0</v>
      </c>
      <c r="G388" s="2900">
        <f>BUDGET!AZ388</f>
        <v>0</v>
      </c>
      <c r="H388" s="817"/>
      <c r="I388" s="877"/>
      <c r="J388" s="1768"/>
      <c r="K388" s="817"/>
      <c r="L388" s="1873"/>
    </row>
    <row r="389" spans="2:12" hidden="1" x14ac:dyDescent="0.2">
      <c r="B389" t="s">
        <v>433</v>
      </c>
      <c r="C389" s="459">
        <f>BUDGET!BA389</f>
        <v>0</v>
      </c>
      <c r="D389" s="459">
        <f>BUDGET!BB389</f>
        <v>0</v>
      </c>
      <c r="E389" s="808" t="str">
        <f>BUDGET!A389</f>
        <v xml:space="preserve">        CH. 412</v>
      </c>
      <c r="F389" s="817">
        <v>0</v>
      </c>
      <c r="G389" s="2900">
        <f>BUDGET!AZ389</f>
        <v>0</v>
      </c>
      <c r="H389" s="817"/>
      <c r="I389" s="877"/>
      <c r="J389" s="1768"/>
      <c r="K389" s="817"/>
      <c r="L389" s="1873"/>
    </row>
    <row r="390" spans="2:12" hidden="1" x14ac:dyDescent="0.2">
      <c r="B390" t="s">
        <v>433</v>
      </c>
      <c r="C390" s="459">
        <f>BUDGET!BA390</f>
        <v>0</v>
      </c>
      <c r="D390" s="459">
        <f>BUDGET!BB390</f>
        <v>0</v>
      </c>
      <c r="E390" s="808" t="str">
        <f>BUDGET!A390</f>
        <v xml:space="preserve">        ESSEX RETIREMENT</v>
      </c>
      <c r="F390" s="859">
        <v>1723590</v>
      </c>
      <c r="G390" s="2899">
        <f>BUDGET!AZ390</f>
        <v>0</v>
      </c>
      <c r="H390" s="859"/>
      <c r="I390" s="1178"/>
      <c r="J390" s="1773"/>
      <c r="K390" s="859"/>
      <c r="L390" s="1878"/>
    </row>
    <row r="391" spans="2:12" hidden="1" x14ac:dyDescent="0.2">
      <c r="B391" t="s">
        <v>433</v>
      </c>
      <c r="C391" s="459">
        <f>BUDGET!BA391</f>
        <v>0</v>
      </c>
      <c r="D391" s="459">
        <f>BUDGET!BB391</f>
        <v>0</v>
      </c>
      <c r="E391" s="878" t="str">
        <f>BUDGET!A391</f>
        <v xml:space="preserve">        TOTAL</v>
      </c>
      <c r="F391" s="814">
        <v>1723590</v>
      </c>
      <c r="G391" s="2903">
        <f>BUDGET!AZ391</f>
        <v>0</v>
      </c>
      <c r="H391" s="814"/>
      <c r="I391" s="2898">
        <v>44998</v>
      </c>
      <c r="J391" s="1771"/>
      <c r="K391" s="814"/>
      <c r="L391" s="1876"/>
    </row>
    <row r="392" spans="2:12" hidden="1" x14ac:dyDescent="0.2">
      <c r="C392" s="459">
        <f>BUDGET!BA392</f>
        <v>0</v>
      </c>
      <c r="D392" s="459">
        <f>BUDGET!BB392</f>
        <v>0</v>
      </c>
      <c r="E392" s="855" t="str">
        <f>BUDGET!A392</f>
        <v xml:space="preserve">        </v>
      </c>
      <c r="F392" s="856">
        <v>0</v>
      </c>
      <c r="G392" s="2904">
        <f>BUDGET!AZ392</f>
        <v>0</v>
      </c>
      <c r="H392" s="856"/>
      <c r="I392" s="1237"/>
      <c r="J392" s="1772"/>
      <c r="K392" s="856"/>
      <c r="L392" s="1877"/>
    </row>
    <row r="393" spans="2:12" hidden="1" x14ac:dyDescent="0.2">
      <c r="B393" s="459" t="s">
        <v>745</v>
      </c>
      <c r="C393" s="459">
        <f>BUDGET!BA393</f>
        <v>0</v>
      </c>
      <c r="D393" s="459">
        <f>BUDGET!BB393</f>
        <v>0</v>
      </c>
      <c r="E393" s="808" t="str">
        <f>BUDGET!A393</f>
        <v xml:space="preserve">   INSURANCE</v>
      </c>
      <c r="F393" s="817">
        <v>0</v>
      </c>
      <c r="G393" s="2900">
        <f>BUDGET!AZ393</f>
        <v>0</v>
      </c>
      <c r="H393" s="817"/>
      <c r="I393" s="877"/>
      <c r="J393" s="1768"/>
      <c r="K393" s="817"/>
      <c r="L393" s="1873"/>
    </row>
    <row r="394" spans="2:12" hidden="1" x14ac:dyDescent="0.2">
      <c r="B394" t="s">
        <v>745</v>
      </c>
      <c r="C394" s="459">
        <f>BUDGET!BA394</f>
        <v>0</v>
      </c>
      <c r="D394" s="459">
        <f>BUDGET!BB394</f>
        <v>0</v>
      </c>
      <c r="E394" s="808" t="str">
        <f>BUDGET!A394</f>
        <v xml:space="preserve">   LIAB./ACC./WORKM'S COMP., S.BONDS</v>
      </c>
      <c r="F394" s="859">
        <v>397960</v>
      </c>
      <c r="G394" s="2899">
        <f>BUDGET!AZ394</f>
        <v>0</v>
      </c>
      <c r="H394" s="859"/>
      <c r="I394" s="1178"/>
      <c r="J394" s="1773"/>
      <c r="K394" s="859"/>
      <c r="L394" s="1878"/>
    </row>
    <row r="395" spans="2:12" hidden="1" x14ac:dyDescent="0.2">
      <c r="C395" s="459">
        <f>BUDGET!BA395</f>
        <v>0</v>
      </c>
      <c r="D395" s="459">
        <f>BUDGET!BB395</f>
        <v>0</v>
      </c>
      <c r="E395" s="855"/>
      <c r="F395" s="817">
        <v>0</v>
      </c>
      <c r="G395" s="2900">
        <f>BUDGET!AZ395</f>
        <v>0</v>
      </c>
      <c r="H395" s="817"/>
      <c r="I395" s="877"/>
      <c r="J395" s="1768"/>
      <c r="K395" s="817"/>
      <c r="L395" s="1873"/>
    </row>
    <row r="396" spans="2:12" hidden="1" x14ac:dyDescent="0.2">
      <c r="B396" t="s">
        <v>745</v>
      </c>
      <c r="C396" s="459">
        <f>BUDGET!BA396</f>
        <v>0</v>
      </c>
      <c r="D396" s="459">
        <f>BUDGET!BB396</f>
        <v>0</v>
      </c>
      <c r="E396" s="808" t="str">
        <f>BUDGET!A396</f>
        <v xml:space="preserve">   LIFE/MEDICAL/MEDICARE</v>
      </c>
      <c r="F396" s="859">
        <v>2454367</v>
      </c>
      <c r="G396" s="2899">
        <f>BUDGET!AZ396</f>
        <v>0</v>
      </c>
      <c r="H396" s="859"/>
      <c r="I396" s="1178"/>
      <c r="J396" s="1773"/>
      <c r="K396" s="859"/>
      <c r="L396" s="1878"/>
    </row>
    <row r="397" spans="2:12" hidden="1" x14ac:dyDescent="0.2">
      <c r="B397" t="s">
        <v>745</v>
      </c>
      <c r="C397" s="459">
        <f>BUDGET!BA397</f>
        <v>0</v>
      </c>
      <c r="D397" s="459">
        <f>BUDGET!BB397</f>
        <v>0</v>
      </c>
      <c r="E397" s="808" t="str">
        <f>BUDGET!A397</f>
        <v xml:space="preserve">  UNEMPLOYMENT</v>
      </c>
      <c r="F397" s="859">
        <v>0</v>
      </c>
      <c r="G397" s="2899">
        <f>BUDGET!AZ397</f>
        <v>0</v>
      </c>
      <c r="H397" s="859"/>
      <c r="I397" s="1178"/>
      <c r="J397" s="1773"/>
      <c r="K397" s="859"/>
      <c r="L397" s="1878"/>
    </row>
    <row r="398" spans="2:12" hidden="1" x14ac:dyDescent="0.2">
      <c r="B398" t="s">
        <v>745</v>
      </c>
      <c r="C398" s="459">
        <f>BUDGET!BA398</f>
        <v>0</v>
      </c>
      <c r="D398" s="459">
        <f>BUDGET!BB398</f>
        <v>0</v>
      </c>
      <c r="E398" s="878" t="str">
        <f>BUDGET!A398</f>
        <v xml:space="preserve">        TOTAL</v>
      </c>
      <c r="F398" s="861">
        <v>2852327</v>
      </c>
      <c r="G398" s="2909">
        <f>BUDGET!AZ398</f>
        <v>0</v>
      </c>
      <c r="H398" s="861"/>
      <c r="I398" s="2898">
        <v>44998</v>
      </c>
      <c r="J398" s="1778"/>
      <c r="K398" s="861"/>
      <c r="L398" s="1883"/>
    </row>
    <row r="399" spans="2:12" hidden="1" x14ac:dyDescent="0.2">
      <c r="B399" t="s">
        <v>102</v>
      </c>
      <c r="C399" s="459">
        <f>BUDGET!BA399</f>
        <v>0</v>
      </c>
      <c r="D399" s="459">
        <f>BUDGET!BB399</f>
        <v>0</v>
      </c>
      <c r="E399" s="855"/>
      <c r="F399" s="1164">
        <v>0</v>
      </c>
      <c r="G399" s="2933">
        <f>BUDGET!AZ399</f>
        <v>0</v>
      </c>
      <c r="H399" s="1164"/>
      <c r="I399" s="1757"/>
      <c r="J399" s="1800"/>
      <c r="K399" s="1164"/>
      <c r="L399" s="1911"/>
    </row>
    <row r="400" spans="2:12" hidden="1" x14ac:dyDescent="0.2">
      <c r="B400" s="459" t="s">
        <v>922</v>
      </c>
      <c r="C400" s="459">
        <f>BUDGET!BA400</f>
        <v>0</v>
      </c>
      <c r="D400" s="459">
        <f>BUDGET!BB400</f>
        <v>0</v>
      </c>
      <c r="E400" s="808" t="str">
        <f>BUDGET!A400</f>
        <v>SALARY RESERVE</v>
      </c>
      <c r="F400" s="817">
        <v>0</v>
      </c>
      <c r="G400" s="2900">
        <f>BUDGET!AZ400</f>
        <v>0</v>
      </c>
      <c r="H400" s="817"/>
      <c r="I400" s="877"/>
      <c r="J400" s="1768"/>
      <c r="K400" s="817"/>
      <c r="L400" s="1873"/>
    </row>
    <row r="401" spans="2:12" x14ac:dyDescent="0.2">
      <c r="B401" t="s">
        <v>922</v>
      </c>
      <c r="C401" s="459" t="str">
        <f>BUDGET!BA401</f>
        <v>yes</v>
      </c>
      <c r="D401" s="2943">
        <f>BUDGET!BB401</f>
        <v>44998</v>
      </c>
      <c r="E401" s="1165" t="str">
        <f>BUDGET!A401</f>
        <v>TOTAL</v>
      </c>
      <c r="F401" s="814">
        <v>0</v>
      </c>
      <c r="G401" s="2903">
        <f>BUDGET!AZ401</f>
        <v>80000</v>
      </c>
      <c r="H401" s="814"/>
      <c r="I401" s="2947"/>
      <c r="J401" s="1768">
        <f t="shared" ref="J401" si="10">IF(C401="yes",G401,"")</f>
        <v>80000</v>
      </c>
      <c r="K401" s="859" t="s">
        <v>1101</v>
      </c>
      <c r="L401" s="2948">
        <f>D401</f>
        <v>44998</v>
      </c>
    </row>
    <row r="402" spans="2:12" hidden="1" x14ac:dyDescent="0.2">
      <c r="C402" s="459">
        <f>BUDGET!BA402</f>
        <v>0</v>
      </c>
      <c r="D402" s="459">
        <f>BUDGET!BB402</f>
        <v>0</v>
      </c>
      <c r="E402" s="855"/>
      <c r="F402" s="1164">
        <v>0</v>
      </c>
      <c r="G402" s="2933">
        <f>BUDGET!AZ402</f>
        <v>0</v>
      </c>
      <c r="H402" s="1164"/>
      <c r="I402" s="1757"/>
      <c r="J402" s="1800"/>
      <c r="K402" s="1164"/>
      <c r="L402" s="1911"/>
    </row>
    <row r="403" spans="2:12" hidden="1" x14ac:dyDescent="0.2">
      <c r="B403" s="459" t="s">
        <v>980</v>
      </c>
      <c r="C403" s="459">
        <f>BUDGET!BA403</f>
        <v>0</v>
      </c>
      <c r="D403" s="459" t="str">
        <f>BUDGET!BB403</f>
        <v>Transfers</v>
      </c>
      <c r="E403" s="1624" t="str">
        <f>BUDGET!A403</f>
        <v>TRANSFERS TO FUNDS</v>
      </c>
      <c r="F403" s="817">
        <v>0</v>
      </c>
      <c r="G403" s="2900">
        <f>BUDGET!AZ403</f>
        <v>0</v>
      </c>
      <c r="H403" s="817"/>
      <c r="I403" s="877"/>
      <c r="J403" s="1768"/>
      <c r="K403" s="817"/>
      <c r="L403" s="1873"/>
    </row>
    <row r="404" spans="2:12" hidden="1" x14ac:dyDescent="0.2">
      <c r="B404" t="s">
        <v>980</v>
      </c>
      <c r="C404" s="459">
        <f>BUDGET!BA404</f>
        <v>0</v>
      </c>
      <c r="D404" s="459" t="str">
        <f>BUDGET!BB404</f>
        <v>Transfers</v>
      </c>
      <c r="E404" s="1542" t="str">
        <f>BUDGET!A404</f>
        <v xml:space="preserve">  UNEMPLOYMENT</v>
      </c>
      <c r="F404" s="817">
        <v>0</v>
      </c>
      <c r="G404" s="2900">
        <f>BUDGET!AZ404</f>
        <v>0</v>
      </c>
      <c r="H404" s="817"/>
      <c r="I404" s="877"/>
      <c r="J404" s="1768"/>
      <c r="K404" s="817"/>
      <c r="L404" s="1873"/>
    </row>
    <row r="405" spans="2:12" hidden="1" x14ac:dyDescent="0.2">
      <c r="B405" t="s">
        <v>980</v>
      </c>
      <c r="C405" s="459">
        <f>BUDGET!BA405</f>
        <v>0</v>
      </c>
      <c r="D405" s="459" t="str">
        <f>BUDGET!BB405</f>
        <v>Transfers</v>
      </c>
      <c r="E405" s="1542" t="str">
        <f>BUDGET!A405</f>
        <v xml:space="preserve"> COMPENSATED ABSENSES</v>
      </c>
      <c r="F405" s="817">
        <v>0</v>
      </c>
      <c r="G405" s="2900">
        <f>BUDGET!AZ405</f>
        <v>0</v>
      </c>
      <c r="H405" s="817"/>
      <c r="I405" s="877"/>
      <c r="J405" s="1768"/>
      <c r="K405" s="817"/>
      <c r="L405" s="1873"/>
    </row>
    <row r="406" spans="2:12" hidden="1" x14ac:dyDescent="0.2">
      <c r="B406" t="s">
        <v>980</v>
      </c>
      <c r="C406" s="459">
        <f>BUDGET!BA406</f>
        <v>0</v>
      </c>
      <c r="D406" s="459" t="str">
        <f>BUDGET!BB406</f>
        <v>Transfers</v>
      </c>
      <c r="E406" s="1542" t="str">
        <f>BUDGET!A406</f>
        <v xml:space="preserve"> POLICE/FIRE INDEMNITY</v>
      </c>
      <c r="F406" s="817">
        <v>0</v>
      </c>
      <c r="G406" s="2900">
        <f>BUDGET!AZ406</f>
        <v>0</v>
      </c>
      <c r="H406" s="817"/>
      <c r="I406" s="877"/>
      <c r="J406" s="1768"/>
      <c r="K406" s="817"/>
      <c r="L406" s="1873"/>
    </row>
    <row r="407" spans="2:12" hidden="1" x14ac:dyDescent="0.2">
      <c r="B407" t="s">
        <v>980</v>
      </c>
      <c r="C407" s="459">
        <f>BUDGET!BA407</f>
        <v>0</v>
      </c>
      <c r="D407" s="459" t="str">
        <f>BUDGET!BB407</f>
        <v>Transfers</v>
      </c>
      <c r="E407" s="1165" t="str">
        <f>BUDGET!A407</f>
        <v>TOTAL</v>
      </c>
      <c r="F407" s="814">
        <v>0</v>
      </c>
      <c r="G407" s="2903">
        <f>BUDGET!AZ407</f>
        <v>0</v>
      </c>
      <c r="H407" s="814"/>
      <c r="I407" s="853"/>
      <c r="J407" s="1771"/>
      <c r="K407" s="814"/>
      <c r="L407" s="1876"/>
    </row>
    <row r="408" spans="2:12" hidden="1" x14ac:dyDescent="0.2">
      <c r="C408" s="459">
        <f>BUDGET!BA408</f>
        <v>0</v>
      </c>
      <c r="D408" s="459" t="str">
        <f>BUDGET!BB408</f>
        <v>Transfers</v>
      </c>
      <c r="E408" s="855"/>
      <c r="F408" s="1164">
        <v>0</v>
      </c>
      <c r="G408" s="2933">
        <f>BUDGET!AZ408</f>
        <v>0</v>
      </c>
      <c r="H408" s="1164"/>
      <c r="I408" s="1757"/>
      <c r="J408" s="1800"/>
      <c r="K408" s="1164"/>
      <c r="L408" s="1911"/>
    </row>
    <row r="409" spans="2:12" hidden="1" x14ac:dyDescent="0.2">
      <c r="C409" s="459">
        <f>BUDGET!BA409</f>
        <v>0</v>
      </c>
      <c r="D409" s="459">
        <f>BUDGET!BB409</f>
        <v>0</v>
      </c>
      <c r="E409" s="1624" t="str">
        <f>BUDGET!A409</f>
        <v xml:space="preserve">   MAPC</v>
      </c>
      <c r="F409" s="817">
        <v>0</v>
      </c>
      <c r="G409" s="2900">
        <f>BUDGET!AZ409</f>
        <v>0</v>
      </c>
      <c r="H409" s="817"/>
      <c r="I409" s="877"/>
      <c r="J409" s="1768"/>
      <c r="K409" s="817"/>
      <c r="L409" s="1873"/>
    </row>
    <row r="410" spans="2:12" hidden="1" x14ac:dyDescent="0.2">
      <c r="B410">
        <v>0</v>
      </c>
      <c r="C410" s="459">
        <f>BUDGET!BA410</f>
        <v>0</v>
      </c>
      <c r="D410" s="459">
        <f>BUDGET!BB410</f>
        <v>0</v>
      </c>
      <c r="E410" s="795" t="str">
        <f>BUDGET!A410</f>
        <v xml:space="preserve">             TOTAL</v>
      </c>
      <c r="F410" s="861">
        <v>0</v>
      </c>
      <c r="G410" s="2909">
        <f>BUDGET!AZ410</f>
        <v>0</v>
      </c>
      <c r="H410" s="861"/>
      <c r="I410" s="1200"/>
      <c r="J410" s="1778"/>
      <c r="K410" s="861"/>
      <c r="L410" s="1883"/>
    </row>
    <row r="411" spans="2:12" hidden="1" x14ac:dyDescent="0.2">
      <c r="C411" s="459">
        <f>BUDGET!BA411</f>
        <v>0</v>
      </c>
      <c r="D411" s="459">
        <f>BUDGET!BB411</f>
        <v>0</v>
      </c>
      <c r="E411" s="855"/>
      <c r="F411" s="861">
        <v>0</v>
      </c>
      <c r="G411" s="2909">
        <f>BUDGET!AZ411</f>
        <v>0</v>
      </c>
      <c r="H411" s="861"/>
      <c r="I411" s="1200"/>
      <c r="J411" s="1778"/>
      <c r="K411" s="861"/>
      <c r="L411" s="1883"/>
    </row>
    <row r="412" spans="2:12" ht="13.5" hidden="1" thickBot="1" x14ac:dyDescent="0.25">
      <c r="C412" s="459">
        <f>BUDGET!BA412</f>
        <v>0</v>
      </c>
      <c r="D412" s="459">
        <f>BUDGET!BB412</f>
        <v>0</v>
      </c>
      <c r="E412" s="946" t="str">
        <f>BUDGET!A412</f>
        <v>OTHER EXPEND.:  SUB-TOTAL</v>
      </c>
      <c r="F412" s="1129">
        <v>4575917</v>
      </c>
      <c r="G412" s="2934"/>
      <c r="H412" s="1129"/>
      <c r="I412" s="1758"/>
      <c r="J412" s="1801"/>
      <c r="K412" s="1129"/>
      <c r="L412" s="1912"/>
    </row>
    <row r="413" spans="2:12" ht="13.5" hidden="1" thickBot="1" x14ac:dyDescent="0.25">
      <c r="C413" s="459">
        <f>BUDGET!BA413</f>
        <v>0</v>
      </c>
      <c r="D413" s="459">
        <f>BUDGET!BB413</f>
        <v>0</v>
      </c>
      <c r="E413" s="946" t="str">
        <f>BUDGET!A413</f>
        <v>TOTAL ART 3RD OPERATING BGT</v>
      </c>
      <c r="F413" s="1176">
        <v>23218335.760000002</v>
      </c>
      <c r="G413" s="2935">
        <f>BUDGET!AZ413</f>
        <v>0</v>
      </c>
      <c r="H413" s="1176"/>
      <c r="I413" s="2177"/>
      <c r="J413" s="1802"/>
      <c r="K413" s="1176"/>
      <c r="L413" s="1913"/>
    </row>
    <row r="414" spans="2:12" hidden="1" x14ac:dyDescent="0.2">
      <c r="C414" s="459">
        <f>BUDGET!BA414</f>
        <v>0</v>
      </c>
      <c r="D414" s="459">
        <f>BUDGET!BB414</f>
        <v>0</v>
      </c>
      <c r="E414" s="714" t="str">
        <f>BUDGET!A414</f>
        <v xml:space="preserve"> </v>
      </c>
      <c r="F414" s="1178">
        <v>0</v>
      </c>
      <c r="G414" s="2936">
        <f>BUDGET!AZ414</f>
        <v>0</v>
      </c>
      <c r="H414" s="1178"/>
      <c r="I414" s="1178"/>
      <c r="J414" s="1803"/>
      <c r="K414" s="1178"/>
      <c r="L414" s="1878"/>
    </row>
    <row r="415" spans="2:12" hidden="1" x14ac:dyDescent="0.2">
      <c r="C415" s="459">
        <f>BUDGET!BA415</f>
        <v>0</v>
      </c>
      <c r="D415" s="459">
        <f>BUDGET!BB415</f>
        <v>0</v>
      </c>
      <c r="E415" s="855"/>
      <c r="F415" s="1031">
        <v>0</v>
      </c>
      <c r="G415" s="2936">
        <f>BUDGET!AZ415</f>
        <v>0</v>
      </c>
      <c r="H415" s="1031"/>
      <c r="J415" s="1804"/>
      <c r="K415" s="1031"/>
      <c r="L415" s="1872"/>
    </row>
    <row r="416" spans="2:12" hidden="1" x14ac:dyDescent="0.2">
      <c r="B416" t="s">
        <v>1095</v>
      </c>
      <c r="C416" s="459">
        <f>BUDGET!BA416</f>
        <v>0</v>
      </c>
      <c r="D416" s="459">
        <f>BUDGET!BB416</f>
        <v>0</v>
      </c>
      <c r="E416" s="1179" t="str">
        <f>BUDGET!A416</f>
        <v>ART. 4TH: WATER DEP'T (ENTERPRISE)</v>
      </c>
      <c r="F416" s="1182">
        <v>0</v>
      </c>
      <c r="G416" s="2937">
        <f>BUDGET!AZ416</f>
        <v>0</v>
      </c>
      <c r="H416" s="1182"/>
      <c r="I416" s="1760"/>
      <c r="J416" s="1805"/>
      <c r="K416" s="1182"/>
      <c r="L416" s="1914"/>
    </row>
    <row r="417" spans="2:12" hidden="1" x14ac:dyDescent="0.2">
      <c r="B417" t="s">
        <v>1095</v>
      </c>
      <c r="C417" s="459">
        <f>BUDGET!BA417</f>
        <v>0</v>
      </c>
      <c r="D417" s="459">
        <f>BUDGET!BB417</f>
        <v>0</v>
      </c>
      <c r="E417" s="1040" t="str">
        <f>BUDGET!A417</f>
        <v xml:space="preserve">   SALARIES</v>
      </c>
      <c r="F417" s="817">
        <v>116544</v>
      </c>
      <c r="G417" s="2900">
        <f>BUDGET!AZ417</f>
        <v>0</v>
      </c>
      <c r="H417" s="817"/>
      <c r="I417" s="877"/>
      <c r="J417" s="1768"/>
      <c r="K417" s="817"/>
      <c r="L417" s="1873"/>
    </row>
    <row r="418" spans="2:12" hidden="1" x14ac:dyDescent="0.2">
      <c r="B418" t="s">
        <v>1095</v>
      </c>
      <c r="C418" s="459">
        <f>BUDGET!BA418</f>
        <v>0</v>
      </c>
      <c r="D418" s="459">
        <f>BUDGET!BB418</f>
        <v>0</v>
      </c>
      <c r="E418" s="808" t="str">
        <f>BUDGET!A418</f>
        <v xml:space="preserve">   WAGES</v>
      </c>
      <c r="F418" s="817">
        <v>280340</v>
      </c>
      <c r="G418" s="2900">
        <f>BUDGET!AZ418</f>
        <v>0</v>
      </c>
      <c r="H418" s="817"/>
      <c r="I418" s="877"/>
      <c r="J418" s="1768"/>
      <c r="K418" s="817"/>
      <c r="L418" s="1873"/>
    </row>
    <row r="419" spans="2:12" hidden="1" x14ac:dyDescent="0.2">
      <c r="B419" t="s">
        <v>1095</v>
      </c>
      <c r="C419" s="459">
        <f>BUDGET!BA419</f>
        <v>0</v>
      </c>
      <c r="D419" s="459">
        <f>BUDGET!BB419</f>
        <v>0</v>
      </c>
      <c r="E419" s="808" t="str">
        <f>BUDGET!A419</f>
        <v xml:space="preserve">   OTHER</v>
      </c>
      <c r="F419" s="817">
        <v>441350</v>
      </c>
      <c r="G419" s="2900">
        <f>BUDGET!AZ419</f>
        <v>0</v>
      </c>
      <c r="H419" s="817"/>
      <c r="I419" s="877"/>
      <c r="J419" s="1768"/>
      <c r="K419" s="817"/>
      <c r="L419" s="1873"/>
    </row>
    <row r="420" spans="2:12" hidden="1" x14ac:dyDescent="0.2">
      <c r="B420" t="s">
        <v>1095</v>
      </c>
      <c r="C420" s="459">
        <f>BUDGET!BA420</f>
        <v>0</v>
      </c>
      <c r="D420" s="459">
        <f>BUDGET!BB420</f>
        <v>0</v>
      </c>
      <c r="E420" s="808" t="str">
        <f>BUDGET!A420</f>
        <v xml:space="preserve">   OTHER:  PUBLIC WORKS BLDG</v>
      </c>
      <c r="F420" s="817">
        <v>0</v>
      </c>
      <c r="G420" s="2900">
        <f>BUDGET!AZ420</f>
        <v>0</v>
      </c>
      <c r="H420" s="817"/>
      <c r="I420" s="877"/>
      <c r="J420" s="1768"/>
      <c r="K420" s="817"/>
      <c r="L420" s="1873"/>
    </row>
    <row r="421" spans="2:12" hidden="1" x14ac:dyDescent="0.2">
      <c r="B421" t="s">
        <v>1095</v>
      </c>
      <c r="C421" s="459">
        <f>BUDGET!BA421</f>
        <v>0</v>
      </c>
      <c r="D421" s="459">
        <f>BUDGET!BB421</f>
        <v>0</v>
      </c>
      <c r="E421" s="808" t="str">
        <f>BUDGET!A421</f>
        <v xml:space="preserve">   SPECIAL MAINTENANCE FUND</v>
      </c>
      <c r="F421" s="817">
        <v>0</v>
      </c>
      <c r="G421" s="2900">
        <f>BUDGET!AZ421</f>
        <v>0</v>
      </c>
      <c r="H421" s="817"/>
      <c r="I421" s="877"/>
      <c r="J421" s="1768"/>
      <c r="K421" s="817"/>
      <c r="L421" s="1873"/>
    </row>
    <row r="422" spans="2:12" hidden="1" x14ac:dyDescent="0.2">
      <c r="B422" t="s">
        <v>1095</v>
      </c>
      <c r="C422" s="459">
        <f>BUDGET!BA422</f>
        <v>0</v>
      </c>
      <c r="D422" s="459">
        <f>BUDGET!BB422</f>
        <v>0</v>
      </c>
      <c r="E422" s="808" t="str">
        <f>BUDGET!A422</f>
        <v xml:space="preserve">   DEBT SVS LONG-TERM DEBT PRIN.</v>
      </c>
      <c r="F422" s="817">
        <v>650500</v>
      </c>
      <c r="G422" s="2900">
        <f>BUDGET!AZ422</f>
        <v>0</v>
      </c>
      <c r="H422" s="817"/>
      <c r="I422" s="877"/>
      <c r="J422" s="1768"/>
      <c r="K422" s="817"/>
      <c r="L422" s="1873"/>
    </row>
    <row r="423" spans="2:12" hidden="1" x14ac:dyDescent="0.2">
      <c r="B423" t="s">
        <v>1095</v>
      </c>
      <c r="C423" s="459">
        <f>BUDGET!BA423</f>
        <v>0</v>
      </c>
      <c r="D423" s="459">
        <f>BUDGET!BB423</f>
        <v>0</v>
      </c>
      <c r="E423" s="808" t="str">
        <f>BUDGET!A423</f>
        <v xml:space="preserve">   S.T. PRINC. PAY-DOWN</v>
      </c>
      <c r="F423" s="817">
        <v>0</v>
      </c>
      <c r="G423" s="2900">
        <f>BUDGET!AZ423</f>
        <v>0</v>
      </c>
      <c r="H423" s="817"/>
      <c r="I423" s="877"/>
      <c r="J423" s="1768"/>
      <c r="K423" s="817"/>
      <c r="L423" s="1873"/>
    </row>
    <row r="424" spans="2:12" hidden="1" x14ac:dyDescent="0.2">
      <c r="B424" t="s">
        <v>1095</v>
      </c>
      <c r="C424" s="459">
        <f>BUDGET!BA424</f>
        <v>0</v>
      </c>
      <c r="D424" s="459">
        <f>BUDGET!BB424</f>
        <v>0</v>
      </c>
      <c r="E424" s="808" t="str">
        <f>BUDGET!A424</f>
        <v xml:space="preserve">  DEBT SVS LONG-TERM DEBT INT.</v>
      </c>
      <c r="F424" s="817">
        <v>310221</v>
      </c>
      <c r="G424" s="2900">
        <f>BUDGET!AZ424</f>
        <v>0</v>
      </c>
      <c r="H424" s="817"/>
      <c r="I424" s="877"/>
      <c r="J424" s="1768"/>
      <c r="K424" s="817"/>
      <c r="L424" s="1873"/>
    </row>
    <row r="425" spans="2:12" hidden="1" x14ac:dyDescent="0.2">
      <c r="B425" t="s">
        <v>1095</v>
      </c>
      <c r="C425" s="459">
        <f>BUDGET!BA425</f>
        <v>0</v>
      </c>
      <c r="D425" s="459">
        <f>BUDGET!BB425</f>
        <v>0</v>
      </c>
      <c r="E425" s="808" t="str">
        <f>BUDGET!A425</f>
        <v xml:space="preserve">  DEBT INSURANCE</v>
      </c>
      <c r="F425" s="817">
        <v>0</v>
      </c>
      <c r="G425" s="2900">
        <f>BUDGET!AZ425</f>
        <v>0</v>
      </c>
      <c r="H425" s="817"/>
      <c r="I425" s="877"/>
      <c r="J425" s="1768"/>
      <c r="K425" s="817"/>
      <c r="L425" s="1873"/>
    </row>
    <row r="426" spans="2:12" hidden="1" x14ac:dyDescent="0.2">
      <c r="B426" t="s">
        <v>1095</v>
      </c>
      <c r="C426" s="459">
        <f>BUDGET!BA426</f>
        <v>0</v>
      </c>
      <c r="D426" s="459">
        <f>BUDGET!BB426</f>
        <v>0</v>
      </c>
      <c r="E426" s="808" t="str">
        <f>BUDGET!A426</f>
        <v xml:space="preserve">   DEBT SVS INT. FOR TEMP. LOANS</v>
      </c>
      <c r="F426" s="817">
        <v>45000</v>
      </c>
      <c r="G426" s="2900">
        <f>BUDGET!AZ426</f>
        <v>0</v>
      </c>
      <c r="H426" s="817"/>
      <c r="I426" s="877"/>
      <c r="J426" s="1768"/>
      <c r="K426" s="817"/>
      <c r="L426" s="1873"/>
    </row>
    <row r="427" spans="2:12" hidden="1" x14ac:dyDescent="0.2">
      <c r="B427" t="s">
        <v>1095</v>
      </c>
      <c r="C427" s="459">
        <f>BUDGET!BA427</f>
        <v>0</v>
      </c>
      <c r="D427" s="459">
        <f>BUDGET!BB427</f>
        <v>0</v>
      </c>
      <c r="E427" s="808" t="str">
        <f>BUDGET!A427</f>
        <v>SUBTOTAL DEBT SERVICE</v>
      </c>
      <c r="F427" s="1195">
        <v>1005721</v>
      </c>
      <c r="G427" s="2938">
        <f>BUDGET!AZ427</f>
        <v>0</v>
      </c>
      <c r="H427" s="1195"/>
      <c r="I427" s="1761"/>
      <c r="J427" s="1806"/>
      <c r="K427" s="1195"/>
      <c r="L427" s="1915"/>
    </row>
    <row r="428" spans="2:12" hidden="1" x14ac:dyDescent="0.2">
      <c r="B428" t="s">
        <v>1095</v>
      </c>
      <c r="C428" s="459">
        <f>BUDGET!BA428</f>
        <v>0</v>
      </c>
      <c r="D428" s="459">
        <f>BUDGET!BB428</f>
        <v>0</v>
      </c>
      <c r="E428" s="808" t="str">
        <f>BUDGET!A428</f>
        <v xml:space="preserve">   RESERVE FUND</v>
      </c>
      <c r="F428" s="817">
        <v>150000</v>
      </c>
      <c r="G428" s="2900">
        <f>BUDGET!AZ428</f>
        <v>0</v>
      </c>
      <c r="H428" s="817"/>
      <c r="I428" s="877"/>
      <c r="J428" s="1768"/>
      <c r="K428" s="817"/>
      <c r="L428" s="1873"/>
    </row>
    <row r="429" spans="2:12" hidden="1" x14ac:dyDescent="0.2">
      <c r="B429" t="s">
        <v>1095</v>
      </c>
      <c r="C429" s="459">
        <f>BUDGET!BA429</f>
        <v>0</v>
      </c>
      <c r="D429" s="459">
        <f>BUDGET!BB429</f>
        <v>0</v>
      </c>
      <c r="E429" s="808" t="str">
        <f>BUDGET!A429</f>
        <v xml:space="preserve">   UNANTICIPATED EMERGENCY</v>
      </c>
      <c r="F429" s="817">
        <v>130000</v>
      </c>
      <c r="G429" s="2900">
        <f>BUDGET!AZ429</f>
        <v>0</v>
      </c>
      <c r="H429" s="817"/>
      <c r="I429" s="877"/>
      <c r="J429" s="1768"/>
      <c r="K429" s="817"/>
      <c r="L429" s="1873"/>
    </row>
    <row r="430" spans="2:12" hidden="1" x14ac:dyDescent="0.2">
      <c r="B430" t="s">
        <v>1095</v>
      </c>
      <c r="C430" s="459">
        <f>BUDGET!BA430</f>
        <v>0</v>
      </c>
      <c r="D430" s="459">
        <f>BUDGET!BB430</f>
        <v>0</v>
      </c>
      <c r="E430" s="808" t="str">
        <f>BUDGET!A430</f>
        <v xml:space="preserve">         AMOUNT TRANSFERED*</v>
      </c>
      <c r="F430" s="859">
        <v>0</v>
      </c>
      <c r="G430" s="2899">
        <f>BUDGET!AZ430</f>
        <v>0</v>
      </c>
      <c r="H430" s="859"/>
      <c r="I430" s="1178"/>
      <c r="J430" s="1773"/>
      <c r="K430" s="859"/>
      <c r="L430" s="1878"/>
    </row>
    <row r="431" spans="2:12" ht="13.5" hidden="1" thickBot="1" x14ac:dyDescent="0.25">
      <c r="B431" t="s">
        <v>1095</v>
      </c>
      <c r="C431" s="459">
        <f>BUDGET!BA431</f>
        <v>0</v>
      </c>
      <c r="D431" s="459">
        <f>BUDGET!BB431</f>
        <v>0</v>
      </c>
      <c r="E431" s="946" t="str">
        <f>BUDGET!A431</f>
        <v>ART. 4TH WATER DEPT:  TOTAL</v>
      </c>
      <c r="F431" s="1170">
        <v>2123955</v>
      </c>
      <c r="G431" s="2913">
        <f>BUDGET!AZ431</f>
        <v>0</v>
      </c>
      <c r="H431" s="1170"/>
      <c r="I431" s="2178"/>
      <c r="J431" s="1807"/>
      <c r="K431" s="1170"/>
      <c r="L431" s="1916"/>
    </row>
    <row r="432" spans="2:12" hidden="1" x14ac:dyDescent="0.2">
      <c r="C432" s="459">
        <f>BUDGET!BA432</f>
        <v>0</v>
      </c>
      <c r="D432" s="459">
        <f>BUDGET!BB432</f>
        <v>0</v>
      </c>
      <c r="E432" s="855"/>
      <c r="F432" s="1200">
        <v>0</v>
      </c>
      <c r="G432" s="2939">
        <f>BUDGET!AZ432</f>
        <v>0</v>
      </c>
      <c r="H432" s="1200"/>
      <c r="I432" s="1200"/>
      <c r="J432" s="1808"/>
      <c r="K432" s="1200"/>
      <c r="L432" s="1883"/>
    </row>
    <row r="433" spans="2:12" ht="13.5" hidden="1" thickBot="1" x14ac:dyDescent="0.25">
      <c r="C433" s="459">
        <f>BUDGET!BA433</f>
        <v>0</v>
      </c>
      <c r="D433" s="459">
        <f>BUDGET!BB433</f>
        <v>0</v>
      </c>
      <c r="E433" s="1018" t="str">
        <f>BUDGET!A433</f>
        <v>ART. 8TH NORTH SHORE VO-TECH</v>
      </c>
      <c r="F433" s="1027">
        <v>486828</v>
      </c>
      <c r="G433" s="2919">
        <f>BUDGET!AZ433</f>
        <v>0</v>
      </c>
      <c r="H433" s="1027"/>
      <c r="I433" s="1763"/>
      <c r="J433" s="1809"/>
      <c r="K433" s="1027"/>
      <c r="L433" s="1917"/>
    </row>
    <row r="434" spans="2:12" ht="13.5" hidden="1" thickBot="1" x14ac:dyDescent="0.25">
      <c r="C434" s="459">
        <f>BUDGET!BA434</f>
        <v>0</v>
      </c>
      <c r="D434" s="459">
        <f>BUDGET!BB434</f>
        <v>0</v>
      </c>
      <c r="E434" s="855"/>
      <c r="F434" s="1211">
        <v>0</v>
      </c>
      <c r="G434" s="2940">
        <f>BUDGET!AZ434</f>
        <v>0</v>
      </c>
      <c r="H434" s="1211"/>
      <c r="I434" s="1211"/>
      <c r="J434" s="1810"/>
      <c r="K434" s="1211"/>
      <c r="L434" s="1918"/>
    </row>
    <row r="435" spans="2:12" hidden="1" x14ac:dyDescent="0.2">
      <c r="B435" t="s">
        <v>1094</v>
      </c>
      <c r="C435" s="459">
        <f>BUDGET!BA435</f>
        <v>0</v>
      </c>
      <c r="D435" s="459" t="str">
        <f>BUDGET!BB435</f>
        <v>masco</v>
      </c>
      <c r="E435" s="1217" t="str">
        <f>BUDGET!A435</f>
        <v xml:space="preserve">ART.5TH MASCONOMET </v>
      </c>
      <c r="F435" s="861">
        <v>0</v>
      </c>
      <c r="G435" s="2909">
        <f>BUDGET!AZ435</f>
        <v>0</v>
      </c>
      <c r="H435" s="861"/>
      <c r="I435" s="1200"/>
      <c r="J435" s="1778"/>
      <c r="K435" s="861"/>
      <c r="L435" s="1883"/>
    </row>
    <row r="436" spans="2:12" x14ac:dyDescent="0.2">
      <c r="B436" t="s">
        <v>1094</v>
      </c>
      <c r="C436" s="459" t="str">
        <f>BUDGET!BA436</f>
        <v>no</v>
      </c>
      <c r="D436" s="459"/>
      <c r="E436" s="1217" t="str">
        <f>BUDGET!A436</f>
        <v xml:space="preserve">  SHARE OF OPER &amp; MAIN.</v>
      </c>
      <c r="F436" s="1671">
        <v>8876259</v>
      </c>
      <c r="G436" s="2941">
        <f>BUDGET!AZ436</f>
        <v>246921</v>
      </c>
      <c r="H436" s="1224"/>
      <c r="I436" s="1764"/>
      <c r="J436" s="1811"/>
      <c r="K436" s="1224"/>
      <c r="L436" s="1919"/>
    </row>
    <row r="437" spans="2:12" hidden="1" x14ac:dyDescent="0.2">
      <c r="B437" t="s">
        <v>1094</v>
      </c>
      <c r="C437" s="459">
        <f>BUDGET!BA437</f>
        <v>0</v>
      </c>
      <c r="D437" s="459" t="str">
        <f>BUDGET!BB437</f>
        <v>masco</v>
      </c>
      <c r="E437" s="1226" t="str">
        <f>BUDGET!A437</f>
        <v xml:space="preserve">  DEBT SERVICE</v>
      </c>
      <c r="F437" s="861">
        <v>0</v>
      </c>
      <c r="G437" s="2909">
        <f>BUDGET!AZ437</f>
        <v>0</v>
      </c>
      <c r="H437" s="861"/>
      <c r="I437" s="1200"/>
      <c r="J437" s="1778"/>
      <c r="K437" s="861"/>
      <c r="L437" s="1883"/>
    </row>
    <row r="438" spans="2:12" ht="13.5" hidden="1" thickBot="1" x14ac:dyDescent="0.25">
      <c r="C438" s="459">
        <f>BUDGET!BA438</f>
        <v>0</v>
      </c>
      <c r="D438" s="459" t="str">
        <f>BUDGET!BB438</f>
        <v>masco</v>
      </c>
      <c r="E438" s="1229" t="str">
        <f>BUDGET!A438</f>
        <v>TOTAL MASCO FIN COM ASSMNT</v>
      </c>
      <c r="F438" s="1170">
        <v>8876259</v>
      </c>
      <c r="G438" s="2913">
        <f>BUDGET!AZ438</f>
        <v>0</v>
      </c>
      <c r="H438" s="1170"/>
      <c r="I438" s="2178"/>
      <c r="J438" s="1807"/>
      <c r="K438" s="1170"/>
      <c r="L438" s="1916"/>
    </row>
    <row r="439" spans="2:12" ht="13.5" hidden="1" thickTop="1" x14ac:dyDescent="0.2">
      <c r="E439" s="1232"/>
      <c r="F439" s="1178" t="s">
        <v>1091</v>
      </c>
      <c r="G439" s="1178"/>
      <c r="H439" s="1178"/>
      <c r="I439" s="1178"/>
      <c r="J439" s="1803"/>
      <c r="K439" s="1178"/>
      <c r="L439" s="1178"/>
    </row>
    <row r="440" spans="2:12" hidden="1" x14ac:dyDescent="0.2">
      <c r="E440" s="1198"/>
      <c r="F440" s="1178"/>
      <c r="G440" s="459"/>
      <c r="H440"/>
      <c r="I440" s="2179"/>
      <c r="J440" s="459"/>
      <c r="K440"/>
      <c r="L440"/>
    </row>
    <row r="441" spans="2:12" hidden="1" x14ac:dyDescent="0.2">
      <c r="E441" s="1235"/>
      <c r="F441" s="1237"/>
      <c r="G441"/>
      <c r="H441"/>
      <c r="I441" s="2179"/>
      <c r="J441" s="459"/>
      <c r="K441"/>
      <c r="L441"/>
    </row>
    <row r="442" spans="2:12" x14ac:dyDescent="0.2">
      <c r="E442" s="1241"/>
      <c r="F442" s="1245"/>
      <c r="G442"/>
      <c r="H442"/>
      <c r="I442" s="2179"/>
      <c r="J442"/>
      <c r="K442"/>
      <c r="L442"/>
    </row>
    <row r="443" spans="2:12" x14ac:dyDescent="0.2">
      <c r="E443" s="1254"/>
      <c r="F443" s="1259"/>
      <c r="G443"/>
      <c r="H443"/>
      <c r="I443" s="2179"/>
      <c r="J443"/>
      <c r="K443"/>
      <c r="L443"/>
    </row>
    <row r="444" spans="2:12" x14ac:dyDescent="0.2">
      <c r="E444" s="1198"/>
      <c r="F444" s="859"/>
      <c r="G444"/>
      <c r="H444"/>
      <c r="I444" s="2179"/>
      <c r="J444" s="459">
        <f>SUM(J39:J401)</f>
        <v>157669</v>
      </c>
      <c r="K444"/>
      <c r="L444"/>
    </row>
    <row r="445" spans="2:12" x14ac:dyDescent="0.2">
      <c r="F445" s="1628"/>
      <c r="G445"/>
      <c r="H445"/>
      <c r="I445" s="2179"/>
      <c r="J445"/>
      <c r="K445"/>
      <c r="L445"/>
    </row>
    <row r="446" spans="2:12" x14ac:dyDescent="0.2">
      <c r="F446" s="1628"/>
      <c r="G446"/>
      <c r="H446"/>
      <c r="I446" s="2179"/>
      <c r="J446" s="459">
        <f>J444-'[5]ABOVE GUIDELINES'!$P$44</f>
        <v>25106</v>
      </c>
      <c r="K446"/>
      <c r="L446"/>
    </row>
    <row r="447" spans="2:12" x14ac:dyDescent="0.2">
      <c r="F447" s="1628"/>
      <c r="G447"/>
      <c r="H447"/>
      <c r="I447" s="2179"/>
      <c r="J447"/>
      <c r="K447"/>
      <c r="L447"/>
    </row>
    <row r="448" spans="2:12" x14ac:dyDescent="0.2">
      <c r="F448" s="1628"/>
      <c r="G448"/>
      <c r="H448"/>
      <c r="I448" s="2179"/>
      <c r="J448"/>
      <c r="K448"/>
      <c r="L448"/>
    </row>
    <row r="449" spans="5:12" x14ac:dyDescent="0.2">
      <c r="F449" s="1628"/>
      <c r="G449"/>
      <c r="H449"/>
      <c r="I449" s="2179"/>
      <c r="J449"/>
      <c r="K449"/>
      <c r="L449"/>
    </row>
    <row r="450" spans="5:12" x14ac:dyDescent="0.2">
      <c r="F450" s="1625"/>
      <c r="G450"/>
      <c r="H450"/>
      <c r="I450" s="2179"/>
      <c r="J450"/>
      <c r="K450"/>
      <c r="L450"/>
    </row>
    <row r="451" spans="5:12" x14ac:dyDescent="0.2">
      <c r="E451" s="1277"/>
      <c r="F451" s="1640"/>
      <c r="G451"/>
      <c r="H451"/>
      <c r="I451" s="2179"/>
      <c r="J451"/>
      <c r="K451"/>
      <c r="L451"/>
    </row>
    <row r="452" spans="5:12" ht="13.5" thickBot="1" x14ac:dyDescent="0.25">
      <c r="E452" s="1281"/>
      <c r="F452" s="1561"/>
      <c r="G452"/>
      <c r="H452"/>
      <c r="I452" s="2179"/>
      <c r="J452"/>
      <c r="K452"/>
      <c r="L452"/>
    </row>
    <row r="453" spans="5:12" ht="13.5" thickTop="1" x14ac:dyDescent="0.2">
      <c r="F453" s="1031"/>
      <c r="G453"/>
      <c r="H453"/>
      <c r="I453" s="2179"/>
      <c r="J453"/>
      <c r="K453"/>
      <c r="L453"/>
    </row>
    <row r="454" spans="5:12" x14ac:dyDescent="0.2">
      <c r="E454" s="1290"/>
      <c r="F454" s="1294"/>
      <c r="G454"/>
      <c r="H454"/>
      <c r="I454" s="2179"/>
      <c r="J454"/>
      <c r="K454"/>
      <c r="L454"/>
    </row>
    <row r="455" spans="5:12" x14ac:dyDescent="0.2">
      <c r="E455" s="1299"/>
      <c r="F455" s="1301"/>
      <c r="G455"/>
      <c r="H455"/>
      <c r="I455" s="2179"/>
      <c r="J455"/>
      <c r="K455"/>
      <c r="L455"/>
    </row>
    <row r="456" spans="5:12" ht="13.5" thickBot="1" x14ac:dyDescent="0.25">
      <c r="E456" s="1305"/>
      <c r="F456" s="1307"/>
      <c r="G456"/>
      <c r="H456"/>
      <c r="I456" s="2179"/>
      <c r="J456"/>
      <c r="K456"/>
      <c r="L456"/>
    </row>
    <row r="457" spans="5:12" x14ac:dyDescent="0.2">
      <c r="F457" s="733" t="s">
        <v>1091</v>
      </c>
    </row>
    <row r="458" spans="5:12" x14ac:dyDescent="0.2">
      <c r="F458" s="1629" t="s">
        <v>1091</v>
      </c>
      <c r="G458" s="1629"/>
      <c r="H458" s="1629"/>
      <c r="I458" s="1629"/>
      <c r="J458" s="1629"/>
      <c r="K458" s="1629"/>
      <c r="L458" s="1629"/>
    </row>
    <row r="459" spans="5:12" x14ac:dyDescent="0.2">
      <c r="F459" s="1031" t="s">
        <v>1091</v>
      </c>
      <c r="G459" s="1031"/>
      <c r="H459" s="1031"/>
      <c r="J459" s="1031"/>
      <c r="K459" s="1031"/>
      <c r="L459" s="1031"/>
    </row>
    <row r="460" spans="5:12" x14ac:dyDescent="0.2">
      <c r="F460" s="1031" t="s">
        <v>1091</v>
      </c>
      <c r="G460" s="1031"/>
      <c r="H460" s="1031"/>
      <c r="J460" s="1031"/>
      <c r="K460" s="1031"/>
      <c r="L460" s="1031"/>
    </row>
    <row r="461" spans="5:12" x14ac:dyDescent="0.2">
      <c r="F461" s="1031" t="s">
        <v>1091</v>
      </c>
      <c r="G461" s="1031"/>
      <c r="H461" s="1031"/>
      <c r="J461" s="1031"/>
      <c r="K461" s="1031"/>
      <c r="L461" s="1031"/>
    </row>
    <row r="462" spans="5:12" x14ac:dyDescent="0.2">
      <c r="F462" s="733" t="s">
        <v>1091</v>
      </c>
    </row>
    <row r="463" spans="5:12" x14ac:dyDescent="0.2">
      <c r="F463" s="733" t="s">
        <v>1091</v>
      </c>
    </row>
    <row r="464" spans="5:12" x14ac:dyDescent="0.2">
      <c r="F464" s="733" t="s">
        <v>1091</v>
      </c>
    </row>
    <row r="465" spans="5:6" x14ac:dyDescent="0.2">
      <c r="F465" s="733" t="s">
        <v>1091</v>
      </c>
    </row>
    <row r="466" spans="5:6" x14ac:dyDescent="0.2">
      <c r="E466" s="1632"/>
      <c r="F466" s="733" t="s">
        <v>1091</v>
      </c>
    </row>
    <row r="467" spans="5:6" x14ac:dyDescent="0.2">
      <c r="E467" s="1632"/>
      <c r="F467" s="733" t="s">
        <v>1091</v>
      </c>
    </row>
    <row r="468" spans="5:6" x14ac:dyDescent="0.2">
      <c r="E468" s="1632"/>
      <c r="F468" s="733" t="s">
        <v>1091</v>
      </c>
    </row>
    <row r="469" spans="5:6" x14ac:dyDescent="0.2">
      <c r="F469" s="733" t="s">
        <v>1091</v>
      </c>
    </row>
    <row r="470" spans="5:6" x14ac:dyDescent="0.2">
      <c r="F470" s="733" t="s">
        <v>1091</v>
      </c>
    </row>
    <row r="471" spans="5:6" x14ac:dyDescent="0.2">
      <c r="F471" s="733" t="s">
        <v>1091</v>
      </c>
    </row>
    <row r="472" spans="5:6" x14ac:dyDescent="0.2">
      <c r="F472" s="733" t="s">
        <v>1091</v>
      </c>
    </row>
    <row r="473" spans="5:6" x14ac:dyDescent="0.2">
      <c r="F473" s="733" t="s">
        <v>1091</v>
      </c>
    </row>
    <row r="474" spans="5:6" x14ac:dyDescent="0.2">
      <c r="F474" s="733" t="s">
        <v>1091</v>
      </c>
    </row>
    <row r="475" spans="5:6" x14ac:dyDescent="0.2">
      <c r="F475" s="733" t="s">
        <v>1091</v>
      </c>
    </row>
    <row r="476" spans="5:6" x14ac:dyDescent="0.2">
      <c r="F476" s="733" t="s">
        <v>1091</v>
      </c>
    </row>
    <row r="477" spans="5:6" x14ac:dyDescent="0.2">
      <c r="F477" s="733" t="s">
        <v>1091</v>
      </c>
    </row>
    <row r="478" spans="5:6" x14ac:dyDescent="0.2">
      <c r="F478" s="733" t="s">
        <v>1091</v>
      </c>
    </row>
    <row r="479" spans="5:6" x14ac:dyDescent="0.2">
      <c r="F479" s="733" t="s">
        <v>1091</v>
      </c>
    </row>
    <row r="480" spans="5:6" x14ac:dyDescent="0.2">
      <c r="F480" s="733" t="s">
        <v>1091</v>
      </c>
    </row>
    <row r="481" spans="6:6" x14ac:dyDescent="0.2">
      <c r="F481" s="733" t="s">
        <v>1091</v>
      </c>
    </row>
    <row r="482" spans="6:6" x14ac:dyDescent="0.2">
      <c r="F482" s="733" t="s">
        <v>1091</v>
      </c>
    </row>
    <row r="483" spans="6:6" x14ac:dyDescent="0.2">
      <c r="F483" s="733" t="s">
        <v>1091</v>
      </c>
    </row>
    <row r="484" spans="6:6" x14ac:dyDescent="0.2">
      <c r="F484" s="733" t="s">
        <v>1091</v>
      </c>
    </row>
    <row r="485" spans="6:6" x14ac:dyDescent="0.2">
      <c r="F485" s="733" t="s">
        <v>1091</v>
      </c>
    </row>
    <row r="486" spans="6:6" x14ac:dyDescent="0.2">
      <c r="F486" s="733" t="s">
        <v>1091</v>
      </c>
    </row>
    <row r="487" spans="6:6" x14ac:dyDescent="0.2">
      <c r="F487" s="733" t="s">
        <v>1091</v>
      </c>
    </row>
    <row r="488" spans="6:6" x14ac:dyDescent="0.2">
      <c r="F488" s="733" t="s">
        <v>1091</v>
      </c>
    </row>
    <row r="489" spans="6:6" x14ac:dyDescent="0.2">
      <c r="F489" s="733" t="s">
        <v>1091</v>
      </c>
    </row>
    <row r="490" spans="6:6" x14ac:dyDescent="0.2">
      <c r="F490" s="733" t="s">
        <v>1091</v>
      </c>
    </row>
    <row r="491" spans="6:6" x14ac:dyDescent="0.2">
      <c r="F491" s="733" t="s">
        <v>1091</v>
      </c>
    </row>
    <row r="492" spans="6:6" x14ac:dyDescent="0.2">
      <c r="F492" s="733" t="s">
        <v>1091</v>
      </c>
    </row>
    <row r="493" spans="6:6" x14ac:dyDescent="0.2">
      <c r="F493" s="733" t="s">
        <v>1091</v>
      </c>
    </row>
    <row r="494" spans="6:6" x14ac:dyDescent="0.2">
      <c r="F494" s="733" t="s">
        <v>1091</v>
      </c>
    </row>
    <row r="495" spans="6:6" x14ac:dyDescent="0.2">
      <c r="F495" s="733" t="s">
        <v>1091</v>
      </c>
    </row>
    <row r="496" spans="6:6" x14ac:dyDescent="0.2">
      <c r="F496" s="733" t="s">
        <v>1091</v>
      </c>
    </row>
    <row r="497" spans="6:6" x14ac:dyDescent="0.2">
      <c r="F497" s="733" t="s">
        <v>1091</v>
      </c>
    </row>
    <row r="498" spans="6:6" x14ac:dyDescent="0.2">
      <c r="F498" s="733" t="s">
        <v>1091</v>
      </c>
    </row>
    <row r="499" spans="6:6" x14ac:dyDescent="0.2">
      <c r="F499" s="733" t="s">
        <v>1091</v>
      </c>
    </row>
    <row r="500" spans="6:6" x14ac:dyDescent="0.2">
      <c r="F500" s="733" t="s">
        <v>1091</v>
      </c>
    </row>
    <row r="501" spans="6:6" x14ac:dyDescent="0.2">
      <c r="F501" s="733" t="s">
        <v>1091</v>
      </c>
    </row>
    <row r="502" spans="6:6" x14ac:dyDescent="0.2">
      <c r="F502" s="733" t="s">
        <v>1091</v>
      </c>
    </row>
    <row r="503" spans="6:6" x14ac:dyDescent="0.2">
      <c r="F503" s="733" t="s">
        <v>1091</v>
      </c>
    </row>
    <row r="504" spans="6:6" x14ac:dyDescent="0.2">
      <c r="F504" s="733" t="s">
        <v>1091</v>
      </c>
    </row>
    <row r="505" spans="6:6" x14ac:dyDescent="0.2">
      <c r="F505" s="733" t="s">
        <v>1091</v>
      </c>
    </row>
    <row r="506" spans="6:6" x14ac:dyDescent="0.2">
      <c r="F506" s="733" t="s">
        <v>1091</v>
      </c>
    </row>
    <row r="507" spans="6:6" x14ac:dyDescent="0.2">
      <c r="F507" s="733" t="s">
        <v>1091</v>
      </c>
    </row>
    <row r="508" spans="6:6" x14ac:dyDescent="0.2">
      <c r="F508" s="733" t="s">
        <v>1091</v>
      </c>
    </row>
    <row r="509" spans="6:6" x14ac:dyDescent="0.2">
      <c r="F509" s="733" t="s">
        <v>1091</v>
      </c>
    </row>
    <row r="510" spans="6:6" x14ac:dyDescent="0.2">
      <c r="F510" s="733" t="s">
        <v>1091</v>
      </c>
    </row>
    <row r="511" spans="6:6" x14ac:dyDescent="0.2">
      <c r="F511" s="733" t="s">
        <v>1091</v>
      </c>
    </row>
    <row r="512" spans="6:6" x14ac:dyDescent="0.2">
      <c r="F512" s="733" t="s">
        <v>1091</v>
      </c>
    </row>
    <row r="513" spans="6:6" x14ac:dyDescent="0.2">
      <c r="F513" s="733" t="s">
        <v>1091</v>
      </c>
    </row>
    <row r="514" spans="6:6" x14ac:dyDescent="0.2">
      <c r="F514" s="733" t="s">
        <v>1091</v>
      </c>
    </row>
    <row r="515" spans="6:6" x14ac:dyDescent="0.2">
      <c r="F515" s="733" t="s">
        <v>1091</v>
      </c>
    </row>
    <row r="516" spans="6:6" x14ac:dyDescent="0.2">
      <c r="F516" s="733" t="s">
        <v>1091</v>
      </c>
    </row>
    <row r="517" spans="6:6" x14ac:dyDescent="0.2">
      <c r="F517" s="733" t="s">
        <v>1091</v>
      </c>
    </row>
    <row r="518" spans="6:6" x14ac:dyDescent="0.2">
      <c r="F518" s="733" t="s">
        <v>1091</v>
      </c>
    </row>
    <row r="519" spans="6:6" x14ac:dyDescent="0.2">
      <c r="F519" s="733" t="s">
        <v>1091</v>
      </c>
    </row>
    <row r="520" spans="6:6" x14ac:dyDescent="0.2">
      <c r="F520" s="733" t="s">
        <v>1091</v>
      </c>
    </row>
    <row r="521" spans="6:6" x14ac:dyDescent="0.2">
      <c r="F521" s="733" t="s">
        <v>1091</v>
      </c>
    </row>
    <row r="522" spans="6:6" x14ac:dyDescent="0.2">
      <c r="F522" s="733" t="s">
        <v>1091</v>
      </c>
    </row>
    <row r="523" spans="6:6" x14ac:dyDescent="0.2">
      <c r="F523" s="733" t="s">
        <v>1091</v>
      </c>
    </row>
    <row r="524" spans="6:6" x14ac:dyDescent="0.2">
      <c r="F524" s="733" t="s">
        <v>1091</v>
      </c>
    </row>
    <row r="525" spans="6:6" x14ac:dyDescent="0.2">
      <c r="F525" s="733" t="s">
        <v>1091</v>
      </c>
    </row>
    <row r="526" spans="6:6" x14ac:dyDescent="0.2">
      <c r="F526" s="733" t="s">
        <v>1091</v>
      </c>
    </row>
    <row r="527" spans="6:6" x14ac:dyDescent="0.2">
      <c r="F527" s="733" t="s">
        <v>1091</v>
      </c>
    </row>
    <row r="528" spans="6:6" x14ac:dyDescent="0.2">
      <c r="F528" s="733" t="s">
        <v>1091</v>
      </c>
    </row>
    <row r="529" spans="6:6" x14ac:dyDescent="0.2">
      <c r="F529" s="733" t="s">
        <v>1091</v>
      </c>
    </row>
    <row r="530" spans="6:6" x14ac:dyDescent="0.2">
      <c r="F530" s="733" t="s">
        <v>1091</v>
      </c>
    </row>
    <row r="531" spans="6:6" x14ac:dyDescent="0.2">
      <c r="F531" s="733" t="s">
        <v>1091</v>
      </c>
    </row>
    <row r="532" spans="6:6" x14ac:dyDescent="0.2">
      <c r="F532" s="733" t="s">
        <v>1091</v>
      </c>
    </row>
    <row r="533" spans="6:6" x14ac:dyDescent="0.2">
      <c r="F533" s="733" t="s">
        <v>1091</v>
      </c>
    </row>
    <row r="534" spans="6:6" x14ac:dyDescent="0.2">
      <c r="F534" s="733" t="s">
        <v>1091</v>
      </c>
    </row>
    <row r="535" spans="6:6" x14ac:dyDescent="0.2">
      <c r="F535" s="733" t="s">
        <v>1091</v>
      </c>
    </row>
    <row r="536" spans="6:6" x14ac:dyDescent="0.2">
      <c r="F536" s="733" t="s">
        <v>1091</v>
      </c>
    </row>
    <row r="537" spans="6:6" x14ac:dyDescent="0.2">
      <c r="F537" s="733" t="s">
        <v>1091</v>
      </c>
    </row>
    <row r="538" spans="6:6" x14ac:dyDescent="0.2">
      <c r="F538" s="733" t="s">
        <v>1091</v>
      </c>
    </row>
    <row r="539" spans="6:6" x14ac:dyDescent="0.2">
      <c r="F539" s="733" t="s">
        <v>1091</v>
      </c>
    </row>
    <row r="540" spans="6:6" x14ac:dyDescent="0.2">
      <c r="F540" s="733" t="s">
        <v>1091</v>
      </c>
    </row>
    <row r="541" spans="6:6" x14ac:dyDescent="0.2">
      <c r="F541" s="733" t="s">
        <v>1091</v>
      </c>
    </row>
    <row r="542" spans="6:6" x14ac:dyDescent="0.2">
      <c r="F542" s="733" t="s">
        <v>1091</v>
      </c>
    </row>
    <row r="543" spans="6:6" x14ac:dyDescent="0.2">
      <c r="F543" s="733" t="s">
        <v>1091</v>
      </c>
    </row>
    <row r="544" spans="6:6" x14ac:dyDescent="0.2">
      <c r="F544" s="733" t="s">
        <v>1091</v>
      </c>
    </row>
    <row r="545" spans="6:6" x14ac:dyDescent="0.2">
      <c r="F545" s="733" t="s">
        <v>1091</v>
      </c>
    </row>
    <row r="546" spans="6:6" x14ac:dyDescent="0.2">
      <c r="F546" s="733" t="s">
        <v>1091</v>
      </c>
    </row>
    <row r="547" spans="6:6" x14ac:dyDescent="0.2">
      <c r="F547" s="733" t="s">
        <v>1091</v>
      </c>
    </row>
    <row r="548" spans="6:6" x14ac:dyDescent="0.2">
      <c r="F548" s="733" t="s">
        <v>1091</v>
      </c>
    </row>
    <row r="549" spans="6:6" x14ac:dyDescent="0.2">
      <c r="F549" s="733" t="s">
        <v>1091</v>
      </c>
    </row>
    <row r="550" spans="6:6" x14ac:dyDescent="0.2">
      <c r="F550" s="733" t="s">
        <v>1091</v>
      </c>
    </row>
    <row r="551" spans="6:6" x14ac:dyDescent="0.2">
      <c r="F551" s="733" t="s">
        <v>1091</v>
      </c>
    </row>
    <row r="552" spans="6:6" x14ac:dyDescent="0.2">
      <c r="F552" s="733" t="s">
        <v>1091</v>
      </c>
    </row>
    <row r="553" spans="6:6" x14ac:dyDescent="0.2">
      <c r="F553" s="733" t="s">
        <v>1091</v>
      </c>
    </row>
    <row r="554" spans="6:6" x14ac:dyDescent="0.2">
      <c r="F554" s="733" t="s">
        <v>1091</v>
      </c>
    </row>
    <row r="555" spans="6:6" x14ac:dyDescent="0.2">
      <c r="F555" s="733" t="s">
        <v>1091</v>
      </c>
    </row>
    <row r="556" spans="6:6" x14ac:dyDescent="0.2">
      <c r="F556" s="733" t="s">
        <v>1091</v>
      </c>
    </row>
    <row r="557" spans="6:6" x14ac:dyDescent="0.2">
      <c r="F557" s="733" t="s">
        <v>1091</v>
      </c>
    </row>
    <row r="558" spans="6:6" x14ac:dyDescent="0.2">
      <c r="F558" s="733" t="s">
        <v>1091</v>
      </c>
    </row>
    <row r="559" spans="6:6" x14ac:dyDescent="0.2">
      <c r="F559" s="733" t="s">
        <v>1091</v>
      </c>
    </row>
    <row r="560" spans="6:6" x14ac:dyDescent="0.2">
      <c r="F560" s="733" t="s">
        <v>1091</v>
      </c>
    </row>
    <row r="561" spans="6:6" x14ac:dyDescent="0.2">
      <c r="F561" s="733" t="s">
        <v>1091</v>
      </c>
    </row>
    <row r="562" spans="6:6" x14ac:dyDescent="0.2">
      <c r="F562" s="733" t="s">
        <v>1091</v>
      </c>
    </row>
    <row r="563" spans="6:6" x14ac:dyDescent="0.2">
      <c r="F563" s="733" t="s">
        <v>1091</v>
      </c>
    </row>
    <row r="564" spans="6:6" x14ac:dyDescent="0.2">
      <c r="F564" s="733" t="s">
        <v>1091</v>
      </c>
    </row>
    <row r="565" spans="6:6" x14ac:dyDescent="0.2">
      <c r="F565" s="733" t="s">
        <v>1091</v>
      </c>
    </row>
    <row r="566" spans="6:6" x14ac:dyDescent="0.2">
      <c r="F566" s="733" t="s">
        <v>1091</v>
      </c>
    </row>
    <row r="567" spans="6:6" x14ac:dyDescent="0.2">
      <c r="F567" s="733" t="s">
        <v>1091</v>
      </c>
    </row>
    <row r="568" spans="6:6" x14ac:dyDescent="0.2">
      <c r="F568" s="733" t="s">
        <v>1091</v>
      </c>
    </row>
    <row r="569" spans="6:6" x14ac:dyDescent="0.2">
      <c r="F569" s="733" t="s">
        <v>1091</v>
      </c>
    </row>
    <row r="570" spans="6:6" x14ac:dyDescent="0.2">
      <c r="F570" s="733" t="s">
        <v>1091</v>
      </c>
    </row>
    <row r="571" spans="6:6" x14ac:dyDescent="0.2">
      <c r="F571" s="733" t="s">
        <v>1091</v>
      </c>
    </row>
    <row r="572" spans="6:6" x14ac:dyDescent="0.2">
      <c r="F572" s="733" t="s">
        <v>1091</v>
      </c>
    </row>
  </sheetData>
  <sheetProtection selectLockedCells="1"/>
  <protectedRanges>
    <protectedRange sqref="G1:L1048576" name="Range1"/>
  </protectedRanges>
  <autoFilter ref="B10:L441">
    <filterColumn colId="2">
      <filters blank="1">
        <filter val="-"/>
        <filter val="masco"/>
        <filter val="new"/>
        <filter val="Transfers"/>
        <dateGroupItem year="2023" dateTimeGrouping="year"/>
      </filters>
    </filterColumn>
    <filterColumn colId="5">
      <filters>
        <filter val="1,170,896"/>
        <filter val="1,650"/>
        <filter val="1,985"/>
        <filter val="11,357"/>
        <filter val="15,000"/>
        <filter val="2,840"/>
        <filter val="200"/>
        <filter val="246,921"/>
        <filter val="3,000"/>
        <filter val="308"/>
        <filter val="4,000"/>
        <filter val="5,000"/>
        <filter val="5,600"/>
        <filter val="500"/>
        <filter val="6,500"/>
        <filter val="6,909"/>
        <filter val="7,720"/>
        <filter val="80,000"/>
        <filter val="90"/>
        <filter val="910"/>
      </filters>
    </filterColumn>
  </autoFilter>
  <pageMargins left="0.7" right="0.7" top="0.75" bottom="0.75" header="0.3" footer="0.3"/>
  <pageSetup paperSize="9" scale="67" fitToHeight="0" orientation="portrait" horizontalDpi="4294967293" r:id="rId1"/>
  <headerFooter>
    <oddFooter>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N2101"/>
  <sheetViews>
    <sheetView topLeftCell="A16" workbookViewId="0">
      <selection activeCell="M48" sqref="M48"/>
    </sheetView>
  </sheetViews>
  <sheetFormatPr defaultRowHeight="12.75" x14ac:dyDescent="0.2"/>
  <cols>
    <col min="2" max="2" width="5.7109375" style="2015" customWidth="1"/>
    <col min="3" max="3" width="65" style="2015" customWidth="1"/>
    <col min="4" max="4" width="10.28515625" style="2033" customWidth="1"/>
    <col min="5" max="5" width="10.140625" style="2029" customWidth="1"/>
    <col min="6" max="6" width="9.7109375" style="2029" customWidth="1"/>
    <col min="7" max="7" width="9.5703125" style="2029" customWidth="1"/>
    <col min="8" max="8" width="14.85546875" style="2029" customWidth="1"/>
    <col min="9" max="9" width="0" style="127" hidden="1" customWidth="1"/>
    <col min="10" max="10" width="2.7109375" style="127" hidden="1" customWidth="1"/>
    <col min="11" max="11" width="11.85546875" style="86" customWidth="1"/>
    <col min="12" max="13" width="11.85546875" customWidth="1"/>
    <col min="14" max="14" width="32.5703125" customWidth="1"/>
  </cols>
  <sheetData>
    <row r="1" spans="2:13" x14ac:dyDescent="0.2">
      <c r="D1" s="514"/>
      <c r="E1" s="487"/>
      <c r="F1" s="487"/>
      <c r="G1" s="487"/>
      <c r="H1" s="487"/>
      <c r="I1" s="487"/>
      <c r="J1" s="488"/>
      <c r="K1" s="494"/>
    </row>
    <row r="2" spans="2:13" x14ac:dyDescent="0.2">
      <c r="B2" s="2016"/>
      <c r="C2" s="2016"/>
      <c r="D2" s="503"/>
      <c r="E2" s="491"/>
      <c r="F2" s="492"/>
      <c r="G2" s="492"/>
      <c r="H2" s="492"/>
      <c r="I2" s="492"/>
      <c r="J2" s="493"/>
      <c r="K2" s="494"/>
    </row>
    <row r="3" spans="2:13" ht="13.5" thickBot="1" x14ac:dyDescent="0.25">
      <c r="D3" s="503"/>
      <c r="E3" s="491"/>
      <c r="F3" s="492"/>
      <c r="G3" s="492"/>
      <c r="H3" s="497"/>
      <c r="I3" s="497"/>
      <c r="J3" s="498"/>
      <c r="K3" s="499"/>
      <c r="L3" s="499"/>
      <c r="M3" s="499"/>
    </row>
    <row r="4" spans="2:13" x14ac:dyDescent="0.2">
      <c r="B4" s="2017" t="s">
        <v>1091</v>
      </c>
      <c r="C4" s="2017" t="s">
        <v>1091</v>
      </c>
      <c r="D4" s="2017" t="s">
        <v>425</v>
      </c>
      <c r="E4" s="2017" t="s">
        <v>1091</v>
      </c>
      <c r="F4" s="2017" t="s">
        <v>1091</v>
      </c>
      <c r="G4" s="2017" t="s">
        <v>1091</v>
      </c>
      <c r="H4" s="2017" t="s">
        <v>1091</v>
      </c>
      <c r="I4" s="83" t="str">
        <f>IF('PROJECTED SCH. B'!H4=0,"",'PROJECTED SCH. B'!H4)</f>
        <v>AUTHORIZATIONS</v>
      </c>
      <c r="J4" s="83" t="str">
        <f>IF('PROJECTED SCH. B'!I4=0,"",'PROJECTED SCH. B'!I4)</f>
        <v/>
      </c>
      <c r="K4" s="1928"/>
      <c r="L4" s="1928"/>
      <c r="M4" s="1928"/>
    </row>
    <row r="5" spans="2:13" x14ac:dyDescent="0.2">
      <c r="B5" s="2018" t="s">
        <v>164</v>
      </c>
      <c r="C5" s="2018" t="s">
        <v>164</v>
      </c>
      <c r="D5" s="2018" t="s">
        <v>427</v>
      </c>
      <c r="E5" s="2018" t="s">
        <v>428</v>
      </c>
      <c r="F5" s="2018" t="s">
        <v>429</v>
      </c>
      <c r="G5" s="2018" t="s">
        <v>289</v>
      </c>
      <c r="H5" s="2018" t="s">
        <v>149</v>
      </c>
      <c r="I5" s="89" t="str">
        <f>IF('PROJECTED SCH. B'!H5=0,"",'PROJECTED SCH. B'!H5)</f>
        <v>MEMO ONLY</v>
      </c>
      <c r="J5" s="89" t="str">
        <f>IF('PROJECTED SCH. B'!I5=0,"",'PROJECTED SCH. B'!I5)</f>
        <v/>
      </c>
      <c r="K5" s="1929"/>
      <c r="L5" s="1929"/>
      <c r="M5" s="1929"/>
    </row>
    <row r="6" spans="2:13" x14ac:dyDescent="0.2">
      <c r="B6" s="2018" t="s">
        <v>280</v>
      </c>
      <c r="C6" s="2018" t="s">
        <v>314</v>
      </c>
      <c r="D6" s="2018" t="s">
        <v>315</v>
      </c>
      <c r="E6" s="2018" t="s">
        <v>316</v>
      </c>
      <c r="F6" s="2018" t="s">
        <v>317</v>
      </c>
      <c r="G6" s="2018" t="s">
        <v>318</v>
      </c>
      <c r="H6" s="2018" t="s">
        <v>568</v>
      </c>
      <c r="I6" s="89" t="str">
        <f>IF('PROJECTED SCH. B'!H6=0,"",'PROJECTED SCH. B'!H6)</f>
        <v>(f)</v>
      </c>
      <c r="J6" s="89" t="str">
        <f>IF('PROJECTED SCH. B'!I6=0,"",'PROJECTED SCH. B'!I6)</f>
        <v>(g)</v>
      </c>
      <c r="K6" s="1929"/>
      <c r="L6" s="1929"/>
      <c r="M6" s="1929"/>
    </row>
    <row r="7" spans="2:13" x14ac:dyDescent="0.2">
      <c r="B7" s="2018" t="s">
        <v>280</v>
      </c>
      <c r="C7" s="2018" t="s">
        <v>39</v>
      </c>
      <c r="D7" s="2018" t="s">
        <v>795</v>
      </c>
      <c r="E7" s="2018" t="s">
        <v>771</v>
      </c>
      <c r="F7" s="2018" t="s">
        <v>772</v>
      </c>
      <c r="G7" s="2018" t="s">
        <v>773</v>
      </c>
      <c r="H7" s="2018" t="s">
        <v>658</v>
      </c>
      <c r="I7" s="89" t="str">
        <f>IF('PROJECTED SCH. B'!H7=0,"",'PROJECTED SCH. B'!H7)</f>
        <v>Revolving</v>
      </c>
      <c r="J7" s="89" t="str">
        <f>IF('PROJECTED SCH. B'!I7=0,"",'PROJECTED SCH. B'!I7)</f>
        <v>Borrowing</v>
      </c>
      <c r="K7" s="1926"/>
      <c r="L7" s="1926" t="s">
        <v>2521</v>
      </c>
      <c r="M7" s="1926"/>
    </row>
    <row r="8" spans="2:13" x14ac:dyDescent="0.2">
      <c r="B8" s="2019" t="s">
        <v>839</v>
      </c>
      <c r="C8" s="2019" t="s">
        <v>989</v>
      </c>
      <c r="D8" s="2019" t="s">
        <v>840</v>
      </c>
      <c r="E8" s="2019" t="s">
        <v>841</v>
      </c>
      <c r="F8" s="2019" t="s">
        <v>438</v>
      </c>
      <c r="G8" s="2019" t="s">
        <v>310</v>
      </c>
      <c r="H8" s="2019" t="s">
        <v>311</v>
      </c>
      <c r="I8" s="95" t="str">
        <f>IF('PROJECTED SCH. B'!H8=0,"",'PROJECTED SCH. B'!H8)</f>
        <v>Funds</v>
      </c>
      <c r="J8" s="95" t="str">
        <f>IF('PROJECTED SCH. B'!I8=0,"",'PROJECTED SCH. B'!I8)</f>
        <v>Authorization</v>
      </c>
      <c r="K8" s="1926"/>
      <c r="L8" s="1926" t="s">
        <v>1090</v>
      </c>
      <c r="M8" s="1926"/>
    </row>
    <row r="9" spans="2:13" ht="13.5" thickBot="1" x14ac:dyDescent="0.25">
      <c r="B9" s="2020" t="s">
        <v>572</v>
      </c>
      <c r="C9" s="2020" t="s">
        <v>1091</v>
      </c>
      <c r="D9" s="2020" t="s">
        <v>675</v>
      </c>
      <c r="E9" s="2020" t="s">
        <v>1091</v>
      </c>
      <c r="F9" s="2020" t="s">
        <v>1091</v>
      </c>
      <c r="G9" s="2020" t="s">
        <v>676</v>
      </c>
      <c r="H9" s="2020" t="s">
        <v>677</v>
      </c>
      <c r="I9" s="97" t="str">
        <f>IF('PROJECTED SCH. B'!H9=0,"",'PROJECTED SCH. B'!H9)</f>
        <v>See A-3</v>
      </c>
      <c r="J9" s="97" t="str">
        <f>IF('PROJECTED SCH. B'!I9=0,"",'PROJECTED SCH. B'!I9)</f>
        <v/>
      </c>
      <c r="K9" s="1927" t="s">
        <v>1084</v>
      </c>
      <c r="L9" s="1927" t="s">
        <v>893</v>
      </c>
      <c r="M9" s="1927" t="s">
        <v>1085</v>
      </c>
    </row>
    <row r="10" spans="2:13" x14ac:dyDescent="0.2">
      <c r="B10" s="2021">
        <v>2</v>
      </c>
      <c r="C10" s="2022" t="s">
        <v>885</v>
      </c>
      <c r="D10" s="2022">
        <v>120178</v>
      </c>
      <c r="E10" s="2022" t="s">
        <v>1091</v>
      </c>
      <c r="F10" s="2022" t="s">
        <v>1091</v>
      </c>
      <c r="G10" s="2022">
        <v>120178</v>
      </c>
      <c r="H10" s="2022" t="s">
        <v>1091</v>
      </c>
      <c r="I10" s="2022" t="s">
        <v>1091</v>
      </c>
      <c r="J10" s="2022" t="s">
        <v>1091</v>
      </c>
      <c r="K10" s="2022"/>
      <c r="L10" s="2022"/>
      <c r="M10" s="2959" t="s">
        <v>1091</v>
      </c>
    </row>
    <row r="11" spans="2:13" x14ac:dyDescent="0.2">
      <c r="B11" s="2023">
        <v>3</v>
      </c>
      <c r="C11" s="2024" t="s">
        <v>613</v>
      </c>
      <c r="D11" s="2024">
        <v>23528394.760000002</v>
      </c>
      <c r="E11" s="2024">
        <v>23528394.760000002</v>
      </c>
      <c r="F11" s="2024" t="s">
        <v>1091</v>
      </c>
      <c r="G11" s="2024" t="s">
        <v>1091</v>
      </c>
      <c r="H11" s="2024" t="s">
        <v>1091</v>
      </c>
      <c r="I11" s="2024" t="s">
        <v>1091</v>
      </c>
      <c r="J11" s="2024" t="s">
        <v>1091</v>
      </c>
      <c r="K11" s="2024"/>
      <c r="L11" s="2024"/>
      <c r="M11" s="2960" t="s">
        <v>1091</v>
      </c>
    </row>
    <row r="12" spans="2:13" x14ac:dyDescent="0.2">
      <c r="B12" s="2023">
        <v>4</v>
      </c>
      <c r="C12" s="2024" t="s">
        <v>721</v>
      </c>
      <c r="D12" s="2024">
        <v>2123955</v>
      </c>
      <c r="E12" s="2024" t="s">
        <v>1091</v>
      </c>
      <c r="F12" s="2024" t="s">
        <v>1091</v>
      </c>
      <c r="G12" s="2024" t="s">
        <v>1091</v>
      </c>
      <c r="H12" s="2024">
        <v>2123955</v>
      </c>
      <c r="I12" s="2024" t="s">
        <v>1091</v>
      </c>
      <c r="J12" s="2024" t="s">
        <v>1091</v>
      </c>
      <c r="K12" s="2024"/>
      <c r="L12" s="2024"/>
      <c r="M12" s="2960" t="s">
        <v>1091</v>
      </c>
    </row>
    <row r="13" spans="2:13" x14ac:dyDescent="0.2">
      <c r="B13" s="2023">
        <v>5</v>
      </c>
      <c r="C13" s="2024" t="s">
        <v>1092</v>
      </c>
      <c r="D13" s="2024">
        <v>8876259</v>
      </c>
      <c r="E13" s="2024">
        <v>8876259</v>
      </c>
      <c r="F13" s="2024" t="s">
        <v>1091</v>
      </c>
      <c r="G13" s="2024" t="s">
        <v>1091</v>
      </c>
      <c r="H13" s="2024" t="s">
        <v>1091</v>
      </c>
      <c r="I13" s="2024" t="s">
        <v>1091</v>
      </c>
      <c r="J13" s="2024" t="s">
        <v>1091</v>
      </c>
      <c r="K13" s="2024"/>
      <c r="L13" s="2024"/>
      <c r="M13" s="2960" t="s">
        <v>1091</v>
      </c>
    </row>
    <row r="14" spans="2:13" x14ac:dyDescent="0.2">
      <c r="B14" s="2023">
        <v>6</v>
      </c>
      <c r="C14" s="2024" t="s">
        <v>1031</v>
      </c>
      <c r="D14" s="2024">
        <v>485391</v>
      </c>
      <c r="E14" s="2024">
        <v>485391</v>
      </c>
      <c r="F14" s="2024" t="s">
        <v>1091</v>
      </c>
      <c r="G14" s="2024" t="s">
        <v>1091</v>
      </c>
      <c r="H14" s="2024" t="s">
        <v>1091</v>
      </c>
      <c r="I14" s="2024" t="s">
        <v>1091</v>
      </c>
      <c r="J14" s="2024" t="s">
        <v>1091</v>
      </c>
      <c r="K14" s="2024"/>
      <c r="L14" s="2024"/>
      <c r="M14" s="2960" t="s">
        <v>1091</v>
      </c>
    </row>
    <row r="15" spans="2:13" x14ac:dyDescent="0.2">
      <c r="B15" s="2023">
        <v>7</v>
      </c>
      <c r="C15" s="2024" t="s">
        <v>1000</v>
      </c>
      <c r="D15" s="2024" t="s">
        <v>1091</v>
      </c>
      <c r="E15" s="2024" t="s">
        <v>1091</v>
      </c>
      <c r="F15" s="2024" t="s">
        <v>1091</v>
      </c>
      <c r="G15" s="2024" t="s">
        <v>1091</v>
      </c>
      <c r="H15" s="2024" t="s">
        <v>1091</v>
      </c>
      <c r="I15" s="2024" t="s">
        <v>1091</v>
      </c>
      <c r="J15" s="2024" t="s">
        <v>1091</v>
      </c>
      <c r="K15" s="2024"/>
      <c r="L15" s="2024"/>
      <c r="M15" s="2960" t="s">
        <v>1091</v>
      </c>
    </row>
    <row r="16" spans="2:13" x14ac:dyDescent="0.2">
      <c r="B16" s="2023">
        <v>8</v>
      </c>
      <c r="C16" s="2024" t="s">
        <v>881</v>
      </c>
      <c r="D16" s="2024" t="s">
        <v>1091</v>
      </c>
      <c r="E16" s="2024" t="s">
        <v>1091</v>
      </c>
      <c r="F16" s="2024" t="s">
        <v>1091</v>
      </c>
      <c r="G16" s="2024" t="s">
        <v>1091</v>
      </c>
      <c r="H16" s="2024" t="s">
        <v>1091</v>
      </c>
      <c r="I16" s="2024" t="s">
        <v>1091</v>
      </c>
      <c r="J16" s="2024" t="s">
        <v>1091</v>
      </c>
      <c r="K16" s="2024"/>
      <c r="L16" s="2024"/>
      <c r="M16" s="2960" t="s">
        <v>1091</v>
      </c>
    </row>
    <row r="17" spans="2:14" x14ac:dyDescent="0.2">
      <c r="B17" s="2023">
        <v>9</v>
      </c>
      <c r="C17" s="2024" t="s">
        <v>1032</v>
      </c>
      <c r="D17" s="2024">
        <v>21525</v>
      </c>
      <c r="E17" s="2024" t="s">
        <v>1091</v>
      </c>
      <c r="F17" s="2024">
        <v>21525</v>
      </c>
      <c r="G17" s="2024" t="s">
        <v>1091</v>
      </c>
      <c r="H17" s="2024" t="s">
        <v>1091</v>
      </c>
      <c r="I17" s="2024" t="s">
        <v>1091</v>
      </c>
      <c r="J17" s="2024" t="s">
        <v>1091</v>
      </c>
      <c r="K17" s="2024"/>
      <c r="L17" s="2024"/>
      <c r="M17" s="2960" t="s">
        <v>1091</v>
      </c>
    </row>
    <row r="18" spans="2:14" x14ac:dyDescent="0.2">
      <c r="B18" s="2023">
        <v>10</v>
      </c>
      <c r="C18" s="2024" t="s">
        <v>1033</v>
      </c>
      <c r="D18" s="2024">
        <v>1500</v>
      </c>
      <c r="E18" s="2024" t="s">
        <v>1091</v>
      </c>
      <c r="F18" s="2024">
        <v>1500</v>
      </c>
      <c r="G18" s="2024" t="s">
        <v>1091</v>
      </c>
      <c r="H18" s="2024" t="s">
        <v>1091</v>
      </c>
      <c r="I18" s="2024" t="s">
        <v>1091</v>
      </c>
      <c r="J18" s="2024" t="s">
        <v>1091</v>
      </c>
      <c r="K18" s="2024"/>
      <c r="L18" s="2024"/>
      <c r="M18" s="2960" t="s">
        <v>1091</v>
      </c>
    </row>
    <row r="19" spans="2:14" x14ac:dyDescent="0.2">
      <c r="B19" s="2023">
        <v>11</v>
      </c>
      <c r="C19" s="2024" t="s">
        <v>1175</v>
      </c>
      <c r="D19" s="2024">
        <v>8000</v>
      </c>
      <c r="E19" s="2024" t="s">
        <v>1091</v>
      </c>
      <c r="F19" s="2024">
        <v>8000</v>
      </c>
      <c r="G19" s="2024" t="s">
        <v>1091</v>
      </c>
      <c r="H19" s="2024" t="s">
        <v>1091</v>
      </c>
      <c r="I19" s="2024" t="s">
        <v>1091</v>
      </c>
      <c r="J19" s="2024" t="s">
        <v>1091</v>
      </c>
      <c r="K19" s="2024"/>
      <c r="L19" s="2024"/>
      <c r="M19" s="2960" t="s">
        <v>1091</v>
      </c>
    </row>
    <row r="20" spans="2:14" x14ac:dyDescent="0.2">
      <c r="B20" s="2023">
        <v>12</v>
      </c>
      <c r="C20" s="2024" t="s">
        <v>1080</v>
      </c>
      <c r="D20" s="2024">
        <v>30000</v>
      </c>
      <c r="E20" s="2024" t="s">
        <v>1091</v>
      </c>
      <c r="F20" s="2024">
        <v>30000</v>
      </c>
      <c r="G20" s="2024" t="s">
        <v>1091</v>
      </c>
      <c r="H20" s="2024" t="s">
        <v>1091</v>
      </c>
      <c r="I20" s="2024" t="s">
        <v>1091</v>
      </c>
      <c r="J20" s="2024" t="s">
        <v>1091</v>
      </c>
      <c r="K20" s="2024"/>
      <c r="L20" s="2024"/>
      <c r="M20" s="2960" t="s">
        <v>1091</v>
      </c>
    </row>
    <row r="21" spans="2:14" x14ac:dyDescent="0.2">
      <c r="B21" s="2023">
        <v>13</v>
      </c>
      <c r="C21" s="2024" t="s">
        <v>1165</v>
      </c>
      <c r="D21" s="2024">
        <v>130000</v>
      </c>
      <c r="E21" s="2024"/>
      <c r="F21" s="2024">
        <v>130000</v>
      </c>
      <c r="G21" s="2024"/>
      <c r="H21" s="2024"/>
      <c r="I21" s="2024"/>
      <c r="J21" s="2024"/>
      <c r="K21" s="2024"/>
      <c r="L21" s="2024"/>
      <c r="M21" s="2960"/>
    </row>
    <row r="22" spans="2:14" x14ac:dyDescent="0.2">
      <c r="B22" s="2023">
        <v>14</v>
      </c>
      <c r="C22" s="2024" t="s">
        <v>1166</v>
      </c>
      <c r="D22" s="2024">
        <v>11000</v>
      </c>
      <c r="E22" s="2024" t="s">
        <v>1091</v>
      </c>
      <c r="F22" s="2024">
        <v>11000</v>
      </c>
      <c r="G22" s="2024" t="s">
        <v>1091</v>
      </c>
      <c r="H22" s="2024" t="s">
        <v>1091</v>
      </c>
      <c r="I22" s="2024" t="s">
        <v>1091</v>
      </c>
      <c r="J22" s="2024" t="s">
        <v>1091</v>
      </c>
      <c r="K22" s="2024"/>
      <c r="L22" s="2024"/>
      <c r="M22" s="2960" t="s">
        <v>1091</v>
      </c>
    </row>
    <row r="23" spans="2:14" x14ac:dyDescent="0.2">
      <c r="B23" s="2023">
        <v>15</v>
      </c>
      <c r="C23" s="2024" t="s">
        <v>1167</v>
      </c>
      <c r="D23" s="2024">
        <v>480000</v>
      </c>
      <c r="E23" s="2024" t="s">
        <v>1091</v>
      </c>
      <c r="F23" s="2024">
        <v>140000</v>
      </c>
      <c r="G23" s="2024">
        <v>340000</v>
      </c>
      <c r="H23" s="2024" t="s">
        <v>1091</v>
      </c>
      <c r="I23" s="2024" t="s">
        <v>1091</v>
      </c>
      <c r="J23" s="2024" t="s">
        <v>1091</v>
      </c>
      <c r="K23" s="2024"/>
      <c r="L23" s="2024"/>
      <c r="M23" s="2960" t="s">
        <v>1091</v>
      </c>
    </row>
    <row r="24" spans="2:14" x14ac:dyDescent="0.2">
      <c r="B24" s="2023">
        <v>16</v>
      </c>
      <c r="C24" s="2024" t="s">
        <v>1082</v>
      </c>
      <c r="D24" s="2024">
        <v>243000</v>
      </c>
      <c r="E24" s="2024" t="s">
        <v>1091</v>
      </c>
      <c r="F24" s="2024">
        <v>243000</v>
      </c>
      <c r="G24" s="2024" t="s">
        <v>1091</v>
      </c>
      <c r="H24" s="2024" t="s">
        <v>1091</v>
      </c>
      <c r="I24" s="2024" t="s">
        <v>1091</v>
      </c>
      <c r="J24" s="2024" t="s">
        <v>1091</v>
      </c>
      <c r="K24" s="2963"/>
      <c r="L24" s="2024"/>
      <c r="M24" s="2961" t="s">
        <v>1091</v>
      </c>
    </row>
    <row r="25" spans="2:14" x14ac:dyDescent="0.2">
      <c r="B25" s="2023">
        <v>17</v>
      </c>
      <c r="C25" s="2024" t="s">
        <v>2532</v>
      </c>
      <c r="D25" s="2024">
        <v>45000</v>
      </c>
      <c r="E25" s="2024" t="s">
        <v>1091</v>
      </c>
      <c r="F25" s="2024">
        <v>45000</v>
      </c>
      <c r="G25" s="2024" t="s">
        <v>1091</v>
      </c>
      <c r="H25" s="2024" t="s">
        <v>1091</v>
      </c>
      <c r="I25" s="2024" t="s">
        <v>1091</v>
      </c>
      <c r="J25" s="2024" t="s">
        <v>1091</v>
      </c>
      <c r="K25" s="2963" t="s">
        <v>2533</v>
      </c>
      <c r="L25" s="2024"/>
      <c r="M25" s="2962">
        <v>45005</v>
      </c>
    </row>
    <row r="26" spans="2:14" x14ac:dyDescent="0.2">
      <c r="B26" s="2023">
        <v>18</v>
      </c>
      <c r="C26" s="2024" t="s">
        <v>2537</v>
      </c>
      <c r="D26" s="2024">
        <v>800000</v>
      </c>
      <c r="E26" s="2024" t="s">
        <v>1091</v>
      </c>
      <c r="F26" s="2024" t="s">
        <v>1091</v>
      </c>
      <c r="G26" s="2024" t="s">
        <v>1091</v>
      </c>
      <c r="H26" s="2024">
        <v>800000</v>
      </c>
      <c r="I26" s="2024" t="s">
        <v>1091</v>
      </c>
      <c r="J26" s="2024">
        <v>3000000</v>
      </c>
      <c r="K26" s="2963" t="s">
        <v>1101</v>
      </c>
      <c r="L26" s="2024"/>
      <c r="M26" s="2962">
        <v>45005</v>
      </c>
      <c r="N26" s="256"/>
    </row>
    <row r="27" spans="2:14" x14ac:dyDescent="0.2">
      <c r="B27" s="2023">
        <v>19</v>
      </c>
      <c r="C27" s="2024" t="s">
        <v>1169</v>
      </c>
      <c r="D27" s="2024">
        <v>90000</v>
      </c>
      <c r="E27" s="2024" t="s">
        <v>1091</v>
      </c>
      <c r="F27" s="2024" t="s">
        <v>1091</v>
      </c>
      <c r="G27" s="2024" t="s">
        <v>1091</v>
      </c>
      <c r="H27" s="2024">
        <v>90000</v>
      </c>
      <c r="I27" s="2024" t="s">
        <v>1091</v>
      </c>
      <c r="J27" s="2024" t="s">
        <v>1091</v>
      </c>
      <c r="K27" s="2963" t="s">
        <v>1101</v>
      </c>
      <c r="L27" s="2024"/>
      <c r="M27" s="2962">
        <v>45005</v>
      </c>
    </row>
    <row r="28" spans="2:14" x14ac:dyDescent="0.2">
      <c r="B28" s="2023">
        <v>20</v>
      </c>
      <c r="C28" s="2024" t="s">
        <v>1170</v>
      </c>
      <c r="D28" s="2024">
        <v>150000</v>
      </c>
      <c r="E28" s="2024" t="s">
        <v>1091</v>
      </c>
      <c r="F28" s="2024" t="s">
        <v>1091</v>
      </c>
      <c r="G28" s="2024"/>
      <c r="H28" s="2024">
        <v>150000</v>
      </c>
      <c r="I28" s="2024" t="s">
        <v>1091</v>
      </c>
      <c r="J28" s="2024" t="s">
        <v>1091</v>
      </c>
      <c r="K28" s="2963" t="s">
        <v>1101</v>
      </c>
      <c r="L28" s="2024"/>
      <c r="M28" s="2962">
        <v>45005</v>
      </c>
    </row>
    <row r="29" spans="2:14" x14ac:dyDescent="0.2">
      <c r="B29" s="2023">
        <v>21</v>
      </c>
      <c r="C29" s="2024" t="s">
        <v>1171</v>
      </c>
      <c r="D29" s="2024">
        <v>25000</v>
      </c>
      <c r="E29" s="2024" t="s">
        <v>1091</v>
      </c>
      <c r="F29" s="2024">
        <v>25000</v>
      </c>
      <c r="G29" s="2024" t="s">
        <v>1091</v>
      </c>
      <c r="H29" s="2024" t="s">
        <v>1091</v>
      </c>
      <c r="I29" s="2024" t="s">
        <v>1091</v>
      </c>
      <c r="J29" s="2024" t="s">
        <v>1091</v>
      </c>
      <c r="K29" s="2963"/>
      <c r="L29" s="2024"/>
      <c r="M29" s="2962" t="s">
        <v>1091</v>
      </c>
    </row>
    <row r="30" spans="2:14" x14ac:dyDescent="0.2">
      <c r="B30" s="2023">
        <v>22</v>
      </c>
      <c r="C30" s="2024" t="s">
        <v>2522</v>
      </c>
      <c r="D30" s="2024" t="s">
        <v>1091</v>
      </c>
      <c r="E30" s="2024" t="s">
        <v>1091</v>
      </c>
      <c r="F30" s="2024" t="s">
        <v>1091</v>
      </c>
      <c r="G30" s="2024" t="s">
        <v>1091</v>
      </c>
      <c r="H30" s="2024" t="s">
        <v>1091</v>
      </c>
      <c r="I30" s="2024" t="s">
        <v>1091</v>
      </c>
      <c r="J30" s="2024" t="s">
        <v>1091</v>
      </c>
      <c r="K30" s="2963" t="s">
        <v>1101</v>
      </c>
      <c r="L30" s="2024"/>
      <c r="M30" s="2962">
        <v>45005</v>
      </c>
    </row>
    <row r="31" spans="2:14" x14ac:dyDescent="0.2">
      <c r="B31" s="2023">
        <v>23</v>
      </c>
      <c r="C31" s="2024" t="s">
        <v>2523</v>
      </c>
      <c r="D31" s="2024" t="s">
        <v>1091</v>
      </c>
      <c r="E31" s="2024" t="s">
        <v>1091</v>
      </c>
      <c r="F31" s="2024" t="s">
        <v>1091</v>
      </c>
      <c r="G31" s="2024" t="s">
        <v>1091</v>
      </c>
      <c r="H31" s="2024" t="s">
        <v>1091</v>
      </c>
      <c r="I31" s="2024" t="s">
        <v>1091</v>
      </c>
      <c r="J31" s="2024" t="s">
        <v>1091</v>
      </c>
      <c r="K31" s="2963" t="s">
        <v>1101</v>
      </c>
      <c r="L31" s="2024"/>
      <c r="M31" s="2962">
        <v>45005</v>
      </c>
    </row>
    <row r="32" spans="2:14" x14ac:dyDescent="0.2">
      <c r="B32" s="2023">
        <v>24</v>
      </c>
      <c r="C32" s="2024" t="s">
        <v>2524</v>
      </c>
      <c r="D32" s="2024" t="s">
        <v>1091</v>
      </c>
      <c r="E32" s="2024" t="s">
        <v>1091</v>
      </c>
      <c r="F32" s="2024" t="s">
        <v>1091</v>
      </c>
      <c r="G32" s="2024" t="s">
        <v>1091</v>
      </c>
      <c r="H32" s="2024" t="s">
        <v>1091</v>
      </c>
      <c r="I32" s="2024" t="s">
        <v>1091</v>
      </c>
      <c r="J32" s="2024" t="s">
        <v>1091</v>
      </c>
      <c r="K32" s="2963" t="s">
        <v>1101</v>
      </c>
      <c r="L32" s="2024"/>
      <c r="M32" s="2962">
        <v>45005</v>
      </c>
    </row>
    <row r="33" spans="2:13" x14ac:dyDescent="0.2">
      <c r="B33" s="2023">
        <v>25</v>
      </c>
      <c r="C33" s="2024" t="s">
        <v>2525</v>
      </c>
      <c r="D33" s="2024" t="s">
        <v>1091</v>
      </c>
      <c r="E33" s="2024" t="s">
        <v>1091</v>
      </c>
      <c r="F33" s="2024" t="s">
        <v>1091</v>
      </c>
      <c r="G33" s="2024" t="s">
        <v>1091</v>
      </c>
      <c r="H33" s="2024" t="s">
        <v>1091</v>
      </c>
      <c r="I33" s="2024" t="s">
        <v>1091</v>
      </c>
      <c r="J33" s="2024" t="s">
        <v>1091</v>
      </c>
      <c r="K33" s="2963" t="s">
        <v>1101</v>
      </c>
      <c r="L33" s="2024"/>
      <c r="M33" s="2962">
        <v>45005</v>
      </c>
    </row>
    <row r="34" spans="2:13" x14ac:dyDescent="0.2">
      <c r="B34" s="2023">
        <v>26</v>
      </c>
      <c r="C34" s="2024" t="s">
        <v>2526</v>
      </c>
      <c r="D34" s="2024" t="s">
        <v>1091</v>
      </c>
      <c r="E34" s="2024" t="s">
        <v>1091</v>
      </c>
      <c r="F34" s="2024" t="s">
        <v>1091</v>
      </c>
      <c r="G34" s="2024" t="s">
        <v>1091</v>
      </c>
      <c r="H34" s="2024" t="s">
        <v>1091</v>
      </c>
      <c r="I34" s="2024" t="s">
        <v>1091</v>
      </c>
      <c r="J34" s="2024" t="s">
        <v>1091</v>
      </c>
      <c r="K34" s="2963" t="s">
        <v>1101</v>
      </c>
      <c r="L34" s="2024"/>
      <c r="M34" s="2962">
        <v>45005</v>
      </c>
    </row>
    <row r="35" spans="2:13" x14ac:dyDescent="0.2">
      <c r="B35" s="2023">
        <v>27</v>
      </c>
      <c r="C35" s="2024" t="s">
        <v>2527</v>
      </c>
      <c r="D35" s="2024" t="s">
        <v>1091</v>
      </c>
      <c r="E35" s="2024" t="s">
        <v>1091</v>
      </c>
      <c r="F35" s="2024" t="s">
        <v>1091</v>
      </c>
      <c r="G35" s="2024" t="s">
        <v>1091</v>
      </c>
      <c r="H35" s="2024" t="s">
        <v>1091</v>
      </c>
      <c r="I35" s="2024" t="s">
        <v>1091</v>
      </c>
      <c r="J35" s="2024" t="s">
        <v>1091</v>
      </c>
      <c r="K35" s="2963" t="s">
        <v>2535</v>
      </c>
      <c r="L35" s="2024"/>
      <c r="M35" s="2962">
        <v>45005</v>
      </c>
    </row>
    <row r="36" spans="2:13" x14ac:dyDescent="0.2">
      <c r="B36" s="2023">
        <v>28</v>
      </c>
      <c r="C36" s="2024" t="s">
        <v>2516</v>
      </c>
      <c r="D36" s="2024" t="s">
        <v>1091</v>
      </c>
      <c r="E36" s="2024" t="s">
        <v>1091</v>
      </c>
      <c r="F36" s="2024" t="s">
        <v>1091</v>
      </c>
      <c r="G36" s="2024" t="s">
        <v>1091</v>
      </c>
      <c r="H36" s="2024" t="s">
        <v>1091</v>
      </c>
      <c r="I36" s="2024" t="s">
        <v>1091</v>
      </c>
      <c r="J36" s="2024" t="s">
        <v>1091</v>
      </c>
      <c r="K36" s="2963"/>
      <c r="L36" s="2024"/>
      <c r="M36" s="2962" t="s">
        <v>1091</v>
      </c>
    </row>
    <row r="37" spans="2:13" x14ac:dyDescent="0.2">
      <c r="B37" s="2023">
        <v>29</v>
      </c>
      <c r="C37" s="2025" t="s">
        <v>2528</v>
      </c>
      <c r="D37" s="2024" t="s">
        <v>1091</v>
      </c>
      <c r="E37" s="2024" t="s">
        <v>1091</v>
      </c>
      <c r="F37" s="2024" t="s">
        <v>1091</v>
      </c>
      <c r="G37" s="2024" t="s">
        <v>1091</v>
      </c>
      <c r="H37" s="2024" t="s">
        <v>1091</v>
      </c>
      <c r="I37" s="2024" t="s">
        <v>1091</v>
      </c>
      <c r="J37" s="2024" t="s">
        <v>1091</v>
      </c>
      <c r="K37" s="2963" t="s">
        <v>1101</v>
      </c>
      <c r="L37" s="2024"/>
      <c r="M37" s="2962">
        <v>45005</v>
      </c>
    </row>
    <row r="38" spans="2:13" x14ac:dyDescent="0.2">
      <c r="B38" s="2023">
        <v>30</v>
      </c>
      <c r="C38" s="2024" t="s">
        <v>2529</v>
      </c>
      <c r="D38" s="2024" t="s">
        <v>1091</v>
      </c>
      <c r="E38" s="2024" t="s">
        <v>1091</v>
      </c>
      <c r="F38" s="2024" t="s">
        <v>1091</v>
      </c>
      <c r="G38" s="2024" t="s">
        <v>1091</v>
      </c>
      <c r="H38" s="2024" t="s">
        <v>1091</v>
      </c>
      <c r="I38" s="2024" t="s">
        <v>1091</v>
      </c>
      <c r="J38" s="2024" t="s">
        <v>1091</v>
      </c>
      <c r="K38" s="2963"/>
      <c r="L38" s="2024"/>
      <c r="M38" s="2962" t="s">
        <v>1091</v>
      </c>
    </row>
    <row r="39" spans="2:13" x14ac:dyDescent="0.2">
      <c r="B39" s="2023">
        <v>31</v>
      </c>
      <c r="C39" s="2024" t="s">
        <v>2519</v>
      </c>
      <c r="D39" s="2024" t="s">
        <v>1091</v>
      </c>
      <c r="E39" s="2024" t="s">
        <v>1091</v>
      </c>
      <c r="F39" s="2024" t="s">
        <v>1091</v>
      </c>
      <c r="G39" s="2024" t="s">
        <v>1091</v>
      </c>
      <c r="H39" s="2024" t="s">
        <v>1091</v>
      </c>
      <c r="I39" s="2024" t="s">
        <v>1091</v>
      </c>
      <c r="J39" s="2024" t="s">
        <v>1091</v>
      </c>
      <c r="K39" s="2963"/>
      <c r="L39" s="2024"/>
      <c r="M39" s="2962" t="s">
        <v>1091</v>
      </c>
    </row>
    <row r="40" spans="2:13" x14ac:dyDescent="0.2">
      <c r="B40" s="2023">
        <v>32</v>
      </c>
      <c r="C40" s="2024" t="s">
        <v>1083</v>
      </c>
      <c r="D40" s="2024">
        <v>15000</v>
      </c>
      <c r="E40" s="2024" t="s">
        <v>1091</v>
      </c>
      <c r="F40" s="2024">
        <v>15000</v>
      </c>
      <c r="G40" s="2024" t="s">
        <v>1091</v>
      </c>
      <c r="H40" s="2024" t="s">
        <v>1091</v>
      </c>
      <c r="I40" s="2024" t="s">
        <v>1091</v>
      </c>
      <c r="J40" s="2024" t="s">
        <v>1091</v>
      </c>
      <c r="K40" s="2963" t="s">
        <v>1101</v>
      </c>
      <c r="L40" s="2024"/>
      <c r="M40" s="2962">
        <v>45005</v>
      </c>
    </row>
    <row r="41" spans="2:13" x14ac:dyDescent="0.2">
      <c r="B41" s="2023">
        <v>33</v>
      </c>
      <c r="C41" s="2024" t="s">
        <v>2517</v>
      </c>
      <c r="D41" s="2024" t="s">
        <v>1091</v>
      </c>
      <c r="E41" s="2024" t="s">
        <v>1091</v>
      </c>
      <c r="F41" s="2024" t="s">
        <v>1091</v>
      </c>
      <c r="G41" s="2024" t="s">
        <v>1091</v>
      </c>
      <c r="H41" s="2024" t="s">
        <v>1091</v>
      </c>
      <c r="I41" s="2024" t="s">
        <v>1091</v>
      </c>
      <c r="J41" s="2024" t="s">
        <v>1091</v>
      </c>
      <c r="K41" s="2963" t="s">
        <v>1101</v>
      </c>
      <c r="L41" s="2024"/>
      <c r="M41" s="2962">
        <v>45005</v>
      </c>
    </row>
    <row r="42" spans="2:13" x14ac:dyDescent="0.2">
      <c r="B42" s="2023">
        <v>34</v>
      </c>
      <c r="C42" s="2024" t="s">
        <v>1172</v>
      </c>
      <c r="D42" s="2024">
        <v>131437</v>
      </c>
      <c r="E42" s="2024" t="s">
        <v>1091</v>
      </c>
      <c r="F42" s="2024">
        <v>131437</v>
      </c>
      <c r="G42" s="2024" t="s">
        <v>1091</v>
      </c>
      <c r="H42" s="2024" t="s">
        <v>1091</v>
      </c>
      <c r="I42" s="2024" t="s">
        <v>1091</v>
      </c>
      <c r="J42" s="2024" t="s">
        <v>1091</v>
      </c>
      <c r="K42" s="2963" t="s">
        <v>2534</v>
      </c>
      <c r="L42" s="2024"/>
      <c r="M42" s="2962">
        <v>45005</v>
      </c>
    </row>
    <row r="43" spans="2:13" x14ac:dyDescent="0.2">
      <c r="B43" s="2023">
        <v>35</v>
      </c>
      <c r="C43" s="2024" t="s">
        <v>2518</v>
      </c>
      <c r="D43" s="2024" t="s">
        <v>1091</v>
      </c>
      <c r="E43" s="2024" t="s">
        <v>1091</v>
      </c>
      <c r="F43" s="2024" t="s">
        <v>1091</v>
      </c>
      <c r="G43" s="2024" t="s">
        <v>1091</v>
      </c>
      <c r="H43" s="2024" t="s">
        <v>1091</v>
      </c>
      <c r="I43" s="2024" t="s">
        <v>1091</v>
      </c>
      <c r="J43" s="2024" t="s">
        <v>1091</v>
      </c>
      <c r="K43" s="2963" t="s">
        <v>1101</v>
      </c>
      <c r="L43" s="2024"/>
      <c r="M43" s="2962">
        <v>45005</v>
      </c>
    </row>
    <row r="44" spans="2:13" x14ac:dyDescent="0.2">
      <c r="B44" s="2023">
        <v>36</v>
      </c>
      <c r="C44" s="2025" t="s">
        <v>2530</v>
      </c>
      <c r="D44" s="2024" t="s">
        <v>1091</v>
      </c>
      <c r="E44" s="2024" t="s">
        <v>1091</v>
      </c>
      <c r="F44" s="2024" t="s">
        <v>1091</v>
      </c>
      <c r="G44" s="2024" t="s">
        <v>1091</v>
      </c>
      <c r="H44" s="2024" t="s">
        <v>1091</v>
      </c>
      <c r="I44" s="2024" t="s">
        <v>1091</v>
      </c>
      <c r="J44" s="2024" t="s">
        <v>1091</v>
      </c>
      <c r="K44" s="2963" t="s">
        <v>1101</v>
      </c>
      <c r="L44" s="2024"/>
      <c r="M44" s="2962">
        <v>45005</v>
      </c>
    </row>
    <row r="45" spans="2:13" x14ac:dyDescent="0.2">
      <c r="B45" s="2023">
        <v>37</v>
      </c>
      <c r="C45" s="2025" t="s">
        <v>2536</v>
      </c>
      <c r="D45" s="2024" t="s">
        <v>1091</v>
      </c>
      <c r="E45" s="2024" t="s">
        <v>1091</v>
      </c>
      <c r="F45" s="2024" t="s">
        <v>1091</v>
      </c>
      <c r="G45" s="2024" t="s">
        <v>1091</v>
      </c>
      <c r="H45" s="2024" t="s">
        <v>1091</v>
      </c>
      <c r="I45" s="2024" t="s">
        <v>1091</v>
      </c>
      <c r="J45" s="2024" t="s">
        <v>1091</v>
      </c>
      <c r="K45" s="2024"/>
      <c r="L45" s="2024"/>
      <c r="M45" s="2960" t="s">
        <v>1091</v>
      </c>
    </row>
    <row r="46" spans="2:13" x14ac:dyDescent="0.2">
      <c r="B46" s="2023">
        <v>38</v>
      </c>
      <c r="C46" s="2025" t="s">
        <v>2520</v>
      </c>
      <c r="D46" s="2024" t="s">
        <v>1091</v>
      </c>
      <c r="E46" s="2024" t="s">
        <v>1091</v>
      </c>
      <c r="F46" s="2024" t="s">
        <v>1091</v>
      </c>
      <c r="G46" s="2024" t="s">
        <v>1091</v>
      </c>
      <c r="H46" s="2024" t="s">
        <v>1091</v>
      </c>
      <c r="I46" s="2024" t="s">
        <v>1091</v>
      </c>
      <c r="J46" s="2024" t="s">
        <v>1091</v>
      </c>
      <c r="K46" s="2024"/>
      <c r="L46" s="2024"/>
      <c r="M46" s="2960" t="s">
        <v>1091</v>
      </c>
    </row>
    <row r="47" spans="2:13" x14ac:dyDescent="0.2">
      <c r="B47" s="2023">
        <v>39</v>
      </c>
      <c r="C47" s="2025" t="s">
        <v>1043</v>
      </c>
      <c r="D47" s="2024">
        <v>380000</v>
      </c>
      <c r="E47" s="2024" t="s">
        <v>1091</v>
      </c>
      <c r="F47" s="2024">
        <v>380000</v>
      </c>
      <c r="G47" s="2024" t="s">
        <v>1091</v>
      </c>
      <c r="H47" s="2024" t="s">
        <v>1091</v>
      </c>
      <c r="I47" s="2024" t="s">
        <v>1091</v>
      </c>
      <c r="J47" s="2024" t="s">
        <v>1091</v>
      </c>
      <c r="K47" s="2024"/>
      <c r="L47" s="2024"/>
      <c r="M47" s="2960" t="s">
        <v>1091</v>
      </c>
    </row>
    <row r="48" spans="2:13" x14ac:dyDescent="0.2">
      <c r="B48" s="2023">
        <v>40</v>
      </c>
      <c r="C48" s="2024" t="s">
        <v>1042</v>
      </c>
      <c r="D48" s="2024">
        <v>300000</v>
      </c>
      <c r="E48" s="2024" t="s">
        <v>1091</v>
      </c>
      <c r="F48" s="2024">
        <v>300000</v>
      </c>
      <c r="G48" s="2024" t="s">
        <v>1091</v>
      </c>
      <c r="H48" s="2024" t="s">
        <v>1091</v>
      </c>
      <c r="I48" s="2024" t="s">
        <v>1091</v>
      </c>
      <c r="J48" s="2024" t="s">
        <v>1091</v>
      </c>
      <c r="K48" s="2024"/>
      <c r="L48" s="2024"/>
      <c r="M48" s="2960" t="s">
        <v>1091</v>
      </c>
    </row>
    <row r="49" spans="2:13" x14ac:dyDescent="0.2">
      <c r="B49" s="2023">
        <v>41</v>
      </c>
      <c r="C49" s="2024" t="s">
        <v>1041</v>
      </c>
      <c r="D49" s="2024">
        <v>25000</v>
      </c>
      <c r="E49" s="2024" t="s">
        <v>1091</v>
      </c>
      <c r="F49" s="2024">
        <v>25000</v>
      </c>
      <c r="G49" s="2024" t="s">
        <v>1091</v>
      </c>
      <c r="H49" s="2024" t="s">
        <v>1091</v>
      </c>
      <c r="I49" s="2024" t="s">
        <v>1091</v>
      </c>
      <c r="J49" s="2024" t="s">
        <v>1091</v>
      </c>
      <c r="K49" s="2024"/>
      <c r="L49" s="2024"/>
      <c r="M49" s="2960" t="s">
        <v>1091</v>
      </c>
    </row>
    <row r="50" spans="2:13" x14ac:dyDescent="0.2">
      <c r="B50" s="2023">
        <v>42</v>
      </c>
      <c r="C50" s="2024" t="s">
        <v>2538</v>
      </c>
      <c r="D50" s="2024" t="s">
        <v>1091</v>
      </c>
      <c r="E50" s="2024" t="s">
        <v>1091</v>
      </c>
      <c r="F50" s="2024" t="s">
        <v>1091</v>
      </c>
      <c r="G50" s="2024" t="s">
        <v>1091</v>
      </c>
      <c r="H50" s="2024" t="s">
        <v>1091</v>
      </c>
      <c r="I50" s="2024" t="s">
        <v>1091</v>
      </c>
      <c r="J50" s="2024" t="s">
        <v>1091</v>
      </c>
      <c r="K50" s="2024"/>
      <c r="L50" s="2024"/>
      <c r="M50" s="2960" t="s">
        <v>1091</v>
      </c>
    </row>
    <row r="51" spans="2:13" x14ac:dyDescent="0.2">
      <c r="B51" s="2023"/>
      <c r="C51" s="2024"/>
      <c r="D51" s="2024"/>
      <c r="E51" s="2024"/>
      <c r="F51" s="2024"/>
      <c r="G51" s="2024"/>
      <c r="H51" s="2024"/>
      <c r="I51" s="2024"/>
      <c r="J51" s="2024"/>
      <c r="K51" s="2024"/>
      <c r="L51" s="2024"/>
      <c r="M51" s="2960"/>
    </row>
    <row r="52" spans="2:13" ht="14.25" x14ac:dyDescent="0.2">
      <c r="B52" s="2023" t="s">
        <v>1091</v>
      </c>
      <c r="C52" s="2024" t="s">
        <v>1091</v>
      </c>
      <c r="D52" s="2024" t="s">
        <v>1091</v>
      </c>
      <c r="E52" s="2024" t="s">
        <v>1091</v>
      </c>
      <c r="F52" s="2024" t="s">
        <v>1091</v>
      </c>
      <c r="G52" s="2024" t="s">
        <v>1091</v>
      </c>
      <c r="H52" s="2024" t="s">
        <v>1091</v>
      </c>
      <c r="I52" s="2003" t="str">
        <f>IF('PROJECTED SCH. B'!H53=0,"",'PROJECTED SCH. B'!H53)</f>
        <v/>
      </c>
      <c r="J52" s="2003" t="str">
        <f>IF('PROJECTED SCH. B'!I53=0,"",'PROJECTED SCH. B'!I53)</f>
        <v/>
      </c>
      <c r="K52" s="2006"/>
      <c r="L52" s="2006"/>
      <c r="M52" s="2186" t="str">
        <f t="shared" ref="M52" ca="1" si="0">IF(K52=0,"",TODAY())</f>
        <v/>
      </c>
    </row>
    <row r="53" spans="2:13" ht="13.5" thickBot="1" x14ac:dyDescent="0.25">
      <c r="B53" s="2027" t="s">
        <v>1091</v>
      </c>
      <c r="C53" s="2027"/>
      <c r="D53" s="2028"/>
      <c r="F53" s="2030"/>
      <c r="G53" s="2030"/>
      <c r="H53" s="2031"/>
      <c r="I53" s="396"/>
      <c r="J53" s="396"/>
      <c r="K53" s="107"/>
      <c r="L53" s="107"/>
      <c r="M53" s="2189"/>
    </row>
    <row r="54" spans="2:13" hidden="1" x14ac:dyDescent="0.2">
      <c r="B54" s="2027"/>
      <c r="C54" s="2027"/>
      <c r="D54" s="2028"/>
      <c r="E54" s="2032"/>
      <c r="F54" s="2030"/>
      <c r="G54" s="2030"/>
      <c r="H54" s="2033"/>
      <c r="I54" s="396"/>
      <c r="J54" s="409"/>
      <c r="K54" s="107"/>
      <c r="L54" s="107"/>
      <c r="M54" s="107"/>
    </row>
    <row r="55" spans="2:13" hidden="1" x14ac:dyDescent="0.2">
      <c r="B55" s="2027"/>
      <c r="C55" s="2027"/>
      <c r="D55" s="2028"/>
      <c r="E55" s="2032"/>
      <c r="F55" s="2030"/>
      <c r="G55" s="2030"/>
      <c r="H55" s="2034"/>
      <c r="I55" s="396"/>
      <c r="J55" s="396"/>
      <c r="K55" s="107"/>
      <c r="L55" s="107"/>
      <c r="M55" s="107"/>
    </row>
    <row r="56" spans="2:13" hidden="1" x14ac:dyDescent="0.2">
      <c r="B56" s="2027"/>
      <c r="C56" s="2027"/>
      <c r="D56" s="2028"/>
      <c r="F56" s="2035"/>
      <c r="G56" s="2030"/>
      <c r="H56" s="2036"/>
      <c r="I56" s="396"/>
      <c r="J56" s="396"/>
      <c r="K56" s="107"/>
      <c r="L56" s="107"/>
      <c r="M56" s="107"/>
    </row>
    <row r="57" spans="2:13" hidden="1" x14ac:dyDescent="0.2">
      <c r="B57" s="2027"/>
      <c r="C57" s="2027"/>
      <c r="D57" s="2028"/>
      <c r="F57" s="2035"/>
      <c r="G57" s="2030"/>
      <c r="H57" s="2031"/>
      <c r="I57" s="396"/>
      <c r="J57" s="396"/>
      <c r="K57" s="416"/>
      <c r="L57" s="416"/>
      <c r="M57" s="416"/>
    </row>
    <row r="58" spans="2:13" hidden="1" x14ac:dyDescent="0.2">
      <c r="B58" s="2027"/>
      <c r="C58" s="2027"/>
      <c r="D58" s="2028"/>
      <c r="E58" s="2032"/>
      <c r="F58" s="2035"/>
      <c r="G58" s="2030"/>
      <c r="H58" s="2031"/>
      <c r="I58" s="396"/>
      <c r="J58" s="396"/>
      <c r="K58" s="107"/>
      <c r="L58" s="107"/>
      <c r="M58" s="107"/>
    </row>
    <row r="59" spans="2:13" hidden="1" x14ac:dyDescent="0.2">
      <c r="B59" s="2027"/>
      <c r="C59" s="2027"/>
      <c r="D59" s="2028"/>
      <c r="E59" s="2037"/>
      <c r="F59" s="2035"/>
      <c r="G59" s="2038"/>
      <c r="H59" s="2039"/>
      <c r="I59" s="396"/>
      <c r="J59" s="396"/>
      <c r="K59" s="107"/>
      <c r="L59" s="107"/>
      <c r="M59" s="107"/>
    </row>
    <row r="60" spans="2:13" hidden="1" x14ac:dyDescent="0.2">
      <c r="B60" s="2027"/>
      <c r="C60" s="2027"/>
      <c r="D60" s="2040"/>
      <c r="E60" s="2040"/>
      <c r="F60" s="2040"/>
      <c r="G60" s="2040"/>
      <c r="H60" s="2040"/>
      <c r="I60" s="396"/>
      <c r="J60" s="396"/>
      <c r="K60" s="107"/>
      <c r="L60" s="107"/>
      <c r="M60" s="107"/>
    </row>
    <row r="61" spans="2:13" ht="13.5" hidden="1" thickBot="1" x14ac:dyDescent="0.25">
      <c r="B61" s="2041"/>
      <c r="C61" s="2041"/>
      <c r="D61" s="2042"/>
      <c r="E61" s="2043"/>
      <c r="F61" s="2044"/>
      <c r="G61" s="2045"/>
      <c r="H61" s="2046"/>
      <c r="I61" s="396"/>
      <c r="J61" s="396"/>
      <c r="K61" s="381"/>
      <c r="L61" s="381"/>
      <c r="M61" s="381"/>
    </row>
    <row r="62" spans="2:13" ht="13.5" hidden="1" thickBot="1" x14ac:dyDescent="0.25">
      <c r="B62" s="2047"/>
      <c r="C62" s="2047"/>
      <c r="D62" s="2042"/>
      <c r="E62" s="2048"/>
      <c r="F62" s="2049"/>
      <c r="G62" s="2042"/>
      <c r="H62" s="2048"/>
      <c r="I62" s="415"/>
      <c r="J62" s="382"/>
      <c r="K62" s="112"/>
      <c r="L62" s="112"/>
      <c r="M62" s="112"/>
    </row>
    <row r="63" spans="2:13" hidden="1" x14ac:dyDescent="0.2">
      <c r="B63" s="2050"/>
      <c r="C63" s="2050"/>
      <c r="D63" s="2051"/>
      <c r="E63" s="2051"/>
      <c r="F63" s="2035"/>
      <c r="G63" s="2051"/>
      <c r="H63" s="2051"/>
      <c r="I63" s="106"/>
      <c r="J63" s="106"/>
      <c r="K63" s="107"/>
      <c r="L63" s="107"/>
      <c r="M63" s="107"/>
    </row>
    <row r="64" spans="2:13" hidden="1" x14ac:dyDescent="0.2">
      <c r="B64" s="2052"/>
      <c r="C64" s="2052"/>
      <c r="D64" s="2053"/>
      <c r="E64" s="2051"/>
      <c r="F64" s="2035"/>
      <c r="G64" s="2051"/>
      <c r="H64" s="2051"/>
      <c r="I64" s="114"/>
      <c r="J64" s="114"/>
      <c r="K64" s="115"/>
      <c r="L64" s="115"/>
      <c r="M64" s="115"/>
    </row>
    <row r="65" spans="2:13" hidden="1" x14ac:dyDescent="0.2">
      <c r="B65" s="2054"/>
      <c r="C65" s="2054"/>
      <c r="D65" s="2051"/>
      <c r="E65" s="2051"/>
      <c r="F65" s="2035"/>
      <c r="G65" s="2051"/>
      <c r="H65" s="2051"/>
      <c r="I65" s="106"/>
      <c r="J65" s="106"/>
      <c r="K65" s="115"/>
      <c r="L65" s="115"/>
      <c r="M65" s="115"/>
    </row>
    <row r="66" spans="2:13" hidden="1" x14ac:dyDescent="0.2">
      <c r="B66" s="2055"/>
      <c r="C66" s="2055"/>
      <c r="D66" s="2056"/>
      <c r="E66" s="2051"/>
      <c r="F66" s="2035"/>
      <c r="G66" s="2051"/>
      <c r="H66" s="2051"/>
      <c r="I66" s="106"/>
      <c r="J66" s="106"/>
      <c r="K66" s="107"/>
      <c r="L66" s="107"/>
      <c r="M66" s="107"/>
    </row>
    <row r="67" spans="2:13" hidden="1" x14ac:dyDescent="0.2">
      <c r="B67" s="2055"/>
      <c r="C67" s="2055"/>
      <c r="D67" s="2056"/>
      <c r="E67" s="2051"/>
      <c r="F67" s="2035"/>
      <c r="G67" s="2057"/>
      <c r="H67" s="2051"/>
      <c r="I67" s="106"/>
      <c r="J67" s="106"/>
      <c r="K67" s="107"/>
      <c r="L67" s="107"/>
      <c r="M67" s="107"/>
    </row>
    <row r="68" spans="2:13" hidden="1" x14ac:dyDescent="0.2">
      <c r="B68" s="591"/>
      <c r="C68" s="591"/>
      <c r="D68" s="2028"/>
      <c r="E68" s="2051"/>
      <c r="F68" s="2058"/>
      <c r="G68" s="2059"/>
      <c r="H68" s="2051"/>
      <c r="I68" s="106"/>
      <c r="J68" s="106"/>
      <c r="K68" s="417"/>
      <c r="L68" s="417"/>
      <c r="M68" s="417"/>
    </row>
    <row r="69" spans="2:13" hidden="1" x14ac:dyDescent="0.2">
      <c r="B69" s="591"/>
      <c r="C69" s="591"/>
      <c r="D69" s="2028"/>
      <c r="E69" s="2051"/>
      <c r="F69" s="2058"/>
      <c r="G69" s="2057"/>
      <c r="H69" s="2051"/>
      <c r="I69" s="106"/>
      <c r="J69" s="106"/>
      <c r="K69" s="417"/>
      <c r="L69" s="417"/>
      <c r="M69" s="417"/>
    </row>
    <row r="70" spans="2:13" hidden="1" x14ac:dyDescent="0.2">
      <c r="B70" s="591"/>
      <c r="C70" s="591"/>
      <c r="D70" s="2028"/>
      <c r="E70" s="2037"/>
      <c r="G70" s="2057"/>
      <c r="H70" s="2051"/>
      <c r="I70" s="106"/>
      <c r="J70" s="106"/>
      <c r="K70" s="417"/>
      <c r="L70" s="417"/>
      <c r="M70" s="417"/>
    </row>
    <row r="71" spans="2:13" hidden="1" x14ac:dyDescent="0.2">
      <c r="B71" s="591"/>
      <c r="C71" s="591"/>
      <c r="D71" s="2028"/>
      <c r="E71" s="2037"/>
      <c r="F71" s="2038"/>
      <c r="G71" s="2057"/>
      <c r="H71" s="2051"/>
      <c r="I71" s="106"/>
      <c r="J71" s="106"/>
      <c r="K71" s="417"/>
      <c r="L71" s="417"/>
      <c r="M71" s="417"/>
    </row>
    <row r="72" spans="2:13" hidden="1" x14ac:dyDescent="0.2">
      <c r="B72" s="591"/>
      <c r="C72" s="591"/>
      <c r="D72" s="2028"/>
      <c r="E72" s="2051"/>
      <c r="F72" s="2060"/>
      <c r="G72" s="2057"/>
      <c r="H72" s="2051"/>
      <c r="I72" s="106"/>
      <c r="J72" s="106"/>
      <c r="K72" s="417"/>
      <c r="L72" s="417"/>
      <c r="M72" s="417"/>
    </row>
    <row r="73" spans="2:13" hidden="1" x14ac:dyDescent="0.2">
      <c r="B73" s="591"/>
      <c r="C73" s="591"/>
      <c r="D73" s="2028"/>
      <c r="E73" s="2051"/>
      <c r="F73" s="2058"/>
      <c r="G73" s="2057"/>
      <c r="H73" s="2051"/>
      <c r="I73" s="106"/>
      <c r="J73" s="106"/>
      <c r="K73" s="417"/>
      <c r="L73" s="417"/>
      <c r="M73" s="417"/>
    </row>
    <row r="74" spans="2:13" hidden="1" x14ac:dyDescent="0.2">
      <c r="B74" s="591"/>
      <c r="C74" s="591"/>
      <c r="D74" s="2028"/>
      <c r="E74" s="2051"/>
      <c r="F74" s="2058"/>
      <c r="G74" s="2057"/>
      <c r="H74" s="2051"/>
      <c r="I74" s="106"/>
      <c r="J74" s="106"/>
      <c r="K74" s="584"/>
      <c r="L74" s="584"/>
      <c r="M74" s="584"/>
    </row>
    <row r="75" spans="2:13" hidden="1" x14ac:dyDescent="0.2">
      <c r="B75" s="591"/>
      <c r="C75" s="591"/>
      <c r="D75" s="2028"/>
      <c r="E75" s="2051"/>
      <c r="F75" s="2058"/>
      <c r="G75" s="2057"/>
      <c r="H75" s="2051"/>
      <c r="I75" s="106"/>
      <c r="J75" s="106"/>
      <c r="K75" s="417"/>
      <c r="L75" s="417"/>
      <c r="M75" s="417"/>
    </row>
    <row r="76" spans="2:13" hidden="1" x14ac:dyDescent="0.2">
      <c r="D76" s="2057"/>
      <c r="E76" s="2051"/>
      <c r="F76" s="2058"/>
      <c r="G76" s="2057"/>
      <c r="H76" s="2051"/>
      <c r="I76" s="106"/>
      <c r="J76" s="106"/>
      <c r="K76" s="417"/>
      <c r="L76" s="417"/>
      <c r="M76" s="417"/>
    </row>
    <row r="77" spans="2:13" hidden="1" x14ac:dyDescent="0.2">
      <c r="B77" s="2055"/>
      <c r="C77" s="2055"/>
      <c r="D77" s="2061"/>
      <c r="E77" s="2051"/>
      <c r="F77" s="2035"/>
      <c r="G77" s="2051"/>
      <c r="H77" s="2051"/>
      <c r="I77" s="106"/>
      <c r="J77" s="106"/>
      <c r="K77" s="107"/>
      <c r="L77" s="107"/>
      <c r="M77" s="107"/>
    </row>
    <row r="78" spans="2:13" ht="13.5" hidden="1" thickBot="1" x14ac:dyDescent="0.25">
      <c r="B78" s="2062"/>
      <c r="C78" s="2062"/>
      <c r="D78" s="2053"/>
      <c r="E78" s="2063"/>
      <c r="F78" s="2063"/>
      <c r="G78" s="2063"/>
      <c r="H78" s="2063"/>
      <c r="I78" s="113"/>
      <c r="J78" s="113"/>
      <c r="K78" s="107"/>
      <c r="L78" s="107"/>
      <c r="M78" s="107"/>
    </row>
    <row r="79" spans="2:13" ht="13.5" thickBot="1" x14ac:dyDescent="0.25">
      <c r="B79" s="2064"/>
      <c r="C79" s="2064"/>
      <c r="D79" s="2065"/>
      <c r="E79" s="2065"/>
      <c r="F79" s="2065"/>
      <c r="G79" s="2065"/>
      <c r="H79" s="2065"/>
      <c r="I79" s="121"/>
      <c r="J79" s="121"/>
      <c r="K79" s="122"/>
      <c r="L79" s="122"/>
      <c r="M79" s="122"/>
    </row>
    <row r="80" spans="2:13" x14ac:dyDescent="0.2">
      <c r="B80" s="2066"/>
      <c r="C80" s="2066"/>
      <c r="E80" s="2067"/>
      <c r="F80" s="2033"/>
      <c r="G80" s="2033"/>
      <c r="H80" s="2033"/>
      <c r="I80" s="108"/>
      <c r="J80" s="108"/>
      <c r="K80" s="124"/>
    </row>
    <row r="81" spans="2:11" x14ac:dyDescent="0.2">
      <c r="B81" s="2066"/>
      <c r="C81" s="2066"/>
      <c r="D81" s="2067"/>
      <c r="E81" s="2033"/>
      <c r="F81" s="2033"/>
      <c r="G81" s="2033"/>
      <c r="H81" s="2067"/>
      <c r="I81" s="125"/>
      <c r="J81" s="108"/>
    </row>
    <row r="82" spans="2:11" x14ac:dyDescent="0.2">
      <c r="B82" s="2066"/>
      <c r="C82" s="2066"/>
      <c r="D82" s="2068"/>
      <c r="E82" s="2033"/>
      <c r="F82" s="2033"/>
      <c r="G82" s="2033"/>
      <c r="H82" s="2068"/>
      <c r="I82" s="125"/>
      <c r="J82" s="125"/>
    </row>
    <row r="83" spans="2:11" x14ac:dyDescent="0.2">
      <c r="B83" s="2066"/>
      <c r="C83" s="2066"/>
      <c r="D83" s="2067"/>
      <c r="E83" s="2033"/>
      <c r="F83" s="2033"/>
      <c r="G83" s="2067"/>
      <c r="H83" s="2067"/>
      <c r="I83" s="108"/>
      <c r="J83" s="125"/>
      <c r="K83" s="125"/>
    </row>
    <row r="84" spans="2:11" x14ac:dyDescent="0.2">
      <c r="B84" s="2069"/>
      <c r="C84" s="2069"/>
      <c r="D84" s="2069"/>
      <c r="E84" s="2070"/>
      <c r="F84" s="2069"/>
      <c r="G84" s="2069"/>
      <c r="H84" s="2069"/>
      <c r="I84"/>
      <c r="J84" s="108"/>
      <c r="K84" s="125"/>
    </row>
    <row r="85" spans="2:11" x14ac:dyDescent="0.2">
      <c r="B85" s="2069"/>
      <c r="C85" s="2069"/>
      <c r="D85" s="2071"/>
      <c r="E85" s="2069"/>
      <c r="F85" s="2069"/>
      <c r="G85" s="2069"/>
      <c r="H85" s="2069"/>
      <c r="I85"/>
      <c r="J85"/>
      <c r="K85"/>
    </row>
    <row r="86" spans="2:11" x14ac:dyDescent="0.2">
      <c r="B86" s="2071"/>
      <c r="C86" s="2071"/>
      <c r="D86" s="2069"/>
      <c r="E86" s="2069"/>
      <c r="F86" s="2069"/>
      <c r="G86" s="2069"/>
      <c r="H86" s="2069"/>
      <c r="I86"/>
      <c r="J86"/>
      <c r="K86"/>
    </row>
    <row r="87" spans="2:11" x14ac:dyDescent="0.2">
      <c r="B87" s="2069"/>
      <c r="C87" s="2069"/>
      <c r="D87" s="2069"/>
      <c r="E87" s="2069"/>
      <c r="F87" s="2069"/>
      <c r="G87" s="2069"/>
      <c r="H87" s="2069"/>
      <c r="I87"/>
      <c r="J87"/>
      <c r="K87"/>
    </row>
    <row r="88" spans="2:11" x14ac:dyDescent="0.2">
      <c r="B88" s="2069"/>
      <c r="C88" s="2069"/>
      <c r="D88" s="2069"/>
      <c r="E88" s="2069"/>
      <c r="F88" s="2069"/>
      <c r="G88" s="2069"/>
      <c r="H88" s="2069"/>
      <c r="I88"/>
      <c r="J88"/>
      <c r="K88"/>
    </row>
    <row r="89" spans="2:11" x14ac:dyDescent="0.2">
      <c r="B89" s="2069"/>
      <c r="C89" s="2069"/>
      <c r="D89" s="2069"/>
      <c r="E89" s="2069"/>
      <c r="F89" s="2069"/>
      <c r="G89" s="2069"/>
      <c r="H89" s="2069"/>
      <c r="I89"/>
      <c r="J89"/>
      <c r="K89"/>
    </row>
    <row r="90" spans="2:11" x14ac:dyDescent="0.2">
      <c r="B90" s="2069"/>
      <c r="C90" s="2069"/>
      <c r="D90" s="2069"/>
      <c r="E90" s="2069"/>
      <c r="F90" s="2069"/>
      <c r="G90" s="2069"/>
      <c r="H90" s="2069"/>
      <c r="I90"/>
      <c r="J90"/>
      <c r="K90"/>
    </row>
    <row r="91" spans="2:11" x14ac:dyDescent="0.2">
      <c r="B91" s="2069"/>
      <c r="C91" s="2069"/>
      <c r="D91" s="2069"/>
      <c r="E91" s="2069"/>
      <c r="F91" s="2069"/>
      <c r="G91" s="2069"/>
      <c r="H91" s="2069"/>
      <c r="I91"/>
      <c r="J91"/>
      <c r="K91"/>
    </row>
    <row r="92" spans="2:11" x14ac:dyDescent="0.2">
      <c r="B92" s="2069"/>
      <c r="C92" s="2069"/>
      <c r="D92" s="2069"/>
      <c r="E92" s="2069"/>
      <c r="F92" s="2069"/>
      <c r="G92" s="2069"/>
      <c r="H92" s="2069"/>
      <c r="I92"/>
      <c r="J92"/>
      <c r="K92"/>
    </row>
    <row r="93" spans="2:11" x14ac:dyDescent="0.2">
      <c r="B93" s="2069"/>
      <c r="C93" s="2069"/>
      <c r="D93" s="2069"/>
      <c r="E93" s="2069"/>
      <c r="F93" s="2069"/>
      <c r="G93" s="2069"/>
      <c r="H93" s="2069"/>
      <c r="I93"/>
      <c r="J93"/>
      <c r="K93"/>
    </row>
    <row r="94" spans="2:11" x14ac:dyDescent="0.2">
      <c r="B94" s="2069"/>
      <c r="C94" s="2069"/>
      <c r="D94" s="2069"/>
      <c r="E94" s="2069"/>
      <c r="F94" s="2069"/>
      <c r="G94" s="2069"/>
      <c r="H94" s="2069"/>
      <c r="I94"/>
      <c r="J94"/>
      <c r="K94"/>
    </row>
    <row r="95" spans="2:11" x14ac:dyDescent="0.2">
      <c r="B95" s="2069"/>
      <c r="C95" s="2069"/>
      <c r="D95" s="2069"/>
      <c r="E95" s="2069"/>
      <c r="F95" s="2069"/>
      <c r="G95" s="2069"/>
      <c r="H95" s="2069"/>
      <c r="I95"/>
      <c r="J95"/>
      <c r="K95"/>
    </row>
    <row r="96" spans="2:11" x14ac:dyDescent="0.2">
      <c r="B96" s="2069"/>
      <c r="C96" s="2069"/>
      <c r="D96" s="2069"/>
      <c r="E96" s="2069"/>
      <c r="F96" s="2069"/>
      <c r="G96" s="2069"/>
      <c r="H96" s="2069"/>
      <c r="I96"/>
      <c r="J96"/>
      <c r="K96"/>
    </row>
    <row r="97" spans="2:11" x14ac:dyDescent="0.2">
      <c r="B97" s="2069"/>
      <c r="C97" s="2069"/>
      <c r="D97" s="2069"/>
      <c r="E97" s="2069"/>
      <c r="F97" s="2069"/>
      <c r="G97" s="2069"/>
      <c r="H97" s="2069"/>
      <c r="I97"/>
      <c r="J97"/>
      <c r="K97"/>
    </row>
    <row r="98" spans="2:11" x14ac:dyDescent="0.2">
      <c r="B98" s="2069"/>
      <c r="C98" s="2069"/>
      <c r="D98" s="2069"/>
      <c r="E98" s="2069"/>
      <c r="F98" s="2069"/>
      <c r="G98" s="2069"/>
      <c r="H98" s="2069"/>
      <c r="I98"/>
      <c r="J98"/>
      <c r="K98"/>
    </row>
    <row r="99" spans="2:11" x14ac:dyDescent="0.2">
      <c r="B99" s="2069"/>
      <c r="C99" s="2069"/>
      <c r="D99" s="2069"/>
      <c r="E99" s="2069"/>
      <c r="F99" s="2069"/>
      <c r="G99" s="2069"/>
      <c r="H99" s="2069"/>
      <c r="I99"/>
      <c r="J99"/>
      <c r="K99"/>
    </row>
    <row r="100" spans="2:11" x14ac:dyDescent="0.2">
      <c r="B100" s="2069"/>
      <c r="C100" s="2069"/>
      <c r="D100" s="2069"/>
      <c r="E100" s="2069"/>
      <c r="F100" s="2069"/>
      <c r="G100" s="2069"/>
      <c r="H100" s="2069"/>
      <c r="I100"/>
      <c r="J100"/>
      <c r="K100"/>
    </row>
    <row r="101" spans="2:11" x14ac:dyDescent="0.2">
      <c r="B101" s="2069"/>
      <c r="C101" s="2069"/>
      <c r="D101" s="2069"/>
      <c r="E101" s="2069"/>
      <c r="F101" s="2069"/>
      <c r="G101" s="2069"/>
      <c r="H101" s="2069"/>
      <c r="I101"/>
      <c r="J101"/>
      <c r="K101"/>
    </row>
    <row r="102" spans="2:11" x14ac:dyDescent="0.2">
      <c r="B102" s="2069"/>
      <c r="C102" s="2069"/>
      <c r="D102" s="2069"/>
      <c r="E102" s="2069"/>
      <c r="F102" s="2069"/>
      <c r="G102" s="2069"/>
      <c r="H102" s="2069"/>
      <c r="I102"/>
      <c r="J102"/>
      <c r="K102"/>
    </row>
    <row r="103" spans="2:11" x14ac:dyDescent="0.2">
      <c r="B103" s="2069"/>
      <c r="C103" s="2069"/>
      <c r="D103" s="2069"/>
      <c r="E103" s="2069"/>
      <c r="F103" s="2069"/>
      <c r="G103" s="2069"/>
      <c r="H103" s="2069"/>
      <c r="I103"/>
      <c r="J103"/>
      <c r="K103"/>
    </row>
    <row r="104" spans="2:11" x14ac:dyDescent="0.2">
      <c r="B104" s="2069"/>
      <c r="C104" s="2069"/>
      <c r="D104" s="2069"/>
      <c r="E104" s="2069"/>
      <c r="F104" s="2069"/>
      <c r="G104" s="2069"/>
      <c r="H104" s="2069"/>
      <c r="I104"/>
      <c r="J104"/>
      <c r="K104"/>
    </row>
    <row r="105" spans="2:11" x14ac:dyDescent="0.2">
      <c r="B105" s="2069"/>
      <c r="C105" s="2069"/>
      <c r="D105" s="2069"/>
      <c r="E105" s="2069"/>
      <c r="F105" s="2069"/>
      <c r="G105" s="2069"/>
      <c r="H105" s="2069"/>
      <c r="I105"/>
      <c r="J105"/>
      <c r="K105"/>
    </row>
    <row r="106" spans="2:11" x14ac:dyDescent="0.2">
      <c r="B106" s="2069"/>
      <c r="C106" s="2069"/>
      <c r="D106" s="2069"/>
      <c r="E106" s="2069"/>
      <c r="F106" s="2069"/>
      <c r="G106" s="2069"/>
      <c r="H106" s="2069"/>
      <c r="I106"/>
      <c r="J106"/>
      <c r="K106"/>
    </row>
    <row r="107" spans="2:11" x14ac:dyDescent="0.2">
      <c r="B107" s="2069"/>
      <c r="C107" s="2069"/>
      <c r="D107" s="2069"/>
      <c r="E107" s="2069"/>
      <c r="F107" s="2069"/>
      <c r="G107" s="2069"/>
      <c r="H107" s="2069"/>
      <c r="I107"/>
      <c r="J107"/>
      <c r="K107"/>
    </row>
    <row r="108" spans="2:11" x14ac:dyDescent="0.2">
      <c r="B108" s="2069"/>
      <c r="C108" s="2069"/>
      <c r="D108" s="2069"/>
      <c r="E108" s="2069"/>
      <c r="F108" s="2069"/>
      <c r="G108" s="2069"/>
      <c r="H108" s="2069"/>
      <c r="I108"/>
      <c r="J108"/>
      <c r="K108"/>
    </row>
    <row r="109" spans="2:11" x14ac:dyDescent="0.2">
      <c r="B109" s="2069"/>
      <c r="C109" s="2069"/>
      <c r="D109" s="2069"/>
      <c r="E109" s="2069"/>
      <c r="F109" s="2069"/>
      <c r="G109" s="2069"/>
      <c r="H109" s="2069"/>
      <c r="I109"/>
      <c r="J109"/>
      <c r="K109"/>
    </row>
    <row r="110" spans="2:11" x14ac:dyDescent="0.2">
      <c r="B110" s="2069"/>
      <c r="C110" s="2069"/>
      <c r="D110" s="2069"/>
      <c r="E110" s="2069"/>
      <c r="F110" s="2069"/>
      <c r="G110" s="2069"/>
      <c r="H110" s="2069"/>
      <c r="I110"/>
      <c r="J110"/>
      <c r="K110"/>
    </row>
    <row r="111" spans="2:11" x14ac:dyDescent="0.2">
      <c r="B111" s="2069"/>
      <c r="C111" s="2069"/>
      <c r="D111" s="2069"/>
      <c r="E111" s="2069"/>
      <c r="F111" s="2069"/>
      <c r="G111" s="2069"/>
      <c r="H111" s="2069"/>
      <c r="I111"/>
      <c r="J111"/>
      <c r="K111"/>
    </row>
    <row r="112" spans="2:11" x14ac:dyDescent="0.2">
      <c r="B112" s="2069"/>
      <c r="C112" s="2069"/>
      <c r="D112" s="2069"/>
      <c r="E112" s="2069"/>
      <c r="F112" s="2069"/>
      <c r="G112" s="2069"/>
      <c r="H112" s="2069"/>
      <c r="I112"/>
      <c r="J112"/>
      <c r="K112"/>
    </row>
    <row r="113" spans="2:11" x14ac:dyDescent="0.2">
      <c r="B113" s="2069"/>
      <c r="C113" s="2069"/>
      <c r="D113" s="2069"/>
      <c r="E113" s="2069"/>
      <c r="F113" s="2069"/>
      <c r="G113" s="2069"/>
      <c r="H113" s="2069"/>
      <c r="I113"/>
      <c r="J113"/>
      <c r="K113"/>
    </row>
    <row r="114" spans="2:11" x14ac:dyDescent="0.2">
      <c r="B114" s="2069"/>
      <c r="C114" s="2069"/>
      <c r="D114" s="2069"/>
      <c r="E114" s="2069"/>
      <c r="F114" s="2069"/>
      <c r="G114" s="2069"/>
      <c r="H114" s="2069"/>
      <c r="I114"/>
      <c r="J114"/>
      <c r="K114"/>
    </row>
    <row r="115" spans="2:11" x14ac:dyDescent="0.2">
      <c r="B115" s="2069"/>
      <c r="C115" s="2069"/>
      <c r="D115" s="2069"/>
      <c r="E115" s="2069"/>
      <c r="F115" s="2069"/>
      <c r="G115" s="2069"/>
      <c r="H115" s="2069"/>
      <c r="I115"/>
      <c r="J115"/>
      <c r="K115"/>
    </row>
    <row r="116" spans="2:11" x14ac:dyDescent="0.2">
      <c r="B116" s="2069"/>
      <c r="C116" s="2069"/>
      <c r="D116" s="2069"/>
      <c r="E116" s="2069"/>
      <c r="F116" s="2069"/>
      <c r="G116" s="2069"/>
      <c r="H116" s="2069"/>
      <c r="I116"/>
      <c r="J116"/>
      <c r="K116"/>
    </row>
    <row r="117" spans="2:11" x14ac:dyDescent="0.2">
      <c r="B117" s="2069"/>
      <c r="C117" s="2069"/>
      <c r="D117" s="2069"/>
      <c r="E117" s="2069"/>
      <c r="F117" s="2069"/>
      <c r="G117" s="2069"/>
      <c r="H117" s="2069"/>
      <c r="I117"/>
      <c r="J117"/>
      <c r="K117"/>
    </row>
    <row r="118" spans="2:11" x14ac:dyDescent="0.2">
      <c r="B118" s="2069"/>
      <c r="C118" s="2069"/>
      <c r="D118" s="2069"/>
      <c r="E118" s="2069"/>
      <c r="F118" s="2069"/>
      <c r="G118" s="2069"/>
      <c r="H118" s="2069"/>
      <c r="I118"/>
      <c r="J118"/>
      <c r="K118"/>
    </row>
    <row r="119" spans="2:11" x14ac:dyDescent="0.2">
      <c r="B119" s="2069"/>
      <c r="C119" s="2069"/>
      <c r="D119" s="2069"/>
      <c r="E119" s="2069"/>
      <c r="F119" s="2069"/>
      <c r="G119" s="2069"/>
      <c r="H119" s="2069"/>
      <c r="I119"/>
      <c r="J119"/>
      <c r="K119"/>
    </row>
    <row r="120" spans="2:11" x14ac:dyDescent="0.2">
      <c r="B120" s="2069"/>
      <c r="C120" s="2069"/>
      <c r="D120" s="2069"/>
      <c r="E120" s="2069"/>
      <c r="F120" s="2069"/>
      <c r="G120" s="2069"/>
      <c r="H120" s="2069"/>
      <c r="I120"/>
      <c r="J120"/>
      <c r="K120"/>
    </row>
    <row r="121" spans="2:11" x14ac:dyDescent="0.2">
      <c r="B121" s="2069"/>
      <c r="C121" s="2069"/>
      <c r="D121" s="2069"/>
      <c r="E121" s="2069"/>
      <c r="F121" s="2069"/>
      <c r="G121" s="2069"/>
      <c r="H121" s="2069"/>
      <c r="I121"/>
      <c r="J121"/>
      <c r="K121"/>
    </row>
    <row r="122" spans="2:11" x14ac:dyDescent="0.2">
      <c r="B122" s="2069"/>
      <c r="C122" s="2069"/>
      <c r="D122" s="2069"/>
      <c r="E122" s="2069"/>
      <c r="F122" s="2069"/>
      <c r="G122" s="2069"/>
      <c r="H122" s="2069"/>
      <c r="I122"/>
      <c r="J122"/>
      <c r="K122"/>
    </row>
    <row r="123" spans="2:11" x14ac:dyDescent="0.2">
      <c r="B123" s="2069"/>
      <c r="C123" s="2069"/>
      <c r="D123" s="2069"/>
      <c r="E123" s="2069"/>
      <c r="F123" s="2069"/>
      <c r="G123" s="2069"/>
      <c r="H123" s="2069"/>
      <c r="I123"/>
      <c r="J123"/>
      <c r="K123"/>
    </row>
    <row r="124" spans="2:11" x14ac:dyDescent="0.2">
      <c r="B124" s="2069"/>
      <c r="C124" s="2069"/>
      <c r="D124" s="2069"/>
      <c r="E124" s="2069"/>
      <c r="F124" s="2069"/>
      <c r="G124" s="2069"/>
      <c r="H124" s="2069"/>
      <c r="I124"/>
      <c r="J124"/>
      <c r="K124"/>
    </row>
    <row r="125" spans="2:11" x14ac:dyDescent="0.2">
      <c r="B125" s="2069"/>
      <c r="C125" s="2069"/>
      <c r="D125" s="2069"/>
      <c r="E125" s="2069"/>
      <c r="F125" s="2069"/>
      <c r="G125" s="2069"/>
      <c r="H125" s="2069"/>
      <c r="I125"/>
      <c r="J125"/>
      <c r="K125"/>
    </row>
    <row r="126" spans="2:11" x14ac:dyDescent="0.2">
      <c r="B126" s="2069"/>
      <c r="C126" s="2069"/>
      <c r="D126" s="2069"/>
      <c r="E126" s="2069"/>
      <c r="F126" s="2069"/>
      <c r="G126" s="2069"/>
      <c r="H126" s="2069"/>
      <c r="I126"/>
      <c r="J126"/>
      <c r="K126"/>
    </row>
    <row r="127" spans="2:11" x14ac:dyDescent="0.2">
      <c r="B127" s="2069"/>
      <c r="C127" s="2069"/>
      <c r="D127" s="2069"/>
      <c r="E127" s="2069"/>
      <c r="F127" s="2069"/>
      <c r="G127" s="2069"/>
      <c r="H127" s="2069"/>
      <c r="I127"/>
      <c r="J127"/>
      <c r="K127"/>
    </row>
    <row r="128" spans="2:11" x14ac:dyDescent="0.2">
      <c r="B128" s="2069"/>
      <c r="C128" s="2069"/>
      <c r="D128" s="2069"/>
      <c r="E128" s="2069"/>
      <c r="F128" s="2069"/>
      <c r="G128" s="2069"/>
      <c r="H128" s="2069"/>
      <c r="I128"/>
      <c r="J128"/>
      <c r="K128"/>
    </row>
    <row r="129" spans="2:11" x14ac:dyDescent="0.2">
      <c r="B129" s="2069"/>
      <c r="C129" s="2069"/>
      <c r="D129" s="2069"/>
      <c r="E129" s="2069"/>
      <c r="F129" s="2069"/>
      <c r="G129" s="2069"/>
      <c r="H129" s="2069"/>
      <c r="I129"/>
      <c r="J129"/>
      <c r="K129"/>
    </row>
    <row r="130" spans="2:11" x14ac:dyDescent="0.2">
      <c r="B130" s="2069"/>
      <c r="C130" s="2069"/>
      <c r="D130" s="2069"/>
      <c r="E130" s="2069"/>
      <c r="F130" s="2069"/>
      <c r="G130" s="2069"/>
      <c r="H130" s="2069"/>
      <c r="I130"/>
      <c r="J130"/>
      <c r="K130"/>
    </row>
    <row r="131" spans="2:11" x14ac:dyDescent="0.2">
      <c r="B131" s="2069"/>
      <c r="C131" s="2069"/>
      <c r="D131" s="2069"/>
      <c r="E131" s="2069"/>
      <c r="F131" s="2069"/>
      <c r="G131" s="2069"/>
      <c r="H131" s="2069"/>
      <c r="I131"/>
      <c r="J131"/>
      <c r="K131"/>
    </row>
    <row r="132" spans="2:11" x14ac:dyDescent="0.2">
      <c r="B132" s="2069"/>
      <c r="C132" s="2069"/>
      <c r="D132" s="2069"/>
      <c r="E132" s="2069"/>
      <c r="F132" s="2069"/>
      <c r="G132" s="2069"/>
      <c r="H132" s="2069"/>
      <c r="I132"/>
      <c r="J132"/>
      <c r="K132"/>
    </row>
    <row r="133" spans="2:11" x14ac:dyDescent="0.2">
      <c r="B133" s="2069"/>
      <c r="C133" s="2069"/>
      <c r="D133" s="2069"/>
      <c r="E133" s="2069"/>
      <c r="F133" s="2069"/>
      <c r="G133" s="2069"/>
      <c r="H133" s="2069"/>
      <c r="I133"/>
      <c r="J133"/>
      <c r="K133"/>
    </row>
    <row r="134" spans="2:11" x14ac:dyDescent="0.2">
      <c r="B134" s="2069"/>
      <c r="C134" s="2069"/>
      <c r="D134" s="2069"/>
      <c r="E134" s="2069"/>
      <c r="F134" s="2069"/>
      <c r="G134" s="2069"/>
      <c r="H134" s="2069"/>
      <c r="I134"/>
      <c r="J134"/>
      <c r="K134"/>
    </row>
    <row r="135" spans="2:11" x14ac:dyDescent="0.2">
      <c r="B135" s="2069"/>
      <c r="C135" s="2069"/>
      <c r="D135" s="2069"/>
      <c r="E135" s="2069"/>
      <c r="F135" s="2069"/>
      <c r="G135" s="2069"/>
      <c r="H135" s="2069"/>
      <c r="I135"/>
      <c r="J135"/>
      <c r="K135"/>
    </row>
    <row r="136" spans="2:11" x14ac:dyDescent="0.2">
      <c r="B136" s="2069"/>
      <c r="C136" s="2069"/>
      <c r="D136" s="2069"/>
      <c r="E136" s="2069"/>
      <c r="F136" s="2069"/>
      <c r="G136" s="2069"/>
      <c r="H136" s="2069"/>
      <c r="I136"/>
      <c r="J136"/>
      <c r="K136"/>
    </row>
    <row r="137" spans="2:11" x14ac:dyDescent="0.2">
      <c r="B137" s="2069"/>
      <c r="C137" s="2069"/>
      <c r="D137" s="2069"/>
      <c r="E137" s="2069"/>
      <c r="F137" s="2069"/>
      <c r="G137" s="2069"/>
      <c r="H137" s="2069"/>
      <c r="I137"/>
      <c r="J137"/>
      <c r="K137"/>
    </row>
    <row r="138" spans="2:11" x14ac:dyDescent="0.2">
      <c r="B138" s="2069"/>
      <c r="C138" s="2069"/>
      <c r="D138" s="2069"/>
      <c r="E138" s="2069"/>
      <c r="F138" s="2069"/>
      <c r="G138" s="2069"/>
      <c r="H138" s="2069"/>
      <c r="I138"/>
      <c r="J138"/>
      <c r="K138"/>
    </row>
    <row r="139" spans="2:11" x14ac:dyDescent="0.2">
      <c r="B139" s="2069"/>
      <c r="C139" s="2069"/>
      <c r="D139" s="2069"/>
      <c r="E139" s="2069"/>
      <c r="F139" s="2069"/>
      <c r="G139" s="2069"/>
      <c r="H139" s="2069"/>
      <c r="I139"/>
      <c r="J139"/>
      <c r="K139"/>
    </row>
    <row r="140" spans="2:11" x14ac:dyDescent="0.2">
      <c r="B140" s="2069"/>
      <c r="C140" s="2069"/>
      <c r="D140" s="2069"/>
      <c r="E140" s="2069"/>
      <c r="F140" s="2069"/>
      <c r="G140" s="2069"/>
      <c r="H140" s="2069"/>
      <c r="I140"/>
      <c r="J140"/>
      <c r="K140"/>
    </row>
    <row r="141" spans="2:11" x14ac:dyDescent="0.2">
      <c r="B141" s="2069"/>
      <c r="C141" s="2069"/>
      <c r="D141" s="2069"/>
      <c r="E141" s="2069"/>
      <c r="F141" s="2069"/>
      <c r="G141" s="2069"/>
      <c r="H141" s="2069"/>
      <c r="I141"/>
      <c r="J141"/>
      <c r="K141"/>
    </row>
    <row r="142" spans="2:11" x14ac:dyDescent="0.2">
      <c r="B142" s="2069"/>
      <c r="C142" s="2069"/>
      <c r="D142" s="2069"/>
      <c r="E142" s="2069"/>
      <c r="F142" s="2069"/>
      <c r="G142" s="2069"/>
      <c r="H142" s="2069"/>
      <c r="I142"/>
      <c r="J142"/>
      <c r="K142"/>
    </row>
    <row r="143" spans="2:11" x14ac:dyDescent="0.2">
      <c r="B143" s="2069"/>
      <c r="C143" s="2069"/>
      <c r="D143" s="2069"/>
      <c r="E143" s="2069"/>
      <c r="F143" s="2069"/>
      <c r="G143" s="2069"/>
      <c r="H143" s="2069"/>
      <c r="I143"/>
      <c r="J143"/>
      <c r="K143"/>
    </row>
    <row r="144" spans="2:11" x14ac:dyDescent="0.2">
      <c r="B144" s="2069"/>
      <c r="C144" s="2069"/>
      <c r="D144" s="2069"/>
      <c r="E144" s="2069"/>
      <c r="F144" s="2069"/>
      <c r="G144" s="2069"/>
      <c r="H144" s="2069"/>
      <c r="I144"/>
      <c r="J144"/>
      <c r="K144"/>
    </row>
    <row r="145" spans="2:11" x14ac:dyDescent="0.2">
      <c r="B145" s="2069"/>
      <c r="C145" s="2069"/>
      <c r="D145" s="2069"/>
      <c r="E145" s="2069"/>
      <c r="F145" s="2069"/>
      <c r="G145" s="2069"/>
      <c r="H145" s="2069"/>
      <c r="I145"/>
      <c r="J145"/>
      <c r="K145"/>
    </row>
    <row r="146" spans="2:11" x14ac:dyDescent="0.2">
      <c r="B146" s="2069"/>
      <c r="C146" s="2069"/>
      <c r="D146" s="2069"/>
      <c r="E146" s="2069"/>
      <c r="F146" s="2069"/>
      <c r="G146" s="2069"/>
      <c r="H146" s="2069"/>
      <c r="I146"/>
      <c r="J146"/>
      <c r="K146"/>
    </row>
    <row r="147" spans="2:11" x14ac:dyDescent="0.2">
      <c r="B147" s="2069"/>
      <c r="C147" s="2069"/>
      <c r="D147" s="2069"/>
      <c r="E147" s="2069"/>
      <c r="F147" s="2069"/>
      <c r="G147" s="2069"/>
      <c r="H147" s="2069"/>
      <c r="I147"/>
      <c r="J147"/>
      <c r="K147"/>
    </row>
    <row r="148" spans="2:11" x14ac:dyDescent="0.2">
      <c r="B148" s="2069"/>
      <c r="C148" s="2069"/>
      <c r="D148" s="2069"/>
      <c r="E148" s="2069"/>
      <c r="F148" s="2069"/>
      <c r="G148" s="2069"/>
      <c r="H148" s="2069"/>
      <c r="I148"/>
      <c r="J148"/>
      <c r="K148"/>
    </row>
    <row r="149" spans="2:11" x14ac:dyDescent="0.2">
      <c r="B149" s="2069"/>
      <c r="C149" s="2069"/>
      <c r="D149" s="2069"/>
      <c r="E149" s="2069"/>
      <c r="F149" s="2069"/>
      <c r="G149" s="2069"/>
      <c r="H149" s="2069"/>
      <c r="I149"/>
      <c r="J149"/>
      <c r="K149"/>
    </row>
    <row r="150" spans="2:11" x14ac:dyDescent="0.2">
      <c r="B150" s="2069"/>
      <c r="C150" s="2069"/>
      <c r="D150" s="2069"/>
      <c r="E150" s="2069"/>
      <c r="F150" s="2069"/>
      <c r="G150" s="2069"/>
      <c r="H150" s="2069"/>
      <c r="I150"/>
      <c r="J150"/>
      <c r="K150"/>
    </row>
    <row r="151" spans="2:11" x14ac:dyDescent="0.2">
      <c r="B151" s="2069"/>
      <c r="C151" s="2069"/>
      <c r="D151" s="2069"/>
      <c r="E151" s="2069"/>
      <c r="F151" s="2069"/>
      <c r="G151" s="2069"/>
      <c r="H151" s="2069"/>
      <c r="I151"/>
      <c r="J151"/>
      <c r="K151"/>
    </row>
    <row r="152" spans="2:11" x14ac:dyDescent="0.2">
      <c r="B152" s="2069"/>
      <c r="C152" s="2069"/>
      <c r="D152" s="2069"/>
      <c r="E152" s="2069"/>
      <c r="F152" s="2069"/>
      <c r="G152" s="2069"/>
      <c r="H152" s="2069"/>
      <c r="I152"/>
      <c r="J152"/>
      <c r="K152"/>
    </row>
    <row r="153" spans="2:11" x14ac:dyDescent="0.2">
      <c r="B153" s="2069"/>
      <c r="C153" s="2069"/>
      <c r="D153" s="2069"/>
      <c r="E153" s="2069"/>
      <c r="F153" s="2069"/>
      <c r="G153" s="2069"/>
      <c r="H153" s="2069"/>
      <c r="I153"/>
      <c r="J153"/>
      <c r="K153"/>
    </row>
    <row r="154" spans="2:11" x14ac:dyDescent="0.2">
      <c r="B154" s="2069"/>
      <c r="C154" s="2069"/>
      <c r="D154" s="2069"/>
      <c r="E154" s="2069"/>
      <c r="F154" s="2069"/>
      <c r="G154" s="2069"/>
      <c r="H154" s="2069"/>
      <c r="I154"/>
      <c r="J154"/>
      <c r="K154"/>
    </row>
    <row r="155" spans="2:11" x14ac:dyDescent="0.2">
      <c r="B155" s="2069"/>
      <c r="C155" s="2069"/>
      <c r="D155" s="2069"/>
      <c r="E155" s="2069"/>
      <c r="F155" s="2069"/>
      <c r="G155" s="2069"/>
      <c r="H155" s="2069"/>
      <c r="I155"/>
      <c r="J155"/>
      <c r="K155"/>
    </row>
    <row r="156" spans="2:11" x14ac:dyDescent="0.2">
      <c r="B156" s="2069"/>
      <c r="C156" s="2069"/>
      <c r="D156" s="2069"/>
      <c r="E156" s="2069"/>
      <c r="F156" s="2069"/>
      <c r="G156" s="2069"/>
      <c r="H156" s="2069"/>
      <c r="I156"/>
      <c r="J156"/>
      <c r="K156"/>
    </row>
    <row r="157" spans="2:11" x14ac:dyDescent="0.2">
      <c r="B157" s="2069"/>
      <c r="C157" s="2069"/>
      <c r="D157" s="2069"/>
      <c r="E157" s="2069"/>
      <c r="F157" s="2069"/>
      <c r="G157" s="2069"/>
      <c r="H157" s="2069"/>
      <c r="I157"/>
      <c r="J157"/>
      <c r="K157"/>
    </row>
    <row r="158" spans="2:11" x14ac:dyDescent="0.2">
      <c r="B158" s="2069"/>
      <c r="C158" s="2069"/>
      <c r="D158" s="2069"/>
      <c r="E158" s="2069"/>
      <c r="F158" s="2069"/>
      <c r="G158" s="2069"/>
      <c r="H158" s="2069"/>
      <c r="I158"/>
      <c r="J158"/>
      <c r="K158"/>
    </row>
    <row r="159" spans="2:11" x14ac:dyDescent="0.2">
      <c r="B159" s="2069"/>
      <c r="C159" s="2069"/>
      <c r="D159" s="2069"/>
      <c r="E159" s="2069"/>
      <c r="F159" s="2069"/>
      <c r="G159" s="2069"/>
      <c r="H159" s="2069"/>
      <c r="I159"/>
      <c r="J159"/>
      <c r="K159"/>
    </row>
    <row r="160" spans="2:11" x14ac:dyDescent="0.2">
      <c r="B160" s="2069"/>
      <c r="C160" s="2069"/>
      <c r="D160" s="2069"/>
      <c r="E160" s="2069"/>
      <c r="F160" s="2069"/>
      <c r="G160" s="2069"/>
      <c r="H160" s="2069"/>
      <c r="I160"/>
      <c r="J160"/>
      <c r="K160"/>
    </row>
    <row r="161" spans="2:11" x14ac:dyDescent="0.2">
      <c r="B161" s="2069"/>
      <c r="C161" s="2069"/>
      <c r="D161" s="2069"/>
      <c r="E161" s="2069"/>
      <c r="F161" s="2069"/>
      <c r="G161" s="2069"/>
      <c r="H161" s="2069"/>
      <c r="I161"/>
      <c r="J161"/>
      <c r="K161"/>
    </row>
    <row r="162" spans="2:11" x14ac:dyDescent="0.2">
      <c r="B162" s="2069"/>
      <c r="C162" s="2069"/>
      <c r="D162" s="2069"/>
      <c r="E162" s="2069"/>
      <c r="F162" s="2069"/>
      <c r="G162" s="2069"/>
      <c r="H162" s="2069"/>
      <c r="I162"/>
      <c r="J162"/>
      <c r="K162"/>
    </row>
    <row r="163" spans="2:11" x14ac:dyDescent="0.2">
      <c r="B163" s="2069"/>
      <c r="C163" s="2069"/>
      <c r="D163" s="2069"/>
      <c r="E163" s="2069"/>
      <c r="F163" s="2069"/>
      <c r="G163" s="2069"/>
      <c r="H163" s="2069"/>
      <c r="I163"/>
      <c r="J163"/>
      <c r="K163"/>
    </row>
    <row r="164" spans="2:11" x14ac:dyDescent="0.2">
      <c r="B164" s="2069"/>
      <c r="C164" s="2069"/>
      <c r="D164" s="2069"/>
      <c r="E164" s="2069"/>
      <c r="F164" s="2069"/>
      <c r="G164" s="2069"/>
      <c r="H164" s="2069"/>
      <c r="I164"/>
      <c r="J164"/>
      <c r="K164"/>
    </row>
    <row r="165" spans="2:11" x14ac:dyDescent="0.2">
      <c r="B165" s="2069"/>
      <c r="C165" s="2069"/>
      <c r="D165" s="2069"/>
      <c r="E165" s="2069"/>
      <c r="F165" s="2069"/>
      <c r="G165" s="2069"/>
      <c r="H165" s="2069"/>
      <c r="I165"/>
      <c r="J165"/>
      <c r="K165"/>
    </row>
    <row r="166" spans="2:11" x14ac:dyDescent="0.2">
      <c r="B166" s="2069"/>
      <c r="C166" s="2069"/>
      <c r="D166" s="2069"/>
      <c r="E166" s="2069"/>
      <c r="F166" s="2069"/>
      <c r="G166" s="2069"/>
      <c r="H166" s="2069"/>
      <c r="I166"/>
      <c r="J166"/>
      <c r="K166"/>
    </row>
    <row r="167" spans="2:11" x14ac:dyDescent="0.2">
      <c r="B167" s="2069"/>
      <c r="C167" s="2069"/>
      <c r="D167" s="2069"/>
      <c r="E167" s="2069"/>
      <c r="F167" s="2069"/>
      <c r="G167" s="2069"/>
      <c r="H167" s="2069"/>
      <c r="I167"/>
      <c r="J167"/>
      <c r="K167"/>
    </row>
    <row r="168" spans="2:11" x14ac:dyDescent="0.2">
      <c r="B168" s="2069"/>
      <c r="C168" s="2069"/>
      <c r="D168" s="2069"/>
      <c r="E168" s="2069"/>
      <c r="F168" s="2069"/>
      <c r="G168" s="2069"/>
      <c r="H168" s="2069"/>
      <c r="I168"/>
      <c r="J168"/>
      <c r="K168"/>
    </row>
    <row r="169" spans="2:11" x14ac:dyDescent="0.2">
      <c r="B169" s="2069"/>
      <c r="C169" s="2069"/>
      <c r="D169" s="2069"/>
      <c r="E169" s="2069"/>
      <c r="F169" s="2069"/>
      <c r="G169" s="2069"/>
      <c r="H169" s="2069"/>
      <c r="I169"/>
      <c r="J169"/>
      <c r="K169"/>
    </row>
    <row r="170" spans="2:11" x14ac:dyDescent="0.2">
      <c r="B170" s="2069"/>
      <c r="C170" s="2069"/>
      <c r="D170" s="2069"/>
      <c r="E170" s="2069"/>
      <c r="F170" s="2069"/>
      <c r="G170" s="2069"/>
      <c r="H170" s="2069"/>
      <c r="I170"/>
      <c r="J170"/>
      <c r="K170"/>
    </row>
    <row r="171" spans="2:11" x14ac:dyDescent="0.2">
      <c r="B171" s="2069"/>
      <c r="C171" s="2069"/>
      <c r="D171" s="2069"/>
      <c r="E171" s="2069"/>
      <c r="F171" s="2069"/>
      <c r="G171" s="2069"/>
      <c r="H171" s="2069"/>
      <c r="I171"/>
      <c r="J171"/>
      <c r="K171"/>
    </row>
    <row r="172" spans="2:11" x14ac:dyDescent="0.2">
      <c r="B172" s="2069"/>
      <c r="C172" s="2069"/>
      <c r="D172" s="2069"/>
      <c r="E172" s="2069"/>
      <c r="F172" s="2069"/>
      <c r="G172" s="2069"/>
      <c r="H172" s="2069"/>
      <c r="I172"/>
      <c r="J172"/>
      <c r="K172"/>
    </row>
    <row r="173" spans="2:11" x14ac:dyDescent="0.2">
      <c r="B173" s="2069"/>
      <c r="C173" s="2069"/>
      <c r="D173" s="2069"/>
      <c r="E173" s="2069"/>
      <c r="F173" s="2069"/>
      <c r="G173" s="2069"/>
      <c r="H173" s="2069"/>
      <c r="I173"/>
      <c r="J173"/>
      <c r="K173"/>
    </row>
    <row r="174" spans="2:11" x14ac:dyDescent="0.2">
      <c r="B174" s="2069"/>
      <c r="C174" s="2069"/>
      <c r="D174" s="2069"/>
      <c r="E174" s="2069"/>
      <c r="F174" s="2069"/>
      <c r="G174" s="2069"/>
      <c r="H174" s="2069"/>
      <c r="I174"/>
      <c r="J174"/>
      <c r="K174"/>
    </row>
    <row r="175" spans="2:11" x14ac:dyDescent="0.2">
      <c r="B175" s="2069"/>
      <c r="C175" s="2069"/>
      <c r="D175" s="2069"/>
      <c r="E175" s="2069"/>
      <c r="F175" s="2069"/>
      <c r="G175" s="2069"/>
      <c r="H175" s="2069"/>
      <c r="I175"/>
      <c r="J175"/>
      <c r="K175"/>
    </row>
    <row r="176" spans="2:11" x14ac:dyDescent="0.2">
      <c r="B176" s="2069"/>
      <c r="C176" s="2069"/>
      <c r="D176" s="2069"/>
      <c r="E176" s="2069"/>
      <c r="F176" s="2069"/>
      <c r="G176" s="2069"/>
      <c r="H176" s="2069"/>
      <c r="I176"/>
      <c r="J176"/>
      <c r="K176"/>
    </row>
    <row r="177" spans="2:11" x14ac:dyDescent="0.2">
      <c r="B177" s="2069"/>
      <c r="C177" s="2069"/>
      <c r="D177" s="2069"/>
      <c r="E177" s="2069"/>
      <c r="F177" s="2069"/>
      <c r="G177" s="2069"/>
      <c r="H177" s="2069"/>
      <c r="I177"/>
      <c r="J177"/>
      <c r="K177"/>
    </row>
    <row r="178" spans="2:11" x14ac:dyDescent="0.2">
      <c r="B178" s="2069"/>
      <c r="C178" s="2069"/>
      <c r="D178" s="2069"/>
      <c r="E178" s="2069"/>
      <c r="F178" s="2069"/>
      <c r="G178" s="2069"/>
      <c r="H178" s="2069"/>
      <c r="I178"/>
      <c r="J178"/>
      <c r="K178"/>
    </row>
    <row r="179" spans="2:11" x14ac:dyDescent="0.2">
      <c r="B179" s="2069"/>
      <c r="C179" s="2069"/>
      <c r="D179" s="2069"/>
      <c r="E179" s="2069"/>
      <c r="F179" s="2069"/>
      <c r="G179" s="2069"/>
      <c r="H179" s="2069"/>
      <c r="I179"/>
      <c r="J179"/>
      <c r="K179"/>
    </row>
    <row r="180" spans="2:11" x14ac:dyDescent="0.2">
      <c r="B180" s="2069"/>
      <c r="C180" s="2069"/>
      <c r="D180" s="2069"/>
      <c r="E180" s="2069"/>
      <c r="F180" s="2069"/>
      <c r="G180" s="2069"/>
      <c r="H180" s="2069"/>
      <c r="I180"/>
      <c r="J180"/>
      <c r="K180"/>
    </row>
    <row r="181" spans="2:11" x14ac:dyDescent="0.2">
      <c r="B181" s="2069"/>
      <c r="C181" s="2069"/>
      <c r="D181" s="2069"/>
      <c r="E181" s="2069"/>
      <c r="F181" s="2069"/>
      <c r="G181" s="2069"/>
      <c r="H181" s="2069"/>
      <c r="I181"/>
      <c r="J181"/>
      <c r="K181"/>
    </row>
    <row r="182" spans="2:11" x14ac:dyDescent="0.2">
      <c r="B182" s="2069"/>
      <c r="C182" s="2069"/>
      <c r="D182" s="2069"/>
      <c r="E182" s="2069"/>
      <c r="F182" s="2069"/>
      <c r="G182" s="2069"/>
      <c r="H182" s="2069"/>
      <c r="I182"/>
      <c r="J182"/>
      <c r="K182"/>
    </row>
    <row r="183" spans="2:11" x14ac:dyDescent="0.2">
      <c r="B183" s="2069"/>
      <c r="C183" s="2069"/>
      <c r="D183" s="2069"/>
      <c r="E183" s="2069"/>
      <c r="F183" s="2069"/>
      <c r="G183" s="2069"/>
      <c r="H183" s="2069"/>
      <c r="I183"/>
      <c r="J183"/>
      <c r="K183"/>
    </row>
    <row r="184" spans="2:11" x14ac:dyDescent="0.2">
      <c r="B184" s="2069"/>
      <c r="C184" s="2069"/>
      <c r="D184" s="2069"/>
      <c r="E184" s="2069"/>
      <c r="F184" s="2069"/>
      <c r="G184" s="2069"/>
      <c r="H184" s="2069"/>
      <c r="I184"/>
      <c r="J184"/>
      <c r="K184"/>
    </row>
    <row r="185" spans="2:11" x14ac:dyDescent="0.2">
      <c r="B185" s="2069"/>
      <c r="C185" s="2069"/>
      <c r="D185" s="2069"/>
      <c r="E185" s="2069"/>
      <c r="F185" s="2069"/>
      <c r="G185" s="2069"/>
      <c r="H185" s="2069"/>
      <c r="I185"/>
      <c r="J185"/>
      <c r="K185"/>
    </row>
    <row r="186" spans="2:11" x14ac:dyDescent="0.2">
      <c r="B186" s="2069"/>
      <c r="C186" s="2069"/>
      <c r="D186" s="2069"/>
      <c r="E186" s="2069"/>
      <c r="F186" s="2069"/>
      <c r="G186" s="2069"/>
      <c r="H186" s="2069"/>
      <c r="I186"/>
      <c r="J186"/>
      <c r="K186"/>
    </row>
    <row r="187" spans="2:11" x14ac:dyDescent="0.2">
      <c r="B187" s="2069"/>
      <c r="C187" s="2069"/>
      <c r="D187" s="2069"/>
      <c r="E187" s="2069"/>
      <c r="F187" s="2069"/>
      <c r="G187" s="2069"/>
      <c r="H187" s="2069"/>
      <c r="I187"/>
      <c r="J187"/>
      <c r="K187"/>
    </row>
    <row r="188" spans="2:11" x14ac:dyDescent="0.2">
      <c r="B188" s="2069"/>
      <c r="C188" s="2069"/>
      <c r="D188" s="2069"/>
      <c r="E188" s="2069"/>
      <c r="F188" s="2069"/>
      <c r="G188" s="2069"/>
      <c r="H188" s="2069"/>
      <c r="I188"/>
      <c r="J188"/>
      <c r="K188"/>
    </row>
    <row r="189" spans="2:11" x14ac:dyDescent="0.2">
      <c r="B189" s="2069"/>
      <c r="C189" s="2069"/>
      <c r="D189" s="2069"/>
      <c r="E189" s="2069"/>
      <c r="F189" s="2069"/>
      <c r="G189" s="2069"/>
      <c r="H189" s="2069"/>
      <c r="I189"/>
      <c r="J189"/>
      <c r="K189"/>
    </row>
    <row r="190" spans="2:11" x14ac:dyDescent="0.2">
      <c r="B190" s="2069"/>
      <c r="C190" s="2069"/>
      <c r="D190" s="2069"/>
      <c r="E190" s="2069"/>
      <c r="F190" s="2069"/>
      <c r="G190" s="2069"/>
      <c r="H190" s="2069"/>
      <c r="I190"/>
      <c r="J190"/>
      <c r="K190"/>
    </row>
    <row r="191" spans="2:11" x14ac:dyDescent="0.2">
      <c r="B191" s="2069"/>
      <c r="C191" s="2069"/>
      <c r="D191" s="2069"/>
      <c r="E191" s="2069"/>
      <c r="F191" s="2069"/>
      <c r="G191" s="2069"/>
      <c r="H191" s="2069"/>
      <c r="I191"/>
      <c r="J191"/>
      <c r="K191"/>
    </row>
    <row r="192" spans="2:11" x14ac:dyDescent="0.2">
      <c r="B192" s="2069"/>
      <c r="C192" s="2069"/>
      <c r="D192" s="2069"/>
      <c r="E192" s="2069"/>
      <c r="F192" s="2069"/>
      <c r="G192" s="2069"/>
      <c r="H192" s="2069"/>
      <c r="I192"/>
      <c r="J192"/>
      <c r="K192"/>
    </row>
    <row r="193" spans="2:11" x14ac:dyDescent="0.2">
      <c r="B193" s="2069"/>
      <c r="C193" s="2069"/>
      <c r="D193" s="2069"/>
      <c r="E193" s="2069"/>
      <c r="F193" s="2069"/>
      <c r="G193" s="2069"/>
      <c r="H193" s="2069"/>
      <c r="I193"/>
      <c r="J193"/>
      <c r="K193"/>
    </row>
    <row r="194" spans="2:11" x14ac:dyDescent="0.2">
      <c r="B194" s="2069"/>
      <c r="C194" s="2069"/>
      <c r="D194" s="2069"/>
      <c r="E194" s="2069"/>
      <c r="F194" s="2069"/>
      <c r="G194" s="2069"/>
      <c r="H194" s="2069"/>
      <c r="I194"/>
      <c r="J194"/>
      <c r="K194"/>
    </row>
    <row r="195" spans="2:11" x14ac:dyDescent="0.2">
      <c r="B195" s="2069"/>
      <c r="C195" s="2069"/>
      <c r="D195" s="2069"/>
      <c r="E195" s="2069"/>
      <c r="F195" s="2069"/>
      <c r="G195" s="2069"/>
      <c r="H195" s="2069"/>
      <c r="I195"/>
      <c r="J195"/>
      <c r="K195"/>
    </row>
    <row r="196" spans="2:11" x14ac:dyDescent="0.2">
      <c r="B196" s="2069"/>
      <c r="C196" s="2069"/>
      <c r="D196" s="2069"/>
      <c r="E196" s="2069"/>
      <c r="F196" s="2069"/>
      <c r="G196" s="2069"/>
      <c r="H196" s="2069"/>
      <c r="I196"/>
      <c r="J196"/>
      <c r="K196"/>
    </row>
    <row r="197" spans="2:11" x14ac:dyDescent="0.2">
      <c r="B197" s="2069"/>
      <c r="C197" s="2069"/>
      <c r="D197" s="2069"/>
      <c r="E197" s="2069"/>
      <c r="F197" s="2069"/>
      <c r="G197" s="2069"/>
      <c r="H197" s="2069"/>
      <c r="I197"/>
      <c r="J197"/>
      <c r="K197"/>
    </row>
    <row r="198" spans="2:11" x14ac:dyDescent="0.2">
      <c r="B198" s="2069"/>
      <c r="C198" s="2069"/>
      <c r="D198" s="2069"/>
      <c r="E198" s="2069"/>
      <c r="F198" s="2069"/>
      <c r="G198" s="2069"/>
      <c r="H198" s="2069"/>
      <c r="I198"/>
      <c r="J198"/>
      <c r="K198"/>
    </row>
    <row r="199" spans="2:11" x14ac:dyDescent="0.2">
      <c r="B199" s="2069"/>
      <c r="C199" s="2069"/>
      <c r="D199" s="2069"/>
      <c r="E199" s="2069"/>
      <c r="F199" s="2069"/>
      <c r="G199" s="2069"/>
      <c r="H199" s="2069"/>
      <c r="I199"/>
      <c r="J199"/>
      <c r="K199"/>
    </row>
    <row r="200" spans="2:11" x14ac:dyDescent="0.2">
      <c r="B200" s="2069"/>
      <c r="C200" s="2069"/>
      <c r="D200" s="2069"/>
      <c r="E200" s="2069"/>
      <c r="F200" s="2069"/>
      <c r="G200" s="2069"/>
      <c r="H200" s="2069"/>
      <c r="I200"/>
      <c r="J200"/>
      <c r="K200"/>
    </row>
    <row r="201" spans="2:11" x14ac:dyDescent="0.2">
      <c r="B201" s="2069"/>
      <c r="C201" s="2069"/>
      <c r="D201" s="2069"/>
      <c r="E201" s="2069"/>
      <c r="F201" s="2069"/>
      <c r="G201" s="2069"/>
      <c r="H201" s="2069"/>
      <c r="I201"/>
      <c r="J201"/>
      <c r="K201"/>
    </row>
    <row r="202" spans="2:11" x14ac:dyDescent="0.2">
      <c r="B202" s="2069"/>
      <c r="C202" s="2069"/>
      <c r="D202" s="2069"/>
      <c r="E202" s="2069"/>
      <c r="F202" s="2069"/>
      <c r="G202" s="2069"/>
      <c r="H202" s="2069"/>
      <c r="I202"/>
      <c r="J202"/>
      <c r="K202"/>
    </row>
    <row r="203" spans="2:11" x14ac:dyDescent="0.2">
      <c r="B203" s="2069"/>
      <c r="C203" s="2069"/>
      <c r="D203" s="2069"/>
      <c r="E203" s="2069"/>
      <c r="F203" s="2069"/>
      <c r="G203" s="2069"/>
      <c r="H203" s="2069"/>
      <c r="I203"/>
      <c r="J203"/>
      <c r="K203"/>
    </row>
    <row r="204" spans="2:11" x14ac:dyDescent="0.2">
      <c r="B204" s="2069"/>
      <c r="C204" s="2069"/>
      <c r="D204" s="2069"/>
      <c r="E204" s="2069"/>
      <c r="F204" s="2069"/>
      <c r="G204" s="2069"/>
      <c r="H204" s="2069"/>
      <c r="I204"/>
      <c r="J204"/>
      <c r="K204"/>
    </row>
    <row r="205" spans="2:11" x14ac:dyDescent="0.2">
      <c r="B205" s="2069"/>
      <c r="C205" s="2069"/>
      <c r="D205" s="2069"/>
      <c r="E205" s="2069"/>
      <c r="F205" s="2069"/>
      <c r="G205" s="2069"/>
      <c r="H205" s="2069"/>
      <c r="I205"/>
      <c r="J205"/>
      <c r="K205"/>
    </row>
    <row r="206" spans="2:11" x14ac:dyDescent="0.2">
      <c r="B206" s="2069"/>
      <c r="C206" s="2069"/>
      <c r="D206" s="2069"/>
      <c r="E206" s="2069"/>
      <c r="F206" s="2069"/>
      <c r="G206" s="2069"/>
      <c r="H206" s="2069"/>
      <c r="I206"/>
      <c r="J206"/>
      <c r="K206"/>
    </row>
    <row r="207" spans="2:11" x14ac:dyDescent="0.2">
      <c r="B207" s="2069"/>
      <c r="C207" s="2069"/>
      <c r="D207" s="2069"/>
      <c r="E207" s="2069"/>
      <c r="F207" s="2069"/>
      <c r="G207" s="2069"/>
      <c r="H207" s="2069"/>
      <c r="I207"/>
      <c r="J207"/>
      <c r="K207"/>
    </row>
    <row r="208" spans="2:11" x14ac:dyDescent="0.2">
      <c r="B208" s="2069"/>
      <c r="C208" s="2069"/>
      <c r="D208" s="2069"/>
      <c r="E208" s="2069"/>
      <c r="F208" s="2069"/>
      <c r="G208" s="2069"/>
      <c r="H208" s="2069"/>
      <c r="I208"/>
      <c r="J208"/>
      <c r="K208"/>
    </row>
    <row r="209" spans="2:11" x14ac:dyDescent="0.2">
      <c r="B209" s="2069"/>
      <c r="C209" s="2069"/>
      <c r="D209" s="2069"/>
      <c r="E209" s="2069"/>
      <c r="F209" s="2069"/>
      <c r="G209" s="2069"/>
      <c r="H209" s="2069"/>
      <c r="I209"/>
      <c r="J209"/>
      <c r="K209"/>
    </row>
    <row r="210" spans="2:11" x14ac:dyDescent="0.2">
      <c r="B210" s="2069"/>
      <c r="C210" s="2069"/>
      <c r="D210" s="2069"/>
      <c r="E210" s="2069"/>
      <c r="F210" s="2069"/>
      <c r="G210" s="2069"/>
      <c r="H210" s="2069"/>
      <c r="I210"/>
      <c r="J210"/>
      <c r="K210"/>
    </row>
    <row r="211" spans="2:11" x14ac:dyDescent="0.2">
      <c r="B211" s="2069"/>
      <c r="C211" s="2069"/>
      <c r="D211" s="2069"/>
      <c r="E211" s="2069"/>
      <c r="F211" s="2069"/>
      <c r="G211" s="2069"/>
      <c r="H211" s="2069"/>
      <c r="I211"/>
      <c r="J211"/>
      <c r="K211"/>
    </row>
    <row r="212" spans="2:11" x14ac:dyDescent="0.2">
      <c r="B212" s="2069"/>
      <c r="C212" s="2069"/>
      <c r="D212" s="2069"/>
      <c r="E212" s="2069"/>
      <c r="F212" s="2069"/>
      <c r="G212" s="2069"/>
      <c r="H212" s="2069"/>
      <c r="I212"/>
      <c r="J212"/>
      <c r="K212"/>
    </row>
    <row r="213" spans="2:11" x14ac:dyDescent="0.2">
      <c r="B213" s="2069"/>
      <c r="C213" s="2069"/>
      <c r="D213" s="2069"/>
      <c r="E213" s="2069"/>
      <c r="F213" s="2069"/>
      <c r="G213" s="2069"/>
      <c r="H213" s="2069"/>
      <c r="I213"/>
      <c r="J213"/>
      <c r="K213"/>
    </row>
    <row r="214" spans="2:11" x14ac:dyDescent="0.2">
      <c r="B214" s="2069"/>
      <c r="C214" s="2069"/>
      <c r="D214" s="2069"/>
      <c r="E214" s="2069"/>
      <c r="F214" s="2069"/>
      <c r="G214" s="2069"/>
      <c r="H214" s="2069"/>
      <c r="I214"/>
      <c r="J214"/>
      <c r="K214"/>
    </row>
    <row r="215" spans="2:11" x14ac:dyDescent="0.2">
      <c r="B215" s="2069"/>
      <c r="C215" s="2069"/>
      <c r="D215" s="2069"/>
      <c r="E215" s="2069"/>
      <c r="F215" s="2069"/>
      <c r="G215" s="2069"/>
      <c r="H215" s="2069"/>
      <c r="I215"/>
      <c r="J215"/>
      <c r="K215"/>
    </row>
    <row r="216" spans="2:11" x14ac:dyDescent="0.2">
      <c r="B216" s="2069"/>
      <c r="C216" s="2069"/>
      <c r="D216" s="2069"/>
      <c r="E216" s="2069"/>
      <c r="F216" s="2069"/>
      <c r="G216" s="2069"/>
      <c r="H216" s="2069"/>
      <c r="I216"/>
      <c r="J216"/>
      <c r="K216"/>
    </row>
    <row r="217" spans="2:11" x14ac:dyDescent="0.2">
      <c r="B217" s="2069"/>
      <c r="C217" s="2069"/>
      <c r="D217" s="2069"/>
      <c r="E217" s="2069"/>
      <c r="F217" s="2069"/>
      <c r="G217" s="2069"/>
      <c r="H217" s="2069"/>
      <c r="I217"/>
      <c r="J217"/>
      <c r="K217"/>
    </row>
    <row r="218" spans="2:11" x14ac:dyDescent="0.2">
      <c r="B218" s="2069"/>
      <c r="C218" s="2069"/>
      <c r="D218" s="2069"/>
      <c r="E218" s="2069"/>
      <c r="F218" s="2069"/>
      <c r="G218" s="2069"/>
      <c r="H218" s="2069"/>
      <c r="I218"/>
      <c r="J218"/>
      <c r="K218"/>
    </row>
    <row r="219" spans="2:11" x14ac:dyDescent="0.2">
      <c r="B219" s="2069"/>
      <c r="C219" s="2069"/>
      <c r="D219" s="2069"/>
      <c r="E219" s="2069"/>
      <c r="F219" s="2069"/>
      <c r="G219" s="2069"/>
      <c r="H219" s="2069"/>
      <c r="I219"/>
      <c r="J219"/>
      <c r="K219"/>
    </row>
    <row r="220" spans="2:11" x14ac:dyDescent="0.2">
      <c r="B220" s="2069"/>
      <c r="C220" s="2069"/>
      <c r="D220" s="2069"/>
      <c r="E220" s="2069"/>
      <c r="F220" s="2069"/>
      <c r="G220" s="2069"/>
      <c r="H220" s="2069"/>
      <c r="I220"/>
      <c r="J220"/>
      <c r="K220"/>
    </row>
    <row r="221" spans="2:11" x14ac:dyDescent="0.2">
      <c r="B221" s="2069"/>
      <c r="C221" s="2069"/>
      <c r="D221" s="2069"/>
      <c r="E221" s="2069"/>
      <c r="F221" s="2069"/>
      <c r="G221" s="2069"/>
      <c r="H221" s="2069"/>
      <c r="I221"/>
      <c r="J221"/>
      <c r="K221"/>
    </row>
    <row r="222" spans="2:11" x14ac:dyDescent="0.2">
      <c r="B222" s="2069"/>
      <c r="C222" s="2069"/>
      <c r="D222" s="2069"/>
      <c r="E222" s="2069"/>
      <c r="F222" s="2069"/>
      <c r="G222" s="2069"/>
      <c r="H222" s="2069"/>
      <c r="I222"/>
      <c r="J222"/>
      <c r="K222"/>
    </row>
    <row r="223" spans="2:11" x14ac:dyDescent="0.2">
      <c r="B223" s="2069"/>
      <c r="C223" s="2069"/>
      <c r="D223" s="2069"/>
      <c r="E223" s="2069"/>
      <c r="F223" s="2069"/>
      <c r="G223" s="2069"/>
      <c r="H223" s="2069"/>
      <c r="I223"/>
      <c r="J223"/>
      <c r="K223"/>
    </row>
    <row r="224" spans="2:11" x14ac:dyDescent="0.2">
      <c r="B224" s="2069"/>
      <c r="C224" s="2069"/>
      <c r="D224" s="2069"/>
      <c r="E224" s="2069"/>
      <c r="F224" s="2069"/>
      <c r="G224" s="2069"/>
      <c r="H224" s="2069"/>
      <c r="I224"/>
      <c r="J224"/>
      <c r="K224"/>
    </row>
    <row r="225" spans="2:11" x14ac:dyDescent="0.2">
      <c r="B225" s="2069"/>
      <c r="C225" s="2069"/>
      <c r="D225" s="2069"/>
      <c r="E225" s="2069"/>
      <c r="F225" s="2069"/>
      <c r="G225" s="2069"/>
      <c r="H225" s="2069"/>
      <c r="I225"/>
      <c r="J225"/>
      <c r="K225"/>
    </row>
    <row r="226" spans="2:11" x14ac:dyDescent="0.2">
      <c r="B226" s="2069"/>
      <c r="C226" s="2069"/>
      <c r="D226" s="2069"/>
      <c r="E226" s="2069"/>
      <c r="F226" s="2069"/>
      <c r="G226" s="2069"/>
      <c r="H226" s="2069"/>
      <c r="I226"/>
      <c r="J226"/>
      <c r="K226"/>
    </row>
    <row r="227" spans="2:11" x14ac:dyDescent="0.2">
      <c r="B227" s="2069"/>
      <c r="C227" s="2069"/>
      <c r="D227" s="2069"/>
      <c r="E227" s="2069"/>
      <c r="F227" s="2069"/>
      <c r="G227" s="2069"/>
      <c r="H227" s="2069"/>
      <c r="I227"/>
      <c r="J227"/>
      <c r="K227"/>
    </row>
    <row r="228" spans="2:11" x14ac:dyDescent="0.2">
      <c r="B228" s="2069"/>
      <c r="C228" s="2069"/>
      <c r="D228" s="2069"/>
      <c r="E228" s="2069"/>
      <c r="F228" s="2069"/>
      <c r="G228" s="2069"/>
      <c r="H228" s="2069"/>
      <c r="I228"/>
      <c r="J228"/>
      <c r="K228"/>
    </row>
    <row r="229" spans="2:11" x14ac:dyDescent="0.2">
      <c r="B229" s="2069"/>
      <c r="C229" s="2069"/>
      <c r="D229" s="2069"/>
      <c r="E229" s="2069"/>
      <c r="F229" s="2069"/>
      <c r="G229" s="2069"/>
      <c r="H229" s="2069"/>
      <c r="I229"/>
      <c r="J229"/>
      <c r="K229"/>
    </row>
    <row r="230" spans="2:11" x14ac:dyDescent="0.2">
      <c r="B230" s="2069"/>
      <c r="C230" s="2069"/>
      <c r="D230" s="2069"/>
      <c r="E230" s="2069"/>
      <c r="F230" s="2069"/>
      <c r="G230" s="2069"/>
      <c r="H230" s="2069"/>
      <c r="I230"/>
      <c r="J230"/>
      <c r="K230"/>
    </row>
    <row r="231" spans="2:11" x14ac:dyDescent="0.2">
      <c r="B231" s="2069"/>
      <c r="C231" s="2069"/>
      <c r="D231" s="2069"/>
      <c r="E231" s="2069"/>
      <c r="F231" s="2069"/>
      <c r="G231" s="2069"/>
      <c r="H231" s="2069"/>
      <c r="I231"/>
      <c r="J231"/>
      <c r="K231"/>
    </row>
    <row r="232" spans="2:11" x14ac:dyDescent="0.2">
      <c r="B232" s="2069"/>
      <c r="C232" s="2069"/>
      <c r="D232" s="2069"/>
      <c r="E232" s="2069"/>
      <c r="F232" s="2069"/>
      <c r="G232" s="2069"/>
      <c r="H232" s="2069"/>
      <c r="I232"/>
      <c r="J232"/>
      <c r="K232"/>
    </row>
    <row r="233" spans="2:11" x14ac:dyDescent="0.2">
      <c r="B233" s="2069"/>
      <c r="C233" s="2069"/>
      <c r="D233" s="2069"/>
      <c r="E233" s="2069"/>
      <c r="F233" s="2069"/>
      <c r="G233" s="2069"/>
      <c r="H233" s="2069"/>
      <c r="I233"/>
      <c r="J233"/>
      <c r="K233"/>
    </row>
    <row r="234" spans="2:11" x14ac:dyDescent="0.2">
      <c r="B234" s="2069"/>
      <c r="C234" s="2069"/>
      <c r="D234" s="2069"/>
      <c r="E234" s="2069"/>
      <c r="F234" s="2069"/>
      <c r="G234" s="2069"/>
      <c r="H234" s="2069"/>
      <c r="I234"/>
      <c r="J234"/>
      <c r="K234"/>
    </row>
    <row r="235" spans="2:11" x14ac:dyDescent="0.2">
      <c r="B235" s="2069"/>
      <c r="C235" s="2069"/>
      <c r="D235" s="2069"/>
      <c r="E235" s="2069"/>
      <c r="F235" s="2069"/>
      <c r="G235" s="2069"/>
      <c r="H235" s="2069"/>
      <c r="I235"/>
      <c r="J235"/>
      <c r="K235"/>
    </row>
    <row r="236" spans="2:11" x14ac:dyDescent="0.2">
      <c r="B236" s="2069"/>
      <c r="C236" s="2069"/>
      <c r="D236" s="2069"/>
      <c r="E236" s="2069"/>
      <c r="F236" s="2069"/>
      <c r="G236" s="2069"/>
      <c r="H236" s="2069"/>
      <c r="I236"/>
      <c r="J236"/>
      <c r="K236"/>
    </row>
    <row r="237" spans="2:11" x14ac:dyDescent="0.2">
      <c r="B237" s="2069"/>
      <c r="C237" s="2069"/>
      <c r="D237" s="2069"/>
      <c r="E237" s="2069"/>
      <c r="F237" s="2069"/>
      <c r="G237" s="2069"/>
      <c r="H237" s="2069"/>
      <c r="I237"/>
      <c r="J237"/>
      <c r="K237"/>
    </row>
    <row r="238" spans="2:11" x14ac:dyDescent="0.2">
      <c r="B238" s="2069"/>
      <c r="C238" s="2069"/>
      <c r="D238" s="2069"/>
      <c r="E238" s="2069"/>
      <c r="F238" s="2069"/>
      <c r="G238" s="2069"/>
      <c r="H238" s="2069"/>
      <c r="I238"/>
      <c r="J238"/>
      <c r="K238"/>
    </row>
    <row r="239" spans="2:11" x14ac:dyDescent="0.2">
      <c r="B239" s="2069"/>
      <c r="C239" s="2069"/>
      <c r="D239" s="2069"/>
      <c r="E239" s="2069"/>
      <c r="F239" s="2069"/>
      <c r="G239" s="2069"/>
      <c r="H239" s="2069"/>
      <c r="I239"/>
      <c r="J239"/>
      <c r="K239"/>
    </row>
    <row r="240" spans="2:11" x14ac:dyDescent="0.2">
      <c r="B240" s="2069"/>
      <c r="C240" s="2069"/>
      <c r="D240" s="2069"/>
      <c r="E240" s="2069"/>
      <c r="F240" s="2069"/>
      <c r="G240" s="2069"/>
      <c r="H240" s="2069"/>
      <c r="I240"/>
      <c r="J240"/>
      <c r="K240"/>
    </row>
    <row r="241" spans="2:11" x14ac:dyDescent="0.2">
      <c r="B241" s="2069"/>
      <c r="C241" s="2069"/>
      <c r="D241" s="2069"/>
      <c r="E241" s="2069"/>
      <c r="F241" s="2069"/>
      <c r="G241" s="2069"/>
      <c r="H241" s="2069"/>
      <c r="I241"/>
      <c r="J241"/>
      <c r="K241"/>
    </row>
    <row r="242" spans="2:11" x14ac:dyDescent="0.2">
      <c r="B242" s="2069"/>
      <c r="C242" s="2069"/>
      <c r="D242" s="2069"/>
      <c r="E242" s="2069"/>
      <c r="F242" s="2069"/>
      <c r="G242" s="2069"/>
      <c r="H242" s="2069"/>
      <c r="I242"/>
      <c r="J242"/>
      <c r="K242"/>
    </row>
    <row r="243" spans="2:11" x14ac:dyDescent="0.2">
      <c r="B243" s="2069"/>
      <c r="C243" s="2069"/>
      <c r="D243" s="2069"/>
      <c r="E243" s="2069"/>
      <c r="F243" s="2069"/>
      <c r="G243" s="2069"/>
      <c r="H243" s="2069"/>
      <c r="I243"/>
      <c r="J243"/>
      <c r="K243"/>
    </row>
    <row r="244" spans="2:11" x14ac:dyDescent="0.2">
      <c r="B244" s="2069"/>
      <c r="C244" s="2069"/>
      <c r="D244" s="2069"/>
      <c r="E244" s="2069"/>
      <c r="F244" s="2069"/>
      <c r="G244" s="2069"/>
      <c r="H244" s="2069"/>
      <c r="I244"/>
      <c r="J244"/>
      <c r="K244"/>
    </row>
    <row r="245" spans="2:11" x14ac:dyDescent="0.2">
      <c r="B245" s="2069"/>
      <c r="C245" s="2069"/>
      <c r="D245" s="2069"/>
      <c r="E245" s="2069"/>
      <c r="F245" s="2069"/>
      <c r="G245" s="2069"/>
      <c r="H245" s="2069"/>
      <c r="I245"/>
      <c r="J245"/>
      <c r="K245"/>
    </row>
    <row r="246" spans="2:11" x14ac:dyDescent="0.2">
      <c r="B246" s="2069"/>
      <c r="C246" s="2069"/>
      <c r="D246" s="2069"/>
      <c r="E246" s="2069"/>
      <c r="F246" s="2069"/>
      <c r="G246" s="2069"/>
      <c r="H246" s="2069"/>
      <c r="I246"/>
      <c r="J246"/>
      <c r="K246"/>
    </row>
    <row r="247" spans="2:11" x14ac:dyDescent="0.2">
      <c r="B247" s="2069"/>
      <c r="C247" s="2069"/>
      <c r="D247" s="2069"/>
      <c r="E247" s="2069"/>
      <c r="F247" s="2069"/>
      <c r="G247" s="2069"/>
      <c r="H247" s="2069"/>
      <c r="I247"/>
      <c r="J247"/>
      <c r="K247"/>
    </row>
    <row r="248" spans="2:11" x14ac:dyDescent="0.2">
      <c r="B248" s="2069"/>
      <c r="C248" s="2069"/>
      <c r="D248" s="2069"/>
      <c r="E248" s="2069"/>
      <c r="F248" s="2069"/>
      <c r="G248" s="2069"/>
      <c r="H248" s="2069"/>
      <c r="I248"/>
      <c r="J248"/>
      <c r="K248"/>
    </row>
    <row r="249" spans="2:11" x14ac:dyDescent="0.2">
      <c r="B249" s="2069"/>
      <c r="C249" s="2069"/>
      <c r="D249" s="2069"/>
      <c r="E249" s="2069"/>
      <c r="F249" s="2069"/>
      <c r="G249" s="2069"/>
      <c r="H249" s="2069"/>
      <c r="I249"/>
      <c r="J249"/>
      <c r="K249"/>
    </row>
    <row r="250" spans="2:11" x14ac:dyDescent="0.2">
      <c r="B250" s="2069"/>
      <c r="C250" s="2069"/>
      <c r="D250" s="2069"/>
      <c r="E250" s="2069"/>
      <c r="F250" s="2069"/>
      <c r="G250" s="2069"/>
      <c r="H250" s="2069"/>
      <c r="I250"/>
      <c r="J250"/>
      <c r="K250"/>
    </row>
    <row r="251" spans="2:11" x14ac:dyDescent="0.2">
      <c r="B251" s="2069"/>
      <c r="C251" s="2069"/>
      <c r="D251" s="2069"/>
      <c r="E251" s="2069"/>
      <c r="F251" s="2069"/>
      <c r="G251" s="2069"/>
      <c r="H251" s="2069"/>
      <c r="I251"/>
      <c r="J251"/>
      <c r="K251"/>
    </row>
    <row r="252" spans="2:11" x14ac:dyDescent="0.2">
      <c r="B252" s="2069"/>
      <c r="C252" s="2069"/>
      <c r="D252" s="2069"/>
      <c r="E252" s="2069"/>
      <c r="F252" s="2069"/>
      <c r="G252" s="2069"/>
      <c r="H252" s="2069"/>
      <c r="I252"/>
      <c r="J252"/>
      <c r="K252"/>
    </row>
    <row r="253" spans="2:11" x14ac:dyDescent="0.2">
      <c r="B253" s="2069"/>
      <c r="C253" s="2069"/>
      <c r="D253" s="2069"/>
      <c r="E253" s="2069"/>
      <c r="F253" s="2069"/>
      <c r="G253" s="2069"/>
      <c r="H253" s="2069"/>
      <c r="I253"/>
      <c r="J253"/>
      <c r="K253"/>
    </row>
    <row r="254" spans="2:11" x14ac:dyDescent="0.2">
      <c r="B254" s="2069"/>
      <c r="C254" s="2069"/>
      <c r="D254" s="2069"/>
      <c r="E254" s="2069"/>
      <c r="F254" s="2069"/>
      <c r="G254" s="2069"/>
      <c r="H254" s="2069"/>
      <c r="I254"/>
      <c r="J254"/>
      <c r="K254"/>
    </row>
    <row r="255" spans="2:11" x14ac:dyDescent="0.2">
      <c r="B255" s="2069"/>
      <c r="C255" s="2069"/>
      <c r="D255" s="2069"/>
      <c r="E255" s="2069"/>
      <c r="F255" s="2069"/>
      <c r="G255" s="2069"/>
      <c r="H255" s="2069"/>
      <c r="I255"/>
      <c r="J255"/>
      <c r="K255"/>
    </row>
    <row r="256" spans="2:11" x14ac:dyDescent="0.2">
      <c r="B256" s="2069"/>
      <c r="C256" s="2069"/>
      <c r="D256" s="2069"/>
      <c r="E256" s="2069"/>
      <c r="F256" s="2069"/>
      <c r="G256" s="2069"/>
      <c r="H256" s="2069"/>
      <c r="I256"/>
      <c r="J256"/>
      <c r="K256"/>
    </row>
    <row r="257" spans="2:11" x14ac:dyDescent="0.2">
      <c r="B257" s="2069"/>
      <c r="C257" s="2069"/>
      <c r="D257" s="2069"/>
      <c r="E257" s="2069"/>
      <c r="F257" s="2069"/>
      <c r="G257" s="2069"/>
      <c r="H257" s="2069"/>
      <c r="I257"/>
      <c r="J257"/>
      <c r="K257"/>
    </row>
    <row r="258" spans="2:11" x14ac:dyDescent="0.2">
      <c r="B258" s="2069"/>
      <c r="C258" s="2069"/>
      <c r="D258" s="2069"/>
      <c r="E258" s="2069"/>
      <c r="F258" s="2069"/>
      <c r="G258" s="2069"/>
      <c r="H258" s="2069"/>
      <c r="I258"/>
      <c r="J258"/>
      <c r="K258"/>
    </row>
    <row r="259" spans="2:11" x14ac:dyDescent="0.2">
      <c r="B259" s="2069"/>
      <c r="C259" s="2069"/>
      <c r="D259" s="2069"/>
      <c r="E259" s="2069"/>
      <c r="F259" s="2069"/>
      <c r="G259" s="2069"/>
      <c r="H259" s="2069"/>
      <c r="I259"/>
      <c r="J259"/>
      <c r="K259"/>
    </row>
    <row r="260" spans="2:11" x14ac:dyDescent="0.2">
      <c r="B260" s="2069"/>
      <c r="C260" s="2069"/>
      <c r="D260" s="2069"/>
      <c r="E260" s="2069"/>
      <c r="F260" s="2069"/>
      <c r="G260" s="2069"/>
      <c r="H260" s="2069"/>
      <c r="I260"/>
      <c r="J260"/>
      <c r="K260"/>
    </row>
    <row r="261" spans="2:11" x14ac:dyDescent="0.2">
      <c r="B261" s="2069"/>
      <c r="C261" s="2069"/>
      <c r="D261" s="2069"/>
      <c r="E261" s="2069"/>
      <c r="F261" s="2069"/>
      <c r="G261" s="2069"/>
      <c r="H261" s="2069"/>
      <c r="I261"/>
      <c r="J261"/>
      <c r="K261"/>
    </row>
    <row r="262" spans="2:11" x14ac:dyDescent="0.2">
      <c r="B262" s="2069"/>
      <c r="C262" s="2069"/>
      <c r="D262" s="2069"/>
      <c r="E262" s="2069"/>
      <c r="F262" s="2069"/>
      <c r="G262" s="2069"/>
      <c r="H262" s="2069"/>
      <c r="I262"/>
      <c r="J262"/>
      <c r="K262"/>
    </row>
    <row r="263" spans="2:11" x14ac:dyDescent="0.2">
      <c r="B263" s="2069"/>
      <c r="C263" s="2069"/>
      <c r="D263" s="2069"/>
      <c r="E263" s="2069"/>
      <c r="F263" s="2069"/>
      <c r="G263" s="2069"/>
      <c r="H263" s="2069"/>
      <c r="I263"/>
      <c r="J263"/>
      <c r="K263"/>
    </row>
    <row r="264" spans="2:11" x14ac:dyDescent="0.2">
      <c r="B264" s="2069"/>
      <c r="C264" s="2069"/>
      <c r="D264" s="2069"/>
      <c r="E264" s="2069"/>
      <c r="F264" s="2069"/>
      <c r="G264" s="2069"/>
      <c r="H264" s="2069"/>
      <c r="I264"/>
      <c r="J264"/>
      <c r="K264"/>
    </row>
    <row r="265" spans="2:11" x14ac:dyDescent="0.2">
      <c r="B265" s="2069"/>
      <c r="C265" s="2069"/>
      <c r="D265" s="2069"/>
      <c r="E265" s="2069"/>
      <c r="F265" s="2069"/>
      <c r="G265" s="2069"/>
      <c r="H265" s="2069"/>
      <c r="I265"/>
      <c r="J265"/>
      <c r="K265"/>
    </row>
    <row r="266" spans="2:11" x14ac:dyDescent="0.2">
      <c r="B266" s="2069"/>
      <c r="C266" s="2069"/>
      <c r="D266" s="2069"/>
      <c r="E266" s="2069"/>
      <c r="F266" s="2069"/>
      <c r="G266" s="2069"/>
      <c r="H266" s="2069"/>
      <c r="I266"/>
      <c r="J266"/>
      <c r="K266"/>
    </row>
    <row r="267" spans="2:11" x14ac:dyDescent="0.2">
      <c r="B267" s="2069"/>
      <c r="C267" s="2069"/>
      <c r="D267" s="2069"/>
      <c r="E267" s="2069"/>
      <c r="F267" s="2069"/>
      <c r="G267" s="2069"/>
      <c r="H267" s="2069"/>
      <c r="I267"/>
      <c r="J267"/>
      <c r="K267"/>
    </row>
    <row r="268" spans="2:11" x14ac:dyDescent="0.2">
      <c r="B268" s="2069"/>
      <c r="C268" s="2069"/>
      <c r="D268" s="2069"/>
      <c r="E268" s="2069"/>
      <c r="F268" s="2069"/>
      <c r="G268" s="2069"/>
      <c r="H268" s="2069"/>
      <c r="I268"/>
      <c r="J268"/>
      <c r="K268"/>
    </row>
    <row r="269" spans="2:11" x14ac:dyDescent="0.2">
      <c r="B269" s="2069"/>
      <c r="C269" s="2069"/>
      <c r="D269" s="2069"/>
      <c r="E269" s="2069"/>
      <c r="F269" s="2069"/>
      <c r="G269" s="2069"/>
      <c r="H269" s="2069"/>
      <c r="I269"/>
      <c r="J269"/>
      <c r="K269"/>
    </row>
    <row r="270" spans="2:11" x14ac:dyDescent="0.2">
      <c r="B270" s="2069"/>
      <c r="C270" s="2069"/>
      <c r="D270" s="2069"/>
      <c r="E270" s="2069"/>
      <c r="F270" s="2069"/>
      <c r="G270" s="2069"/>
      <c r="H270" s="2069"/>
      <c r="I270"/>
      <c r="J270"/>
      <c r="K270"/>
    </row>
    <row r="271" spans="2:11" x14ac:dyDescent="0.2">
      <c r="B271" s="2069"/>
      <c r="C271" s="2069"/>
      <c r="D271" s="2069"/>
      <c r="E271" s="2069"/>
      <c r="F271" s="2069"/>
      <c r="G271" s="2069"/>
      <c r="H271" s="2069"/>
      <c r="I271"/>
      <c r="J271"/>
      <c r="K271"/>
    </row>
    <row r="272" spans="2:11" x14ac:dyDescent="0.2">
      <c r="B272" s="2069"/>
      <c r="C272" s="2069"/>
      <c r="D272" s="2069"/>
      <c r="E272" s="2069"/>
      <c r="F272" s="2069"/>
      <c r="G272" s="2069"/>
      <c r="H272" s="2069"/>
      <c r="I272"/>
      <c r="J272"/>
      <c r="K272"/>
    </row>
    <row r="273" spans="2:11" x14ac:dyDescent="0.2">
      <c r="B273" s="2069"/>
      <c r="C273" s="2069"/>
      <c r="D273" s="2069"/>
      <c r="E273" s="2069"/>
      <c r="F273" s="2069"/>
      <c r="G273" s="2069"/>
      <c r="H273" s="2069"/>
      <c r="I273"/>
      <c r="J273"/>
      <c r="K273"/>
    </row>
    <row r="274" spans="2:11" x14ac:dyDescent="0.2">
      <c r="B274" s="2069"/>
      <c r="C274" s="2069"/>
      <c r="D274" s="2069"/>
      <c r="E274" s="2069"/>
      <c r="F274" s="2069"/>
      <c r="G274" s="2069"/>
      <c r="H274" s="2069"/>
      <c r="I274"/>
      <c r="J274"/>
      <c r="K274"/>
    </row>
    <row r="275" spans="2:11" x14ac:dyDescent="0.2">
      <c r="B275" s="2069"/>
      <c r="C275" s="2069"/>
      <c r="D275" s="2069"/>
      <c r="E275" s="2069"/>
      <c r="F275" s="2069"/>
      <c r="G275" s="2069"/>
      <c r="H275" s="2069"/>
      <c r="I275"/>
      <c r="J275"/>
      <c r="K275"/>
    </row>
    <row r="276" spans="2:11" x14ac:dyDescent="0.2">
      <c r="B276" s="2069"/>
      <c r="C276" s="2069"/>
      <c r="D276" s="2069"/>
      <c r="E276" s="2069"/>
      <c r="F276" s="2069"/>
      <c r="G276" s="2069"/>
      <c r="H276" s="2069"/>
      <c r="I276"/>
      <c r="J276"/>
      <c r="K276"/>
    </row>
    <row r="277" spans="2:11" x14ac:dyDescent="0.2">
      <c r="B277" s="2069"/>
      <c r="C277" s="2069"/>
      <c r="D277" s="2069"/>
      <c r="E277" s="2069"/>
      <c r="F277" s="2069"/>
      <c r="G277" s="2069"/>
      <c r="H277" s="2069"/>
      <c r="I277"/>
      <c r="J277"/>
      <c r="K277"/>
    </row>
    <row r="278" spans="2:11" x14ac:dyDescent="0.2">
      <c r="B278" s="2069"/>
      <c r="C278" s="2069"/>
      <c r="D278" s="2069"/>
      <c r="E278" s="2069"/>
      <c r="F278" s="2069"/>
      <c r="G278" s="2069"/>
      <c r="H278" s="2069"/>
      <c r="I278"/>
      <c r="J278"/>
      <c r="K278"/>
    </row>
    <row r="279" spans="2:11" x14ac:dyDescent="0.2">
      <c r="B279" s="2069"/>
      <c r="C279" s="2069"/>
      <c r="D279" s="2069"/>
      <c r="E279" s="2069"/>
      <c r="F279" s="2069"/>
      <c r="G279" s="2069"/>
      <c r="H279" s="2069"/>
      <c r="I279"/>
      <c r="J279"/>
      <c r="K279"/>
    </row>
    <row r="280" spans="2:11" x14ac:dyDescent="0.2">
      <c r="B280" s="2069"/>
      <c r="C280" s="2069"/>
      <c r="D280" s="2069"/>
      <c r="E280" s="2069"/>
      <c r="F280" s="2069"/>
      <c r="G280" s="2069"/>
      <c r="H280" s="2069"/>
      <c r="I280"/>
      <c r="J280"/>
      <c r="K280"/>
    </row>
    <row r="281" spans="2:11" x14ac:dyDescent="0.2">
      <c r="B281" s="2069"/>
      <c r="C281" s="2069"/>
      <c r="D281" s="2069"/>
      <c r="E281" s="2069"/>
      <c r="F281" s="2069"/>
      <c r="G281" s="2069"/>
      <c r="H281" s="2069"/>
      <c r="I281"/>
      <c r="J281"/>
      <c r="K281"/>
    </row>
    <row r="282" spans="2:11" x14ac:dyDescent="0.2">
      <c r="B282" s="2069"/>
      <c r="C282" s="2069"/>
      <c r="D282" s="2069"/>
      <c r="E282" s="2069"/>
      <c r="F282" s="2069"/>
      <c r="G282" s="2069"/>
      <c r="H282" s="2069"/>
      <c r="I282"/>
      <c r="J282"/>
      <c r="K282"/>
    </row>
    <row r="283" spans="2:11" x14ac:dyDescent="0.2">
      <c r="B283" s="2069"/>
      <c r="C283" s="2069"/>
      <c r="D283" s="2069"/>
      <c r="E283" s="2069"/>
      <c r="F283" s="2069"/>
      <c r="G283" s="2069"/>
      <c r="H283" s="2069"/>
      <c r="I283"/>
      <c r="J283"/>
      <c r="K283"/>
    </row>
    <row r="284" spans="2:11" x14ac:dyDescent="0.2">
      <c r="B284" s="2069"/>
      <c r="C284" s="2069"/>
      <c r="D284" s="2069"/>
      <c r="E284" s="2069"/>
      <c r="F284" s="2069"/>
      <c r="G284" s="2069"/>
      <c r="H284" s="2069"/>
      <c r="I284"/>
      <c r="J284"/>
      <c r="K284"/>
    </row>
    <row r="285" spans="2:11" x14ac:dyDescent="0.2">
      <c r="B285" s="2069"/>
      <c r="C285" s="2069"/>
      <c r="D285" s="2069"/>
      <c r="E285" s="2069"/>
      <c r="F285" s="2069"/>
      <c r="G285" s="2069"/>
      <c r="H285" s="2069"/>
      <c r="I285"/>
      <c r="J285"/>
      <c r="K285"/>
    </row>
    <row r="286" spans="2:11" x14ac:dyDescent="0.2">
      <c r="B286" s="2069"/>
      <c r="C286" s="2069"/>
      <c r="D286" s="2069"/>
      <c r="E286" s="2069"/>
      <c r="F286" s="2069"/>
      <c r="G286" s="2069"/>
      <c r="H286" s="2069"/>
      <c r="I286"/>
      <c r="J286"/>
      <c r="K286"/>
    </row>
    <row r="287" spans="2:11" x14ac:dyDescent="0.2">
      <c r="B287" s="2069"/>
      <c r="C287" s="2069"/>
      <c r="D287" s="2069"/>
      <c r="E287" s="2069"/>
      <c r="F287" s="2069"/>
      <c r="G287" s="2069"/>
      <c r="H287" s="2069"/>
      <c r="I287"/>
      <c r="J287"/>
      <c r="K287"/>
    </row>
    <row r="288" spans="2:11" x14ac:dyDescent="0.2">
      <c r="B288" s="2069"/>
      <c r="C288" s="2069"/>
      <c r="D288" s="2069"/>
      <c r="E288" s="2069"/>
      <c r="F288" s="2069"/>
      <c r="G288" s="2069"/>
      <c r="H288" s="2069"/>
      <c r="I288"/>
      <c r="J288"/>
      <c r="K288"/>
    </row>
    <row r="289" spans="2:11" x14ac:dyDescent="0.2">
      <c r="B289" s="2069"/>
      <c r="C289" s="2069"/>
      <c r="D289" s="2069"/>
      <c r="E289" s="2069"/>
      <c r="F289" s="2069"/>
      <c r="G289" s="2069"/>
      <c r="H289" s="2069"/>
      <c r="I289"/>
      <c r="J289"/>
      <c r="K289"/>
    </row>
    <row r="290" spans="2:11" x14ac:dyDescent="0.2">
      <c r="B290" s="2069"/>
      <c r="C290" s="2069"/>
      <c r="D290" s="2069"/>
      <c r="E290" s="2069"/>
      <c r="F290" s="2069"/>
      <c r="G290" s="2069"/>
      <c r="H290" s="2069"/>
      <c r="I290"/>
      <c r="J290"/>
      <c r="K290"/>
    </row>
    <row r="291" spans="2:11" x14ac:dyDescent="0.2">
      <c r="B291" s="2069"/>
      <c r="C291" s="2069"/>
      <c r="D291" s="2069"/>
      <c r="E291" s="2069"/>
      <c r="F291" s="2069"/>
      <c r="G291" s="2069"/>
      <c r="H291" s="2069"/>
      <c r="I291"/>
      <c r="J291"/>
      <c r="K291"/>
    </row>
    <row r="292" spans="2:11" x14ac:dyDescent="0.2">
      <c r="B292" s="2069"/>
      <c r="C292" s="2069"/>
      <c r="D292" s="2069"/>
      <c r="E292" s="2069"/>
      <c r="F292" s="2069"/>
      <c r="G292" s="2069"/>
      <c r="H292" s="2069"/>
      <c r="I292"/>
      <c r="J292"/>
      <c r="K292"/>
    </row>
    <row r="293" spans="2:11" x14ac:dyDescent="0.2">
      <c r="B293" s="2069"/>
      <c r="C293" s="2069"/>
      <c r="D293" s="2069"/>
      <c r="E293" s="2069"/>
      <c r="F293" s="2069"/>
      <c r="G293" s="2069"/>
      <c r="H293" s="2069"/>
      <c r="I293"/>
      <c r="J293"/>
      <c r="K293"/>
    </row>
    <row r="294" spans="2:11" x14ac:dyDescent="0.2">
      <c r="B294" s="2069"/>
      <c r="C294" s="2069"/>
      <c r="D294" s="2069"/>
      <c r="E294" s="2069"/>
      <c r="F294" s="2069"/>
      <c r="G294" s="2069"/>
      <c r="H294" s="2069"/>
      <c r="I294"/>
      <c r="J294"/>
      <c r="K294"/>
    </row>
    <row r="295" spans="2:11" x14ac:dyDescent="0.2">
      <c r="B295" s="2069"/>
      <c r="C295" s="2069"/>
      <c r="D295" s="2069"/>
      <c r="E295" s="2069"/>
      <c r="F295" s="2069"/>
      <c r="G295" s="2069"/>
      <c r="H295" s="2069"/>
      <c r="I295"/>
      <c r="J295"/>
      <c r="K295"/>
    </row>
    <row r="296" spans="2:11" x14ac:dyDescent="0.2">
      <c r="B296" s="2069"/>
      <c r="C296" s="2069"/>
      <c r="D296" s="2069"/>
      <c r="E296" s="2069"/>
      <c r="F296" s="2069"/>
      <c r="G296" s="2069"/>
      <c r="H296" s="2069"/>
      <c r="I296"/>
      <c r="J296"/>
      <c r="K296"/>
    </row>
    <row r="297" spans="2:11" x14ac:dyDescent="0.2">
      <c r="B297" s="2069"/>
      <c r="C297" s="2069"/>
      <c r="D297" s="2069"/>
      <c r="E297" s="2069"/>
      <c r="F297" s="2069"/>
      <c r="G297" s="2069"/>
      <c r="H297" s="2069"/>
      <c r="I297"/>
      <c r="J297"/>
      <c r="K297"/>
    </row>
    <row r="298" spans="2:11" x14ac:dyDescent="0.2">
      <c r="B298" s="2069"/>
      <c r="C298" s="2069"/>
      <c r="D298" s="2069"/>
      <c r="E298" s="2069"/>
      <c r="F298" s="2069"/>
      <c r="G298" s="2069"/>
      <c r="H298" s="2069"/>
      <c r="I298"/>
      <c r="J298"/>
      <c r="K298"/>
    </row>
    <row r="299" spans="2:11" x14ac:dyDescent="0.2">
      <c r="B299" s="2069"/>
      <c r="C299" s="2069"/>
      <c r="D299" s="2069"/>
      <c r="E299" s="2069"/>
      <c r="F299" s="2069"/>
      <c r="G299" s="2069"/>
      <c r="H299" s="2069"/>
      <c r="I299"/>
      <c r="J299"/>
      <c r="K299"/>
    </row>
    <row r="300" spans="2:11" x14ac:dyDescent="0.2">
      <c r="B300" s="2069"/>
      <c r="C300" s="2069"/>
      <c r="D300" s="2069"/>
      <c r="E300" s="2069"/>
      <c r="F300" s="2069"/>
      <c r="G300" s="2069"/>
      <c r="H300" s="2069"/>
      <c r="I300"/>
      <c r="J300"/>
      <c r="K300"/>
    </row>
    <row r="301" spans="2:11" x14ac:dyDescent="0.2">
      <c r="B301" s="2069"/>
      <c r="C301" s="2069"/>
      <c r="D301" s="2069"/>
      <c r="E301" s="2069"/>
      <c r="F301" s="2069"/>
      <c r="G301" s="2069"/>
      <c r="H301" s="2069"/>
      <c r="I301"/>
      <c r="J301"/>
      <c r="K301"/>
    </row>
    <row r="302" spans="2:11" x14ac:dyDescent="0.2">
      <c r="B302" s="2069"/>
      <c r="C302" s="2069"/>
      <c r="D302" s="2069"/>
      <c r="E302" s="2069"/>
      <c r="F302" s="2069"/>
      <c r="G302" s="2069"/>
      <c r="H302" s="2069"/>
      <c r="I302"/>
      <c r="J302"/>
      <c r="K302"/>
    </row>
    <row r="303" spans="2:11" x14ac:dyDescent="0.2">
      <c r="B303" s="2069"/>
      <c r="C303" s="2069"/>
      <c r="D303" s="2069"/>
      <c r="E303" s="2069"/>
      <c r="F303" s="2069"/>
      <c r="G303" s="2069"/>
      <c r="H303" s="2069"/>
      <c r="I303"/>
      <c r="J303"/>
      <c r="K303"/>
    </row>
    <row r="304" spans="2:11" x14ac:dyDescent="0.2">
      <c r="B304" s="2069"/>
      <c r="C304" s="2069"/>
      <c r="D304" s="2069"/>
      <c r="E304" s="2069"/>
      <c r="F304" s="2069"/>
      <c r="G304" s="2069"/>
      <c r="H304" s="2069"/>
      <c r="I304"/>
      <c r="J304"/>
      <c r="K304"/>
    </row>
    <row r="305" spans="2:11" x14ac:dyDescent="0.2">
      <c r="B305" s="2069"/>
      <c r="C305" s="2069"/>
      <c r="D305" s="2069"/>
      <c r="E305" s="2069"/>
      <c r="F305" s="2069"/>
      <c r="G305" s="2069"/>
      <c r="H305" s="2069"/>
      <c r="I305"/>
      <c r="J305"/>
      <c r="K305"/>
    </row>
    <row r="306" spans="2:11" x14ac:dyDescent="0.2">
      <c r="B306" s="2069"/>
      <c r="C306" s="2069"/>
      <c r="D306" s="2069"/>
      <c r="E306" s="2069"/>
      <c r="F306" s="2069"/>
      <c r="G306" s="2069"/>
      <c r="H306" s="2069"/>
      <c r="I306"/>
      <c r="J306"/>
      <c r="K306"/>
    </row>
    <row r="307" spans="2:11" x14ac:dyDescent="0.2">
      <c r="B307" s="2069"/>
      <c r="C307" s="2069"/>
      <c r="D307" s="2069"/>
      <c r="E307" s="2069"/>
      <c r="F307" s="2069"/>
      <c r="G307" s="2069"/>
      <c r="H307" s="2069"/>
      <c r="I307"/>
      <c r="J307"/>
      <c r="K307"/>
    </row>
    <row r="308" spans="2:11" x14ac:dyDescent="0.2">
      <c r="B308" s="2069"/>
      <c r="C308" s="2069"/>
      <c r="D308" s="2069"/>
      <c r="E308" s="2069"/>
      <c r="F308" s="2069"/>
      <c r="G308" s="2069"/>
      <c r="H308" s="2069"/>
      <c r="I308"/>
      <c r="J308"/>
      <c r="K308"/>
    </row>
    <row r="309" spans="2:11" x14ac:dyDescent="0.2">
      <c r="B309" s="2069"/>
      <c r="C309" s="2069"/>
      <c r="D309" s="2069"/>
      <c r="E309" s="2069"/>
      <c r="F309" s="2069"/>
      <c r="G309" s="2069"/>
      <c r="H309" s="2069"/>
      <c r="I309"/>
      <c r="J309"/>
      <c r="K309"/>
    </row>
    <row r="310" spans="2:11" x14ac:dyDescent="0.2">
      <c r="B310" s="2069"/>
      <c r="C310" s="2069"/>
      <c r="D310" s="2069"/>
      <c r="E310" s="2069"/>
      <c r="F310" s="2069"/>
      <c r="G310" s="2069"/>
      <c r="H310" s="2069"/>
      <c r="I310"/>
      <c r="J310"/>
      <c r="K310"/>
    </row>
    <row r="311" spans="2:11" x14ac:dyDescent="0.2">
      <c r="B311" s="2069"/>
      <c r="C311" s="2069"/>
      <c r="D311" s="2069"/>
      <c r="E311" s="2069"/>
      <c r="F311" s="2069"/>
      <c r="G311" s="2069"/>
      <c r="H311" s="2069"/>
      <c r="I311"/>
      <c r="J311"/>
      <c r="K311"/>
    </row>
    <row r="312" spans="2:11" x14ac:dyDescent="0.2">
      <c r="B312" s="2069"/>
      <c r="C312" s="2069"/>
      <c r="D312" s="2069"/>
      <c r="E312" s="2069"/>
      <c r="F312" s="2069"/>
      <c r="G312" s="2069"/>
      <c r="H312" s="2069"/>
      <c r="I312"/>
      <c r="J312"/>
      <c r="K312"/>
    </row>
    <row r="313" spans="2:11" x14ac:dyDescent="0.2">
      <c r="B313" s="2069"/>
      <c r="C313" s="2069"/>
      <c r="D313" s="2069"/>
      <c r="E313" s="2069"/>
      <c r="F313" s="2069"/>
      <c r="G313" s="2069"/>
      <c r="H313" s="2069"/>
      <c r="I313"/>
      <c r="J313"/>
      <c r="K313"/>
    </row>
    <row r="314" spans="2:11" x14ac:dyDescent="0.2">
      <c r="B314" s="2069"/>
      <c r="C314" s="2069"/>
      <c r="D314" s="2069"/>
      <c r="E314" s="2069"/>
      <c r="F314" s="2069"/>
      <c r="G314" s="2069"/>
      <c r="H314" s="2069"/>
      <c r="I314"/>
      <c r="J314"/>
      <c r="K314"/>
    </row>
    <row r="315" spans="2:11" x14ac:dyDescent="0.2">
      <c r="B315" s="2069"/>
      <c r="C315" s="2069"/>
      <c r="D315" s="2069"/>
      <c r="E315" s="2069"/>
      <c r="F315" s="2069"/>
      <c r="G315" s="2069"/>
      <c r="H315" s="2069"/>
      <c r="I315"/>
      <c r="J315"/>
      <c r="K315"/>
    </row>
    <row r="316" spans="2:11" x14ac:dyDescent="0.2">
      <c r="B316" s="2069"/>
      <c r="C316" s="2069"/>
      <c r="D316" s="2069"/>
      <c r="E316" s="2069"/>
      <c r="F316" s="2069"/>
      <c r="G316" s="2069"/>
      <c r="H316" s="2069"/>
      <c r="I316"/>
      <c r="J316"/>
      <c r="K316"/>
    </row>
    <row r="317" spans="2:11" x14ac:dyDescent="0.2">
      <c r="B317" s="2069"/>
      <c r="C317" s="2069"/>
      <c r="D317" s="2069"/>
      <c r="E317" s="2069"/>
      <c r="F317" s="2069"/>
      <c r="G317" s="2069"/>
      <c r="H317" s="2069"/>
      <c r="I317"/>
      <c r="J317"/>
      <c r="K317"/>
    </row>
    <row r="318" spans="2:11" x14ac:dyDescent="0.2">
      <c r="B318" s="2069"/>
      <c r="C318" s="2069"/>
      <c r="D318" s="2069"/>
      <c r="E318" s="2069"/>
      <c r="F318" s="2069"/>
      <c r="G318" s="2069"/>
      <c r="H318" s="2069"/>
      <c r="I318"/>
      <c r="J318"/>
      <c r="K318"/>
    </row>
    <row r="319" spans="2:11" x14ac:dyDescent="0.2">
      <c r="B319" s="2069"/>
      <c r="C319" s="2069"/>
      <c r="D319" s="2069"/>
      <c r="E319" s="2069"/>
      <c r="F319" s="2069"/>
      <c r="G319" s="2069"/>
      <c r="H319" s="2069"/>
      <c r="I319"/>
      <c r="J319"/>
      <c r="K319"/>
    </row>
    <row r="320" spans="2:11" x14ac:dyDescent="0.2">
      <c r="B320" s="2069"/>
      <c r="C320" s="2069"/>
      <c r="D320" s="2069"/>
      <c r="E320" s="2069"/>
      <c r="F320" s="2069"/>
      <c r="G320" s="2069"/>
      <c r="H320" s="2069"/>
      <c r="I320"/>
      <c r="J320"/>
      <c r="K320"/>
    </row>
    <row r="321" spans="2:11" x14ac:dyDescent="0.2">
      <c r="B321" s="2069"/>
      <c r="C321" s="2069"/>
      <c r="D321" s="2069"/>
      <c r="E321" s="2069"/>
      <c r="F321" s="2069"/>
      <c r="G321" s="2069"/>
      <c r="H321" s="2069"/>
      <c r="I321"/>
      <c r="J321"/>
      <c r="K321"/>
    </row>
    <row r="322" spans="2:11" x14ac:dyDescent="0.2">
      <c r="B322" s="2069"/>
      <c r="C322" s="2069"/>
      <c r="D322" s="2069"/>
      <c r="E322" s="2069"/>
      <c r="F322" s="2069"/>
      <c r="G322" s="2069"/>
      <c r="H322" s="2069"/>
      <c r="I322"/>
      <c r="J322"/>
      <c r="K322"/>
    </row>
    <row r="323" spans="2:11" x14ac:dyDescent="0.2">
      <c r="B323" s="2069"/>
      <c r="C323" s="2069"/>
      <c r="D323" s="2069"/>
      <c r="E323" s="2069"/>
      <c r="F323" s="2069"/>
      <c r="G323" s="2069"/>
      <c r="H323" s="2069"/>
      <c r="I323"/>
      <c r="J323"/>
      <c r="K323"/>
    </row>
    <row r="324" spans="2:11" x14ac:dyDescent="0.2">
      <c r="B324" s="2069"/>
      <c r="C324" s="2069"/>
      <c r="D324" s="2069"/>
      <c r="E324" s="2069"/>
      <c r="F324" s="2069"/>
      <c r="G324" s="2069"/>
      <c r="H324" s="2069"/>
      <c r="I324"/>
      <c r="J324"/>
      <c r="K324"/>
    </row>
    <row r="325" spans="2:11" x14ac:dyDescent="0.2">
      <c r="B325" s="2069"/>
      <c r="C325" s="2069"/>
      <c r="D325" s="2069"/>
      <c r="E325" s="2069"/>
      <c r="F325" s="2069"/>
      <c r="G325" s="2069"/>
      <c r="H325" s="2069"/>
      <c r="I325"/>
      <c r="J325"/>
      <c r="K325"/>
    </row>
    <row r="326" spans="2:11" x14ac:dyDescent="0.2">
      <c r="B326" s="2069"/>
      <c r="C326" s="2069"/>
      <c r="D326" s="2069"/>
      <c r="E326" s="2069"/>
      <c r="F326" s="2069"/>
      <c r="G326" s="2069"/>
      <c r="H326" s="2069"/>
      <c r="I326"/>
      <c r="J326"/>
      <c r="K326"/>
    </row>
    <row r="327" spans="2:11" x14ac:dyDescent="0.2">
      <c r="B327" s="2069"/>
      <c r="C327" s="2069"/>
      <c r="D327" s="2069"/>
      <c r="E327" s="2069"/>
      <c r="F327" s="2069"/>
      <c r="G327" s="2069"/>
      <c r="H327" s="2069"/>
      <c r="I327"/>
      <c r="J327"/>
      <c r="K327"/>
    </row>
    <row r="328" spans="2:11" x14ac:dyDescent="0.2">
      <c r="B328" s="2069"/>
      <c r="C328" s="2069"/>
      <c r="D328" s="2069"/>
      <c r="E328" s="2069"/>
      <c r="F328" s="2069"/>
      <c r="G328" s="2069"/>
      <c r="H328" s="2069"/>
      <c r="I328"/>
      <c r="J328"/>
      <c r="K328"/>
    </row>
    <row r="329" spans="2:11" x14ac:dyDescent="0.2">
      <c r="B329" s="2069"/>
      <c r="C329" s="2069"/>
      <c r="D329" s="2069"/>
      <c r="E329" s="2069"/>
      <c r="F329" s="2069"/>
      <c r="G329" s="2069"/>
      <c r="H329" s="2069"/>
      <c r="I329"/>
      <c r="J329"/>
      <c r="K329"/>
    </row>
    <row r="330" spans="2:11" x14ac:dyDescent="0.2">
      <c r="B330" s="2069"/>
      <c r="C330" s="2069"/>
      <c r="D330" s="2069"/>
      <c r="E330" s="2069"/>
      <c r="F330" s="2069"/>
      <c r="G330" s="2069"/>
      <c r="H330" s="2069"/>
      <c r="I330"/>
      <c r="J330"/>
      <c r="K330"/>
    </row>
    <row r="331" spans="2:11" x14ac:dyDescent="0.2">
      <c r="B331" s="2069"/>
      <c r="C331" s="2069"/>
      <c r="D331" s="2069"/>
      <c r="E331" s="2069"/>
      <c r="F331" s="2069"/>
      <c r="G331" s="2069"/>
      <c r="H331" s="2069"/>
      <c r="I331"/>
      <c r="J331"/>
      <c r="K331"/>
    </row>
    <row r="332" spans="2:11" x14ac:dyDescent="0.2">
      <c r="B332" s="2069"/>
      <c r="C332" s="2069"/>
      <c r="D332" s="2069"/>
      <c r="E332" s="2069"/>
      <c r="F332" s="2069"/>
      <c r="G332" s="2069"/>
      <c r="H332" s="2069"/>
      <c r="I332"/>
      <c r="J332"/>
      <c r="K332"/>
    </row>
    <row r="333" spans="2:11" x14ac:dyDescent="0.2">
      <c r="B333" s="2069"/>
      <c r="C333" s="2069"/>
      <c r="D333" s="2069"/>
      <c r="E333" s="2069"/>
      <c r="F333" s="2069"/>
      <c r="G333" s="2069"/>
      <c r="H333" s="2069"/>
      <c r="I333"/>
      <c r="J333"/>
      <c r="K333"/>
    </row>
    <row r="334" spans="2:11" x14ac:dyDescent="0.2">
      <c r="B334" s="2069"/>
      <c r="C334" s="2069"/>
      <c r="D334" s="2069"/>
      <c r="E334" s="2069"/>
      <c r="F334" s="2069"/>
      <c r="G334" s="2069"/>
      <c r="H334" s="2069"/>
      <c r="I334"/>
      <c r="J334"/>
      <c r="K334"/>
    </row>
    <row r="335" spans="2:11" x14ac:dyDescent="0.2">
      <c r="B335" s="2069"/>
      <c r="C335" s="2069"/>
      <c r="D335" s="2069"/>
      <c r="E335" s="2069"/>
      <c r="F335" s="2069"/>
      <c r="G335" s="2069"/>
      <c r="H335" s="2069"/>
      <c r="I335"/>
      <c r="J335"/>
      <c r="K335"/>
    </row>
    <row r="336" spans="2:11" x14ac:dyDescent="0.2">
      <c r="B336" s="2069"/>
      <c r="C336" s="2069"/>
      <c r="D336" s="2069"/>
      <c r="E336" s="2069"/>
      <c r="F336" s="2069"/>
      <c r="G336" s="2069"/>
      <c r="H336" s="2069"/>
      <c r="I336"/>
      <c r="J336"/>
      <c r="K336"/>
    </row>
    <row r="337" spans="2:11" x14ac:dyDescent="0.2">
      <c r="B337" s="2069"/>
      <c r="C337" s="2069"/>
      <c r="D337" s="2069"/>
      <c r="E337" s="2069"/>
      <c r="F337" s="2069"/>
      <c r="G337" s="2069"/>
      <c r="H337" s="2069"/>
      <c r="I337"/>
      <c r="J337"/>
      <c r="K337"/>
    </row>
    <row r="338" spans="2:11" x14ac:dyDescent="0.2">
      <c r="B338" s="2069"/>
      <c r="C338" s="2069"/>
      <c r="D338" s="2069"/>
      <c r="E338" s="2069"/>
      <c r="F338" s="2069"/>
      <c r="G338" s="2069"/>
      <c r="H338" s="2069"/>
      <c r="I338"/>
      <c r="J338"/>
      <c r="K338"/>
    </row>
    <row r="339" spans="2:11" x14ac:dyDescent="0.2">
      <c r="B339" s="2069"/>
      <c r="C339" s="2069"/>
      <c r="D339" s="2069"/>
      <c r="E339" s="2069"/>
      <c r="F339" s="2069"/>
      <c r="G339" s="2069"/>
      <c r="H339" s="2069"/>
      <c r="I339"/>
      <c r="J339"/>
      <c r="K339"/>
    </row>
    <row r="340" spans="2:11" x14ac:dyDescent="0.2">
      <c r="B340" s="2069"/>
      <c r="C340" s="2069"/>
      <c r="D340" s="2069"/>
      <c r="E340" s="2069"/>
      <c r="F340" s="2069"/>
      <c r="G340" s="2069"/>
      <c r="H340" s="2069"/>
      <c r="I340"/>
      <c r="J340"/>
      <c r="K340"/>
    </row>
    <row r="341" spans="2:11" x14ac:dyDescent="0.2">
      <c r="B341" s="2069"/>
      <c r="C341" s="2069"/>
      <c r="D341" s="2069"/>
      <c r="E341" s="2069"/>
      <c r="F341" s="2069"/>
      <c r="G341" s="2069"/>
      <c r="H341" s="2069"/>
      <c r="I341"/>
      <c r="J341"/>
      <c r="K341"/>
    </row>
    <row r="342" spans="2:11" x14ac:dyDescent="0.2">
      <c r="B342" s="2069"/>
      <c r="C342" s="2069"/>
      <c r="D342" s="2069"/>
      <c r="E342" s="2069"/>
      <c r="F342" s="2069"/>
      <c r="G342" s="2069"/>
      <c r="H342" s="2069"/>
      <c r="I342"/>
      <c r="J342"/>
      <c r="K342"/>
    </row>
    <row r="343" spans="2:11" x14ac:dyDescent="0.2">
      <c r="B343" s="2069"/>
      <c r="C343" s="2069"/>
      <c r="D343" s="2069"/>
      <c r="E343" s="2069"/>
      <c r="F343" s="2069"/>
      <c r="G343" s="2069"/>
      <c r="H343" s="2069"/>
      <c r="I343"/>
      <c r="J343"/>
      <c r="K343"/>
    </row>
    <row r="344" spans="2:11" x14ac:dyDescent="0.2">
      <c r="B344" s="2069"/>
      <c r="C344" s="2069"/>
      <c r="D344" s="2069"/>
      <c r="E344" s="2069"/>
      <c r="F344" s="2069"/>
      <c r="G344" s="2069"/>
      <c r="H344" s="2069"/>
      <c r="I344"/>
      <c r="J344"/>
      <c r="K344"/>
    </row>
    <row r="345" spans="2:11" x14ac:dyDescent="0.2">
      <c r="B345" s="2069"/>
      <c r="C345" s="2069"/>
      <c r="D345" s="2069"/>
      <c r="E345" s="2069"/>
      <c r="F345" s="2069"/>
      <c r="G345" s="2069"/>
      <c r="H345" s="2069"/>
      <c r="I345"/>
      <c r="J345"/>
      <c r="K345"/>
    </row>
    <row r="346" spans="2:11" x14ac:dyDescent="0.2">
      <c r="B346" s="2069"/>
      <c r="C346" s="2069"/>
      <c r="D346" s="2069"/>
      <c r="E346" s="2069"/>
      <c r="F346" s="2069"/>
      <c r="G346" s="2069"/>
      <c r="H346" s="2069"/>
      <c r="I346"/>
      <c r="J346"/>
      <c r="K346"/>
    </row>
    <row r="347" spans="2:11" x14ac:dyDescent="0.2">
      <c r="B347" s="2069"/>
      <c r="C347" s="2069"/>
      <c r="D347" s="2069"/>
      <c r="E347" s="2069"/>
      <c r="F347" s="2069"/>
      <c r="G347" s="2069"/>
      <c r="H347" s="2069"/>
      <c r="I347"/>
      <c r="J347"/>
      <c r="K347"/>
    </row>
    <row r="348" spans="2:11" x14ac:dyDescent="0.2">
      <c r="B348" s="2069"/>
      <c r="C348" s="2069"/>
      <c r="D348" s="2069"/>
      <c r="E348" s="2069"/>
      <c r="F348" s="2069"/>
      <c r="G348" s="2069"/>
      <c r="H348" s="2069"/>
      <c r="I348"/>
      <c r="J348"/>
      <c r="K348"/>
    </row>
    <row r="349" spans="2:11" x14ac:dyDescent="0.2">
      <c r="B349" s="2069"/>
      <c r="C349" s="2069"/>
      <c r="D349" s="2069"/>
      <c r="E349" s="2069"/>
      <c r="F349" s="2069"/>
      <c r="G349" s="2069"/>
      <c r="H349" s="2069"/>
      <c r="I349"/>
      <c r="J349"/>
      <c r="K349"/>
    </row>
    <row r="350" spans="2:11" x14ac:dyDescent="0.2">
      <c r="B350" s="2069"/>
      <c r="C350" s="2069"/>
      <c r="D350" s="2069"/>
      <c r="E350" s="2069"/>
      <c r="F350" s="2069"/>
      <c r="G350" s="2069"/>
      <c r="H350" s="2069"/>
      <c r="I350"/>
      <c r="J350"/>
      <c r="K350"/>
    </row>
    <row r="351" spans="2:11" x14ac:dyDescent="0.2">
      <c r="B351" s="2069"/>
      <c r="C351" s="2069"/>
      <c r="D351" s="2069"/>
      <c r="E351" s="2069"/>
      <c r="F351" s="2069"/>
      <c r="G351" s="2069"/>
      <c r="H351" s="2069"/>
      <c r="I351"/>
      <c r="J351"/>
      <c r="K351"/>
    </row>
    <row r="352" spans="2:11" x14ac:dyDescent="0.2">
      <c r="B352" s="2069"/>
      <c r="C352" s="2069"/>
      <c r="D352" s="2069"/>
      <c r="E352" s="2069"/>
      <c r="F352" s="2069"/>
      <c r="G352" s="2069"/>
      <c r="H352" s="2069"/>
      <c r="I352"/>
      <c r="J352"/>
      <c r="K352"/>
    </row>
    <row r="353" spans="2:11" x14ac:dyDescent="0.2">
      <c r="B353" s="2069"/>
      <c r="C353" s="2069"/>
      <c r="D353" s="2069"/>
      <c r="E353" s="2069"/>
      <c r="F353" s="2069"/>
      <c r="G353" s="2069"/>
      <c r="H353" s="2069"/>
      <c r="I353"/>
      <c r="J353"/>
      <c r="K353"/>
    </row>
    <row r="354" spans="2:11" x14ac:dyDescent="0.2">
      <c r="B354" s="2069"/>
      <c r="C354" s="2069"/>
      <c r="D354" s="2069"/>
      <c r="E354" s="2069"/>
      <c r="F354" s="2069"/>
      <c r="G354" s="2069"/>
      <c r="H354" s="2069"/>
      <c r="I354"/>
      <c r="J354"/>
      <c r="K354"/>
    </row>
    <row r="355" spans="2:11" x14ac:dyDescent="0.2">
      <c r="B355" s="2069"/>
      <c r="C355" s="2069"/>
      <c r="D355" s="2069"/>
      <c r="E355" s="2069"/>
      <c r="F355" s="2069"/>
      <c r="G355" s="2069"/>
      <c r="H355" s="2069"/>
      <c r="I355"/>
      <c r="J355"/>
      <c r="K355"/>
    </row>
    <row r="356" spans="2:11" x14ac:dyDescent="0.2">
      <c r="B356" s="2069"/>
      <c r="C356" s="2069"/>
      <c r="D356" s="2069"/>
      <c r="E356" s="2069"/>
      <c r="F356" s="2069"/>
      <c r="G356" s="2069"/>
      <c r="H356" s="2069"/>
      <c r="I356"/>
      <c r="J356"/>
      <c r="K356"/>
    </row>
    <row r="357" spans="2:11" x14ac:dyDescent="0.2">
      <c r="B357" s="2069"/>
      <c r="C357" s="2069"/>
      <c r="D357" s="2069"/>
      <c r="E357" s="2069"/>
      <c r="F357" s="2069"/>
      <c r="G357" s="2069"/>
      <c r="H357" s="2069"/>
      <c r="I357"/>
      <c r="J357"/>
      <c r="K357"/>
    </row>
    <row r="358" spans="2:11" x14ac:dyDescent="0.2">
      <c r="B358" s="2069"/>
      <c r="C358" s="2069"/>
      <c r="D358" s="2069"/>
      <c r="E358" s="2069"/>
      <c r="F358" s="2069"/>
      <c r="G358" s="2069"/>
      <c r="H358" s="2069"/>
      <c r="I358"/>
      <c r="J358"/>
      <c r="K358"/>
    </row>
    <row r="359" spans="2:11" x14ac:dyDescent="0.2">
      <c r="B359" s="2069"/>
      <c r="C359" s="2069"/>
      <c r="D359" s="2069"/>
      <c r="E359" s="2069"/>
      <c r="F359" s="2069"/>
      <c r="G359" s="2069"/>
      <c r="H359" s="2069"/>
      <c r="I359"/>
      <c r="J359"/>
      <c r="K359"/>
    </row>
    <row r="360" spans="2:11" x14ac:dyDescent="0.2">
      <c r="B360" s="2069"/>
      <c r="C360" s="2069"/>
      <c r="D360" s="2069"/>
      <c r="E360" s="2069"/>
      <c r="F360" s="2069"/>
      <c r="G360" s="2069"/>
      <c r="H360" s="2069"/>
      <c r="I360"/>
      <c r="J360"/>
      <c r="K360"/>
    </row>
    <row r="361" spans="2:11" x14ac:dyDescent="0.2">
      <c r="B361" s="2069"/>
      <c r="C361" s="2069"/>
      <c r="D361" s="2069"/>
      <c r="E361" s="2069"/>
      <c r="F361" s="2069"/>
      <c r="G361" s="2069"/>
      <c r="H361" s="2069"/>
      <c r="I361"/>
      <c r="J361"/>
      <c r="K361"/>
    </row>
    <row r="362" spans="2:11" x14ac:dyDescent="0.2">
      <c r="B362" s="2069"/>
      <c r="C362" s="2069"/>
      <c r="D362" s="2069"/>
      <c r="E362" s="2069"/>
      <c r="F362" s="2069"/>
      <c r="G362" s="2069"/>
      <c r="H362" s="2069"/>
      <c r="I362"/>
      <c r="J362"/>
      <c r="K362"/>
    </row>
    <row r="363" spans="2:11" x14ac:dyDescent="0.2">
      <c r="B363" s="2069"/>
      <c r="C363" s="2069"/>
      <c r="D363" s="2069"/>
      <c r="E363" s="2069"/>
      <c r="F363" s="2069"/>
      <c r="G363" s="2069"/>
      <c r="H363" s="2069"/>
      <c r="I363"/>
      <c r="J363"/>
      <c r="K363"/>
    </row>
    <row r="364" spans="2:11" x14ac:dyDescent="0.2">
      <c r="B364" s="2069"/>
      <c r="C364" s="2069"/>
      <c r="D364" s="2069"/>
      <c r="E364" s="2069"/>
      <c r="F364" s="2069"/>
      <c r="G364" s="2069"/>
      <c r="H364" s="2069"/>
      <c r="I364"/>
      <c r="J364"/>
      <c r="K364"/>
    </row>
    <row r="365" spans="2:11" x14ac:dyDescent="0.2">
      <c r="B365" s="2069"/>
      <c r="C365" s="2069"/>
      <c r="D365" s="2069"/>
      <c r="E365" s="2069"/>
      <c r="F365" s="2069"/>
      <c r="G365" s="2069"/>
      <c r="H365" s="2069"/>
      <c r="I365"/>
      <c r="J365"/>
      <c r="K365"/>
    </row>
    <row r="366" spans="2:11" x14ac:dyDescent="0.2">
      <c r="B366" s="2069"/>
      <c r="C366" s="2069"/>
      <c r="D366" s="2069"/>
      <c r="E366" s="2069"/>
      <c r="F366" s="2069"/>
      <c r="G366" s="2069"/>
      <c r="H366" s="2069"/>
      <c r="I366"/>
      <c r="J366"/>
      <c r="K366"/>
    </row>
    <row r="367" spans="2:11" x14ac:dyDescent="0.2">
      <c r="B367" s="2069"/>
      <c r="C367" s="2069"/>
      <c r="D367" s="2069"/>
      <c r="E367" s="2069"/>
      <c r="F367" s="2069"/>
      <c r="G367" s="2069"/>
      <c r="H367" s="2069"/>
      <c r="I367"/>
      <c r="J367"/>
      <c r="K367"/>
    </row>
    <row r="368" spans="2:11" x14ac:dyDescent="0.2">
      <c r="B368" s="2069"/>
      <c r="C368" s="2069"/>
      <c r="D368" s="2069"/>
      <c r="E368" s="2069"/>
      <c r="F368" s="2069"/>
      <c r="G368" s="2069"/>
      <c r="H368" s="2069"/>
      <c r="I368"/>
      <c r="J368"/>
      <c r="K368"/>
    </row>
    <row r="369" spans="2:11" x14ac:dyDescent="0.2">
      <c r="B369" s="2069"/>
      <c r="C369" s="2069"/>
      <c r="D369" s="2069"/>
      <c r="E369" s="2069"/>
      <c r="F369" s="2069"/>
      <c r="G369" s="2069"/>
      <c r="H369" s="2069"/>
      <c r="I369"/>
      <c r="J369"/>
      <c r="K369"/>
    </row>
    <row r="370" spans="2:11" x14ac:dyDescent="0.2">
      <c r="B370" s="2069"/>
      <c r="C370" s="2069"/>
      <c r="D370" s="2069"/>
      <c r="E370" s="2069"/>
      <c r="F370" s="2069"/>
      <c r="G370" s="2069"/>
      <c r="H370" s="2069"/>
      <c r="I370"/>
      <c r="J370"/>
      <c r="K370"/>
    </row>
    <row r="371" spans="2:11" x14ac:dyDescent="0.2">
      <c r="B371" s="2069"/>
      <c r="C371" s="2069"/>
      <c r="D371" s="2069"/>
      <c r="E371" s="2069"/>
      <c r="F371" s="2069"/>
      <c r="G371" s="2069"/>
      <c r="H371" s="2069"/>
      <c r="I371"/>
      <c r="J371"/>
      <c r="K371"/>
    </row>
    <row r="372" spans="2:11" x14ac:dyDescent="0.2">
      <c r="B372" s="2069"/>
      <c r="C372" s="2069"/>
      <c r="D372" s="2069"/>
      <c r="E372" s="2069"/>
      <c r="F372" s="2069"/>
      <c r="G372" s="2069"/>
      <c r="H372" s="2069"/>
      <c r="I372"/>
      <c r="J372"/>
      <c r="K372"/>
    </row>
    <row r="373" spans="2:11" x14ac:dyDescent="0.2">
      <c r="B373" s="2069"/>
      <c r="C373" s="2069"/>
      <c r="D373" s="2069"/>
      <c r="E373" s="2069"/>
      <c r="F373" s="2069"/>
      <c r="G373" s="2069"/>
      <c r="H373" s="2069"/>
      <c r="I373"/>
      <c r="J373"/>
      <c r="K373"/>
    </row>
    <row r="374" spans="2:11" x14ac:dyDescent="0.2">
      <c r="B374" s="2069"/>
      <c r="C374" s="2069"/>
      <c r="D374" s="2069"/>
      <c r="E374" s="2069"/>
      <c r="F374" s="2069"/>
      <c r="G374" s="2069"/>
      <c r="H374" s="2069"/>
      <c r="I374"/>
      <c r="J374"/>
      <c r="K374"/>
    </row>
    <row r="375" spans="2:11" x14ac:dyDescent="0.2">
      <c r="B375" s="2069"/>
      <c r="C375" s="2069"/>
      <c r="D375" s="2069"/>
      <c r="E375" s="2069"/>
      <c r="F375" s="2069"/>
      <c r="G375" s="2069"/>
      <c r="H375" s="2069"/>
      <c r="I375"/>
      <c r="J375"/>
      <c r="K375"/>
    </row>
    <row r="376" spans="2:11" x14ac:dyDescent="0.2">
      <c r="B376" s="2069"/>
      <c r="C376" s="2069"/>
      <c r="D376" s="2069"/>
      <c r="E376" s="2069"/>
      <c r="F376" s="2069"/>
      <c r="G376" s="2069"/>
      <c r="H376" s="2069"/>
      <c r="I376"/>
      <c r="J376"/>
      <c r="K376"/>
    </row>
    <row r="377" spans="2:11" x14ac:dyDescent="0.2">
      <c r="B377" s="2069"/>
      <c r="C377" s="2069"/>
      <c r="D377" s="2069"/>
      <c r="E377" s="2069"/>
      <c r="F377" s="2069"/>
      <c r="G377" s="2069"/>
      <c r="H377" s="2069"/>
      <c r="I377"/>
      <c r="J377"/>
      <c r="K377"/>
    </row>
    <row r="378" spans="2:11" x14ac:dyDescent="0.2">
      <c r="B378" s="2069"/>
      <c r="C378" s="2069"/>
      <c r="D378" s="2069"/>
      <c r="E378" s="2069"/>
      <c r="F378" s="2069"/>
      <c r="G378" s="2069"/>
      <c r="H378" s="2069"/>
      <c r="I378"/>
      <c r="J378"/>
      <c r="K378"/>
    </row>
    <row r="379" spans="2:11" x14ac:dyDescent="0.2">
      <c r="B379" s="2069"/>
      <c r="C379" s="2069"/>
      <c r="D379" s="2069"/>
      <c r="E379" s="2069"/>
      <c r="F379" s="2069"/>
      <c r="G379" s="2069"/>
      <c r="H379" s="2069"/>
      <c r="I379"/>
      <c r="J379"/>
      <c r="K379"/>
    </row>
    <row r="380" spans="2:11" x14ac:dyDescent="0.2">
      <c r="B380" s="2069"/>
      <c r="C380" s="2069"/>
      <c r="D380" s="2069"/>
      <c r="E380" s="2069"/>
      <c r="F380" s="2069"/>
      <c r="G380" s="2069"/>
      <c r="H380" s="2069"/>
      <c r="I380"/>
      <c r="J380"/>
      <c r="K380"/>
    </row>
    <row r="381" spans="2:11" x14ac:dyDescent="0.2">
      <c r="B381" s="2069"/>
      <c r="C381" s="2069"/>
      <c r="D381" s="2069"/>
      <c r="E381" s="2069"/>
      <c r="F381" s="2069"/>
      <c r="G381" s="2069"/>
      <c r="H381" s="2069"/>
      <c r="I381"/>
      <c r="J381"/>
      <c r="K381"/>
    </row>
    <row r="382" spans="2:11" x14ac:dyDescent="0.2">
      <c r="B382" s="2069"/>
      <c r="C382" s="2069"/>
      <c r="D382" s="2069"/>
      <c r="E382" s="2069"/>
      <c r="F382" s="2069"/>
      <c r="G382" s="2069"/>
      <c r="H382" s="2069"/>
      <c r="I382"/>
      <c r="J382"/>
      <c r="K382"/>
    </row>
    <row r="383" spans="2:11" x14ac:dyDescent="0.2">
      <c r="B383" s="2069"/>
      <c r="C383" s="2069"/>
      <c r="D383" s="2069"/>
      <c r="E383" s="2069"/>
      <c r="F383" s="2069"/>
      <c r="G383" s="2069"/>
      <c r="H383" s="2069"/>
      <c r="I383"/>
      <c r="J383"/>
      <c r="K383"/>
    </row>
    <row r="384" spans="2:11" x14ac:dyDescent="0.2">
      <c r="B384" s="2069"/>
      <c r="C384" s="2069"/>
      <c r="D384" s="2069"/>
      <c r="E384" s="2069"/>
      <c r="F384" s="2069"/>
      <c r="G384" s="2069"/>
      <c r="H384" s="2069"/>
      <c r="I384"/>
      <c r="J384"/>
      <c r="K384"/>
    </row>
    <row r="385" spans="2:11" x14ac:dyDescent="0.2">
      <c r="B385" s="2069"/>
      <c r="C385" s="2069"/>
      <c r="D385" s="2069"/>
      <c r="E385" s="2069"/>
      <c r="F385" s="2069"/>
      <c r="G385" s="2069"/>
      <c r="H385" s="2069"/>
      <c r="I385"/>
      <c r="J385"/>
      <c r="K385"/>
    </row>
    <row r="386" spans="2:11" x14ac:dyDescent="0.2">
      <c r="B386" s="2069"/>
      <c r="C386" s="2069"/>
      <c r="D386" s="2069"/>
      <c r="E386" s="2069"/>
      <c r="F386" s="2069"/>
      <c r="G386" s="2069"/>
      <c r="H386" s="2069"/>
      <c r="I386"/>
      <c r="J386"/>
      <c r="K386"/>
    </row>
    <row r="387" spans="2:11" x14ac:dyDescent="0.2">
      <c r="B387" s="2069"/>
      <c r="C387" s="2069"/>
      <c r="D387" s="2069"/>
      <c r="E387" s="2069"/>
      <c r="F387" s="2069"/>
      <c r="G387" s="2069"/>
      <c r="H387" s="2069"/>
      <c r="I387"/>
      <c r="J387"/>
      <c r="K387"/>
    </row>
    <row r="388" spans="2:11" x14ac:dyDescent="0.2">
      <c r="B388" s="2069"/>
      <c r="C388" s="2069"/>
      <c r="D388" s="2069"/>
      <c r="E388" s="2069"/>
      <c r="F388" s="2069"/>
      <c r="G388" s="2069"/>
      <c r="H388" s="2069"/>
      <c r="I388"/>
      <c r="J388"/>
      <c r="K388"/>
    </row>
    <row r="389" spans="2:11" x14ac:dyDescent="0.2">
      <c r="B389" s="2069"/>
      <c r="C389" s="2069"/>
      <c r="D389" s="2069"/>
      <c r="E389" s="2069"/>
      <c r="F389" s="2069"/>
      <c r="G389" s="2069"/>
      <c r="H389" s="2069"/>
      <c r="I389"/>
      <c r="J389"/>
      <c r="K389"/>
    </row>
    <row r="390" spans="2:11" x14ac:dyDescent="0.2">
      <c r="B390" s="2069"/>
      <c r="C390" s="2069"/>
      <c r="D390" s="2069"/>
      <c r="E390" s="2069"/>
      <c r="F390" s="2069"/>
      <c r="G390" s="2069"/>
      <c r="H390" s="2069"/>
      <c r="I390"/>
      <c r="J390"/>
      <c r="K390"/>
    </row>
    <row r="391" spans="2:11" x14ac:dyDescent="0.2">
      <c r="B391" s="2069"/>
      <c r="C391" s="2069"/>
      <c r="D391" s="2069"/>
      <c r="E391" s="2069"/>
      <c r="F391" s="2069"/>
      <c r="G391" s="2069"/>
      <c r="H391" s="2069"/>
      <c r="I391"/>
      <c r="J391"/>
      <c r="K391"/>
    </row>
    <row r="392" spans="2:11" x14ac:dyDescent="0.2">
      <c r="B392" s="2069"/>
      <c r="C392" s="2069"/>
      <c r="D392" s="2069"/>
      <c r="E392" s="2069"/>
      <c r="F392" s="2069"/>
      <c r="G392" s="2069"/>
      <c r="H392" s="2069"/>
      <c r="I392"/>
      <c r="J392"/>
      <c r="K392"/>
    </row>
    <row r="393" spans="2:11" x14ac:dyDescent="0.2">
      <c r="B393" s="2069"/>
      <c r="C393" s="2069"/>
      <c r="D393" s="2069"/>
      <c r="E393" s="2069"/>
      <c r="F393" s="2069"/>
      <c r="G393" s="2069"/>
      <c r="H393" s="2069"/>
      <c r="I393"/>
      <c r="J393"/>
      <c r="K393"/>
    </row>
    <row r="394" spans="2:11" x14ac:dyDescent="0.2">
      <c r="B394" s="2069"/>
      <c r="C394" s="2069"/>
      <c r="D394" s="2069"/>
      <c r="E394" s="2069"/>
      <c r="F394" s="2069"/>
      <c r="G394" s="2069"/>
      <c r="H394" s="2069"/>
      <c r="I394"/>
      <c r="J394"/>
      <c r="K394"/>
    </row>
    <row r="395" spans="2:11" x14ac:dyDescent="0.2">
      <c r="B395" s="2069"/>
      <c r="C395" s="2069"/>
      <c r="D395" s="2069"/>
      <c r="E395" s="2069"/>
      <c r="F395" s="2069"/>
      <c r="G395" s="2069"/>
      <c r="H395" s="2069"/>
      <c r="I395"/>
      <c r="J395"/>
      <c r="K395"/>
    </row>
    <row r="396" spans="2:11" x14ac:dyDescent="0.2">
      <c r="B396" s="2069"/>
      <c r="C396" s="2069"/>
      <c r="D396" s="2069"/>
      <c r="E396" s="2069"/>
      <c r="F396" s="2069"/>
      <c r="G396" s="2069"/>
      <c r="H396" s="2069"/>
      <c r="I396"/>
      <c r="J396"/>
      <c r="K396"/>
    </row>
    <row r="397" spans="2:11" x14ac:dyDescent="0.2">
      <c r="B397" s="2069"/>
      <c r="C397" s="2069"/>
      <c r="D397" s="2069"/>
      <c r="E397" s="2069"/>
      <c r="F397" s="2069"/>
      <c r="G397" s="2069"/>
      <c r="H397" s="2069"/>
      <c r="I397"/>
      <c r="J397"/>
      <c r="K397"/>
    </row>
    <row r="398" spans="2:11" x14ac:dyDescent="0.2">
      <c r="B398" s="2069"/>
      <c r="C398" s="2069"/>
      <c r="D398" s="2069"/>
      <c r="E398" s="2069"/>
      <c r="F398" s="2069"/>
      <c r="G398" s="2069"/>
      <c r="H398" s="2069"/>
      <c r="I398"/>
      <c r="J398"/>
      <c r="K398"/>
    </row>
    <row r="399" spans="2:11" x14ac:dyDescent="0.2">
      <c r="B399" s="2069"/>
      <c r="C399" s="2069"/>
      <c r="D399" s="2069"/>
      <c r="E399" s="2069"/>
      <c r="F399" s="2069"/>
      <c r="G399" s="2069"/>
      <c r="H399" s="2069"/>
      <c r="I399"/>
      <c r="J399"/>
      <c r="K399"/>
    </row>
    <row r="400" spans="2:11" x14ac:dyDescent="0.2">
      <c r="B400" s="2069"/>
      <c r="C400" s="2069"/>
      <c r="D400" s="2069"/>
      <c r="E400" s="2069"/>
      <c r="F400" s="2069"/>
      <c r="G400" s="2069"/>
      <c r="H400" s="2069"/>
      <c r="I400"/>
      <c r="J400"/>
      <c r="K400"/>
    </row>
    <row r="401" spans="2:11" x14ac:dyDescent="0.2">
      <c r="B401" s="2069"/>
      <c r="C401" s="2069"/>
      <c r="D401" s="2069"/>
      <c r="E401" s="2069"/>
      <c r="F401" s="2069"/>
      <c r="G401" s="2069"/>
      <c r="H401" s="2069"/>
      <c r="I401"/>
      <c r="J401"/>
      <c r="K401"/>
    </row>
    <row r="402" spans="2:11" x14ac:dyDescent="0.2">
      <c r="B402" s="2069"/>
      <c r="C402" s="2069"/>
      <c r="D402" s="2069"/>
      <c r="E402" s="2069"/>
      <c r="F402" s="2069"/>
      <c r="G402" s="2069"/>
      <c r="H402" s="2069"/>
      <c r="I402"/>
      <c r="J402"/>
      <c r="K402"/>
    </row>
    <row r="403" spans="2:11" x14ac:dyDescent="0.2">
      <c r="B403" s="2069"/>
      <c r="C403" s="2069"/>
      <c r="D403" s="2069"/>
      <c r="E403" s="2069"/>
      <c r="F403" s="2069"/>
      <c r="G403" s="2069"/>
      <c r="H403" s="2069"/>
      <c r="I403"/>
      <c r="J403"/>
      <c r="K403"/>
    </row>
    <row r="404" spans="2:11" x14ac:dyDescent="0.2">
      <c r="B404" s="2069"/>
      <c r="C404" s="2069"/>
      <c r="D404" s="2069"/>
      <c r="E404" s="2069"/>
      <c r="F404" s="2069"/>
      <c r="G404" s="2069"/>
      <c r="H404" s="2069"/>
      <c r="I404"/>
      <c r="J404"/>
      <c r="K404"/>
    </row>
    <row r="405" spans="2:11" x14ac:dyDescent="0.2">
      <c r="B405" s="2069"/>
      <c r="C405" s="2069"/>
      <c r="D405" s="2069"/>
      <c r="E405" s="2069"/>
      <c r="F405" s="2069"/>
      <c r="G405" s="2069"/>
      <c r="H405" s="2069"/>
      <c r="I405"/>
      <c r="J405"/>
      <c r="K405"/>
    </row>
    <row r="406" spans="2:11" x14ac:dyDescent="0.2">
      <c r="B406" s="2069"/>
      <c r="C406" s="2069"/>
      <c r="D406" s="2069"/>
      <c r="E406" s="2069"/>
      <c r="F406" s="2069"/>
      <c r="G406" s="2069"/>
      <c r="H406" s="2069"/>
      <c r="I406"/>
      <c r="J406"/>
      <c r="K406"/>
    </row>
    <row r="407" spans="2:11" x14ac:dyDescent="0.2">
      <c r="B407" s="2069"/>
      <c r="C407" s="2069"/>
      <c r="D407" s="2069"/>
      <c r="E407" s="2069"/>
      <c r="F407" s="2069"/>
      <c r="G407" s="2069"/>
      <c r="H407" s="2069"/>
      <c r="I407"/>
      <c r="J407"/>
      <c r="K407"/>
    </row>
    <row r="408" spans="2:11" x14ac:dyDescent="0.2">
      <c r="B408" s="2069"/>
      <c r="C408" s="2069"/>
      <c r="D408" s="2069"/>
      <c r="E408" s="2069"/>
      <c r="F408" s="2069"/>
      <c r="G408" s="2069"/>
      <c r="H408" s="2069"/>
      <c r="I408"/>
      <c r="J408"/>
      <c r="K408"/>
    </row>
    <row r="409" spans="2:11" x14ac:dyDescent="0.2">
      <c r="B409" s="2069"/>
      <c r="C409" s="2069"/>
      <c r="D409" s="2069"/>
      <c r="E409" s="2069"/>
      <c r="F409" s="2069"/>
      <c r="G409" s="2069"/>
      <c r="H409" s="2069"/>
      <c r="I409"/>
      <c r="J409"/>
      <c r="K409"/>
    </row>
    <row r="410" spans="2:11" x14ac:dyDescent="0.2">
      <c r="B410" s="2069"/>
      <c r="C410" s="2069"/>
      <c r="D410" s="2069"/>
      <c r="E410" s="2069"/>
      <c r="F410" s="2069"/>
      <c r="G410" s="2069"/>
      <c r="H410" s="2069"/>
      <c r="I410"/>
      <c r="J410"/>
      <c r="K410"/>
    </row>
    <row r="411" spans="2:11" x14ac:dyDescent="0.2">
      <c r="B411" s="2069"/>
      <c r="C411" s="2069"/>
      <c r="D411" s="2069"/>
      <c r="E411" s="2069"/>
      <c r="F411" s="2069"/>
      <c r="G411" s="2069"/>
      <c r="H411" s="2069"/>
      <c r="I411"/>
      <c r="J411"/>
      <c r="K411"/>
    </row>
    <row r="412" spans="2:11" x14ac:dyDescent="0.2">
      <c r="B412" s="2069"/>
      <c r="C412" s="2069"/>
      <c r="D412" s="2069"/>
      <c r="E412" s="2069"/>
      <c r="F412" s="2069"/>
      <c r="G412" s="2069"/>
      <c r="H412" s="2069"/>
      <c r="I412"/>
      <c r="J412"/>
      <c r="K412"/>
    </row>
    <row r="413" spans="2:11" x14ac:dyDescent="0.2">
      <c r="B413" s="2069"/>
      <c r="C413" s="2069"/>
      <c r="D413" s="2069"/>
      <c r="E413" s="2069"/>
      <c r="F413" s="2069"/>
      <c r="G413" s="2069"/>
      <c r="H413" s="2069"/>
      <c r="I413"/>
      <c r="J413"/>
      <c r="K413"/>
    </row>
    <row r="414" spans="2:11" x14ac:dyDescent="0.2">
      <c r="B414" s="2069"/>
      <c r="C414" s="2069"/>
      <c r="D414" s="2069"/>
      <c r="E414" s="2069"/>
      <c r="F414" s="2069"/>
      <c r="G414" s="2069"/>
      <c r="H414" s="2069"/>
      <c r="I414"/>
      <c r="J414"/>
      <c r="K414"/>
    </row>
    <row r="415" spans="2:11" x14ac:dyDescent="0.2">
      <c r="B415" s="2069"/>
      <c r="C415" s="2069"/>
      <c r="D415" s="2069"/>
      <c r="E415" s="2069"/>
      <c r="F415" s="2069"/>
      <c r="G415" s="2069"/>
      <c r="H415" s="2069"/>
      <c r="I415"/>
      <c r="J415"/>
      <c r="K415"/>
    </row>
    <row r="416" spans="2:11" x14ac:dyDescent="0.2">
      <c r="B416" s="2069"/>
      <c r="C416" s="2069"/>
      <c r="D416" s="2069"/>
      <c r="E416" s="2069"/>
      <c r="F416" s="2069"/>
      <c r="G416" s="2069"/>
      <c r="H416" s="2069"/>
      <c r="I416"/>
      <c r="J416"/>
      <c r="K416"/>
    </row>
    <row r="417" spans="2:11" x14ac:dyDescent="0.2">
      <c r="B417" s="2069"/>
      <c r="C417" s="2069"/>
      <c r="D417" s="2069"/>
      <c r="E417" s="2069"/>
      <c r="F417" s="2069"/>
      <c r="G417" s="2069"/>
      <c r="H417" s="2069"/>
      <c r="I417"/>
      <c r="J417"/>
      <c r="K417"/>
    </row>
    <row r="418" spans="2:11" x14ac:dyDescent="0.2">
      <c r="B418" s="2069"/>
      <c r="C418" s="2069"/>
      <c r="D418" s="2069"/>
      <c r="E418" s="2069"/>
      <c r="F418" s="2069"/>
      <c r="G418" s="2069"/>
      <c r="H418" s="2069"/>
      <c r="I418"/>
      <c r="J418"/>
      <c r="K418"/>
    </row>
    <row r="419" spans="2:11" x14ac:dyDescent="0.2">
      <c r="B419" s="2069"/>
      <c r="C419" s="2069"/>
      <c r="D419" s="2069"/>
      <c r="E419" s="2069"/>
      <c r="F419" s="2069"/>
      <c r="G419" s="2069"/>
      <c r="H419" s="2069"/>
      <c r="I419"/>
      <c r="J419"/>
      <c r="K419"/>
    </row>
    <row r="420" spans="2:11" x14ac:dyDescent="0.2">
      <c r="B420" s="2069"/>
      <c r="C420" s="2069"/>
      <c r="D420" s="2069"/>
      <c r="E420" s="2069"/>
      <c r="F420" s="2069"/>
      <c r="G420" s="2069"/>
      <c r="H420" s="2069"/>
      <c r="I420"/>
      <c r="J420"/>
      <c r="K420"/>
    </row>
    <row r="421" spans="2:11" x14ac:dyDescent="0.2">
      <c r="B421" s="2069"/>
      <c r="C421" s="2069"/>
      <c r="D421" s="2069"/>
      <c r="E421" s="2069"/>
      <c r="F421" s="2069"/>
      <c r="G421" s="2069"/>
      <c r="H421" s="2069"/>
      <c r="I421"/>
      <c r="J421"/>
      <c r="K421"/>
    </row>
    <row r="422" spans="2:11" x14ac:dyDescent="0.2">
      <c r="B422" s="2069"/>
      <c r="C422" s="2069"/>
      <c r="D422" s="2069"/>
      <c r="E422" s="2069"/>
      <c r="F422" s="2069"/>
      <c r="G422" s="2069"/>
      <c r="H422" s="2069"/>
      <c r="I422"/>
      <c r="J422"/>
      <c r="K422"/>
    </row>
    <row r="423" spans="2:11" x14ac:dyDescent="0.2">
      <c r="B423" s="2069"/>
      <c r="C423" s="2069"/>
      <c r="D423" s="2069"/>
      <c r="E423" s="2069"/>
      <c r="F423" s="2069"/>
      <c r="G423" s="2069"/>
      <c r="H423" s="2069"/>
      <c r="I423"/>
      <c r="J423"/>
      <c r="K423"/>
    </row>
    <row r="424" spans="2:11" x14ac:dyDescent="0.2">
      <c r="B424" s="2069"/>
      <c r="C424" s="2069"/>
      <c r="D424" s="2069"/>
      <c r="E424" s="2069"/>
      <c r="F424" s="2069"/>
      <c r="G424" s="2069"/>
      <c r="H424" s="2069"/>
      <c r="I424"/>
      <c r="J424"/>
      <c r="K424"/>
    </row>
    <row r="425" spans="2:11" x14ac:dyDescent="0.2">
      <c r="B425" s="2069"/>
      <c r="C425" s="2069"/>
      <c r="D425" s="2069"/>
      <c r="E425" s="2069"/>
      <c r="F425" s="2069"/>
      <c r="G425" s="2069"/>
      <c r="H425" s="2069"/>
      <c r="I425"/>
      <c r="J425"/>
      <c r="K425"/>
    </row>
    <row r="426" spans="2:11" x14ac:dyDescent="0.2">
      <c r="B426" s="2069"/>
      <c r="C426" s="2069"/>
      <c r="D426" s="2069"/>
      <c r="E426" s="2069"/>
      <c r="F426" s="2069"/>
      <c r="G426" s="2069"/>
      <c r="H426" s="2069"/>
      <c r="I426"/>
      <c r="J426"/>
      <c r="K426"/>
    </row>
    <row r="427" spans="2:11" x14ac:dyDescent="0.2">
      <c r="B427" s="2069"/>
      <c r="C427" s="2069"/>
      <c r="D427" s="2069"/>
      <c r="E427" s="2069"/>
      <c r="F427" s="2069"/>
      <c r="G427" s="2069"/>
      <c r="H427" s="2069"/>
      <c r="I427"/>
      <c r="J427"/>
      <c r="K427"/>
    </row>
    <row r="428" spans="2:11" x14ac:dyDescent="0.2">
      <c r="B428" s="2069"/>
      <c r="C428" s="2069"/>
      <c r="D428" s="2069"/>
      <c r="E428" s="2069"/>
      <c r="F428" s="2069"/>
      <c r="G428" s="2069"/>
      <c r="H428" s="2069"/>
      <c r="I428"/>
      <c r="J428"/>
      <c r="K428"/>
    </row>
    <row r="429" spans="2:11" x14ac:dyDescent="0.2">
      <c r="B429" s="2069"/>
      <c r="C429" s="2069"/>
      <c r="D429" s="2069"/>
      <c r="E429" s="2069"/>
      <c r="F429" s="2069"/>
      <c r="G429" s="2069"/>
      <c r="H429" s="2069"/>
      <c r="I429"/>
      <c r="J429"/>
      <c r="K429"/>
    </row>
    <row r="430" spans="2:11" x14ac:dyDescent="0.2">
      <c r="B430" s="2069"/>
      <c r="C430" s="2069"/>
      <c r="D430" s="2069"/>
      <c r="E430" s="2069"/>
      <c r="F430" s="2069"/>
      <c r="G430" s="2069"/>
      <c r="H430" s="2069"/>
      <c r="I430"/>
      <c r="J430"/>
      <c r="K430"/>
    </row>
    <row r="431" spans="2:11" x14ac:dyDescent="0.2">
      <c r="B431" s="2069"/>
      <c r="C431" s="2069"/>
      <c r="D431" s="2069"/>
      <c r="E431" s="2069"/>
      <c r="F431" s="2069"/>
      <c r="G431" s="2069"/>
      <c r="H431" s="2069"/>
      <c r="I431"/>
      <c r="J431"/>
      <c r="K431"/>
    </row>
    <row r="432" spans="2:11" x14ac:dyDescent="0.2">
      <c r="B432" s="2069"/>
      <c r="C432" s="2069"/>
      <c r="D432" s="2069"/>
      <c r="E432" s="2069"/>
      <c r="F432" s="2069"/>
      <c r="G432" s="2069"/>
      <c r="H432" s="2069"/>
      <c r="I432"/>
      <c r="J432"/>
      <c r="K432"/>
    </row>
    <row r="433" spans="2:11" x14ac:dyDescent="0.2">
      <c r="B433" s="2069"/>
      <c r="C433" s="2069"/>
      <c r="D433" s="2069"/>
      <c r="E433" s="2069"/>
      <c r="F433" s="2069"/>
      <c r="G433" s="2069"/>
      <c r="H433" s="2069"/>
      <c r="I433"/>
      <c r="J433"/>
      <c r="K433"/>
    </row>
    <row r="434" spans="2:11" x14ac:dyDescent="0.2">
      <c r="B434" s="2069"/>
      <c r="C434" s="2069"/>
      <c r="D434" s="2069"/>
      <c r="E434" s="2069"/>
      <c r="F434" s="2069"/>
      <c r="G434" s="2069"/>
      <c r="H434" s="2069"/>
      <c r="I434"/>
      <c r="J434"/>
      <c r="K434"/>
    </row>
    <row r="435" spans="2:11" x14ac:dyDescent="0.2">
      <c r="B435" s="2069"/>
      <c r="C435" s="2069"/>
      <c r="D435" s="2069"/>
      <c r="E435" s="2069"/>
      <c r="F435" s="2069"/>
      <c r="G435" s="2069"/>
      <c r="H435" s="2069"/>
      <c r="I435"/>
      <c r="J435"/>
      <c r="K435"/>
    </row>
    <row r="436" spans="2:11" x14ac:dyDescent="0.2">
      <c r="B436" s="2069"/>
      <c r="C436" s="2069"/>
      <c r="D436" s="2069"/>
      <c r="E436" s="2069"/>
      <c r="F436" s="2069"/>
      <c r="G436" s="2069"/>
      <c r="H436" s="2069"/>
      <c r="I436"/>
      <c r="J436"/>
      <c r="K436"/>
    </row>
    <row r="437" spans="2:11" x14ac:dyDescent="0.2">
      <c r="B437" s="2069"/>
      <c r="C437" s="2069"/>
      <c r="D437" s="2069"/>
      <c r="E437" s="2069"/>
      <c r="F437" s="2069"/>
      <c r="G437" s="2069"/>
      <c r="H437" s="2069"/>
      <c r="I437"/>
      <c r="J437"/>
      <c r="K437"/>
    </row>
    <row r="438" spans="2:11" x14ac:dyDescent="0.2">
      <c r="B438" s="2069"/>
      <c r="C438" s="2069"/>
      <c r="D438" s="2069"/>
      <c r="E438" s="2069"/>
      <c r="F438" s="2069"/>
      <c r="G438" s="2069"/>
      <c r="H438" s="2069"/>
      <c r="I438"/>
      <c r="J438"/>
      <c r="K438"/>
    </row>
    <row r="439" spans="2:11" x14ac:dyDescent="0.2">
      <c r="B439" s="2069"/>
      <c r="C439" s="2069"/>
      <c r="D439" s="2069"/>
      <c r="E439" s="2069"/>
      <c r="F439" s="2069"/>
      <c r="G439" s="2069"/>
      <c r="H439" s="2069"/>
      <c r="I439"/>
      <c r="J439"/>
      <c r="K439"/>
    </row>
    <row r="440" spans="2:11" x14ac:dyDescent="0.2">
      <c r="B440" s="2069"/>
      <c r="C440" s="2069"/>
      <c r="D440" s="2069"/>
      <c r="E440" s="2069"/>
      <c r="F440" s="2069"/>
      <c r="G440" s="2069"/>
      <c r="H440" s="2069"/>
      <c r="I440"/>
      <c r="J440"/>
      <c r="K440"/>
    </row>
    <row r="441" spans="2:11" x14ac:dyDescent="0.2">
      <c r="B441" s="2069"/>
      <c r="C441" s="2069"/>
      <c r="D441" s="2069"/>
      <c r="E441" s="2069"/>
      <c r="F441" s="2069"/>
      <c r="G441" s="2069"/>
      <c r="H441" s="2069"/>
      <c r="I441"/>
      <c r="J441"/>
      <c r="K441"/>
    </row>
    <row r="442" spans="2:11" x14ac:dyDescent="0.2">
      <c r="B442" s="2069"/>
      <c r="C442" s="2069"/>
      <c r="D442" s="2069"/>
      <c r="E442" s="2069"/>
      <c r="F442" s="2069"/>
      <c r="G442" s="2069"/>
      <c r="H442" s="2069"/>
      <c r="I442"/>
      <c r="J442"/>
      <c r="K442"/>
    </row>
    <row r="443" spans="2:11" x14ac:dyDescent="0.2">
      <c r="B443" s="2069"/>
      <c r="C443" s="2069"/>
      <c r="D443" s="2069"/>
      <c r="E443" s="2069"/>
      <c r="F443" s="2069"/>
      <c r="G443" s="2069"/>
      <c r="H443" s="2069"/>
      <c r="I443"/>
      <c r="J443"/>
      <c r="K443"/>
    </row>
    <row r="444" spans="2:11" x14ac:dyDescent="0.2">
      <c r="B444" s="2069"/>
      <c r="C444" s="2069"/>
      <c r="D444" s="2069"/>
      <c r="E444" s="2069"/>
      <c r="F444" s="2069"/>
      <c r="G444" s="2069"/>
      <c r="H444" s="2069"/>
      <c r="I444"/>
      <c r="J444"/>
      <c r="K444"/>
    </row>
    <row r="445" spans="2:11" x14ac:dyDescent="0.2">
      <c r="B445" s="2069"/>
      <c r="C445" s="2069"/>
      <c r="D445" s="2069"/>
      <c r="E445" s="2069"/>
      <c r="F445" s="2069"/>
      <c r="G445" s="2069"/>
      <c r="H445" s="2069"/>
      <c r="I445"/>
      <c r="J445"/>
      <c r="K445"/>
    </row>
    <row r="446" spans="2:11" x14ac:dyDescent="0.2">
      <c r="B446" s="2069"/>
      <c r="C446" s="2069"/>
      <c r="D446" s="2069"/>
      <c r="E446" s="2069"/>
      <c r="F446" s="2069"/>
      <c r="G446" s="2069"/>
      <c r="H446" s="2069"/>
      <c r="I446"/>
      <c r="J446"/>
      <c r="K446"/>
    </row>
    <row r="447" spans="2:11" x14ac:dyDescent="0.2">
      <c r="B447" s="2069"/>
      <c r="C447" s="2069"/>
      <c r="D447" s="2069"/>
      <c r="E447" s="2069"/>
      <c r="F447" s="2069"/>
      <c r="G447" s="2069"/>
      <c r="H447" s="2069"/>
      <c r="I447"/>
      <c r="J447"/>
      <c r="K447"/>
    </row>
    <row r="448" spans="2:11" x14ac:dyDescent="0.2">
      <c r="B448" s="2069"/>
      <c r="C448" s="2069"/>
      <c r="D448" s="2069"/>
      <c r="E448" s="2069"/>
      <c r="F448" s="2069"/>
      <c r="G448" s="2069"/>
      <c r="H448" s="2069"/>
      <c r="I448"/>
      <c r="J448"/>
      <c r="K448"/>
    </row>
    <row r="449" spans="2:11" x14ac:dyDescent="0.2">
      <c r="B449" s="2069"/>
      <c r="C449" s="2069"/>
      <c r="D449" s="2069"/>
      <c r="E449" s="2069"/>
      <c r="F449" s="2069"/>
      <c r="G449" s="2069"/>
      <c r="H449" s="2069"/>
      <c r="I449"/>
      <c r="J449"/>
      <c r="K449"/>
    </row>
    <row r="450" spans="2:11" x14ac:dyDescent="0.2">
      <c r="B450" s="2069"/>
      <c r="C450" s="2069"/>
      <c r="D450" s="2069"/>
      <c r="E450" s="2069"/>
      <c r="F450" s="2069"/>
      <c r="G450" s="2069"/>
      <c r="H450" s="2069"/>
      <c r="I450"/>
      <c r="J450"/>
      <c r="K450"/>
    </row>
    <row r="451" spans="2:11" x14ac:dyDescent="0.2">
      <c r="B451" s="2069"/>
      <c r="C451" s="2069"/>
      <c r="D451" s="2069"/>
      <c r="E451" s="2069"/>
      <c r="F451" s="2069"/>
      <c r="G451" s="2069"/>
      <c r="H451" s="2069"/>
      <c r="I451"/>
      <c r="J451"/>
      <c r="K451"/>
    </row>
    <row r="452" spans="2:11" x14ac:dyDescent="0.2">
      <c r="B452" s="2069"/>
      <c r="C452" s="2069"/>
      <c r="D452" s="2069"/>
      <c r="E452" s="2069"/>
      <c r="F452" s="2069"/>
      <c r="G452" s="2069"/>
      <c r="H452" s="2069"/>
      <c r="I452"/>
      <c r="J452"/>
      <c r="K452"/>
    </row>
    <row r="453" spans="2:11" x14ac:dyDescent="0.2">
      <c r="B453" s="2069"/>
      <c r="C453" s="2069"/>
      <c r="D453" s="2069"/>
      <c r="E453" s="2069"/>
      <c r="F453" s="2069"/>
      <c r="G453" s="2069"/>
      <c r="H453" s="2069"/>
      <c r="I453"/>
      <c r="J453"/>
      <c r="K453"/>
    </row>
    <row r="454" spans="2:11" x14ac:dyDescent="0.2">
      <c r="B454" s="2069"/>
      <c r="C454" s="2069"/>
      <c r="D454" s="2069"/>
      <c r="E454" s="2069"/>
      <c r="F454" s="2069"/>
      <c r="G454" s="2069"/>
      <c r="H454" s="2069"/>
      <c r="I454"/>
      <c r="J454"/>
      <c r="K454"/>
    </row>
    <row r="455" spans="2:11" x14ac:dyDescent="0.2">
      <c r="B455" s="2069"/>
      <c r="C455" s="2069"/>
      <c r="D455" s="2069"/>
      <c r="E455" s="2069"/>
      <c r="F455" s="2069"/>
      <c r="G455" s="2069"/>
      <c r="H455" s="2069"/>
      <c r="I455"/>
      <c r="J455"/>
      <c r="K455"/>
    </row>
    <row r="456" spans="2:11" x14ac:dyDescent="0.2">
      <c r="B456" s="2069"/>
      <c r="C456" s="2069"/>
      <c r="D456" s="2069"/>
      <c r="E456" s="2069"/>
      <c r="F456" s="2069"/>
      <c r="G456" s="2069"/>
      <c r="H456" s="2069"/>
      <c r="I456"/>
      <c r="J456"/>
      <c r="K456"/>
    </row>
    <row r="457" spans="2:11" x14ac:dyDescent="0.2">
      <c r="B457" s="2069"/>
      <c r="C457" s="2069"/>
      <c r="D457" s="2069"/>
      <c r="E457" s="2069"/>
      <c r="F457" s="2069"/>
      <c r="G457" s="2069"/>
      <c r="H457" s="2069"/>
      <c r="I457"/>
      <c r="J457"/>
      <c r="K457"/>
    </row>
    <row r="458" spans="2:11" x14ac:dyDescent="0.2">
      <c r="B458" s="2069"/>
      <c r="C458" s="2069"/>
      <c r="D458" s="2069"/>
      <c r="E458" s="2069"/>
      <c r="F458" s="2069"/>
      <c r="G458" s="2069"/>
      <c r="H458" s="2069"/>
      <c r="I458"/>
      <c r="J458"/>
      <c r="K458"/>
    </row>
    <row r="459" spans="2:11" x14ac:dyDescent="0.2">
      <c r="B459" s="2069"/>
      <c r="C459" s="2069"/>
      <c r="D459" s="2069"/>
      <c r="E459" s="2069"/>
      <c r="F459" s="2069"/>
      <c r="G459" s="2069"/>
      <c r="H459" s="2069"/>
      <c r="I459"/>
      <c r="J459"/>
      <c r="K459"/>
    </row>
    <row r="460" spans="2:11" x14ac:dyDescent="0.2">
      <c r="B460" s="2069"/>
      <c r="C460" s="2069"/>
      <c r="D460" s="2069"/>
      <c r="E460" s="2069"/>
      <c r="F460" s="2069"/>
      <c r="G460" s="2069"/>
      <c r="H460" s="2069"/>
      <c r="I460"/>
      <c r="J460"/>
      <c r="K460"/>
    </row>
    <row r="461" spans="2:11" x14ac:dyDescent="0.2">
      <c r="B461" s="2069"/>
      <c r="C461" s="2069"/>
      <c r="D461" s="2069"/>
      <c r="E461" s="2069"/>
      <c r="F461" s="2069"/>
      <c r="G461" s="2069"/>
      <c r="H461" s="2069"/>
      <c r="I461"/>
      <c r="J461"/>
      <c r="K461"/>
    </row>
    <row r="462" spans="2:11" x14ac:dyDescent="0.2">
      <c r="B462" s="2069"/>
      <c r="C462" s="2069"/>
      <c r="D462" s="2069"/>
      <c r="E462" s="2069"/>
      <c r="F462" s="2069"/>
      <c r="G462" s="2069"/>
      <c r="H462" s="2069"/>
      <c r="I462"/>
      <c r="J462"/>
      <c r="K462"/>
    </row>
    <row r="463" spans="2:11" x14ac:dyDescent="0.2">
      <c r="B463" s="2069"/>
      <c r="C463" s="2069"/>
      <c r="D463" s="2069"/>
      <c r="E463" s="2069"/>
      <c r="F463" s="2069"/>
      <c r="G463" s="2069"/>
      <c r="H463" s="2069"/>
      <c r="I463"/>
      <c r="J463"/>
      <c r="K463"/>
    </row>
    <row r="464" spans="2:11" x14ac:dyDescent="0.2">
      <c r="B464" s="2069"/>
      <c r="C464" s="2069"/>
      <c r="D464" s="2069"/>
      <c r="E464" s="2069"/>
      <c r="F464" s="2069"/>
      <c r="G464" s="2069"/>
      <c r="H464" s="2069"/>
      <c r="I464"/>
      <c r="J464"/>
      <c r="K464"/>
    </row>
    <row r="465" spans="2:11" x14ac:dyDescent="0.2">
      <c r="B465" s="2069"/>
      <c r="C465" s="2069"/>
      <c r="D465" s="2069"/>
      <c r="E465" s="2069"/>
      <c r="F465" s="2069"/>
      <c r="G465" s="2069"/>
      <c r="H465" s="2069"/>
      <c r="I465"/>
      <c r="J465"/>
      <c r="K465"/>
    </row>
    <row r="466" spans="2:11" x14ac:dyDescent="0.2">
      <c r="B466" s="2069"/>
      <c r="C466" s="2069"/>
      <c r="D466" s="2069"/>
      <c r="E466" s="2069"/>
      <c r="F466" s="2069"/>
      <c r="G466" s="2069"/>
      <c r="H466" s="2069"/>
      <c r="I466"/>
      <c r="J466"/>
      <c r="K466"/>
    </row>
    <row r="467" spans="2:11" x14ac:dyDescent="0.2">
      <c r="B467" s="2069"/>
      <c r="C467" s="2069"/>
      <c r="D467" s="2069"/>
      <c r="E467" s="2069"/>
      <c r="F467" s="2069"/>
      <c r="G467" s="2069"/>
      <c r="H467" s="2069"/>
      <c r="I467"/>
      <c r="J467"/>
      <c r="K467"/>
    </row>
    <row r="468" spans="2:11" x14ac:dyDescent="0.2">
      <c r="B468" s="2069"/>
      <c r="C468" s="2069"/>
      <c r="D468" s="2069"/>
      <c r="E468" s="2069"/>
      <c r="F468" s="2069"/>
      <c r="G468" s="2069"/>
      <c r="H468" s="2069"/>
      <c r="I468"/>
      <c r="J468"/>
      <c r="K468"/>
    </row>
    <row r="469" spans="2:11" x14ac:dyDescent="0.2">
      <c r="B469" s="2069"/>
      <c r="C469" s="2069"/>
      <c r="D469" s="2069"/>
      <c r="E469" s="2069"/>
      <c r="F469" s="2069"/>
      <c r="G469" s="2069"/>
      <c r="H469" s="2069"/>
      <c r="I469"/>
      <c r="J469"/>
      <c r="K469"/>
    </row>
    <row r="470" spans="2:11" x14ac:dyDescent="0.2">
      <c r="B470" s="2069"/>
      <c r="C470" s="2069"/>
      <c r="D470" s="2069"/>
      <c r="E470" s="2069"/>
      <c r="F470" s="2069"/>
      <c r="G470" s="2069"/>
      <c r="H470" s="2069"/>
      <c r="I470"/>
      <c r="J470"/>
      <c r="K470"/>
    </row>
    <row r="471" spans="2:11" x14ac:dyDescent="0.2">
      <c r="B471" s="2069"/>
      <c r="C471" s="2069"/>
      <c r="D471" s="2069"/>
      <c r="E471" s="2069"/>
      <c r="F471" s="2069"/>
      <c r="G471" s="2069"/>
      <c r="H471" s="2069"/>
      <c r="I471"/>
      <c r="J471"/>
      <c r="K471"/>
    </row>
    <row r="472" spans="2:11" x14ac:dyDescent="0.2">
      <c r="B472" s="2069"/>
      <c r="C472" s="2069"/>
      <c r="D472" s="2069"/>
      <c r="E472" s="2069"/>
      <c r="F472" s="2069"/>
      <c r="G472" s="2069"/>
      <c r="H472" s="2069"/>
      <c r="I472"/>
      <c r="J472"/>
      <c r="K472"/>
    </row>
    <row r="473" spans="2:11" x14ac:dyDescent="0.2">
      <c r="B473" s="2069"/>
      <c r="C473" s="2069"/>
      <c r="D473" s="2069"/>
      <c r="E473" s="2069"/>
      <c r="F473" s="2069"/>
      <c r="G473" s="2069"/>
      <c r="H473" s="2069"/>
      <c r="I473"/>
      <c r="J473"/>
      <c r="K473"/>
    </row>
    <row r="474" spans="2:11" x14ac:dyDescent="0.2">
      <c r="B474" s="2069"/>
      <c r="C474" s="2069"/>
      <c r="D474" s="2069"/>
      <c r="E474" s="2069"/>
      <c r="F474" s="2069"/>
      <c r="G474" s="2069"/>
      <c r="H474" s="2069"/>
      <c r="I474"/>
      <c r="J474"/>
      <c r="K474"/>
    </row>
    <row r="475" spans="2:11" x14ac:dyDescent="0.2">
      <c r="B475" s="2069"/>
      <c r="C475" s="2069"/>
      <c r="D475" s="2069"/>
      <c r="E475" s="2069"/>
      <c r="F475" s="2069"/>
      <c r="G475" s="2069"/>
      <c r="H475" s="2069"/>
      <c r="I475"/>
      <c r="J475"/>
      <c r="K475"/>
    </row>
    <row r="476" spans="2:11" x14ac:dyDescent="0.2">
      <c r="B476" s="2069"/>
      <c r="C476" s="2069"/>
      <c r="D476" s="2069"/>
      <c r="E476" s="2069"/>
      <c r="F476" s="2069"/>
      <c r="G476" s="2069"/>
      <c r="H476" s="2069"/>
      <c r="I476"/>
      <c r="J476"/>
      <c r="K476"/>
    </row>
    <row r="477" spans="2:11" x14ac:dyDescent="0.2">
      <c r="B477" s="2069"/>
      <c r="C477" s="2069"/>
      <c r="D477" s="2069"/>
      <c r="E477" s="2069"/>
      <c r="F477" s="2069"/>
      <c r="G477" s="2069"/>
      <c r="H477" s="2069"/>
      <c r="I477"/>
      <c r="J477"/>
      <c r="K477"/>
    </row>
    <row r="478" spans="2:11" x14ac:dyDescent="0.2">
      <c r="B478" s="2069"/>
      <c r="C478" s="2069"/>
      <c r="D478" s="2069"/>
      <c r="E478" s="2069"/>
      <c r="F478" s="2069"/>
      <c r="G478" s="2069"/>
      <c r="H478" s="2069"/>
      <c r="I478"/>
      <c r="J478"/>
      <c r="K478"/>
    </row>
    <row r="479" spans="2:11" x14ac:dyDescent="0.2">
      <c r="B479" s="2069"/>
      <c r="C479" s="2069"/>
      <c r="D479" s="2069"/>
      <c r="E479" s="2069"/>
      <c r="F479" s="2069"/>
      <c r="G479" s="2069"/>
      <c r="H479" s="2069"/>
      <c r="I479"/>
      <c r="J479"/>
      <c r="K479"/>
    </row>
    <row r="480" spans="2:11" x14ac:dyDescent="0.2">
      <c r="B480" s="2069"/>
      <c r="C480" s="2069"/>
      <c r="D480" s="2069"/>
      <c r="E480" s="2069"/>
      <c r="F480" s="2069"/>
      <c r="G480" s="2069"/>
      <c r="H480" s="2069"/>
      <c r="I480"/>
      <c r="J480"/>
      <c r="K480"/>
    </row>
    <row r="481" spans="2:11" x14ac:dyDescent="0.2">
      <c r="B481" s="2069"/>
      <c r="C481" s="2069"/>
      <c r="D481" s="2069"/>
      <c r="E481" s="2069"/>
      <c r="F481" s="2069"/>
      <c r="G481" s="2069"/>
      <c r="H481" s="2069"/>
      <c r="I481"/>
      <c r="J481"/>
      <c r="K481"/>
    </row>
    <row r="482" spans="2:11" x14ac:dyDescent="0.2">
      <c r="B482" s="2069"/>
      <c r="C482" s="2069"/>
      <c r="D482" s="2069"/>
      <c r="E482" s="2069"/>
      <c r="F482" s="2069"/>
      <c r="G482" s="2069"/>
      <c r="H482" s="2069"/>
      <c r="I482"/>
      <c r="J482"/>
      <c r="K482"/>
    </row>
    <row r="483" spans="2:11" x14ac:dyDescent="0.2">
      <c r="B483" s="2069"/>
      <c r="C483" s="2069"/>
      <c r="D483" s="2069"/>
      <c r="E483" s="2069"/>
      <c r="F483" s="2069"/>
      <c r="G483" s="2069"/>
      <c r="H483" s="2069"/>
      <c r="I483"/>
      <c r="J483"/>
      <c r="K483"/>
    </row>
    <row r="484" spans="2:11" x14ac:dyDescent="0.2">
      <c r="B484" s="2069"/>
      <c r="C484" s="2069"/>
      <c r="D484" s="2069"/>
      <c r="E484" s="2069"/>
      <c r="F484" s="2069"/>
      <c r="G484" s="2069"/>
      <c r="H484" s="2069"/>
      <c r="I484"/>
      <c r="J484"/>
      <c r="K484"/>
    </row>
    <row r="485" spans="2:11" x14ac:dyDescent="0.2">
      <c r="B485" s="2069"/>
      <c r="C485" s="2069"/>
      <c r="D485" s="2069"/>
      <c r="E485" s="2069"/>
      <c r="F485" s="2069"/>
      <c r="G485" s="2069"/>
      <c r="H485" s="2069"/>
      <c r="I485"/>
      <c r="J485"/>
      <c r="K485"/>
    </row>
    <row r="486" spans="2:11" x14ac:dyDescent="0.2">
      <c r="B486" s="2069"/>
      <c r="C486" s="2069"/>
      <c r="D486" s="2069"/>
      <c r="E486" s="2069"/>
      <c r="F486" s="2069"/>
      <c r="G486" s="2069"/>
      <c r="H486" s="2069"/>
      <c r="I486"/>
      <c r="J486"/>
      <c r="K486"/>
    </row>
    <row r="487" spans="2:11" x14ac:dyDescent="0.2">
      <c r="B487" s="2069"/>
      <c r="C487" s="2069"/>
      <c r="D487" s="2069"/>
      <c r="E487" s="2069"/>
      <c r="F487" s="2069"/>
      <c r="G487" s="2069"/>
      <c r="H487" s="2069"/>
      <c r="I487"/>
      <c r="J487"/>
      <c r="K487"/>
    </row>
    <row r="488" spans="2:11" x14ac:dyDescent="0.2">
      <c r="B488" s="2069"/>
      <c r="C488" s="2069"/>
      <c r="D488" s="2069"/>
      <c r="E488" s="2069"/>
      <c r="F488" s="2069"/>
      <c r="G488" s="2069"/>
      <c r="H488" s="2069"/>
      <c r="I488"/>
      <c r="J488"/>
      <c r="K488"/>
    </row>
    <row r="489" spans="2:11" x14ac:dyDescent="0.2">
      <c r="B489" s="2069"/>
      <c r="C489" s="2069"/>
      <c r="D489" s="2069"/>
      <c r="E489" s="2069"/>
      <c r="F489" s="2069"/>
      <c r="G489" s="2069"/>
      <c r="H489" s="2069"/>
      <c r="I489"/>
      <c r="J489"/>
      <c r="K489"/>
    </row>
    <row r="490" spans="2:11" x14ac:dyDescent="0.2">
      <c r="B490" s="2069"/>
      <c r="C490" s="2069"/>
      <c r="D490" s="2069"/>
      <c r="E490" s="2069"/>
      <c r="F490" s="2069"/>
      <c r="G490" s="2069"/>
      <c r="H490" s="2069"/>
      <c r="I490"/>
      <c r="J490"/>
      <c r="K490"/>
    </row>
    <row r="491" spans="2:11" x14ac:dyDescent="0.2">
      <c r="B491" s="2069"/>
      <c r="C491" s="2069"/>
      <c r="D491" s="2069"/>
      <c r="E491" s="2069"/>
      <c r="F491" s="2069"/>
      <c r="G491" s="2069"/>
      <c r="H491" s="2069"/>
      <c r="I491"/>
      <c r="J491"/>
      <c r="K491"/>
    </row>
    <row r="492" spans="2:11" x14ac:dyDescent="0.2">
      <c r="B492" s="2069"/>
      <c r="C492" s="2069"/>
      <c r="D492" s="2069"/>
      <c r="E492" s="2069"/>
      <c r="F492" s="2069"/>
      <c r="G492" s="2069"/>
      <c r="H492" s="2069"/>
      <c r="I492"/>
      <c r="J492"/>
      <c r="K492"/>
    </row>
    <row r="493" spans="2:11" x14ac:dyDescent="0.2">
      <c r="B493" s="2069"/>
      <c r="C493" s="2069"/>
      <c r="D493" s="2069"/>
      <c r="E493" s="2069"/>
      <c r="F493" s="2069"/>
      <c r="G493" s="2069"/>
      <c r="H493" s="2069"/>
      <c r="I493"/>
      <c r="J493"/>
      <c r="K493"/>
    </row>
    <row r="494" spans="2:11" x14ac:dyDescent="0.2">
      <c r="B494" s="2069"/>
      <c r="C494" s="2069"/>
      <c r="D494" s="2069"/>
      <c r="E494" s="2069"/>
      <c r="F494" s="2069"/>
      <c r="G494" s="2069"/>
      <c r="H494" s="2069"/>
      <c r="I494"/>
      <c r="J494"/>
      <c r="K494"/>
    </row>
    <row r="495" spans="2:11" x14ac:dyDescent="0.2">
      <c r="B495" s="2069"/>
      <c r="C495" s="2069"/>
      <c r="D495" s="2069"/>
      <c r="E495" s="2069"/>
      <c r="F495" s="2069"/>
      <c r="G495" s="2069"/>
      <c r="H495" s="2069"/>
      <c r="I495"/>
      <c r="J495"/>
      <c r="K495"/>
    </row>
    <row r="496" spans="2:11" x14ac:dyDescent="0.2">
      <c r="B496" s="2069"/>
      <c r="C496" s="2069"/>
      <c r="D496" s="2069"/>
      <c r="E496" s="2069"/>
      <c r="F496" s="2069"/>
      <c r="G496" s="2069"/>
      <c r="H496" s="2069"/>
      <c r="I496"/>
      <c r="J496"/>
      <c r="K496"/>
    </row>
    <row r="497" spans="2:11" x14ac:dyDescent="0.2">
      <c r="B497" s="2069"/>
      <c r="C497" s="2069"/>
      <c r="D497" s="2069"/>
      <c r="E497" s="2069"/>
      <c r="F497" s="2069"/>
      <c r="G497" s="2069"/>
      <c r="H497" s="2069"/>
      <c r="I497"/>
      <c r="J497"/>
      <c r="K497"/>
    </row>
    <row r="498" spans="2:11" x14ac:dyDescent="0.2">
      <c r="B498" s="2069"/>
      <c r="C498" s="2069"/>
      <c r="D498" s="2069"/>
      <c r="E498" s="2069"/>
      <c r="F498" s="2069"/>
      <c r="G498" s="2069"/>
      <c r="H498" s="2069"/>
      <c r="I498"/>
      <c r="J498"/>
      <c r="K498"/>
    </row>
    <row r="499" spans="2:11" x14ac:dyDescent="0.2">
      <c r="B499" s="2069"/>
      <c r="C499" s="2069"/>
      <c r="D499" s="2069"/>
      <c r="E499" s="2069"/>
      <c r="F499" s="2069"/>
      <c r="G499" s="2069"/>
      <c r="H499" s="2069"/>
      <c r="I499"/>
      <c r="J499"/>
      <c r="K499"/>
    </row>
    <row r="500" spans="2:11" x14ac:dyDescent="0.2">
      <c r="B500" s="2069"/>
      <c r="C500" s="2069"/>
      <c r="D500" s="2069"/>
      <c r="E500" s="2069"/>
      <c r="F500" s="2069"/>
      <c r="G500" s="2069"/>
      <c r="H500" s="2069"/>
      <c r="I500"/>
      <c r="J500"/>
      <c r="K500"/>
    </row>
    <row r="501" spans="2:11" x14ac:dyDescent="0.2">
      <c r="B501" s="2069"/>
      <c r="C501" s="2069"/>
      <c r="D501" s="2069"/>
      <c r="E501" s="2069"/>
      <c r="F501" s="2069"/>
      <c r="G501" s="2069"/>
      <c r="H501" s="2069"/>
      <c r="I501"/>
      <c r="J501"/>
      <c r="K501"/>
    </row>
    <row r="502" spans="2:11" x14ac:dyDescent="0.2">
      <c r="B502" s="2069"/>
      <c r="C502" s="2069"/>
      <c r="D502" s="2069"/>
      <c r="E502" s="2069"/>
      <c r="F502" s="2069"/>
      <c r="G502" s="2069"/>
      <c r="H502" s="2069"/>
      <c r="I502"/>
      <c r="J502"/>
      <c r="K502"/>
    </row>
    <row r="503" spans="2:11" x14ac:dyDescent="0.2">
      <c r="B503" s="2069"/>
      <c r="C503" s="2069"/>
      <c r="D503" s="2069"/>
      <c r="E503" s="2069"/>
      <c r="F503" s="2069"/>
      <c r="G503" s="2069"/>
      <c r="H503" s="2069"/>
      <c r="I503"/>
      <c r="J503"/>
      <c r="K503"/>
    </row>
    <row r="504" spans="2:11" x14ac:dyDescent="0.2">
      <c r="B504" s="2069"/>
      <c r="C504" s="2069"/>
      <c r="D504" s="2069"/>
      <c r="E504" s="2069"/>
      <c r="F504" s="2069"/>
      <c r="G504" s="2069"/>
      <c r="H504" s="2069"/>
      <c r="I504"/>
      <c r="J504"/>
      <c r="K504"/>
    </row>
    <row r="505" spans="2:11" x14ac:dyDescent="0.2">
      <c r="B505" s="2069"/>
      <c r="C505" s="2069"/>
      <c r="D505" s="2069"/>
      <c r="E505" s="2069"/>
      <c r="F505" s="2069"/>
      <c r="G505" s="2069"/>
      <c r="H505" s="2069"/>
      <c r="I505"/>
      <c r="J505"/>
      <c r="K505"/>
    </row>
    <row r="506" spans="2:11" x14ac:dyDescent="0.2">
      <c r="B506" s="2069"/>
      <c r="C506" s="2069"/>
      <c r="D506" s="2069"/>
      <c r="E506" s="2069"/>
      <c r="F506" s="2069"/>
      <c r="G506" s="2069"/>
      <c r="H506" s="2069"/>
      <c r="I506"/>
      <c r="J506"/>
      <c r="K506"/>
    </row>
    <row r="507" spans="2:11" x14ac:dyDescent="0.2">
      <c r="B507" s="2069"/>
      <c r="C507" s="2069"/>
      <c r="D507" s="2069"/>
      <c r="E507" s="2069"/>
      <c r="F507" s="2069"/>
      <c r="G507" s="2069"/>
      <c r="H507" s="2069"/>
      <c r="I507"/>
      <c r="J507"/>
      <c r="K507"/>
    </row>
    <row r="508" spans="2:11" x14ac:dyDescent="0.2">
      <c r="B508" s="2069"/>
      <c r="C508" s="2069"/>
      <c r="D508" s="2069"/>
      <c r="E508" s="2069"/>
      <c r="F508" s="2069"/>
      <c r="G508" s="2069"/>
      <c r="H508" s="2069"/>
      <c r="I508"/>
      <c r="J508"/>
      <c r="K508"/>
    </row>
    <row r="509" spans="2:11" x14ac:dyDescent="0.2">
      <c r="B509" s="2069"/>
      <c r="C509" s="2069"/>
      <c r="D509" s="2069"/>
      <c r="E509" s="2069"/>
      <c r="F509" s="2069"/>
      <c r="G509" s="2069"/>
      <c r="H509" s="2069"/>
      <c r="I509"/>
      <c r="J509"/>
      <c r="K509"/>
    </row>
    <row r="510" spans="2:11" x14ac:dyDescent="0.2">
      <c r="B510" s="2069"/>
      <c r="C510" s="2069"/>
      <c r="D510" s="2069"/>
      <c r="E510" s="2069"/>
      <c r="F510" s="2069"/>
      <c r="G510" s="2069"/>
      <c r="H510" s="2069"/>
      <c r="I510"/>
      <c r="J510"/>
      <c r="K510"/>
    </row>
    <row r="511" spans="2:11" x14ac:dyDescent="0.2">
      <c r="B511" s="2069"/>
      <c r="C511" s="2069"/>
      <c r="D511" s="2069"/>
      <c r="E511" s="2069"/>
      <c r="F511" s="2069"/>
      <c r="G511" s="2069"/>
      <c r="H511" s="2069"/>
      <c r="I511"/>
      <c r="J511"/>
      <c r="K511"/>
    </row>
    <row r="512" spans="2:11" x14ac:dyDescent="0.2">
      <c r="B512" s="2069"/>
      <c r="C512" s="2069"/>
      <c r="D512" s="2069"/>
      <c r="E512" s="2069"/>
      <c r="F512" s="2069"/>
      <c r="G512" s="2069"/>
      <c r="H512" s="2069"/>
      <c r="I512"/>
      <c r="J512"/>
      <c r="K512"/>
    </row>
    <row r="513" spans="2:11" x14ac:dyDescent="0.2">
      <c r="B513" s="2069"/>
      <c r="C513" s="2069"/>
      <c r="D513" s="2069"/>
      <c r="E513" s="2069"/>
      <c r="F513" s="2069"/>
      <c r="G513" s="2069"/>
      <c r="H513" s="2069"/>
      <c r="I513"/>
      <c r="J513"/>
      <c r="K513"/>
    </row>
    <row r="514" spans="2:11" x14ac:dyDescent="0.2">
      <c r="B514" s="2069"/>
      <c r="C514" s="2069"/>
      <c r="D514" s="2069"/>
      <c r="E514" s="2069"/>
      <c r="F514" s="2069"/>
      <c r="G514" s="2069"/>
      <c r="H514" s="2069"/>
      <c r="I514"/>
      <c r="J514"/>
      <c r="K514"/>
    </row>
    <row r="515" spans="2:11" x14ac:dyDescent="0.2">
      <c r="B515" s="2069"/>
      <c r="C515" s="2069"/>
      <c r="D515" s="2069"/>
      <c r="E515" s="2069"/>
      <c r="F515" s="2069"/>
      <c r="G515" s="2069"/>
      <c r="H515" s="2069"/>
      <c r="I515"/>
      <c r="J515"/>
      <c r="K515"/>
    </row>
    <row r="516" spans="2:11" x14ac:dyDescent="0.2">
      <c r="B516" s="2069"/>
      <c r="C516" s="2069"/>
      <c r="D516" s="2069"/>
      <c r="E516" s="2069"/>
      <c r="F516" s="2069"/>
      <c r="G516" s="2069"/>
      <c r="H516" s="2069"/>
      <c r="I516"/>
      <c r="J516"/>
      <c r="K516"/>
    </row>
    <row r="517" spans="2:11" x14ac:dyDescent="0.2">
      <c r="B517" s="2069"/>
      <c r="C517" s="2069"/>
      <c r="D517" s="2069"/>
      <c r="E517" s="2069"/>
      <c r="F517" s="2069"/>
      <c r="G517" s="2069"/>
      <c r="H517" s="2069"/>
      <c r="I517"/>
      <c r="J517"/>
      <c r="K517"/>
    </row>
    <row r="518" spans="2:11" x14ac:dyDescent="0.2">
      <c r="B518" s="2069"/>
      <c r="C518" s="2069"/>
      <c r="D518" s="2069"/>
      <c r="E518" s="2069"/>
      <c r="F518" s="2069"/>
      <c r="G518" s="2069"/>
      <c r="H518" s="2069"/>
      <c r="I518"/>
      <c r="J518"/>
      <c r="K518"/>
    </row>
    <row r="519" spans="2:11" x14ac:dyDescent="0.2">
      <c r="B519" s="2069"/>
      <c r="C519" s="2069"/>
      <c r="D519" s="2069"/>
      <c r="E519" s="2069"/>
      <c r="F519" s="2069"/>
      <c r="G519" s="2069"/>
      <c r="H519" s="2069"/>
      <c r="I519"/>
      <c r="J519"/>
      <c r="K519"/>
    </row>
    <row r="520" spans="2:11" x14ac:dyDescent="0.2">
      <c r="B520" s="2069"/>
      <c r="C520" s="2069"/>
      <c r="D520" s="2069"/>
      <c r="E520" s="2069"/>
      <c r="F520" s="2069"/>
      <c r="G520" s="2069"/>
      <c r="H520" s="2069"/>
      <c r="I520"/>
      <c r="J520"/>
      <c r="K520"/>
    </row>
    <row r="521" spans="2:11" x14ac:dyDescent="0.2">
      <c r="B521" s="2069"/>
      <c r="C521" s="2069"/>
      <c r="D521" s="2069"/>
      <c r="E521" s="2069"/>
      <c r="F521" s="2069"/>
      <c r="G521" s="2069"/>
      <c r="H521" s="2069"/>
      <c r="I521"/>
      <c r="J521"/>
      <c r="K521"/>
    </row>
    <row r="522" spans="2:11" x14ac:dyDescent="0.2">
      <c r="B522" s="2069"/>
      <c r="C522" s="2069"/>
      <c r="D522" s="2069"/>
      <c r="E522" s="2069"/>
      <c r="F522" s="2069"/>
      <c r="G522" s="2069"/>
      <c r="H522" s="2069"/>
      <c r="I522"/>
      <c r="J522"/>
      <c r="K522"/>
    </row>
    <row r="523" spans="2:11" x14ac:dyDescent="0.2">
      <c r="B523" s="2069"/>
      <c r="C523" s="2069"/>
      <c r="D523" s="2069"/>
      <c r="E523" s="2069"/>
      <c r="F523" s="2069"/>
      <c r="G523" s="2069"/>
      <c r="H523" s="2069"/>
      <c r="I523"/>
      <c r="J523"/>
      <c r="K523"/>
    </row>
    <row r="524" spans="2:11" x14ac:dyDescent="0.2">
      <c r="B524" s="2069"/>
      <c r="C524" s="2069"/>
      <c r="D524" s="2069"/>
      <c r="E524" s="2069"/>
      <c r="F524" s="2069"/>
      <c r="G524" s="2069"/>
      <c r="H524" s="2069"/>
      <c r="I524"/>
      <c r="J524"/>
      <c r="K524"/>
    </row>
    <row r="525" spans="2:11" x14ac:dyDescent="0.2">
      <c r="B525" s="2069"/>
      <c r="C525" s="2069"/>
      <c r="D525" s="2069"/>
      <c r="E525" s="2069"/>
      <c r="F525" s="2069"/>
      <c r="G525" s="2069"/>
      <c r="H525" s="2069"/>
      <c r="I525"/>
      <c r="J525"/>
      <c r="K525"/>
    </row>
    <row r="526" spans="2:11" x14ac:dyDescent="0.2">
      <c r="B526" s="2069"/>
      <c r="C526" s="2069"/>
      <c r="D526" s="2069"/>
      <c r="E526" s="2069"/>
      <c r="F526" s="2069"/>
      <c r="G526" s="2069"/>
      <c r="H526" s="2069"/>
      <c r="I526"/>
      <c r="J526"/>
      <c r="K526"/>
    </row>
    <row r="527" spans="2:11" x14ac:dyDescent="0.2">
      <c r="B527" s="2069"/>
      <c r="C527" s="2069"/>
      <c r="D527" s="2069"/>
      <c r="E527" s="2069"/>
      <c r="F527" s="2069"/>
      <c r="G527" s="2069"/>
      <c r="H527" s="2069"/>
      <c r="I527"/>
      <c r="J527"/>
      <c r="K527"/>
    </row>
    <row r="528" spans="2:11" x14ac:dyDescent="0.2">
      <c r="B528" s="2069"/>
      <c r="C528" s="2069"/>
      <c r="D528" s="2069"/>
      <c r="E528" s="2069"/>
      <c r="F528" s="2069"/>
      <c r="G528" s="2069"/>
      <c r="H528" s="2069"/>
      <c r="I528"/>
      <c r="J528"/>
      <c r="K528"/>
    </row>
    <row r="529" spans="2:11" x14ac:dyDescent="0.2">
      <c r="B529" s="2069"/>
      <c r="C529" s="2069"/>
      <c r="D529" s="2069"/>
      <c r="E529" s="2069"/>
      <c r="F529" s="2069"/>
      <c r="G529" s="2069"/>
      <c r="H529" s="2069"/>
      <c r="I529"/>
      <c r="J529"/>
      <c r="K529"/>
    </row>
    <row r="530" spans="2:11" x14ac:dyDescent="0.2">
      <c r="B530" s="2069"/>
      <c r="C530" s="2069"/>
      <c r="D530" s="2069"/>
      <c r="E530" s="2069"/>
      <c r="F530" s="2069"/>
      <c r="G530" s="2069"/>
      <c r="H530" s="2069"/>
      <c r="I530"/>
      <c r="J530"/>
      <c r="K530"/>
    </row>
    <row r="531" spans="2:11" x14ac:dyDescent="0.2">
      <c r="B531" s="2069"/>
      <c r="C531" s="2069"/>
      <c r="D531" s="2069"/>
      <c r="E531" s="2069"/>
      <c r="F531" s="2069"/>
      <c r="G531" s="2069"/>
      <c r="H531" s="2069"/>
      <c r="I531"/>
      <c r="J531"/>
      <c r="K531"/>
    </row>
    <row r="532" spans="2:11" x14ac:dyDescent="0.2">
      <c r="B532" s="2069"/>
      <c r="C532" s="2069"/>
      <c r="D532" s="2069"/>
      <c r="E532" s="2069"/>
      <c r="F532" s="2069"/>
      <c r="G532" s="2069"/>
      <c r="H532" s="2069"/>
      <c r="I532"/>
      <c r="J532"/>
      <c r="K532"/>
    </row>
    <row r="533" spans="2:11" x14ac:dyDescent="0.2">
      <c r="B533" s="2069"/>
      <c r="C533" s="2069"/>
      <c r="D533" s="2069"/>
      <c r="E533" s="2069"/>
      <c r="F533" s="2069"/>
      <c r="G533" s="2069"/>
      <c r="H533" s="2069"/>
      <c r="I533"/>
      <c r="J533"/>
      <c r="K533"/>
    </row>
    <row r="534" spans="2:11" x14ac:dyDescent="0.2">
      <c r="B534" s="2069"/>
      <c r="C534" s="2069"/>
      <c r="D534" s="2069"/>
      <c r="E534" s="2069"/>
      <c r="F534" s="2069"/>
      <c r="G534" s="2069"/>
      <c r="H534" s="2069"/>
      <c r="I534"/>
      <c r="J534"/>
      <c r="K534"/>
    </row>
    <row r="535" spans="2:11" x14ac:dyDescent="0.2">
      <c r="B535" s="2069"/>
      <c r="C535" s="2069"/>
      <c r="D535" s="2069"/>
      <c r="E535" s="2069"/>
      <c r="F535" s="2069"/>
      <c r="G535" s="2069"/>
      <c r="H535" s="2069"/>
      <c r="I535"/>
      <c r="J535"/>
      <c r="K535"/>
    </row>
    <row r="536" spans="2:11" x14ac:dyDescent="0.2">
      <c r="B536" s="2069"/>
      <c r="C536" s="2069"/>
      <c r="D536" s="2069"/>
      <c r="E536" s="2069"/>
      <c r="F536" s="2069"/>
      <c r="G536" s="2069"/>
      <c r="H536" s="2069"/>
      <c r="I536"/>
      <c r="J536"/>
      <c r="K536"/>
    </row>
    <row r="537" spans="2:11" x14ac:dyDescent="0.2">
      <c r="B537" s="2069"/>
      <c r="C537" s="2069"/>
      <c r="D537" s="2069"/>
      <c r="E537" s="2069"/>
      <c r="F537" s="2069"/>
      <c r="G537" s="2069"/>
      <c r="H537" s="2069"/>
      <c r="I537"/>
      <c r="J537"/>
      <c r="K537"/>
    </row>
    <row r="538" spans="2:11" x14ac:dyDescent="0.2">
      <c r="B538" s="2069"/>
      <c r="C538" s="2069"/>
      <c r="D538" s="2069"/>
      <c r="E538" s="2069"/>
      <c r="F538" s="2069"/>
      <c r="G538" s="2069"/>
      <c r="H538" s="2069"/>
      <c r="I538"/>
      <c r="J538"/>
      <c r="K538"/>
    </row>
    <row r="539" spans="2:11" x14ac:dyDescent="0.2">
      <c r="B539" s="2069"/>
      <c r="C539" s="2069"/>
      <c r="D539" s="2069"/>
      <c r="E539" s="2069"/>
      <c r="F539" s="2069"/>
      <c r="G539" s="2069"/>
      <c r="H539" s="2069"/>
      <c r="I539"/>
      <c r="J539"/>
      <c r="K539"/>
    </row>
    <row r="540" spans="2:11" x14ac:dyDescent="0.2">
      <c r="B540" s="2069"/>
      <c r="C540" s="2069"/>
      <c r="D540" s="2069"/>
      <c r="E540" s="2069"/>
      <c r="F540" s="2069"/>
      <c r="G540" s="2069"/>
      <c r="H540" s="2069"/>
      <c r="I540"/>
      <c r="J540"/>
      <c r="K540"/>
    </row>
    <row r="541" spans="2:11" x14ac:dyDescent="0.2">
      <c r="B541" s="2069"/>
      <c r="C541" s="2069"/>
      <c r="D541" s="2069"/>
      <c r="E541" s="2069"/>
      <c r="F541" s="2069"/>
      <c r="G541" s="2069"/>
      <c r="H541" s="2069"/>
      <c r="I541"/>
      <c r="J541"/>
      <c r="K541"/>
    </row>
    <row r="542" spans="2:11" x14ac:dyDescent="0.2">
      <c r="B542" s="2069"/>
      <c r="C542" s="2069"/>
      <c r="D542" s="2069"/>
      <c r="E542" s="2069"/>
      <c r="F542" s="2069"/>
      <c r="G542" s="2069"/>
      <c r="H542" s="2069"/>
      <c r="I542"/>
      <c r="J542"/>
      <c r="K542"/>
    </row>
    <row r="543" spans="2:11" x14ac:dyDescent="0.2">
      <c r="B543" s="2069"/>
      <c r="C543" s="2069"/>
      <c r="D543" s="2069"/>
      <c r="E543" s="2069"/>
      <c r="F543" s="2069"/>
      <c r="G543" s="2069"/>
      <c r="H543" s="2069"/>
      <c r="I543"/>
      <c r="J543"/>
      <c r="K543"/>
    </row>
    <row r="544" spans="2:11" x14ac:dyDescent="0.2">
      <c r="B544" s="2069"/>
      <c r="C544" s="2069"/>
      <c r="D544" s="2069"/>
      <c r="E544" s="2069"/>
      <c r="F544" s="2069"/>
      <c r="G544" s="2069"/>
      <c r="H544" s="2069"/>
      <c r="I544"/>
      <c r="J544"/>
      <c r="K544"/>
    </row>
    <row r="545" spans="2:11" x14ac:dyDescent="0.2">
      <c r="B545" s="2069"/>
      <c r="C545" s="2069"/>
      <c r="D545" s="2069"/>
      <c r="E545" s="2069"/>
      <c r="F545" s="2069"/>
      <c r="G545" s="2069"/>
      <c r="H545" s="2069"/>
      <c r="I545"/>
      <c r="J545"/>
      <c r="K545"/>
    </row>
    <row r="546" spans="2:11" x14ac:dyDescent="0.2">
      <c r="B546" s="2069"/>
      <c r="C546" s="2069"/>
      <c r="D546" s="2069"/>
      <c r="E546" s="2069"/>
      <c r="F546" s="2069"/>
      <c r="G546" s="2069"/>
      <c r="H546" s="2069"/>
      <c r="I546"/>
      <c r="J546"/>
      <c r="K546"/>
    </row>
    <row r="547" spans="2:11" x14ac:dyDescent="0.2">
      <c r="B547" s="2069"/>
      <c r="C547" s="2069"/>
      <c r="D547" s="2069"/>
      <c r="E547" s="2069"/>
      <c r="F547" s="2069"/>
      <c r="G547" s="2069"/>
      <c r="H547" s="2069"/>
      <c r="I547"/>
      <c r="J547"/>
      <c r="K547"/>
    </row>
    <row r="548" spans="2:11" x14ac:dyDescent="0.2">
      <c r="B548" s="2069"/>
      <c r="C548" s="2069"/>
      <c r="D548" s="2069"/>
      <c r="E548" s="2069"/>
      <c r="F548" s="2069"/>
      <c r="G548" s="2069"/>
      <c r="H548" s="2069"/>
      <c r="I548"/>
      <c r="J548"/>
      <c r="K548"/>
    </row>
    <row r="549" spans="2:11" x14ac:dyDescent="0.2">
      <c r="B549" s="2069"/>
      <c r="C549" s="2069"/>
      <c r="D549" s="2069"/>
      <c r="E549" s="2069"/>
      <c r="F549" s="2069"/>
      <c r="G549" s="2069"/>
      <c r="H549" s="2069"/>
      <c r="I549"/>
      <c r="J549"/>
      <c r="K549"/>
    </row>
    <row r="550" spans="2:11" x14ac:dyDescent="0.2">
      <c r="B550" s="2069"/>
      <c r="C550" s="2069"/>
      <c r="D550" s="2069"/>
      <c r="E550" s="2069"/>
      <c r="F550" s="2069"/>
      <c r="G550" s="2069"/>
      <c r="H550" s="2069"/>
      <c r="I550"/>
      <c r="J550"/>
      <c r="K550"/>
    </row>
    <row r="551" spans="2:11" x14ac:dyDescent="0.2">
      <c r="B551" s="2069"/>
      <c r="C551" s="2069"/>
      <c r="D551" s="2069"/>
      <c r="E551" s="2069"/>
      <c r="F551" s="2069"/>
      <c r="G551" s="2069"/>
      <c r="H551" s="2069"/>
      <c r="I551"/>
      <c r="J551"/>
      <c r="K551"/>
    </row>
    <row r="552" spans="2:11" x14ac:dyDescent="0.2">
      <c r="B552" s="2069"/>
      <c r="C552" s="2069"/>
      <c r="D552" s="2069"/>
      <c r="E552" s="2069"/>
      <c r="F552" s="2069"/>
      <c r="G552" s="2069"/>
      <c r="H552" s="2069"/>
      <c r="I552"/>
      <c r="J552"/>
      <c r="K552"/>
    </row>
    <row r="553" spans="2:11" x14ac:dyDescent="0.2">
      <c r="B553" s="2069"/>
      <c r="C553" s="2069"/>
      <c r="D553" s="2069"/>
      <c r="E553" s="2069"/>
      <c r="F553" s="2069"/>
      <c r="G553" s="2069"/>
      <c r="H553" s="2069"/>
      <c r="I553"/>
      <c r="J553"/>
      <c r="K553"/>
    </row>
    <row r="554" spans="2:11" x14ac:dyDescent="0.2">
      <c r="B554" s="2069"/>
      <c r="C554" s="2069"/>
      <c r="D554" s="2069"/>
      <c r="E554" s="2069"/>
      <c r="F554" s="2069"/>
      <c r="G554" s="2069"/>
      <c r="H554" s="2069"/>
      <c r="I554"/>
      <c r="J554"/>
      <c r="K554"/>
    </row>
    <row r="555" spans="2:11" x14ac:dyDescent="0.2">
      <c r="B555" s="2069"/>
      <c r="C555" s="2069"/>
      <c r="D555" s="2069"/>
      <c r="E555" s="2069"/>
      <c r="F555" s="2069"/>
      <c r="G555" s="2069"/>
      <c r="H555" s="2069"/>
      <c r="I555"/>
      <c r="J555"/>
      <c r="K555"/>
    </row>
    <row r="556" spans="2:11" x14ac:dyDescent="0.2">
      <c r="B556" s="2069"/>
      <c r="C556" s="2069"/>
      <c r="D556" s="2069"/>
      <c r="E556" s="2069"/>
      <c r="F556" s="2069"/>
      <c r="G556" s="2069"/>
      <c r="H556" s="2069"/>
      <c r="I556"/>
      <c r="J556"/>
      <c r="K556"/>
    </row>
    <row r="557" spans="2:11" x14ac:dyDescent="0.2">
      <c r="B557" s="2069"/>
      <c r="C557" s="2069"/>
      <c r="D557" s="2069"/>
      <c r="E557" s="2069"/>
      <c r="F557" s="2069"/>
      <c r="G557" s="2069"/>
      <c r="H557" s="2069"/>
      <c r="I557"/>
      <c r="J557"/>
      <c r="K557"/>
    </row>
    <row r="558" spans="2:11" x14ac:dyDescent="0.2">
      <c r="B558" s="2069"/>
      <c r="C558" s="2069"/>
      <c r="D558" s="2069"/>
      <c r="E558" s="2069"/>
      <c r="F558" s="2069"/>
      <c r="G558" s="2069"/>
      <c r="H558" s="2069"/>
      <c r="I558"/>
      <c r="J558"/>
      <c r="K558"/>
    </row>
    <row r="559" spans="2:11" x14ac:dyDescent="0.2">
      <c r="B559" s="2069"/>
      <c r="C559" s="2069"/>
      <c r="D559" s="2069"/>
      <c r="E559" s="2069"/>
      <c r="F559" s="2069"/>
      <c r="G559" s="2069"/>
      <c r="H559" s="2069"/>
      <c r="I559"/>
      <c r="J559"/>
      <c r="K559"/>
    </row>
    <row r="560" spans="2:11" x14ac:dyDescent="0.2">
      <c r="B560" s="2069"/>
      <c r="C560" s="2069"/>
      <c r="D560" s="2069"/>
      <c r="E560" s="2069"/>
      <c r="F560" s="2069"/>
      <c r="G560" s="2069"/>
      <c r="H560" s="2069"/>
      <c r="I560"/>
      <c r="J560"/>
      <c r="K560"/>
    </row>
    <row r="561" spans="2:11" x14ac:dyDescent="0.2">
      <c r="B561" s="2069"/>
      <c r="C561" s="2069"/>
      <c r="D561" s="2069"/>
      <c r="E561" s="2069"/>
      <c r="F561" s="2069"/>
      <c r="G561" s="2069"/>
      <c r="H561" s="2069"/>
      <c r="I561"/>
      <c r="J561"/>
      <c r="K561"/>
    </row>
    <row r="562" spans="2:11" x14ac:dyDescent="0.2">
      <c r="B562" s="2069"/>
      <c r="C562" s="2069"/>
      <c r="D562" s="2069"/>
      <c r="E562" s="2069"/>
      <c r="F562" s="2069"/>
      <c r="G562" s="2069"/>
      <c r="H562" s="2069"/>
      <c r="I562"/>
      <c r="J562"/>
      <c r="K562"/>
    </row>
    <row r="563" spans="2:11" x14ac:dyDescent="0.2">
      <c r="B563" s="2069"/>
      <c r="C563" s="2069"/>
      <c r="D563" s="2069"/>
      <c r="E563" s="2069"/>
      <c r="F563" s="2069"/>
      <c r="G563" s="2069"/>
      <c r="H563" s="2069"/>
      <c r="I563"/>
      <c r="J563"/>
      <c r="K563"/>
    </row>
    <row r="564" spans="2:11" x14ac:dyDescent="0.2">
      <c r="B564" s="2069"/>
      <c r="C564" s="2069"/>
      <c r="D564" s="2069"/>
      <c r="E564" s="2069"/>
      <c r="F564" s="2069"/>
      <c r="G564" s="2069"/>
      <c r="H564" s="2069"/>
      <c r="I564"/>
      <c r="J564"/>
      <c r="K564"/>
    </row>
    <row r="565" spans="2:11" x14ac:dyDescent="0.2">
      <c r="B565" s="2069"/>
      <c r="C565" s="2069"/>
      <c r="D565" s="2069"/>
      <c r="E565" s="2069"/>
      <c r="F565" s="2069"/>
      <c r="G565" s="2069"/>
      <c r="H565" s="2069"/>
      <c r="I565"/>
      <c r="J565"/>
      <c r="K565"/>
    </row>
    <row r="566" spans="2:11" x14ac:dyDescent="0.2">
      <c r="B566" s="2069"/>
      <c r="C566" s="2069"/>
      <c r="D566" s="2069"/>
      <c r="E566" s="2069"/>
      <c r="F566" s="2069"/>
      <c r="G566" s="2069"/>
      <c r="H566" s="2069"/>
      <c r="I566"/>
      <c r="J566"/>
      <c r="K566"/>
    </row>
    <row r="567" spans="2:11" x14ac:dyDescent="0.2">
      <c r="B567" s="2069"/>
      <c r="C567" s="2069"/>
      <c r="D567" s="2069"/>
      <c r="E567" s="2069"/>
      <c r="F567" s="2069"/>
      <c r="G567" s="2069"/>
      <c r="H567" s="2069"/>
      <c r="I567"/>
      <c r="J567"/>
      <c r="K567"/>
    </row>
    <row r="568" spans="2:11" x14ac:dyDescent="0.2">
      <c r="B568" s="2069"/>
      <c r="C568" s="2069"/>
      <c r="D568" s="2069"/>
      <c r="E568" s="2069"/>
      <c r="F568" s="2069"/>
      <c r="G568" s="2069"/>
      <c r="H568" s="2069"/>
      <c r="I568"/>
      <c r="J568"/>
      <c r="K568"/>
    </row>
    <row r="569" spans="2:11" x14ac:dyDescent="0.2">
      <c r="B569" s="2069"/>
      <c r="C569" s="2069"/>
      <c r="D569" s="2069"/>
      <c r="E569" s="2069"/>
      <c r="F569" s="2069"/>
      <c r="G569" s="2069"/>
      <c r="H569" s="2069"/>
      <c r="I569"/>
      <c r="J569"/>
      <c r="K569"/>
    </row>
    <row r="570" spans="2:11" x14ac:dyDescent="0.2">
      <c r="B570" s="2069"/>
      <c r="C570" s="2069"/>
      <c r="D570" s="2069"/>
      <c r="E570" s="2069"/>
      <c r="F570" s="2069"/>
      <c r="G570" s="2069"/>
      <c r="H570" s="2069"/>
      <c r="I570"/>
      <c r="J570"/>
      <c r="K570"/>
    </row>
    <row r="571" spans="2:11" x14ac:dyDescent="0.2">
      <c r="B571" s="2069"/>
      <c r="C571" s="2069"/>
      <c r="D571" s="2069"/>
      <c r="E571" s="2069"/>
      <c r="F571" s="2069"/>
      <c r="G571" s="2069"/>
      <c r="H571" s="2069"/>
      <c r="I571"/>
      <c r="J571"/>
      <c r="K571"/>
    </row>
    <row r="572" spans="2:11" x14ac:dyDescent="0.2">
      <c r="B572" s="2069"/>
      <c r="C572" s="2069"/>
      <c r="D572" s="2069"/>
      <c r="E572" s="2069"/>
      <c r="F572" s="2069"/>
      <c r="G572" s="2069"/>
      <c r="H572" s="2069"/>
      <c r="I572"/>
      <c r="J572"/>
      <c r="K572"/>
    </row>
    <row r="573" spans="2:11" x14ac:dyDescent="0.2">
      <c r="B573" s="2069"/>
      <c r="C573" s="2069"/>
      <c r="D573" s="2069"/>
      <c r="E573" s="2069"/>
      <c r="F573" s="2069"/>
      <c r="G573" s="2069"/>
      <c r="H573" s="2069"/>
      <c r="I573"/>
      <c r="J573"/>
      <c r="K573"/>
    </row>
    <row r="574" spans="2:11" x14ac:dyDescent="0.2">
      <c r="B574" s="2069"/>
      <c r="C574" s="2069"/>
      <c r="D574" s="2069"/>
      <c r="E574" s="2069"/>
      <c r="F574" s="2069"/>
      <c r="G574" s="2069"/>
      <c r="H574" s="2069"/>
      <c r="I574"/>
      <c r="J574"/>
      <c r="K574"/>
    </row>
    <row r="575" spans="2:11" x14ac:dyDescent="0.2">
      <c r="B575" s="2069"/>
      <c r="C575" s="2069"/>
      <c r="D575" s="2069"/>
      <c r="E575" s="2069"/>
      <c r="F575" s="2069"/>
      <c r="G575" s="2069"/>
      <c r="H575" s="2069"/>
      <c r="I575"/>
      <c r="J575"/>
      <c r="K575"/>
    </row>
    <row r="576" spans="2:11" x14ac:dyDescent="0.2">
      <c r="B576" s="2069"/>
      <c r="C576" s="2069"/>
      <c r="D576" s="2069"/>
      <c r="E576" s="2069"/>
      <c r="F576" s="2069"/>
      <c r="G576" s="2069"/>
      <c r="H576" s="2069"/>
      <c r="I576"/>
      <c r="J576"/>
      <c r="K576"/>
    </row>
    <row r="577" spans="2:11" x14ac:dyDescent="0.2">
      <c r="B577" s="2069"/>
      <c r="C577" s="2069"/>
      <c r="D577" s="2069"/>
      <c r="E577" s="2069"/>
      <c r="F577" s="2069"/>
      <c r="G577" s="2069"/>
      <c r="H577" s="2069"/>
      <c r="I577"/>
      <c r="J577"/>
      <c r="K577"/>
    </row>
    <row r="578" spans="2:11" x14ac:dyDescent="0.2">
      <c r="B578" s="2069"/>
      <c r="C578" s="2069"/>
      <c r="D578" s="2069"/>
      <c r="E578" s="2069"/>
      <c r="F578" s="2069"/>
      <c r="G578" s="2069"/>
      <c r="H578" s="2069"/>
      <c r="I578"/>
      <c r="J578"/>
      <c r="K578"/>
    </row>
    <row r="579" spans="2:11" x14ac:dyDescent="0.2">
      <c r="B579" s="2069"/>
      <c r="C579" s="2069"/>
      <c r="D579" s="2069"/>
      <c r="E579" s="2069"/>
      <c r="F579" s="2069"/>
      <c r="G579" s="2069"/>
      <c r="H579" s="2069"/>
      <c r="I579"/>
      <c r="J579"/>
      <c r="K579"/>
    </row>
    <row r="580" spans="2:11" x14ac:dyDescent="0.2">
      <c r="B580" s="2069"/>
      <c r="C580" s="2069"/>
      <c r="D580" s="2069"/>
      <c r="E580" s="2069"/>
      <c r="F580" s="2069"/>
      <c r="G580" s="2069"/>
      <c r="H580" s="2069"/>
      <c r="I580"/>
      <c r="J580"/>
      <c r="K580"/>
    </row>
    <row r="581" spans="2:11" x14ac:dyDescent="0.2">
      <c r="B581" s="2069"/>
      <c r="C581" s="2069"/>
      <c r="D581" s="2069"/>
      <c r="E581" s="2069"/>
      <c r="F581" s="2069"/>
      <c r="G581" s="2069"/>
      <c r="H581" s="2069"/>
      <c r="I581"/>
      <c r="J581"/>
      <c r="K581"/>
    </row>
    <row r="582" spans="2:11" x14ac:dyDescent="0.2">
      <c r="B582" s="2069"/>
      <c r="C582" s="2069"/>
      <c r="D582" s="2069"/>
      <c r="E582" s="2069"/>
      <c r="F582" s="2069"/>
      <c r="G582" s="2069"/>
      <c r="H582" s="2069"/>
      <c r="I582"/>
      <c r="J582"/>
      <c r="K582"/>
    </row>
    <row r="583" spans="2:11" x14ac:dyDescent="0.2">
      <c r="B583" s="2069"/>
      <c r="C583" s="2069"/>
      <c r="D583" s="2069"/>
      <c r="E583" s="2069"/>
      <c r="F583" s="2069"/>
      <c r="G583" s="2069"/>
      <c r="H583" s="2069"/>
      <c r="I583"/>
      <c r="J583"/>
      <c r="K583"/>
    </row>
    <row r="584" spans="2:11" x14ac:dyDescent="0.2">
      <c r="B584" s="2069"/>
      <c r="C584" s="2069"/>
      <c r="D584" s="2069"/>
      <c r="E584" s="2069"/>
      <c r="F584" s="2069"/>
      <c r="G584" s="2069"/>
      <c r="H584" s="2069"/>
      <c r="I584"/>
      <c r="J584"/>
      <c r="K584"/>
    </row>
    <row r="585" spans="2:11" x14ac:dyDescent="0.2">
      <c r="B585" s="2069"/>
      <c r="C585" s="2069"/>
      <c r="D585" s="2069"/>
      <c r="E585" s="2069"/>
      <c r="F585" s="2069"/>
      <c r="G585" s="2069"/>
      <c r="H585" s="2069"/>
      <c r="I585"/>
      <c r="J585"/>
      <c r="K585"/>
    </row>
    <row r="586" spans="2:11" x14ac:dyDescent="0.2">
      <c r="B586" s="2069"/>
      <c r="C586" s="2069"/>
      <c r="D586" s="2069"/>
      <c r="E586" s="2069"/>
      <c r="F586" s="2069"/>
      <c r="G586" s="2069"/>
      <c r="H586" s="2069"/>
      <c r="I586"/>
      <c r="J586"/>
      <c r="K586"/>
    </row>
    <row r="587" spans="2:11" x14ac:dyDescent="0.2">
      <c r="B587" s="2069"/>
      <c r="C587" s="2069"/>
      <c r="D587" s="2069"/>
      <c r="E587" s="2069"/>
      <c r="F587" s="2069"/>
      <c r="G587" s="2069"/>
      <c r="H587" s="2069"/>
      <c r="I587"/>
      <c r="J587"/>
      <c r="K587"/>
    </row>
    <row r="588" spans="2:11" x14ac:dyDescent="0.2">
      <c r="B588" s="2069"/>
      <c r="C588" s="2069"/>
      <c r="D588" s="2069"/>
      <c r="E588" s="2069"/>
      <c r="F588" s="2069"/>
      <c r="G588" s="2069"/>
      <c r="H588" s="2069"/>
      <c r="I588"/>
      <c r="J588"/>
      <c r="K588"/>
    </row>
    <row r="589" spans="2:11" x14ac:dyDescent="0.2">
      <c r="B589" s="2069"/>
      <c r="C589" s="2069"/>
      <c r="D589" s="2069"/>
      <c r="E589" s="2069"/>
      <c r="F589" s="2069"/>
      <c r="G589" s="2069"/>
      <c r="H589" s="2069"/>
      <c r="I589"/>
      <c r="J589"/>
      <c r="K589"/>
    </row>
    <row r="590" spans="2:11" x14ac:dyDescent="0.2">
      <c r="B590" s="2069"/>
      <c r="C590" s="2069"/>
      <c r="D590" s="2069"/>
      <c r="E590" s="2069"/>
      <c r="F590" s="2069"/>
      <c r="G590" s="2069"/>
      <c r="H590" s="2069"/>
      <c r="I590"/>
      <c r="J590"/>
      <c r="K590"/>
    </row>
    <row r="591" spans="2:11" x14ac:dyDescent="0.2">
      <c r="B591" s="2069"/>
      <c r="C591" s="2069"/>
      <c r="D591" s="2069"/>
      <c r="E591" s="2069"/>
      <c r="F591" s="2069"/>
      <c r="G591" s="2069"/>
      <c r="H591" s="2069"/>
      <c r="I591"/>
      <c r="J591"/>
      <c r="K591"/>
    </row>
    <row r="592" spans="2:11" x14ac:dyDescent="0.2">
      <c r="B592" s="2069"/>
      <c r="C592" s="2069"/>
      <c r="D592" s="2069"/>
      <c r="E592" s="2069"/>
      <c r="F592" s="2069"/>
      <c r="G592" s="2069"/>
      <c r="H592" s="2069"/>
      <c r="I592"/>
      <c r="J592"/>
      <c r="K592"/>
    </row>
    <row r="593" spans="2:11" x14ac:dyDescent="0.2">
      <c r="B593" s="2069"/>
      <c r="C593" s="2069"/>
      <c r="D593" s="2069"/>
      <c r="E593" s="2069"/>
      <c r="F593" s="2069"/>
      <c r="G593" s="2069"/>
      <c r="H593" s="2069"/>
      <c r="I593"/>
      <c r="J593"/>
      <c r="K593"/>
    </row>
    <row r="594" spans="2:11" x14ac:dyDescent="0.2">
      <c r="B594" s="2069"/>
      <c r="C594" s="2069"/>
      <c r="D594" s="2069"/>
      <c r="E594" s="2069"/>
      <c r="F594" s="2069"/>
      <c r="G594" s="2069"/>
      <c r="H594" s="2069"/>
      <c r="I594"/>
      <c r="J594"/>
      <c r="K594"/>
    </row>
    <row r="595" spans="2:11" x14ac:dyDescent="0.2">
      <c r="B595" s="2069"/>
      <c r="C595" s="2069"/>
      <c r="D595" s="2069"/>
      <c r="E595" s="2069"/>
      <c r="F595" s="2069"/>
      <c r="G595" s="2069"/>
      <c r="H595" s="2069"/>
      <c r="I595"/>
      <c r="J595"/>
      <c r="K595"/>
    </row>
    <row r="596" spans="2:11" x14ac:dyDescent="0.2">
      <c r="B596" s="2069"/>
      <c r="C596" s="2069"/>
      <c r="D596" s="2069"/>
      <c r="E596" s="2069"/>
      <c r="F596" s="2069"/>
      <c r="G596" s="2069"/>
      <c r="H596" s="2069"/>
      <c r="I596"/>
      <c r="J596"/>
      <c r="K596"/>
    </row>
    <row r="597" spans="2:11" x14ac:dyDescent="0.2">
      <c r="B597" s="2069"/>
      <c r="C597" s="2069"/>
      <c r="D597" s="2069"/>
      <c r="E597" s="2069"/>
      <c r="F597" s="2069"/>
      <c r="G597" s="2069"/>
      <c r="H597" s="2069"/>
      <c r="I597"/>
      <c r="J597"/>
      <c r="K597"/>
    </row>
    <row r="598" spans="2:11" x14ac:dyDescent="0.2">
      <c r="B598" s="2069"/>
      <c r="C598" s="2069"/>
      <c r="D598" s="2069"/>
      <c r="E598" s="2069"/>
      <c r="F598" s="2069"/>
      <c r="G598" s="2069"/>
      <c r="H598" s="2069"/>
      <c r="I598"/>
      <c r="J598"/>
      <c r="K598"/>
    </row>
    <row r="599" spans="2:11" x14ac:dyDescent="0.2">
      <c r="B599" s="2069"/>
      <c r="C599" s="2069"/>
      <c r="D599" s="2069"/>
      <c r="E599" s="2069"/>
      <c r="F599" s="2069"/>
      <c r="G599" s="2069"/>
      <c r="H599" s="2069"/>
      <c r="I599"/>
      <c r="J599"/>
      <c r="K599"/>
    </row>
    <row r="600" spans="2:11" x14ac:dyDescent="0.2">
      <c r="B600" s="2069"/>
      <c r="C600" s="2069"/>
      <c r="D600" s="2069"/>
      <c r="E600" s="2069"/>
      <c r="F600" s="2069"/>
      <c r="G600" s="2069"/>
      <c r="H600" s="2069"/>
      <c r="I600"/>
      <c r="J600"/>
      <c r="K600"/>
    </row>
    <row r="601" spans="2:11" x14ac:dyDescent="0.2">
      <c r="B601" s="2069"/>
      <c r="C601" s="2069"/>
      <c r="D601" s="2069"/>
      <c r="E601" s="2069"/>
      <c r="F601" s="2069"/>
      <c r="G601" s="2069"/>
      <c r="H601" s="2069"/>
      <c r="I601"/>
      <c r="J601"/>
      <c r="K601"/>
    </row>
    <row r="602" spans="2:11" x14ac:dyDescent="0.2">
      <c r="B602" s="2069"/>
      <c r="C602" s="2069"/>
      <c r="D602" s="2069"/>
      <c r="E602" s="2069"/>
      <c r="F602" s="2069"/>
      <c r="G602" s="2069"/>
      <c r="H602" s="2069"/>
      <c r="I602"/>
      <c r="J602"/>
      <c r="K602"/>
    </row>
    <row r="603" spans="2:11" x14ac:dyDescent="0.2">
      <c r="B603" s="2069"/>
      <c r="C603" s="2069"/>
      <c r="D603" s="2069"/>
      <c r="E603" s="2069"/>
      <c r="F603" s="2069"/>
      <c r="G603" s="2069"/>
      <c r="H603" s="2069"/>
      <c r="I603"/>
      <c r="J603"/>
      <c r="K603"/>
    </row>
    <row r="604" spans="2:11" x14ac:dyDescent="0.2">
      <c r="B604" s="2069"/>
      <c r="C604" s="2069"/>
      <c r="D604" s="2069"/>
      <c r="E604" s="2069"/>
      <c r="F604" s="2069"/>
      <c r="G604" s="2069"/>
      <c r="H604" s="2069"/>
      <c r="I604"/>
      <c r="J604"/>
      <c r="K604"/>
    </row>
    <row r="605" spans="2:11" x14ac:dyDescent="0.2">
      <c r="B605" s="2069"/>
      <c r="C605" s="2069"/>
      <c r="D605" s="2069"/>
      <c r="E605" s="2069"/>
      <c r="F605" s="2069"/>
      <c r="G605" s="2069"/>
      <c r="H605" s="2069"/>
      <c r="I605"/>
      <c r="J605"/>
      <c r="K605"/>
    </row>
    <row r="606" spans="2:11" x14ac:dyDescent="0.2">
      <c r="B606" s="2069"/>
      <c r="C606" s="2069"/>
      <c r="D606" s="2069"/>
      <c r="E606" s="2069"/>
      <c r="F606" s="2069"/>
      <c r="G606" s="2069"/>
      <c r="H606" s="2069"/>
      <c r="I606"/>
      <c r="J606"/>
      <c r="K606"/>
    </row>
    <row r="607" spans="2:11" x14ac:dyDescent="0.2">
      <c r="B607" s="2069"/>
      <c r="C607" s="2069"/>
      <c r="D607" s="2069"/>
      <c r="E607" s="2069"/>
      <c r="F607" s="2069"/>
      <c r="G607" s="2069"/>
      <c r="H607" s="2069"/>
      <c r="I607"/>
      <c r="J607"/>
      <c r="K607"/>
    </row>
    <row r="608" spans="2:11" x14ac:dyDescent="0.2">
      <c r="B608" s="2069"/>
      <c r="C608" s="2069"/>
      <c r="D608" s="2069"/>
      <c r="E608" s="2069"/>
      <c r="F608" s="2069"/>
      <c r="G608" s="2069"/>
      <c r="H608" s="2069"/>
      <c r="I608"/>
      <c r="J608"/>
      <c r="K608"/>
    </row>
    <row r="609" spans="2:11" x14ac:dyDescent="0.2">
      <c r="B609" s="2069"/>
      <c r="C609" s="2069"/>
      <c r="D609" s="2069"/>
      <c r="E609" s="2069"/>
      <c r="F609" s="2069"/>
      <c r="G609" s="2069"/>
      <c r="H609" s="2069"/>
      <c r="I609"/>
      <c r="J609"/>
      <c r="K609"/>
    </row>
    <row r="610" spans="2:11" x14ac:dyDescent="0.2">
      <c r="B610" s="2069"/>
      <c r="C610" s="2069"/>
      <c r="D610" s="2069"/>
      <c r="E610" s="2069"/>
      <c r="F610" s="2069"/>
      <c r="G610" s="2069"/>
      <c r="H610" s="2069"/>
      <c r="I610"/>
      <c r="J610"/>
      <c r="K610"/>
    </row>
    <row r="611" spans="2:11" x14ac:dyDescent="0.2">
      <c r="B611" s="2069"/>
      <c r="C611" s="2069"/>
      <c r="D611" s="2069"/>
      <c r="E611" s="2069"/>
      <c r="F611" s="2069"/>
      <c r="G611" s="2069"/>
      <c r="H611" s="2069"/>
      <c r="I611"/>
      <c r="J611"/>
      <c r="K611"/>
    </row>
    <row r="612" spans="2:11" x14ac:dyDescent="0.2">
      <c r="B612" s="2069"/>
      <c r="C612" s="2069"/>
      <c r="D612" s="2069"/>
      <c r="E612" s="2069"/>
      <c r="F612" s="2069"/>
      <c r="G612" s="2069"/>
      <c r="H612" s="2069"/>
      <c r="I612"/>
      <c r="J612"/>
      <c r="K612"/>
    </row>
    <row r="613" spans="2:11" x14ac:dyDescent="0.2">
      <c r="B613" s="2069"/>
      <c r="C613" s="2069"/>
      <c r="D613" s="2069"/>
      <c r="E613" s="2069"/>
      <c r="F613" s="2069"/>
      <c r="G613" s="2069"/>
      <c r="H613" s="2069"/>
      <c r="I613"/>
      <c r="J613"/>
      <c r="K613"/>
    </row>
    <row r="614" spans="2:11" x14ac:dyDescent="0.2">
      <c r="B614" s="2069"/>
      <c r="C614" s="2069"/>
      <c r="D614" s="2069"/>
      <c r="E614" s="2069"/>
      <c r="F614" s="2069"/>
      <c r="G614" s="2069"/>
      <c r="H614" s="2069"/>
      <c r="I614"/>
      <c r="J614"/>
      <c r="K614"/>
    </row>
    <row r="615" spans="2:11" x14ac:dyDescent="0.2">
      <c r="B615" s="2069"/>
      <c r="C615" s="2069"/>
      <c r="D615" s="2069"/>
      <c r="E615" s="2069"/>
      <c r="F615" s="2069"/>
      <c r="G615" s="2069"/>
      <c r="H615" s="2069"/>
      <c r="I615"/>
      <c r="J615"/>
      <c r="K615"/>
    </row>
    <row r="616" spans="2:11" x14ac:dyDescent="0.2">
      <c r="B616" s="2069"/>
      <c r="C616" s="2069"/>
      <c r="D616" s="2069"/>
      <c r="E616" s="2069"/>
      <c r="F616" s="2069"/>
      <c r="G616" s="2069"/>
      <c r="H616" s="2069"/>
      <c r="I616"/>
      <c r="J616"/>
      <c r="K616"/>
    </row>
    <row r="617" spans="2:11" x14ac:dyDescent="0.2">
      <c r="B617" s="2069"/>
      <c r="C617" s="2069"/>
      <c r="D617" s="2069"/>
      <c r="E617" s="2069"/>
      <c r="F617" s="2069"/>
      <c r="G617" s="2069"/>
      <c r="H617" s="2069"/>
      <c r="I617"/>
      <c r="J617"/>
      <c r="K617"/>
    </row>
    <row r="618" spans="2:11" x14ac:dyDescent="0.2">
      <c r="B618" s="2069"/>
      <c r="C618" s="2069"/>
      <c r="D618" s="2069"/>
      <c r="E618" s="2069"/>
      <c r="F618" s="2069"/>
      <c r="G618" s="2069"/>
      <c r="H618" s="2069"/>
      <c r="I618"/>
      <c r="J618"/>
      <c r="K618"/>
    </row>
    <row r="619" spans="2:11" x14ac:dyDescent="0.2">
      <c r="B619" s="2069"/>
      <c r="C619" s="2069"/>
      <c r="D619" s="2069"/>
      <c r="E619" s="2069"/>
      <c r="F619" s="2069"/>
      <c r="G619" s="2069"/>
      <c r="H619" s="2069"/>
      <c r="I619"/>
      <c r="J619"/>
      <c r="K619"/>
    </row>
    <row r="620" spans="2:11" x14ac:dyDescent="0.2">
      <c r="B620" s="2069"/>
      <c r="C620" s="2069"/>
      <c r="D620" s="2069"/>
      <c r="E620" s="2069"/>
      <c r="F620" s="2069"/>
      <c r="G620" s="2069"/>
      <c r="H620" s="2069"/>
      <c r="I620"/>
      <c r="J620"/>
      <c r="K620"/>
    </row>
    <row r="621" spans="2:11" x14ac:dyDescent="0.2">
      <c r="B621" s="2069"/>
      <c r="C621" s="2069"/>
      <c r="D621" s="2069"/>
      <c r="E621" s="2069"/>
      <c r="F621" s="2069"/>
      <c r="G621" s="2069"/>
      <c r="H621" s="2069"/>
      <c r="I621"/>
      <c r="J621"/>
      <c r="K621"/>
    </row>
    <row r="622" spans="2:11" x14ac:dyDescent="0.2">
      <c r="B622" s="2069"/>
      <c r="C622" s="2069"/>
      <c r="D622" s="2069"/>
      <c r="E622" s="2069"/>
      <c r="F622" s="2069"/>
      <c r="G622" s="2069"/>
      <c r="H622" s="2069"/>
      <c r="I622"/>
      <c r="J622"/>
      <c r="K622"/>
    </row>
    <row r="623" spans="2:11" x14ac:dyDescent="0.2">
      <c r="B623" s="2069"/>
      <c r="C623" s="2069"/>
      <c r="D623" s="2069"/>
      <c r="E623" s="2069"/>
      <c r="F623" s="2069"/>
      <c r="G623" s="2069"/>
      <c r="H623" s="2069"/>
      <c r="I623"/>
      <c r="J623"/>
      <c r="K623"/>
    </row>
    <row r="624" spans="2:11" x14ac:dyDescent="0.2">
      <c r="B624" s="2069"/>
      <c r="C624" s="2069"/>
      <c r="D624" s="2069"/>
      <c r="E624" s="2069"/>
      <c r="F624" s="2069"/>
      <c r="G624" s="2069"/>
      <c r="H624" s="2069"/>
      <c r="I624"/>
      <c r="J624"/>
      <c r="K624"/>
    </row>
    <row r="625" spans="2:11" x14ac:dyDescent="0.2">
      <c r="B625" s="2069"/>
      <c r="C625" s="2069"/>
      <c r="D625" s="2069"/>
      <c r="E625" s="2069"/>
      <c r="F625" s="2069"/>
      <c r="G625" s="2069"/>
      <c r="H625" s="2069"/>
      <c r="I625"/>
      <c r="J625"/>
      <c r="K625"/>
    </row>
    <row r="626" spans="2:11" x14ac:dyDescent="0.2">
      <c r="B626" s="2069"/>
      <c r="C626" s="2069"/>
      <c r="D626" s="2069"/>
      <c r="E626" s="2069"/>
      <c r="F626" s="2069"/>
      <c r="G626" s="2069"/>
      <c r="H626" s="2069"/>
      <c r="I626"/>
      <c r="J626"/>
      <c r="K626"/>
    </row>
    <row r="627" spans="2:11" x14ac:dyDescent="0.2">
      <c r="B627" s="2069"/>
      <c r="C627" s="2069"/>
      <c r="D627" s="2069"/>
      <c r="E627" s="2069"/>
      <c r="F627" s="2069"/>
      <c r="G627" s="2069"/>
      <c r="H627" s="2069"/>
      <c r="I627"/>
      <c r="J627"/>
      <c r="K627"/>
    </row>
    <row r="628" spans="2:11" x14ac:dyDescent="0.2">
      <c r="B628" s="2069"/>
      <c r="C628" s="2069"/>
      <c r="D628" s="2069"/>
      <c r="E628" s="2069"/>
      <c r="F628" s="2069"/>
      <c r="G628" s="2069"/>
      <c r="H628" s="2069"/>
      <c r="I628"/>
      <c r="J628"/>
      <c r="K628"/>
    </row>
    <row r="629" spans="2:11" x14ac:dyDescent="0.2">
      <c r="B629" s="2069"/>
      <c r="C629" s="2069"/>
      <c r="D629" s="2069"/>
      <c r="E629" s="2069"/>
      <c r="F629" s="2069"/>
      <c r="G629" s="2069"/>
      <c r="H629" s="2069"/>
      <c r="I629"/>
      <c r="J629"/>
      <c r="K629"/>
    </row>
    <row r="630" spans="2:11" x14ac:dyDescent="0.2">
      <c r="B630" s="2069"/>
      <c r="C630" s="2069"/>
      <c r="D630" s="2069"/>
      <c r="E630" s="2069"/>
      <c r="F630" s="2069"/>
      <c r="G630" s="2069"/>
      <c r="H630" s="2069"/>
      <c r="I630"/>
      <c r="J630"/>
      <c r="K630"/>
    </row>
    <row r="631" spans="2:11" x14ac:dyDescent="0.2">
      <c r="B631" s="2069"/>
      <c r="C631" s="2069"/>
      <c r="D631" s="2069"/>
      <c r="E631" s="2069"/>
      <c r="F631" s="2069"/>
      <c r="G631" s="2069"/>
      <c r="H631" s="2069"/>
      <c r="I631"/>
      <c r="J631"/>
      <c r="K631"/>
    </row>
    <row r="632" spans="2:11" x14ac:dyDescent="0.2">
      <c r="B632" s="2069"/>
      <c r="C632" s="2069"/>
      <c r="D632" s="2069"/>
      <c r="E632" s="2069"/>
      <c r="F632" s="2069"/>
      <c r="G632" s="2069"/>
      <c r="H632" s="2069"/>
      <c r="I632"/>
      <c r="J632"/>
      <c r="K632"/>
    </row>
    <row r="633" spans="2:11" x14ac:dyDescent="0.2">
      <c r="B633" s="2069"/>
      <c r="C633" s="2069"/>
      <c r="D633" s="2069"/>
      <c r="E633" s="2069"/>
      <c r="F633" s="2069"/>
      <c r="G633" s="2069"/>
      <c r="H633" s="2069"/>
      <c r="I633"/>
      <c r="J633"/>
      <c r="K633"/>
    </row>
    <row r="634" spans="2:11" x14ac:dyDescent="0.2">
      <c r="B634" s="2069"/>
      <c r="C634" s="2069"/>
      <c r="D634" s="2069"/>
      <c r="E634" s="2069"/>
      <c r="F634" s="2069"/>
      <c r="G634" s="2069"/>
      <c r="H634" s="2069"/>
      <c r="I634"/>
      <c r="J634"/>
      <c r="K634"/>
    </row>
    <row r="635" spans="2:11" x14ac:dyDescent="0.2">
      <c r="B635" s="2069"/>
      <c r="C635" s="2069"/>
      <c r="D635" s="2069"/>
      <c r="E635" s="2069"/>
      <c r="F635" s="2069"/>
      <c r="G635" s="2069"/>
      <c r="H635" s="2069"/>
      <c r="I635"/>
      <c r="J635"/>
      <c r="K635"/>
    </row>
    <row r="636" spans="2:11" x14ac:dyDescent="0.2">
      <c r="B636" s="2069"/>
      <c r="C636" s="2069"/>
      <c r="D636" s="2069"/>
      <c r="E636" s="2069"/>
      <c r="F636" s="2069"/>
      <c r="G636" s="2069"/>
      <c r="H636" s="2069"/>
      <c r="I636"/>
      <c r="J636"/>
      <c r="K636"/>
    </row>
    <row r="637" spans="2:11" x14ac:dyDescent="0.2">
      <c r="B637" s="2069"/>
      <c r="C637" s="2069"/>
      <c r="D637" s="2069"/>
      <c r="E637" s="2069"/>
      <c r="F637" s="2069"/>
      <c r="G637" s="2069"/>
      <c r="H637" s="2069"/>
      <c r="I637"/>
      <c r="J637"/>
      <c r="K637"/>
    </row>
    <row r="638" spans="2:11" x14ac:dyDescent="0.2">
      <c r="B638" s="2069"/>
      <c r="C638" s="2069"/>
      <c r="D638" s="2069"/>
      <c r="E638" s="2069"/>
      <c r="F638" s="2069"/>
      <c r="G638" s="2069"/>
      <c r="H638" s="2069"/>
      <c r="I638"/>
      <c r="J638"/>
      <c r="K638"/>
    </row>
    <row r="639" spans="2:11" x14ac:dyDescent="0.2">
      <c r="B639" s="2069"/>
      <c r="C639" s="2069"/>
      <c r="D639" s="2069"/>
      <c r="E639" s="2069"/>
      <c r="F639" s="2069"/>
      <c r="G639" s="2069"/>
      <c r="H639" s="2069"/>
      <c r="I639"/>
      <c r="J639"/>
      <c r="K639"/>
    </row>
    <row r="640" spans="2:11" x14ac:dyDescent="0.2">
      <c r="B640" s="2069"/>
      <c r="C640" s="2069"/>
      <c r="D640" s="2069"/>
      <c r="E640" s="2069"/>
      <c r="F640" s="2069"/>
      <c r="G640" s="2069"/>
      <c r="H640" s="2069"/>
      <c r="I640"/>
      <c r="J640"/>
      <c r="K640"/>
    </row>
    <row r="641" spans="2:11" x14ac:dyDescent="0.2">
      <c r="B641" s="2069"/>
      <c r="C641" s="2069"/>
      <c r="D641" s="2069"/>
      <c r="E641" s="2069"/>
      <c r="F641" s="2069"/>
      <c r="G641" s="2069"/>
      <c r="H641" s="2069"/>
      <c r="I641"/>
      <c r="J641"/>
      <c r="K641"/>
    </row>
    <row r="642" spans="2:11" x14ac:dyDescent="0.2">
      <c r="B642" s="2069"/>
      <c r="C642" s="2069"/>
      <c r="D642" s="2069"/>
      <c r="E642" s="2069"/>
      <c r="F642" s="2069"/>
      <c r="G642" s="2069"/>
      <c r="H642" s="2069"/>
      <c r="I642"/>
      <c r="J642"/>
      <c r="K642"/>
    </row>
    <row r="643" spans="2:11" x14ac:dyDescent="0.2">
      <c r="B643" s="2069"/>
      <c r="C643" s="2069"/>
      <c r="D643" s="2069"/>
      <c r="E643" s="2069"/>
      <c r="F643" s="2069"/>
      <c r="G643" s="2069"/>
      <c r="H643" s="2069"/>
      <c r="I643"/>
      <c r="J643"/>
      <c r="K643"/>
    </row>
    <row r="644" spans="2:11" x14ac:dyDescent="0.2">
      <c r="B644" s="2069"/>
      <c r="C644" s="2069"/>
      <c r="D644" s="2069"/>
      <c r="E644" s="2069"/>
      <c r="F644" s="2069"/>
      <c r="G644" s="2069"/>
      <c r="H644" s="2069"/>
      <c r="I644"/>
      <c r="J644"/>
      <c r="K644"/>
    </row>
    <row r="645" spans="2:11" x14ac:dyDescent="0.2">
      <c r="B645" s="2069"/>
      <c r="C645" s="2069"/>
      <c r="D645" s="2069"/>
      <c r="E645" s="2069"/>
      <c r="F645" s="2069"/>
      <c r="G645" s="2069"/>
      <c r="H645" s="2069"/>
      <c r="I645"/>
      <c r="J645"/>
      <c r="K645"/>
    </row>
    <row r="646" spans="2:11" x14ac:dyDescent="0.2">
      <c r="B646" s="2069"/>
      <c r="C646" s="2069"/>
      <c r="D646" s="2069"/>
      <c r="E646" s="2069"/>
      <c r="F646" s="2069"/>
      <c r="G646" s="2069"/>
      <c r="H646" s="2069"/>
      <c r="I646"/>
      <c r="J646"/>
      <c r="K646"/>
    </row>
    <row r="647" spans="2:11" x14ac:dyDescent="0.2">
      <c r="B647" s="2069"/>
      <c r="C647" s="2069"/>
      <c r="D647" s="2069"/>
      <c r="E647" s="2069"/>
      <c r="F647" s="2069"/>
      <c r="G647" s="2069"/>
      <c r="H647" s="2069"/>
      <c r="I647"/>
      <c r="J647"/>
      <c r="K647"/>
    </row>
    <row r="648" spans="2:11" x14ac:dyDescent="0.2">
      <c r="B648" s="2069"/>
      <c r="C648" s="2069"/>
      <c r="D648" s="2069"/>
      <c r="E648" s="2069"/>
      <c r="F648" s="2069"/>
      <c r="G648" s="2069"/>
      <c r="H648" s="2069"/>
      <c r="I648"/>
      <c r="J648"/>
      <c r="K648"/>
    </row>
    <row r="649" spans="2:11" x14ac:dyDescent="0.2">
      <c r="B649" s="2069"/>
      <c r="C649" s="2069"/>
      <c r="D649" s="2069"/>
      <c r="E649" s="2069"/>
      <c r="F649" s="2069"/>
      <c r="G649" s="2069"/>
      <c r="H649" s="2069"/>
      <c r="I649"/>
      <c r="J649"/>
      <c r="K649"/>
    </row>
    <row r="650" spans="2:11" x14ac:dyDescent="0.2">
      <c r="B650" s="2069"/>
      <c r="C650" s="2069"/>
      <c r="D650" s="2069"/>
      <c r="E650" s="2069"/>
      <c r="F650" s="2069"/>
      <c r="G650" s="2069"/>
      <c r="H650" s="2069"/>
      <c r="I650"/>
      <c r="J650"/>
      <c r="K650"/>
    </row>
    <row r="651" spans="2:11" x14ac:dyDescent="0.2">
      <c r="B651" s="2069"/>
      <c r="C651" s="2069"/>
      <c r="D651" s="2069"/>
      <c r="E651" s="2069"/>
      <c r="F651" s="2069"/>
      <c r="G651" s="2069"/>
      <c r="H651" s="2069"/>
      <c r="I651"/>
      <c r="J651"/>
      <c r="K651"/>
    </row>
    <row r="652" spans="2:11" x14ac:dyDescent="0.2">
      <c r="B652" s="2069"/>
      <c r="C652" s="2069"/>
      <c r="D652" s="2069"/>
      <c r="E652" s="2069"/>
      <c r="F652" s="2069"/>
      <c r="G652" s="2069"/>
      <c r="H652" s="2069"/>
      <c r="I652"/>
      <c r="J652"/>
      <c r="K652"/>
    </row>
    <row r="653" spans="2:11" x14ac:dyDescent="0.2">
      <c r="B653" s="2069"/>
      <c r="C653" s="2069"/>
      <c r="D653" s="2069"/>
      <c r="E653" s="2069"/>
      <c r="F653" s="2069"/>
      <c r="G653" s="2069"/>
      <c r="H653" s="2069"/>
      <c r="I653"/>
      <c r="J653"/>
      <c r="K653"/>
    </row>
    <row r="654" spans="2:11" x14ac:dyDescent="0.2">
      <c r="B654" s="2069"/>
      <c r="C654" s="2069"/>
      <c r="D654" s="2069"/>
      <c r="E654" s="2069"/>
      <c r="F654" s="2069"/>
      <c r="G654" s="2069"/>
      <c r="H654" s="2069"/>
      <c r="I654"/>
      <c r="J654"/>
      <c r="K654"/>
    </row>
    <row r="655" spans="2:11" x14ac:dyDescent="0.2">
      <c r="B655" s="2069"/>
      <c r="C655" s="2069"/>
      <c r="D655" s="2069"/>
      <c r="E655" s="2069"/>
      <c r="F655" s="2069"/>
      <c r="G655" s="2069"/>
      <c r="H655" s="2069"/>
      <c r="I655"/>
      <c r="J655"/>
      <c r="K655"/>
    </row>
    <row r="656" spans="2:11" x14ac:dyDescent="0.2">
      <c r="B656" s="2069"/>
      <c r="C656" s="2069"/>
      <c r="D656" s="2069"/>
      <c r="E656" s="2069"/>
      <c r="F656" s="2069"/>
      <c r="G656" s="2069"/>
      <c r="H656" s="2069"/>
      <c r="I656"/>
      <c r="J656"/>
      <c r="K656"/>
    </row>
    <row r="657" spans="2:11" x14ac:dyDescent="0.2">
      <c r="B657" s="2069"/>
      <c r="C657" s="2069"/>
      <c r="D657" s="2069"/>
      <c r="E657" s="2069"/>
      <c r="F657" s="2069"/>
      <c r="G657" s="2069"/>
      <c r="H657" s="2069"/>
      <c r="I657"/>
      <c r="J657"/>
      <c r="K657"/>
    </row>
    <row r="658" spans="2:11" x14ac:dyDescent="0.2">
      <c r="B658" s="2069"/>
      <c r="C658" s="2069"/>
      <c r="D658" s="2069"/>
      <c r="E658" s="2069"/>
      <c r="F658" s="2069"/>
      <c r="G658" s="2069"/>
      <c r="H658" s="2069"/>
      <c r="I658"/>
      <c r="J658"/>
      <c r="K658"/>
    </row>
    <row r="659" spans="2:11" x14ac:dyDescent="0.2">
      <c r="B659" s="2069"/>
      <c r="C659" s="2069"/>
      <c r="D659" s="2069"/>
      <c r="E659" s="2069"/>
      <c r="F659" s="2069"/>
      <c r="G659" s="2069"/>
      <c r="H659" s="2069"/>
      <c r="I659"/>
      <c r="J659"/>
      <c r="K659"/>
    </row>
    <row r="660" spans="2:11" x14ac:dyDescent="0.2">
      <c r="B660" s="2069"/>
      <c r="C660" s="2069"/>
      <c r="D660" s="2069"/>
      <c r="E660" s="2069"/>
      <c r="F660" s="2069"/>
      <c r="G660" s="2069"/>
      <c r="H660" s="2069"/>
      <c r="I660"/>
      <c r="J660"/>
      <c r="K660"/>
    </row>
    <row r="661" spans="2:11" x14ac:dyDescent="0.2">
      <c r="B661" s="2069"/>
      <c r="C661" s="2069"/>
      <c r="D661" s="2069"/>
      <c r="E661" s="2069"/>
      <c r="F661" s="2069"/>
      <c r="G661" s="2069"/>
      <c r="H661" s="2069"/>
      <c r="I661"/>
      <c r="J661"/>
      <c r="K661"/>
    </row>
    <row r="662" spans="2:11" x14ac:dyDescent="0.2">
      <c r="B662" s="2069"/>
      <c r="C662" s="2069"/>
      <c r="D662" s="2069"/>
      <c r="E662" s="2069"/>
      <c r="F662" s="2069"/>
      <c r="G662" s="2069"/>
      <c r="H662" s="2069"/>
      <c r="I662"/>
      <c r="J662"/>
      <c r="K662"/>
    </row>
    <row r="663" spans="2:11" x14ac:dyDescent="0.2">
      <c r="B663" s="2069"/>
      <c r="C663" s="2069"/>
      <c r="D663" s="2069"/>
      <c r="E663" s="2069"/>
      <c r="F663" s="2069"/>
      <c r="G663" s="2069"/>
      <c r="H663" s="2069"/>
      <c r="I663"/>
      <c r="J663"/>
      <c r="K663"/>
    </row>
    <row r="664" spans="2:11" x14ac:dyDescent="0.2">
      <c r="B664" s="2069"/>
      <c r="C664" s="2069"/>
      <c r="D664" s="2069"/>
      <c r="E664" s="2069"/>
      <c r="F664" s="2069"/>
      <c r="G664" s="2069"/>
      <c r="H664" s="2069"/>
      <c r="I664"/>
      <c r="J664"/>
      <c r="K664"/>
    </row>
    <row r="665" spans="2:11" x14ac:dyDescent="0.2">
      <c r="B665" s="2069"/>
      <c r="C665" s="2069"/>
      <c r="D665" s="2069"/>
      <c r="E665" s="2069"/>
      <c r="F665" s="2069"/>
      <c r="G665" s="2069"/>
      <c r="H665" s="2069"/>
      <c r="I665"/>
      <c r="J665"/>
      <c r="K665"/>
    </row>
    <row r="666" spans="2:11" x14ac:dyDescent="0.2">
      <c r="B666" s="2069"/>
      <c r="C666" s="2069"/>
      <c r="D666" s="2069"/>
      <c r="E666" s="2069"/>
      <c r="F666" s="2069"/>
      <c r="G666" s="2069"/>
      <c r="H666" s="2069"/>
      <c r="I666"/>
      <c r="J666"/>
      <c r="K666"/>
    </row>
    <row r="667" spans="2:11" x14ac:dyDescent="0.2">
      <c r="B667" s="2069"/>
      <c r="C667" s="2069"/>
      <c r="D667" s="2069"/>
      <c r="E667" s="2069"/>
      <c r="F667" s="2069"/>
      <c r="G667" s="2069"/>
      <c r="H667" s="2069"/>
      <c r="I667"/>
      <c r="J667"/>
      <c r="K667"/>
    </row>
    <row r="668" spans="2:11" x14ac:dyDescent="0.2">
      <c r="B668" s="2069"/>
      <c r="C668" s="2069"/>
      <c r="D668" s="2069"/>
      <c r="E668" s="2069"/>
      <c r="F668" s="2069"/>
      <c r="G668" s="2069"/>
      <c r="H668" s="2069"/>
      <c r="I668"/>
      <c r="J668"/>
      <c r="K668"/>
    </row>
    <row r="669" spans="2:11" x14ac:dyDescent="0.2">
      <c r="B669" s="2069"/>
      <c r="C669" s="2069"/>
      <c r="D669" s="2069"/>
      <c r="E669" s="2069"/>
      <c r="F669" s="2069"/>
      <c r="G669" s="2069"/>
      <c r="H669" s="2069"/>
      <c r="I669"/>
      <c r="J669"/>
      <c r="K669"/>
    </row>
    <row r="670" spans="2:11" x14ac:dyDescent="0.2">
      <c r="B670" s="2069"/>
      <c r="C670" s="2069"/>
      <c r="D670" s="2069"/>
      <c r="E670" s="2069"/>
      <c r="F670" s="2069"/>
      <c r="G670" s="2069"/>
      <c r="H670" s="2069"/>
      <c r="I670"/>
      <c r="J670"/>
      <c r="K670"/>
    </row>
    <row r="671" spans="2:11" x14ac:dyDescent="0.2">
      <c r="B671" s="2069"/>
      <c r="C671" s="2069"/>
      <c r="D671" s="2069"/>
      <c r="E671" s="2069"/>
      <c r="F671" s="2069"/>
      <c r="G671" s="2069"/>
      <c r="H671" s="2069"/>
      <c r="I671"/>
      <c r="J671"/>
      <c r="K671"/>
    </row>
    <row r="672" spans="2:11" x14ac:dyDescent="0.2">
      <c r="B672" s="2069"/>
      <c r="C672" s="2069"/>
      <c r="D672" s="2069"/>
      <c r="E672" s="2069"/>
      <c r="F672" s="2069"/>
      <c r="G672" s="2069"/>
      <c r="H672" s="2069"/>
      <c r="I672"/>
      <c r="J672"/>
      <c r="K672"/>
    </row>
    <row r="673" spans="2:11" x14ac:dyDescent="0.2">
      <c r="B673" s="2069"/>
      <c r="C673" s="2069"/>
      <c r="D673" s="2069"/>
      <c r="E673" s="2069"/>
      <c r="F673" s="2069"/>
      <c r="G673" s="2069"/>
      <c r="H673" s="2069"/>
      <c r="I673"/>
      <c r="J673"/>
      <c r="K673"/>
    </row>
    <row r="674" spans="2:11" x14ac:dyDescent="0.2">
      <c r="B674" s="2069"/>
      <c r="C674" s="2069"/>
      <c r="D674" s="2069"/>
      <c r="E674" s="2069"/>
      <c r="F674" s="2069"/>
      <c r="G674" s="2069"/>
      <c r="H674" s="2069"/>
      <c r="I674"/>
      <c r="J674"/>
      <c r="K674"/>
    </row>
    <row r="675" spans="2:11" x14ac:dyDescent="0.2">
      <c r="B675" s="2069"/>
      <c r="C675" s="2069"/>
      <c r="D675" s="2069"/>
      <c r="E675" s="2069"/>
      <c r="F675" s="2069"/>
      <c r="G675" s="2069"/>
      <c r="H675" s="2069"/>
      <c r="I675"/>
      <c r="J675"/>
      <c r="K675"/>
    </row>
    <row r="676" spans="2:11" x14ac:dyDescent="0.2">
      <c r="B676" s="2069"/>
      <c r="C676" s="2069"/>
      <c r="D676" s="2069"/>
      <c r="E676" s="2069"/>
      <c r="F676" s="2069"/>
      <c r="G676" s="2069"/>
      <c r="H676" s="2069"/>
      <c r="I676"/>
      <c r="J676"/>
      <c r="K676"/>
    </row>
    <row r="677" spans="2:11" x14ac:dyDescent="0.2">
      <c r="B677" s="2069"/>
      <c r="C677" s="2069"/>
      <c r="D677" s="2069"/>
      <c r="E677" s="2069"/>
      <c r="F677" s="2069"/>
      <c r="G677" s="2069"/>
      <c r="H677" s="2069"/>
      <c r="I677"/>
      <c r="J677"/>
      <c r="K677"/>
    </row>
    <row r="678" spans="2:11" x14ac:dyDescent="0.2">
      <c r="B678" s="2069"/>
      <c r="C678" s="2069"/>
      <c r="D678" s="2069"/>
      <c r="E678" s="2069"/>
      <c r="F678" s="2069"/>
      <c r="G678" s="2069"/>
      <c r="H678" s="2069"/>
      <c r="I678"/>
      <c r="J678"/>
      <c r="K678"/>
    </row>
    <row r="679" spans="2:11" x14ac:dyDescent="0.2">
      <c r="B679" s="2069"/>
      <c r="C679" s="2069"/>
      <c r="D679" s="2069"/>
      <c r="E679" s="2069"/>
      <c r="F679" s="2069"/>
      <c r="G679" s="2069"/>
      <c r="H679" s="2069"/>
      <c r="I679"/>
      <c r="J679"/>
      <c r="K679"/>
    </row>
    <row r="680" spans="2:11" x14ac:dyDescent="0.2">
      <c r="B680" s="2069"/>
      <c r="C680" s="2069"/>
      <c r="D680" s="2069"/>
      <c r="E680" s="2069"/>
      <c r="F680" s="2069"/>
      <c r="G680" s="2069"/>
      <c r="H680" s="2069"/>
      <c r="I680"/>
      <c r="J680"/>
      <c r="K680"/>
    </row>
    <row r="681" spans="2:11" x14ac:dyDescent="0.2">
      <c r="B681" s="2069"/>
      <c r="C681" s="2069"/>
      <c r="D681" s="2069"/>
      <c r="E681" s="2069"/>
      <c r="F681" s="2069"/>
      <c r="G681" s="2069"/>
      <c r="H681" s="2069"/>
      <c r="I681"/>
      <c r="J681"/>
      <c r="K681"/>
    </row>
    <row r="682" spans="2:11" x14ac:dyDescent="0.2">
      <c r="B682" s="2069"/>
      <c r="C682" s="2069"/>
      <c r="D682" s="2069"/>
      <c r="E682" s="2069"/>
      <c r="F682" s="2069"/>
      <c r="G682" s="2069"/>
      <c r="H682" s="2069"/>
      <c r="I682"/>
      <c r="J682"/>
      <c r="K682"/>
    </row>
    <row r="683" spans="2:11" x14ac:dyDescent="0.2">
      <c r="B683" s="2069"/>
      <c r="C683" s="2069"/>
      <c r="D683" s="2069"/>
      <c r="E683" s="2069"/>
      <c r="F683" s="2069"/>
      <c r="G683" s="2069"/>
      <c r="H683" s="2069"/>
      <c r="I683"/>
      <c r="J683"/>
      <c r="K683"/>
    </row>
    <row r="684" spans="2:11" x14ac:dyDescent="0.2">
      <c r="B684" s="2069"/>
      <c r="C684" s="2069"/>
      <c r="D684" s="2069"/>
      <c r="E684" s="2069"/>
      <c r="F684" s="2069"/>
      <c r="G684" s="2069"/>
      <c r="H684" s="2069"/>
      <c r="I684"/>
      <c r="J684"/>
      <c r="K684"/>
    </row>
    <row r="685" spans="2:11" x14ac:dyDescent="0.2">
      <c r="B685" s="2069"/>
      <c r="C685" s="2069"/>
      <c r="D685" s="2069"/>
      <c r="E685" s="2069"/>
      <c r="F685" s="2069"/>
      <c r="G685" s="2069"/>
      <c r="H685" s="2069"/>
      <c r="I685"/>
      <c r="J685"/>
      <c r="K685"/>
    </row>
    <row r="686" spans="2:11" x14ac:dyDescent="0.2">
      <c r="B686" s="2069"/>
      <c r="C686" s="2069"/>
      <c r="D686" s="2069"/>
      <c r="E686" s="2069"/>
      <c r="F686" s="2069"/>
      <c r="G686" s="2069"/>
      <c r="H686" s="2069"/>
      <c r="I686"/>
      <c r="J686"/>
      <c r="K686"/>
    </row>
    <row r="687" spans="2:11" x14ac:dyDescent="0.2">
      <c r="B687" s="2069"/>
      <c r="C687" s="2069"/>
      <c r="D687" s="2069"/>
      <c r="E687" s="2069"/>
      <c r="F687" s="2069"/>
      <c r="G687" s="2069"/>
      <c r="H687" s="2069"/>
      <c r="I687"/>
      <c r="J687"/>
      <c r="K687"/>
    </row>
    <row r="688" spans="2:11" x14ac:dyDescent="0.2">
      <c r="B688" s="2069"/>
      <c r="C688" s="2069"/>
      <c r="D688" s="2069"/>
      <c r="E688" s="2069"/>
      <c r="F688" s="2069"/>
      <c r="G688" s="2069"/>
      <c r="H688" s="2069"/>
      <c r="I688"/>
      <c r="J688"/>
      <c r="K688"/>
    </row>
    <row r="689" spans="2:11" x14ac:dyDescent="0.2">
      <c r="B689" s="2069"/>
      <c r="C689" s="2069"/>
      <c r="D689" s="2069"/>
      <c r="E689" s="2069"/>
      <c r="F689" s="2069"/>
      <c r="G689" s="2069"/>
      <c r="H689" s="2069"/>
      <c r="I689"/>
      <c r="J689"/>
      <c r="K689"/>
    </row>
    <row r="690" spans="2:11" x14ac:dyDescent="0.2">
      <c r="B690" s="2069"/>
      <c r="C690" s="2069"/>
      <c r="D690" s="2069"/>
      <c r="E690" s="2069"/>
      <c r="F690" s="2069"/>
      <c r="G690" s="2069"/>
      <c r="H690" s="2069"/>
      <c r="I690"/>
      <c r="J690"/>
      <c r="K690"/>
    </row>
    <row r="691" spans="2:11" x14ac:dyDescent="0.2">
      <c r="B691" s="2069"/>
      <c r="C691" s="2069"/>
      <c r="D691" s="2069"/>
      <c r="E691" s="2069"/>
      <c r="F691" s="2069"/>
      <c r="G691" s="2069"/>
      <c r="H691" s="2069"/>
      <c r="I691"/>
      <c r="J691"/>
      <c r="K691"/>
    </row>
    <row r="692" spans="2:11" x14ac:dyDescent="0.2">
      <c r="B692" s="2069"/>
      <c r="C692" s="2069"/>
      <c r="D692" s="2069"/>
      <c r="E692" s="2069"/>
      <c r="F692" s="2069"/>
      <c r="G692" s="2069"/>
      <c r="H692" s="2069"/>
      <c r="I692"/>
      <c r="J692"/>
      <c r="K692"/>
    </row>
    <row r="693" spans="2:11" x14ac:dyDescent="0.2">
      <c r="B693" s="2069"/>
      <c r="C693" s="2069"/>
      <c r="D693" s="2069"/>
      <c r="E693" s="2069"/>
      <c r="F693" s="2069"/>
      <c r="G693" s="2069"/>
      <c r="H693" s="2069"/>
      <c r="I693"/>
      <c r="J693"/>
      <c r="K693"/>
    </row>
    <row r="694" spans="2:11" x14ac:dyDescent="0.2">
      <c r="B694" s="2069"/>
      <c r="C694" s="2069"/>
      <c r="D694" s="2069"/>
      <c r="E694" s="2069"/>
      <c r="F694" s="2069"/>
      <c r="G694" s="2069"/>
      <c r="H694" s="2069"/>
      <c r="I694"/>
      <c r="J694"/>
      <c r="K694"/>
    </row>
    <row r="695" spans="2:11" x14ac:dyDescent="0.2">
      <c r="B695" s="2069"/>
      <c r="C695" s="2069"/>
      <c r="D695" s="2069"/>
      <c r="E695" s="2069"/>
      <c r="F695" s="2069"/>
      <c r="G695" s="2069"/>
      <c r="H695" s="2069"/>
      <c r="I695"/>
      <c r="J695"/>
      <c r="K695"/>
    </row>
    <row r="696" spans="2:11" x14ac:dyDescent="0.2">
      <c r="B696" s="2069"/>
      <c r="C696" s="2069"/>
      <c r="D696" s="2069"/>
      <c r="E696" s="2069"/>
      <c r="F696" s="2069"/>
      <c r="G696" s="2069"/>
      <c r="H696" s="2069"/>
      <c r="I696"/>
      <c r="J696"/>
      <c r="K696"/>
    </row>
    <row r="697" spans="2:11" x14ac:dyDescent="0.2">
      <c r="B697" s="2069"/>
      <c r="C697" s="2069"/>
      <c r="D697" s="2069"/>
      <c r="E697" s="2069"/>
      <c r="F697" s="2069"/>
      <c r="G697" s="2069"/>
      <c r="H697" s="2069"/>
      <c r="I697"/>
      <c r="J697"/>
      <c r="K697"/>
    </row>
    <row r="698" spans="2:11" x14ac:dyDescent="0.2">
      <c r="B698" s="2069"/>
      <c r="C698" s="2069"/>
      <c r="D698" s="2069"/>
      <c r="E698" s="2069"/>
      <c r="F698" s="2069"/>
      <c r="G698" s="2069"/>
      <c r="H698" s="2069"/>
      <c r="I698"/>
      <c r="J698"/>
      <c r="K698"/>
    </row>
    <row r="699" spans="2:11" x14ac:dyDescent="0.2">
      <c r="B699" s="2069"/>
      <c r="C699" s="2069"/>
      <c r="D699" s="2069"/>
      <c r="E699" s="2069"/>
      <c r="F699" s="2069"/>
      <c r="G699" s="2069"/>
      <c r="H699" s="2069"/>
      <c r="I699"/>
      <c r="J699"/>
      <c r="K699"/>
    </row>
    <row r="700" spans="2:11" x14ac:dyDescent="0.2">
      <c r="B700" s="2069"/>
      <c r="C700" s="2069"/>
      <c r="D700" s="2069"/>
      <c r="E700" s="2069"/>
      <c r="F700" s="2069"/>
      <c r="G700" s="2069"/>
      <c r="H700" s="2069"/>
      <c r="I700"/>
      <c r="J700"/>
      <c r="K700"/>
    </row>
    <row r="701" spans="2:11" x14ac:dyDescent="0.2">
      <c r="B701" s="2069"/>
      <c r="C701" s="2069"/>
      <c r="D701" s="2069"/>
      <c r="E701" s="2069"/>
      <c r="F701" s="2069"/>
      <c r="G701" s="2069"/>
      <c r="H701" s="2069"/>
      <c r="I701"/>
      <c r="J701"/>
      <c r="K701"/>
    </row>
    <row r="702" spans="2:11" x14ac:dyDescent="0.2">
      <c r="B702" s="2069"/>
      <c r="C702" s="2069"/>
      <c r="D702" s="2069"/>
      <c r="E702" s="2069"/>
      <c r="F702" s="2069"/>
      <c r="G702" s="2069"/>
      <c r="H702" s="2069"/>
      <c r="I702"/>
      <c r="J702"/>
      <c r="K702"/>
    </row>
    <row r="703" spans="2:11" x14ac:dyDescent="0.2">
      <c r="B703" s="2069"/>
      <c r="C703" s="2069"/>
      <c r="D703" s="2069"/>
      <c r="E703" s="2069"/>
      <c r="F703" s="2069"/>
      <c r="G703" s="2069"/>
      <c r="H703" s="2069"/>
      <c r="I703"/>
      <c r="J703"/>
      <c r="K703"/>
    </row>
    <row r="704" spans="2:11" x14ac:dyDescent="0.2">
      <c r="B704" s="2069"/>
      <c r="C704" s="2069"/>
      <c r="D704" s="2069"/>
      <c r="E704" s="2069"/>
      <c r="F704" s="2069"/>
      <c r="G704" s="2069"/>
      <c r="H704" s="2069"/>
      <c r="I704"/>
      <c r="J704"/>
      <c r="K704"/>
    </row>
    <row r="705" spans="2:11" x14ac:dyDescent="0.2">
      <c r="B705" s="2069"/>
      <c r="C705" s="2069"/>
      <c r="D705" s="2069"/>
      <c r="E705" s="2069"/>
      <c r="F705" s="2069"/>
      <c r="G705" s="2069"/>
      <c r="H705" s="2069"/>
      <c r="I705"/>
      <c r="J705"/>
      <c r="K705"/>
    </row>
    <row r="706" spans="2:11" x14ac:dyDescent="0.2">
      <c r="B706" s="2069"/>
      <c r="C706" s="2069"/>
      <c r="D706" s="2069"/>
      <c r="E706" s="2069"/>
      <c r="F706" s="2069"/>
      <c r="G706" s="2069"/>
      <c r="H706" s="2069"/>
      <c r="I706"/>
      <c r="J706"/>
      <c r="K706"/>
    </row>
    <row r="707" spans="2:11" x14ac:dyDescent="0.2">
      <c r="B707" s="2069"/>
      <c r="C707" s="2069"/>
      <c r="D707" s="2069"/>
      <c r="E707" s="2069"/>
      <c r="F707" s="2069"/>
      <c r="G707" s="2069"/>
      <c r="H707" s="2069"/>
      <c r="I707"/>
      <c r="J707"/>
      <c r="K707"/>
    </row>
    <row r="708" spans="2:11" x14ac:dyDescent="0.2">
      <c r="B708" s="2069"/>
      <c r="C708" s="2069"/>
      <c r="D708" s="2069"/>
      <c r="E708" s="2069"/>
      <c r="F708" s="2069"/>
      <c r="G708" s="2069"/>
      <c r="H708" s="2069"/>
      <c r="I708"/>
      <c r="J708"/>
      <c r="K708"/>
    </row>
    <row r="709" spans="2:11" x14ac:dyDescent="0.2">
      <c r="B709" s="2069"/>
      <c r="C709" s="2069"/>
      <c r="D709" s="2069"/>
      <c r="E709" s="2069"/>
      <c r="F709" s="2069"/>
      <c r="G709" s="2069"/>
      <c r="H709" s="2069"/>
      <c r="I709"/>
      <c r="J709"/>
      <c r="K709"/>
    </row>
    <row r="710" spans="2:11" x14ac:dyDescent="0.2">
      <c r="B710" s="2069"/>
      <c r="C710" s="2069"/>
      <c r="D710" s="2069"/>
      <c r="E710" s="2069"/>
      <c r="F710" s="2069"/>
      <c r="G710" s="2069"/>
      <c r="H710" s="2069"/>
      <c r="I710"/>
      <c r="J710"/>
      <c r="K710"/>
    </row>
    <row r="711" spans="2:11" x14ac:dyDescent="0.2">
      <c r="B711" s="2069"/>
      <c r="C711" s="2069"/>
      <c r="D711" s="2069"/>
      <c r="E711" s="2069"/>
      <c r="F711" s="2069"/>
      <c r="G711" s="2069"/>
      <c r="H711" s="2069"/>
      <c r="I711"/>
      <c r="J711"/>
      <c r="K711"/>
    </row>
    <row r="712" spans="2:11" x14ac:dyDescent="0.2">
      <c r="B712" s="2069"/>
      <c r="C712" s="2069"/>
      <c r="D712" s="2069"/>
      <c r="E712" s="2069"/>
      <c r="F712" s="2069"/>
      <c r="G712" s="2069"/>
      <c r="H712" s="2069"/>
      <c r="I712"/>
      <c r="J712"/>
      <c r="K712"/>
    </row>
    <row r="713" spans="2:11" x14ac:dyDescent="0.2">
      <c r="B713" s="2069"/>
      <c r="C713" s="2069"/>
      <c r="D713" s="2069"/>
      <c r="E713" s="2069"/>
      <c r="F713" s="2069"/>
      <c r="G713" s="2069"/>
      <c r="H713" s="2069"/>
      <c r="I713"/>
      <c r="J713"/>
      <c r="K713"/>
    </row>
    <row r="714" spans="2:11" x14ac:dyDescent="0.2">
      <c r="B714" s="2069"/>
      <c r="C714" s="2069"/>
      <c r="D714" s="2069"/>
      <c r="E714" s="2069"/>
      <c r="F714" s="2069"/>
      <c r="G714" s="2069"/>
      <c r="H714" s="2069"/>
      <c r="I714"/>
      <c r="J714"/>
      <c r="K714"/>
    </row>
    <row r="715" spans="2:11" x14ac:dyDescent="0.2">
      <c r="B715" s="2069"/>
      <c r="C715" s="2069"/>
      <c r="D715" s="2069"/>
      <c r="E715" s="2069"/>
      <c r="F715" s="2069"/>
      <c r="G715" s="2069"/>
      <c r="H715" s="2069"/>
      <c r="I715"/>
      <c r="J715"/>
      <c r="K715"/>
    </row>
    <row r="716" spans="2:11" x14ac:dyDescent="0.2">
      <c r="B716" s="2069"/>
      <c r="C716" s="2069"/>
      <c r="D716" s="2069"/>
      <c r="E716" s="2069"/>
      <c r="F716" s="2069"/>
      <c r="G716" s="2069"/>
      <c r="H716" s="2069"/>
      <c r="I716"/>
      <c r="J716"/>
      <c r="K716"/>
    </row>
    <row r="717" spans="2:11" x14ac:dyDescent="0.2">
      <c r="B717" s="2069"/>
      <c r="C717" s="2069"/>
      <c r="D717" s="2069"/>
      <c r="E717" s="2069"/>
      <c r="F717" s="2069"/>
      <c r="G717" s="2069"/>
      <c r="H717" s="2069"/>
      <c r="I717"/>
      <c r="J717"/>
      <c r="K717"/>
    </row>
    <row r="718" spans="2:11" x14ac:dyDescent="0.2">
      <c r="B718" s="2069"/>
      <c r="C718" s="2069"/>
      <c r="D718" s="2069"/>
      <c r="E718" s="2069"/>
      <c r="F718" s="2069"/>
      <c r="G718" s="2069"/>
      <c r="H718" s="2069"/>
      <c r="I718"/>
      <c r="J718"/>
      <c r="K718"/>
    </row>
    <row r="719" spans="2:11" x14ac:dyDescent="0.2">
      <c r="B719" s="2069"/>
      <c r="C719" s="2069"/>
      <c r="D719" s="2069"/>
      <c r="E719" s="2069"/>
      <c r="F719" s="2069"/>
      <c r="G719" s="2069"/>
      <c r="H719" s="2069"/>
      <c r="I719"/>
      <c r="J719"/>
      <c r="K719"/>
    </row>
    <row r="720" spans="2:11" x14ac:dyDescent="0.2">
      <c r="B720" s="2069"/>
      <c r="C720" s="2069"/>
      <c r="D720" s="2069"/>
      <c r="E720" s="2069"/>
      <c r="F720" s="2069"/>
      <c r="G720" s="2069"/>
      <c r="H720" s="2069"/>
      <c r="I720"/>
      <c r="J720"/>
      <c r="K720"/>
    </row>
    <row r="721" spans="2:11" x14ac:dyDescent="0.2">
      <c r="B721" s="2069"/>
      <c r="C721" s="2069"/>
      <c r="D721" s="2069"/>
      <c r="E721" s="2069"/>
      <c r="F721" s="2069"/>
      <c r="G721" s="2069"/>
      <c r="H721" s="2069"/>
      <c r="I721"/>
      <c r="J721"/>
      <c r="K721"/>
    </row>
    <row r="722" spans="2:11" x14ac:dyDescent="0.2">
      <c r="B722" s="2069"/>
      <c r="C722" s="2069"/>
      <c r="D722" s="2069"/>
      <c r="E722" s="2069"/>
      <c r="F722" s="2069"/>
      <c r="G722" s="2069"/>
      <c r="H722" s="2069"/>
      <c r="I722"/>
      <c r="J722"/>
      <c r="K722"/>
    </row>
    <row r="723" spans="2:11" x14ac:dyDescent="0.2">
      <c r="B723" s="2069"/>
      <c r="C723" s="2069"/>
      <c r="D723" s="2069"/>
      <c r="E723" s="2069"/>
      <c r="F723" s="2069"/>
      <c r="G723" s="2069"/>
      <c r="H723" s="2069"/>
      <c r="I723"/>
      <c r="J723"/>
      <c r="K723"/>
    </row>
    <row r="724" spans="2:11" x14ac:dyDescent="0.2">
      <c r="B724" s="2069"/>
      <c r="C724" s="2069"/>
      <c r="D724" s="2069"/>
      <c r="E724" s="2069"/>
      <c r="F724" s="2069"/>
      <c r="G724" s="2069"/>
      <c r="H724" s="2069"/>
      <c r="I724"/>
      <c r="J724"/>
      <c r="K724"/>
    </row>
    <row r="725" spans="2:11" x14ac:dyDescent="0.2">
      <c r="B725" s="2069"/>
      <c r="C725" s="2069"/>
      <c r="D725" s="2069"/>
      <c r="E725" s="2069"/>
      <c r="F725" s="2069"/>
      <c r="G725" s="2069"/>
      <c r="H725" s="2069"/>
      <c r="I725"/>
      <c r="J725"/>
      <c r="K725"/>
    </row>
    <row r="726" spans="2:11" x14ac:dyDescent="0.2">
      <c r="B726" s="2069"/>
      <c r="C726" s="2069"/>
      <c r="D726" s="2069"/>
      <c r="E726" s="2069"/>
      <c r="F726" s="2069"/>
      <c r="G726" s="2069"/>
      <c r="H726" s="2069"/>
      <c r="I726"/>
      <c r="J726"/>
      <c r="K726"/>
    </row>
    <row r="727" spans="2:11" x14ac:dyDescent="0.2">
      <c r="B727" s="2069"/>
      <c r="C727" s="2069"/>
      <c r="D727" s="2069"/>
      <c r="E727" s="2069"/>
      <c r="F727" s="2069"/>
      <c r="G727" s="2069"/>
      <c r="H727" s="2069"/>
      <c r="I727"/>
      <c r="J727"/>
      <c r="K727"/>
    </row>
    <row r="728" spans="2:11" x14ac:dyDescent="0.2">
      <c r="B728" s="2069"/>
      <c r="C728" s="2069"/>
      <c r="D728" s="2069"/>
      <c r="E728" s="2069"/>
      <c r="F728" s="2069"/>
      <c r="G728" s="2069"/>
      <c r="H728" s="2069"/>
      <c r="I728"/>
      <c r="J728"/>
      <c r="K728"/>
    </row>
    <row r="729" spans="2:11" x14ac:dyDescent="0.2">
      <c r="B729" s="2069"/>
      <c r="C729" s="2069"/>
      <c r="D729" s="2069"/>
      <c r="E729" s="2069"/>
      <c r="F729" s="2069"/>
      <c r="G729" s="2069"/>
      <c r="H729" s="2069"/>
      <c r="I729"/>
      <c r="J729"/>
      <c r="K729"/>
    </row>
    <row r="730" spans="2:11" x14ac:dyDescent="0.2">
      <c r="B730" s="2069"/>
      <c r="C730" s="2069"/>
      <c r="D730" s="2069"/>
      <c r="E730" s="2069"/>
      <c r="F730" s="2069"/>
      <c r="G730" s="2069"/>
      <c r="H730" s="2069"/>
      <c r="I730"/>
      <c r="J730"/>
      <c r="K730"/>
    </row>
    <row r="731" spans="2:11" x14ac:dyDescent="0.2">
      <c r="B731" s="2069"/>
      <c r="C731" s="2069"/>
      <c r="D731" s="2069"/>
      <c r="E731" s="2069"/>
      <c r="F731" s="2069"/>
      <c r="G731" s="2069"/>
      <c r="H731" s="2069"/>
      <c r="I731"/>
      <c r="J731"/>
      <c r="K731"/>
    </row>
    <row r="732" spans="2:11" x14ac:dyDescent="0.2">
      <c r="B732" s="2069"/>
      <c r="C732" s="2069"/>
      <c r="D732" s="2069"/>
      <c r="E732" s="2069"/>
      <c r="F732" s="2069"/>
      <c r="G732" s="2069"/>
      <c r="H732" s="2069"/>
      <c r="I732"/>
      <c r="J732"/>
      <c r="K732"/>
    </row>
    <row r="733" spans="2:11" x14ac:dyDescent="0.2">
      <c r="B733" s="2069"/>
      <c r="C733" s="2069"/>
      <c r="D733" s="2069"/>
      <c r="E733" s="2069"/>
      <c r="F733" s="2069"/>
      <c r="G733" s="2069"/>
      <c r="H733" s="2069"/>
      <c r="I733"/>
      <c r="J733"/>
      <c r="K733"/>
    </row>
    <row r="734" spans="2:11" x14ac:dyDescent="0.2">
      <c r="B734" s="2069"/>
      <c r="C734" s="2069"/>
      <c r="D734" s="2069"/>
      <c r="E734" s="2069"/>
      <c r="F734" s="2069"/>
      <c r="G734" s="2069"/>
      <c r="H734" s="2069"/>
      <c r="I734"/>
      <c r="J734"/>
      <c r="K734"/>
    </row>
    <row r="735" spans="2:11" x14ac:dyDescent="0.2">
      <c r="B735" s="2069"/>
      <c r="C735" s="2069"/>
      <c r="D735" s="2069"/>
      <c r="E735" s="2069"/>
      <c r="F735" s="2069"/>
      <c r="G735" s="2069"/>
      <c r="H735" s="2069"/>
      <c r="I735"/>
      <c r="J735"/>
      <c r="K735"/>
    </row>
    <row r="736" spans="2:11" x14ac:dyDescent="0.2">
      <c r="B736" s="2069"/>
      <c r="C736" s="2069"/>
      <c r="D736" s="2069"/>
      <c r="E736" s="2069"/>
      <c r="F736" s="2069"/>
      <c r="G736" s="2069"/>
      <c r="H736" s="2069"/>
      <c r="I736"/>
      <c r="J736"/>
      <c r="K736"/>
    </row>
    <row r="737" spans="2:11" x14ac:dyDescent="0.2">
      <c r="B737" s="2069"/>
      <c r="C737" s="2069"/>
      <c r="D737" s="2069"/>
      <c r="E737" s="2069"/>
      <c r="F737" s="2069"/>
      <c r="G737" s="2069"/>
      <c r="H737" s="2069"/>
      <c r="I737"/>
      <c r="J737"/>
      <c r="K737"/>
    </row>
    <row r="738" spans="2:11" x14ac:dyDescent="0.2">
      <c r="B738" s="2069"/>
      <c r="C738" s="2069"/>
      <c r="D738" s="2069"/>
      <c r="E738" s="2069"/>
      <c r="F738" s="2069"/>
      <c r="G738" s="2069"/>
      <c r="H738" s="2069"/>
      <c r="I738"/>
      <c r="J738"/>
      <c r="K738"/>
    </row>
    <row r="739" spans="2:11" x14ac:dyDescent="0.2">
      <c r="B739" s="2069"/>
      <c r="C739" s="2069"/>
      <c r="D739" s="2069"/>
      <c r="E739" s="2069"/>
      <c r="F739" s="2069"/>
      <c r="G739" s="2069"/>
      <c r="H739" s="2069"/>
      <c r="I739"/>
      <c r="J739"/>
      <c r="K739"/>
    </row>
    <row r="740" spans="2:11" x14ac:dyDescent="0.2">
      <c r="B740" s="2069"/>
      <c r="C740" s="2069"/>
      <c r="D740" s="2069"/>
      <c r="E740" s="2069"/>
      <c r="F740" s="2069"/>
      <c r="G740" s="2069"/>
      <c r="H740" s="2069"/>
      <c r="I740"/>
      <c r="J740"/>
      <c r="K740"/>
    </row>
    <row r="741" spans="2:11" x14ac:dyDescent="0.2">
      <c r="B741" s="2069"/>
      <c r="C741" s="2069"/>
      <c r="D741" s="2069"/>
      <c r="E741" s="2069"/>
      <c r="F741" s="2069"/>
      <c r="G741" s="2069"/>
      <c r="H741" s="2069"/>
      <c r="I741"/>
      <c r="J741"/>
      <c r="K741"/>
    </row>
    <row r="742" spans="2:11" x14ac:dyDescent="0.2">
      <c r="B742" s="2069"/>
      <c r="C742" s="2069"/>
      <c r="D742" s="2069"/>
      <c r="E742" s="2069"/>
      <c r="F742" s="2069"/>
      <c r="G742" s="2069"/>
      <c r="H742" s="2069"/>
      <c r="I742"/>
      <c r="J742"/>
      <c r="K742"/>
    </row>
    <row r="743" spans="2:11" x14ac:dyDescent="0.2">
      <c r="B743" s="2069"/>
      <c r="C743" s="2069"/>
      <c r="D743" s="2069"/>
      <c r="E743" s="2069"/>
      <c r="F743" s="2069"/>
      <c r="G743" s="2069"/>
      <c r="H743" s="2069"/>
      <c r="I743"/>
      <c r="J743"/>
      <c r="K743"/>
    </row>
    <row r="744" spans="2:11" x14ac:dyDescent="0.2">
      <c r="B744" s="2069"/>
      <c r="C744" s="2069"/>
      <c r="D744" s="2069"/>
      <c r="E744" s="2069"/>
      <c r="F744" s="2069"/>
      <c r="G744" s="2069"/>
      <c r="H744" s="2069"/>
      <c r="I744"/>
      <c r="J744"/>
      <c r="K744"/>
    </row>
    <row r="745" spans="2:11" x14ac:dyDescent="0.2">
      <c r="B745" s="2069"/>
      <c r="C745" s="2069"/>
      <c r="D745" s="2069"/>
      <c r="E745" s="2069"/>
      <c r="F745" s="2069"/>
      <c r="G745" s="2069"/>
      <c r="H745" s="2069"/>
      <c r="I745"/>
      <c r="J745"/>
      <c r="K745"/>
    </row>
    <row r="746" spans="2:11" x14ac:dyDescent="0.2">
      <c r="B746" s="2069"/>
      <c r="C746" s="2069"/>
      <c r="D746" s="2069"/>
      <c r="E746" s="2069"/>
      <c r="F746" s="2069"/>
      <c r="G746" s="2069"/>
      <c r="H746" s="2069"/>
      <c r="I746"/>
      <c r="J746"/>
      <c r="K746"/>
    </row>
    <row r="747" spans="2:11" x14ac:dyDescent="0.2">
      <c r="B747" s="2069"/>
      <c r="C747" s="2069"/>
      <c r="D747" s="2069"/>
      <c r="E747" s="2069"/>
      <c r="F747" s="2069"/>
      <c r="G747" s="2069"/>
      <c r="H747" s="2069"/>
      <c r="I747"/>
      <c r="J747"/>
      <c r="K747"/>
    </row>
    <row r="748" spans="2:11" x14ac:dyDescent="0.2">
      <c r="B748" s="2069"/>
      <c r="C748" s="2069"/>
      <c r="D748" s="2069"/>
      <c r="E748" s="2069"/>
      <c r="F748" s="2069"/>
      <c r="G748" s="2069"/>
      <c r="H748" s="2069"/>
      <c r="I748"/>
      <c r="J748"/>
      <c r="K748"/>
    </row>
    <row r="749" spans="2:11" x14ac:dyDescent="0.2">
      <c r="B749" s="2069"/>
      <c r="C749" s="2069"/>
      <c r="D749" s="2069"/>
      <c r="E749" s="2069"/>
      <c r="F749" s="2069"/>
      <c r="G749" s="2069"/>
      <c r="H749" s="2069"/>
      <c r="I749"/>
      <c r="J749"/>
      <c r="K749"/>
    </row>
    <row r="750" spans="2:11" x14ac:dyDescent="0.2">
      <c r="B750" s="2069"/>
      <c r="C750" s="2069"/>
      <c r="D750" s="2069"/>
      <c r="E750" s="2069"/>
      <c r="F750" s="2069"/>
      <c r="G750" s="2069"/>
      <c r="H750" s="2069"/>
      <c r="I750"/>
      <c r="J750"/>
      <c r="K750"/>
    </row>
    <row r="751" spans="2:11" x14ac:dyDescent="0.2">
      <c r="B751" s="2069"/>
      <c r="C751" s="2069"/>
      <c r="D751" s="2069"/>
      <c r="E751" s="2069"/>
      <c r="F751" s="2069"/>
      <c r="G751" s="2069"/>
      <c r="H751" s="2069"/>
      <c r="I751"/>
      <c r="J751"/>
      <c r="K751"/>
    </row>
    <row r="752" spans="2:11" x14ac:dyDescent="0.2">
      <c r="B752" s="2069"/>
      <c r="C752" s="2069"/>
      <c r="D752" s="2069"/>
      <c r="E752" s="2069"/>
      <c r="F752" s="2069"/>
      <c r="G752" s="2069"/>
      <c r="H752" s="2069"/>
      <c r="I752"/>
      <c r="J752"/>
      <c r="K752"/>
    </row>
    <row r="753" spans="2:11" x14ac:dyDescent="0.2">
      <c r="B753" s="2069"/>
      <c r="C753" s="2069"/>
      <c r="D753" s="2069"/>
      <c r="E753" s="2069"/>
      <c r="F753" s="2069"/>
      <c r="G753" s="2069"/>
      <c r="H753" s="2069"/>
      <c r="I753"/>
      <c r="J753"/>
      <c r="K753"/>
    </row>
    <row r="754" spans="2:11" x14ac:dyDescent="0.2">
      <c r="B754" s="2069"/>
      <c r="C754" s="2069"/>
      <c r="D754" s="2069"/>
      <c r="E754" s="2069"/>
      <c r="F754" s="2069"/>
      <c r="G754" s="2069"/>
      <c r="H754" s="2069"/>
      <c r="I754"/>
      <c r="J754"/>
      <c r="K754"/>
    </row>
    <row r="755" spans="2:11" x14ac:dyDescent="0.2">
      <c r="B755" s="2069"/>
      <c r="C755" s="2069"/>
      <c r="D755" s="2069"/>
      <c r="E755" s="2069"/>
      <c r="F755" s="2069"/>
      <c r="G755" s="2069"/>
      <c r="H755" s="2069"/>
      <c r="I755"/>
      <c r="J755"/>
      <c r="K755"/>
    </row>
    <row r="756" spans="2:11" x14ac:dyDescent="0.2">
      <c r="B756" s="2069"/>
      <c r="C756" s="2069"/>
      <c r="D756" s="2069"/>
      <c r="E756" s="2069"/>
      <c r="F756" s="2069"/>
      <c r="G756" s="2069"/>
      <c r="H756" s="2069"/>
      <c r="I756"/>
      <c r="J756"/>
      <c r="K756"/>
    </row>
    <row r="757" spans="2:11" x14ac:dyDescent="0.2">
      <c r="B757" s="2069"/>
      <c r="C757" s="2069"/>
      <c r="D757" s="2069"/>
      <c r="E757" s="2069"/>
      <c r="F757" s="2069"/>
      <c r="G757" s="2069"/>
      <c r="H757" s="2069"/>
      <c r="I757"/>
      <c r="J757"/>
      <c r="K757"/>
    </row>
    <row r="758" spans="2:11" x14ac:dyDescent="0.2">
      <c r="B758" s="2069"/>
      <c r="C758" s="2069"/>
      <c r="D758" s="2069"/>
      <c r="E758" s="2069"/>
      <c r="F758" s="2069"/>
      <c r="G758" s="2069"/>
      <c r="H758" s="2069"/>
      <c r="I758"/>
      <c r="J758"/>
      <c r="K758"/>
    </row>
    <row r="759" spans="2:11" x14ac:dyDescent="0.2">
      <c r="B759" s="2069"/>
      <c r="C759" s="2069"/>
      <c r="D759" s="2069"/>
      <c r="E759" s="2069"/>
      <c r="F759" s="2069"/>
      <c r="G759" s="2069"/>
      <c r="H759" s="2069"/>
      <c r="I759"/>
      <c r="J759"/>
      <c r="K759"/>
    </row>
    <row r="760" spans="2:11" x14ac:dyDescent="0.2">
      <c r="B760" s="2069"/>
      <c r="C760" s="2069"/>
      <c r="D760" s="2069"/>
      <c r="E760" s="2069"/>
      <c r="F760" s="2069"/>
      <c r="G760" s="2069"/>
      <c r="H760" s="2069"/>
      <c r="I760"/>
      <c r="J760"/>
      <c r="K760"/>
    </row>
    <row r="761" spans="2:11" x14ac:dyDescent="0.2">
      <c r="B761" s="2069"/>
      <c r="C761" s="2069"/>
      <c r="D761" s="2069"/>
      <c r="E761" s="2069"/>
      <c r="F761" s="2069"/>
      <c r="G761" s="2069"/>
      <c r="H761" s="2069"/>
      <c r="I761"/>
      <c r="J761"/>
      <c r="K761"/>
    </row>
    <row r="762" spans="2:11" x14ac:dyDescent="0.2">
      <c r="B762" s="2069"/>
      <c r="C762" s="2069"/>
      <c r="D762" s="2069"/>
      <c r="E762" s="2069"/>
      <c r="F762" s="2069"/>
      <c r="G762" s="2069"/>
      <c r="H762" s="2069"/>
      <c r="I762"/>
      <c r="J762"/>
      <c r="K762"/>
    </row>
    <row r="763" spans="2:11" x14ac:dyDescent="0.2">
      <c r="B763" s="2069"/>
      <c r="C763" s="2069"/>
      <c r="D763" s="2069"/>
      <c r="E763" s="2069"/>
      <c r="F763" s="2069"/>
      <c r="G763" s="2069"/>
      <c r="H763" s="2069"/>
      <c r="I763"/>
      <c r="J763"/>
      <c r="K763"/>
    </row>
    <row r="764" spans="2:11" x14ac:dyDescent="0.2">
      <c r="B764" s="2069"/>
      <c r="C764" s="2069"/>
      <c r="D764" s="2069"/>
      <c r="E764" s="2069"/>
      <c r="F764" s="2069"/>
      <c r="G764" s="2069"/>
      <c r="H764" s="2069"/>
      <c r="I764"/>
      <c r="J764"/>
      <c r="K764"/>
    </row>
    <row r="765" spans="2:11" x14ac:dyDescent="0.2">
      <c r="B765" s="2069"/>
      <c r="C765" s="2069"/>
      <c r="D765" s="2069"/>
      <c r="E765" s="2069"/>
      <c r="F765" s="2069"/>
      <c r="G765" s="2069"/>
      <c r="H765" s="2069"/>
      <c r="I765"/>
      <c r="J765"/>
      <c r="K765"/>
    </row>
    <row r="766" spans="2:11" x14ac:dyDescent="0.2">
      <c r="B766" s="2069"/>
      <c r="C766" s="2069"/>
      <c r="D766" s="2069"/>
      <c r="E766" s="2069"/>
      <c r="F766" s="2069"/>
      <c r="G766" s="2069"/>
      <c r="H766" s="2069"/>
      <c r="I766"/>
      <c r="J766"/>
      <c r="K766"/>
    </row>
    <row r="767" spans="2:11" x14ac:dyDescent="0.2">
      <c r="B767" s="2069"/>
      <c r="C767" s="2069"/>
      <c r="D767" s="2069"/>
      <c r="E767" s="2069"/>
      <c r="F767" s="2069"/>
      <c r="G767" s="2069"/>
      <c r="H767" s="2069"/>
      <c r="I767"/>
      <c r="J767"/>
      <c r="K767"/>
    </row>
    <row r="768" spans="2:11" x14ac:dyDescent="0.2">
      <c r="B768" s="2069"/>
      <c r="C768" s="2069"/>
      <c r="D768" s="2069"/>
      <c r="E768" s="2069"/>
      <c r="F768" s="2069"/>
      <c r="G768" s="2069"/>
      <c r="H768" s="2069"/>
      <c r="I768"/>
      <c r="J768"/>
      <c r="K768"/>
    </row>
    <row r="769" spans="2:11" x14ac:dyDescent="0.2">
      <c r="B769" s="2069"/>
      <c r="C769" s="2069"/>
      <c r="D769" s="2069"/>
      <c r="E769" s="2069"/>
      <c r="F769" s="2069"/>
      <c r="G769" s="2069"/>
      <c r="H769" s="2069"/>
      <c r="I769"/>
      <c r="J769"/>
      <c r="K769"/>
    </row>
    <row r="770" spans="2:11" x14ac:dyDescent="0.2">
      <c r="B770" s="2069"/>
      <c r="C770" s="2069"/>
      <c r="D770" s="2069"/>
      <c r="E770" s="2069"/>
      <c r="F770" s="2069"/>
      <c r="G770" s="2069"/>
      <c r="H770" s="2069"/>
      <c r="I770"/>
      <c r="J770"/>
      <c r="K770"/>
    </row>
    <row r="771" spans="2:11" x14ac:dyDescent="0.2">
      <c r="B771" s="2069"/>
      <c r="C771" s="2069"/>
      <c r="D771" s="2069"/>
      <c r="E771" s="2069"/>
      <c r="F771" s="2069"/>
      <c r="G771" s="2069"/>
      <c r="H771" s="2069"/>
      <c r="I771"/>
      <c r="J771"/>
      <c r="K771"/>
    </row>
    <row r="772" spans="2:11" x14ac:dyDescent="0.2">
      <c r="B772" s="2069"/>
      <c r="C772" s="2069"/>
      <c r="D772" s="2069"/>
      <c r="E772" s="2069"/>
      <c r="F772" s="2069"/>
      <c r="G772" s="2069"/>
      <c r="H772" s="2069"/>
      <c r="I772"/>
      <c r="J772"/>
      <c r="K772"/>
    </row>
    <row r="773" spans="2:11" x14ac:dyDescent="0.2">
      <c r="B773" s="2069"/>
      <c r="C773" s="2069"/>
      <c r="D773" s="2069"/>
      <c r="E773" s="2069"/>
      <c r="F773" s="2069"/>
      <c r="G773" s="2069"/>
      <c r="H773" s="2069"/>
      <c r="I773"/>
      <c r="J773"/>
      <c r="K773"/>
    </row>
    <row r="774" spans="2:11" x14ac:dyDescent="0.2">
      <c r="B774" s="2069"/>
      <c r="C774" s="2069"/>
      <c r="D774" s="2069"/>
      <c r="E774" s="2069"/>
      <c r="F774" s="2069"/>
      <c r="G774" s="2069"/>
      <c r="H774" s="2069"/>
      <c r="I774"/>
      <c r="J774"/>
      <c r="K774"/>
    </row>
    <row r="775" spans="2:11" x14ac:dyDescent="0.2">
      <c r="B775" s="2069"/>
      <c r="C775" s="2069"/>
      <c r="D775" s="2069"/>
      <c r="E775" s="2069"/>
      <c r="F775" s="2069"/>
      <c r="G775" s="2069"/>
      <c r="H775" s="2069"/>
      <c r="I775"/>
      <c r="J775"/>
      <c r="K775"/>
    </row>
    <row r="776" spans="2:11" x14ac:dyDescent="0.2">
      <c r="B776" s="2069"/>
      <c r="C776" s="2069"/>
      <c r="D776" s="2069"/>
      <c r="E776" s="2069"/>
      <c r="F776" s="2069"/>
      <c r="G776" s="2069"/>
      <c r="H776" s="2069"/>
      <c r="I776"/>
      <c r="J776"/>
      <c r="K776"/>
    </row>
    <row r="777" spans="2:11" x14ac:dyDescent="0.2">
      <c r="B777" s="2069"/>
      <c r="C777" s="2069"/>
      <c r="D777" s="2069"/>
      <c r="E777" s="2069"/>
      <c r="F777" s="2069"/>
      <c r="G777" s="2069"/>
      <c r="H777" s="2069"/>
      <c r="I777"/>
      <c r="J777"/>
      <c r="K777"/>
    </row>
    <row r="778" spans="2:11" x14ac:dyDescent="0.2">
      <c r="B778" s="2069"/>
      <c r="C778" s="2069"/>
      <c r="D778" s="2069"/>
      <c r="E778" s="2069"/>
      <c r="F778" s="2069"/>
      <c r="G778" s="2069"/>
      <c r="H778" s="2069"/>
      <c r="I778"/>
      <c r="J778"/>
      <c r="K778"/>
    </row>
    <row r="779" spans="2:11" x14ac:dyDescent="0.2">
      <c r="B779" s="2069"/>
      <c r="C779" s="2069"/>
      <c r="D779" s="2069"/>
      <c r="E779" s="2069"/>
      <c r="F779" s="2069"/>
      <c r="G779" s="2069"/>
      <c r="H779" s="2069"/>
      <c r="I779"/>
      <c r="J779"/>
      <c r="K779"/>
    </row>
    <row r="780" spans="2:11" x14ac:dyDescent="0.2">
      <c r="B780" s="2069"/>
      <c r="C780" s="2069"/>
      <c r="D780" s="2069"/>
      <c r="E780" s="2069"/>
      <c r="F780" s="2069"/>
      <c r="G780" s="2069"/>
      <c r="H780" s="2069"/>
      <c r="I780"/>
      <c r="J780"/>
      <c r="K780"/>
    </row>
    <row r="781" spans="2:11" x14ac:dyDescent="0.2">
      <c r="B781" s="2069"/>
      <c r="C781" s="2069"/>
      <c r="D781" s="2069"/>
      <c r="E781" s="2069"/>
      <c r="F781" s="2069"/>
      <c r="G781" s="2069"/>
      <c r="H781" s="2069"/>
      <c r="I781"/>
      <c r="J781"/>
      <c r="K781"/>
    </row>
    <row r="782" spans="2:11" x14ac:dyDescent="0.2">
      <c r="B782" s="2069"/>
      <c r="C782" s="2069"/>
      <c r="D782" s="2069"/>
      <c r="E782" s="2069"/>
      <c r="F782" s="2069"/>
      <c r="G782" s="2069"/>
      <c r="H782" s="2069"/>
      <c r="I782"/>
      <c r="J782"/>
      <c r="K782"/>
    </row>
    <row r="783" spans="2:11" x14ac:dyDescent="0.2">
      <c r="B783" s="2069"/>
      <c r="C783" s="2069"/>
      <c r="D783" s="2069"/>
      <c r="E783" s="2069"/>
      <c r="F783" s="2069"/>
      <c r="G783" s="2069"/>
      <c r="H783" s="2069"/>
      <c r="I783"/>
      <c r="J783"/>
      <c r="K783"/>
    </row>
    <row r="784" spans="2:11" x14ac:dyDescent="0.2">
      <c r="B784" s="2069"/>
      <c r="C784" s="2069"/>
      <c r="D784" s="2069"/>
      <c r="E784" s="2069"/>
      <c r="F784" s="2069"/>
      <c r="G784" s="2069"/>
      <c r="H784" s="2069"/>
      <c r="I784"/>
      <c r="J784"/>
      <c r="K784"/>
    </row>
    <row r="785" spans="2:11" x14ac:dyDescent="0.2">
      <c r="B785" s="2069"/>
      <c r="C785" s="2069"/>
      <c r="D785" s="2069"/>
      <c r="E785" s="2069"/>
      <c r="F785" s="2069"/>
      <c r="G785" s="2069"/>
      <c r="H785" s="2069"/>
      <c r="I785"/>
      <c r="J785"/>
      <c r="K785"/>
    </row>
    <row r="786" spans="2:11" x14ac:dyDescent="0.2">
      <c r="B786" s="2069"/>
      <c r="C786" s="2069"/>
      <c r="D786" s="2069"/>
      <c r="E786" s="2069"/>
      <c r="F786" s="2069"/>
      <c r="G786" s="2069"/>
      <c r="H786" s="2069"/>
      <c r="I786"/>
      <c r="J786"/>
      <c r="K786"/>
    </row>
    <row r="787" spans="2:11" x14ac:dyDescent="0.2">
      <c r="B787" s="2069"/>
      <c r="C787" s="2069"/>
      <c r="D787" s="2069"/>
      <c r="E787" s="2069"/>
      <c r="F787" s="2069"/>
      <c r="G787" s="2069"/>
      <c r="H787" s="2069"/>
      <c r="I787"/>
      <c r="J787"/>
      <c r="K787"/>
    </row>
    <row r="788" spans="2:11" x14ac:dyDescent="0.2">
      <c r="B788" s="2069"/>
      <c r="C788" s="2069"/>
      <c r="D788" s="2069"/>
      <c r="E788" s="2069"/>
      <c r="F788" s="2069"/>
      <c r="G788" s="2069"/>
      <c r="H788" s="2069"/>
      <c r="I788"/>
      <c r="J788"/>
      <c r="K788"/>
    </row>
    <row r="789" spans="2:11" x14ac:dyDescent="0.2">
      <c r="B789" s="2069"/>
      <c r="C789" s="2069"/>
      <c r="D789" s="2069"/>
      <c r="E789" s="2069"/>
      <c r="F789" s="2069"/>
      <c r="G789" s="2069"/>
      <c r="H789" s="2069"/>
      <c r="I789"/>
      <c r="J789"/>
      <c r="K789"/>
    </row>
    <row r="790" spans="2:11" x14ac:dyDescent="0.2">
      <c r="B790" s="2069"/>
      <c r="C790" s="2069"/>
      <c r="D790" s="2069"/>
      <c r="E790" s="2069"/>
      <c r="F790" s="2069"/>
      <c r="G790" s="2069"/>
      <c r="H790" s="2069"/>
      <c r="I790"/>
      <c r="J790"/>
      <c r="K790"/>
    </row>
    <row r="791" spans="2:11" x14ac:dyDescent="0.2">
      <c r="B791" s="2069"/>
      <c r="C791" s="2069"/>
      <c r="D791" s="2069"/>
      <c r="E791" s="2069"/>
      <c r="F791" s="2069"/>
      <c r="G791" s="2069"/>
      <c r="H791" s="2069"/>
      <c r="I791"/>
      <c r="J791"/>
      <c r="K791"/>
    </row>
    <row r="792" spans="2:11" x14ac:dyDescent="0.2">
      <c r="B792" s="2069"/>
      <c r="C792" s="2069"/>
      <c r="D792" s="2069"/>
      <c r="E792" s="2069"/>
      <c r="F792" s="2069"/>
      <c r="G792" s="2069"/>
      <c r="H792" s="2069"/>
      <c r="I792"/>
      <c r="J792"/>
      <c r="K792"/>
    </row>
    <row r="793" spans="2:11" x14ac:dyDescent="0.2">
      <c r="B793" s="2069"/>
      <c r="C793" s="2069"/>
      <c r="D793" s="2069"/>
      <c r="E793" s="2069"/>
      <c r="F793" s="2069"/>
      <c r="G793" s="2069"/>
      <c r="H793" s="2069"/>
      <c r="I793"/>
      <c r="J793"/>
      <c r="K793"/>
    </row>
    <row r="794" spans="2:11" x14ac:dyDescent="0.2">
      <c r="B794" s="2069"/>
      <c r="C794" s="2069"/>
      <c r="D794" s="2069"/>
      <c r="E794" s="2069"/>
      <c r="F794" s="2069"/>
      <c r="G794" s="2069"/>
      <c r="H794" s="2069"/>
      <c r="I794"/>
      <c r="J794"/>
      <c r="K794"/>
    </row>
    <row r="795" spans="2:11" x14ac:dyDescent="0.2">
      <c r="B795" s="2069"/>
      <c r="C795" s="2069"/>
      <c r="D795" s="2069"/>
      <c r="E795" s="2069"/>
      <c r="F795" s="2069"/>
      <c r="G795" s="2069"/>
      <c r="H795" s="2069"/>
      <c r="I795"/>
      <c r="J795"/>
      <c r="K795"/>
    </row>
    <row r="796" spans="2:11" x14ac:dyDescent="0.2">
      <c r="B796" s="2069"/>
      <c r="C796" s="2069"/>
      <c r="D796" s="2069"/>
      <c r="E796" s="2069"/>
      <c r="F796" s="2069"/>
      <c r="G796" s="2069"/>
      <c r="H796" s="2069"/>
      <c r="I796"/>
      <c r="J796"/>
      <c r="K796"/>
    </row>
    <row r="797" spans="2:11" x14ac:dyDescent="0.2">
      <c r="B797" s="2069"/>
      <c r="C797" s="2069"/>
      <c r="D797" s="2069"/>
      <c r="E797" s="2069"/>
      <c r="F797" s="2069"/>
      <c r="G797" s="2069"/>
      <c r="H797" s="2069"/>
      <c r="I797"/>
      <c r="J797"/>
      <c r="K797"/>
    </row>
    <row r="798" spans="2:11" x14ac:dyDescent="0.2">
      <c r="B798" s="2069"/>
      <c r="C798" s="2069"/>
      <c r="D798" s="2069"/>
      <c r="E798" s="2069"/>
      <c r="F798" s="2069"/>
      <c r="G798" s="2069"/>
      <c r="H798" s="2069"/>
      <c r="I798"/>
      <c r="J798"/>
      <c r="K798"/>
    </row>
    <row r="799" spans="2:11" x14ac:dyDescent="0.2">
      <c r="B799" s="2069"/>
      <c r="C799" s="2069"/>
      <c r="D799" s="2069"/>
      <c r="E799" s="2069"/>
      <c r="F799" s="2069"/>
      <c r="G799" s="2069"/>
      <c r="H799" s="2069"/>
      <c r="I799"/>
      <c r="J799"/>
      <c r="K799"/>
    </row>
    <row r="800" spans="2:11" x14ac:dyDescent="0.2">
      <c r="B800" s="2069"/>
      <c r="C800" s="2069"/>
      <c r="D800" s="2069"/>
      <c r="E800" s="2069"/>
      <c r="F800" s="2069"/>
      <c r="G800" s="2069"/>
      <c r="H800" s="2069"/>
      <c r="I800"/>
      <c r="J800"/>
      <c r="K800"/>
    </row>
    <row r="801" spans="2:11" x14ac:dyDescent="0.2">
      <c r="B801" s="2069"/>
      <c r="C801" s="2069"/>
      <c r="D801" s="2069"/>
      <c r="E801" s="2069"/>
      <c r="F801" s="2069"/>
      <c r="G801" s="2069"/>
      <c r="H801" s="2069"/>
      <c r="I801"/>
      <c r="J801"/>
      <c r="K801"/>
    </row>
    <row r="802" spans="2:11" x14ac:dyDescent="0.2">
      <c r="B802" s="2069"/>
      <c r="C802" s="2069"/>
      <c r="D802" s="2069"/>
      <c r="E802" s="2069"/>
      <c r="F802" s="2069"/>
      <c r="G802" s="2069"/>
      <c r="H802" s="2069"/>
      <c r="I802"/>
      <c r="J802"/>
      <c r="K802"/>
    </row>
    <row r="803" spans="2:11" x14ac:dyDescent="0.2">
      <c r="B803" s="2069"/>
      <c r="C803" s="2069"/>
      <c r="D803" s="2069"/>
      <c r="E803" s="2069"/>
      <c r="F803" s="2069"/>
      <c r="G803" s="2069"/>
      <c r="H803" s="2069"/>
      <c r="I803"/>
      <c r="J803"/>
      <c r="K803"/>
    </row>
    <row r="804" spans="2:11" x14ac:dyDescent="0.2">
      <c r="B804" s="2069"/>
      <c r="C804" s="2069"/>
      <c r="D804" s="2069"/>
      <c r="E804" s="2069"/>
      <c r="F804" s="2069"/>
      <c r="G804" s="2069"/>
      <c r="H804" s="2069"/>
      <c r="I804"/>
      <c r="J804"/>
      <c r="K804"/>
    </row>
    <row r="805" spans="2:11" x14ac:dyDescent="0.2">
      <c r="B805" s="2069"/>
      <c r="C805" s="2069"/>
      <c r="D805" s="2069"/>
      <c r="E805" s="2069"/>
      <c r="F805" s="2069"/>
      <c r="G805" s="2069"/>
      <c r="H805" s="2069"/>
      <c r="I805"/>
      <c r="J805"/>
      <c r="K805"/>
    </row>
    <row r="806" spans="2:11" x14ac:dyDescent="0.2">
      <c r="B806" s="2069"/>
      <c r="C806" s="2069"/>
      <c r="D806" s="2069"/>
      <c r="E806" s="2069"/>
      <c r="F806" s="2069"/>
      <c r="G806" s="2069"/>
      <c r="H806" s="2069"/>
      <c r="I806"/>
      <c r="J806"/>
      <c r="K806"/>
    </row>
    <row r="807" spans="2:11" x14ac:dyDescent="0.2">
      <c r="B807" s="2069"/>
      <c r="C807" s="2069"/>
      <c r="D807" s="2069"/>
      <c r="E807" s="2069"/>
      <c r="F807" s="2069"/>
      <c r="G807" s="2069"/>
      <c r="H807" s="2069"/>
      <c r="I807"/>
      <c r="J807"/>
      <c r="K807"/>
    </row>
    <row r="808" spans="2:11" x14ac:dyDescent="0.2">
      <c r="B808" s="2069"/>
      <c r="C808" s="2069"/>
      <c r="D808" s="2069"/>
      <c r="E808" s="2069"/>
      <c r="F808" s="2069"/>
      <c r="G808" s="2069"/>
      <c r="H808" s="2069"/>
      <c r="I808"/>
      <c r="J808"/>
      <c r="K808"/>
    </row>
    <row r="809" spans="2:11" x14ac:dyDescent="0.2">
      <c r="B809" s="2069"/>
      <c r="C809" s="2069"/>
      <c r="D809" s="2069"/>
      <c r="E809" s="2069"/>
      <c r="F809" s="2069"/>
      <c r="G809" s="2069"/>
      <c r="H809" s="2069"/>
      <c r="I809"/>
      <c r="J809"/>
      <c r="K809"/>
    </row>
    <row r="810" spans="2:11" x14ac:dyDescent="0.2">
      <c r="B810" s="2069"/>
      <c r="C810" s="2069"/>
      <c r="D810" s="2069"/>
      <c r="E810" s="2069"/>
      <c r="F810" s="2069"/>
      <c r="G810" s="2069"/>
      <c r="H810" s="2069"/>
      <c r="I810"/>
      <c r="J810"/>
      <c r="K810"/>
    </row>
    <row r="811" spans="2:11" x14ac:dyDescent="0.2">
      <c r="B811" s="2069"/>
      <c r="C811" s="2069"/>
      <c r="D811" s="2069"/>
      <c r="E811" s="2069"/>
      <c r="F811" s="2069"/>
      <c r="G811" s="2069"/>
      <c r="H811" s="2069"/>
      <c r="I811"/>
      <c r="J811"/>
      <c r="K811"/>
    </row>
    <row r="812" spans="2:11" x14ac:dyDescent="0.2">
      <c r="B812" s="2069"/>
      <c r="C812" s="2069"/>
      <c r="D812" s="2069"/>
      <c r="E812" s="2069"/>
      <c r="F812" s="2069"/>
      <c r="G812" s="2069"/>
      <c r="H812" s="2069"/>
      <c r="I812"/>
      <c r="J812"/>
      <c r="K812"/>
    </row>
    <row r="813" spans="2:11" x14ac:dyDescent="0.2">
      <c r="B813" s="2069"/>
      <c r="C813" s="2069"/>
      <c r="D813" s="2069"/>
      <c r="E813" s="2069"/>
      <c r="F813" s="2069"/>
      <c r="G813" s="2069"/>
      <c r="H813" s="2069"/>
      <c r="I813"/>
      <c r="J813"/>
      <c r="K813"/>
    </row>
    <row r="814" spans="2:11" x14ac:dyDescent="0.2">
      <c r="B814" s="2069"/>
      <c r="C814" s="2069"/>
      <c r="D814" s="2069"/>
      <c r="E814" s="2069"/>
      <c r="F814" s="2069"/>
      <c r="G814" s="2069"/>
      <c r="H814" s="2069"/>
      <c r="I814"/>
      <c r="J814"/>
      <c r="K814"/>
    </row>
    <row r="815" spans="2:11" x14ac:dyDescent="0.2">
      <c r="B815" s="2069"/>
      <c r="C815" s="2069"/>
      <c r="D815" s="2069"/>
      <c r="E815" s="2069"/>
      <c r="F815" s="2069"/>
      <c r="G815" s="2069"/>
      <c r="H815" s="2069"/>
      <c r="I815"/>
      <c r="J815"/>
      <c r="K815"/>
    </row>
    <row r="816" spans="2:11" x14ac:dyDescent="0.2">
      <c r="B816" s="2069"/>
      <c r="C816" s="2069"/>
      <c r="D816" s="2069"/>
      <c r="E816" s="2069"/>
      <c r="F816" s="2069"/>
      <c r="G816" s="2069"/>
      <c r="H816" s="2069"/>
      <c r="I816"/>
      <c r="J816"/>
      <c r="K816"/>
    </row>
    <row r="817" spans="2:11" x14ac:dyDescent="0.2">
      <c r="B817" s="2069"/>
      <c r="C817" s="2069"/>
      <c r="D817" s="2069"/>
      <c r="E817" s="2069"/>
      <c r="F817" s="2069"/>
      <c r="G817" s="2069"/>
      <c r="H817" s="2069"/>
      <c r="I817"/>
      <c r="J817"/>
      <c r="K817"/>
    </row>
    <row r="818" spans="2:11" x14ac:dyDescent="0.2">
      <c r="B818" s="2069"/>
      <c r="C818" s="2069"/>
      <c r="D818" s="2069"/>
      <c r="E818" s="2069"/>
      <c r="F818" s="2069"/>
      <c r="G818" s="2069"/>
      <c r="H818" s="2069"/>
      <c r="I818"/>
      <c r="J818"/>
      <c r="K818"/>
    </row>
    <row r="819" spans="2:11" x14ac:dyDescent="0.2">
      <c r="B819" s="2069"/>
      <c r="C819" s="2069"/>
      <c r="D819" s="2069"/>
      <c r="E819" s="2069"/>
      <c r="F819" s="2069"/>
      <c r="G819" s="2069"/>
      <c r="H819" s="2069"/>
      <c r="I819"/>
      <c r="J819"/>
      <c r="K819"/>
    </row>
    <row r="820" spans="2:11" x14ac:dyDescent="0.2">
      <c r="B820" s="2069"/>
      <c r="C820" s="2069"/>
      <c r="D820" s="2069"/>
      <c r="E820" s="2069"/>
      <c r="F820" s="2069"/>
      <c r="G820" s="2069"/>
      <c r="H820" s="2069"/>
      <c r="I820"/>
      <c r="J820"/>
      <c r="K820"/>
    </row>
    <row r="821" spans="2:11" x14ac:dyDescent="0.2">
      <c r="B821" s="2069"/>
      <c r="C821" s="2069"/>
      <c r="D821" s="2069"/>
      <c r="E821" s="2069"/>
      <c r="F821" s="2069"/>
      <c r="G821" s="2069"/>
      <c r="H821" s="2069"/>
      <c r="I821"/>
      <c r="J821"/>
      <c r="K821"/>
    </row>
    <row r="822" spans="2:11" x14ac:dyDescent="0.2">
      <c r="B822" s="2069"/>
      <c r="C822" s="2069"/>
      <c r="D822" s="2069"/>
      <c r="E822" s="2069"/>
      <c r="F822" s="2069"/>
      <c r="G822" s="2069"/>
      <c r="H822" s="2069"/>
      <c r="I822"/>
      <c r="J822"/>
      <c r="K822"/>
    </row>
    <row r="823" spans="2:11" x14ac:dyDescent="0.2">
      <c r="B823" s="2069"/>
      <c r="C823" s="2069"/>
      <c r="D823" s="2069"/>
      <c r="E823" s="2069"/>
      <c r="F823" s="2069"/>
      <c r="G823" s="2069"/>
      <c r="H823" s="2069"/>
      <c r="I823"/>
      <c r="J823"/>
      <c r="K823"/>
    </row>
    <row r="824" spans="2:11" x14ac:dyDescent="0.2">
      <c r="B824" s="2069"/>
      <c r="C824" s="2069"/>
      <c r="D824" s="2069"/>
      <c r="E824" s="2069"/>
      <c r="F824" s="2069"/>
      <c r="G824" s="2069"/>
      <c r="H824" s="2069"/>
      <c r="I824"/>
      <c r="J824"/>
      <c r="K824"/>
    </row>
    <row r="825" spans="2:11" x14ac:dyDescent="0.2">
      <c r="B825" s="2069"/>
      <c r="C825" s="2069"/>
      <c r="D825" s="2069"/>
      <c r="E825" s="2069"/>
      <c r="F825" s="2069"/>
      <c r="G825" s="2069"/>
      <c r="H825" s="2069"/>
      <c r="I825"/>
      <c r="J825"/>
      <c r="K825"/>
    </row>
    <row r="826" spans="2:11" x14ac:dyDescent="0.2">
      <c r="B826" s="2069"/>
      <c r="C826" s="2069"/>
      <c r="D826" s="2069"/>
      <c r="E826" s="2069"/>
      <c r="F826" s="2069"/>
      <c r="G826" s="2069"/>
      <c r="H826" s="2069"/>
      <c r="I826"/>
      <c r="J826"/>
      <c r="K826"/>
    </row>
    <row r="827" spans="2:11" x14ac:dyDescent="0.2">
      <c r="B827" s="2069"/>
      <c r="C827" s="2069"/>
      <c r="D827" s="2069"/>
      <c r="E827" s="2069"/>
      <c r="F827" s="2069"/>
      <c r="G827" s="2069"/>
      <c r="H827" s="2069"/>
      <c r="I827"/>
      <c r="J827"/>
      <c r="K827"/>
    </row>
    <row r="828" spans="2:11" x14ac:dyDescent="0.2">
      <c r="B828" s="2069"/>
      <c r="C828" s="2069"/>
      <c r="D828" s="2069"/>
      <c r="E828" s="2069"/>
      <c r="F828" s="2069"/>
      <c r="G828" s="2069"/>
      <c r="H828" s="2069"/>
      <c r="I828"/>
      <c r="J828"/>
      <c r="K828"/>
    </row>
    <row r="829" spans="2:11" x14ac:dyDescent="0.2">
      <c r="B829" s="2069"/>
      <c r="C829" s="2069"/>
      <c r="D829" s="2069"/>
      <c r="E829" s="2069"/>
      <c r="F829" s="2069"/>
      <c r="G829" s="2069"/>
      <c r="H829" s="2069"/>
      <c r="I829"/>
      <c r="J829"/>
      <c r="K829"/>
    </row>
    <row r="830" spans="2:11" x14ac:dyDescent="0.2">
      <c r="B830" s="2069"/>
      <c r="C830" s="2069"/>
      <c r="D830" s="2069"/>
      <c r="E830" s="2069"/>
      <c r="F830" s="2069"/>
      <c r="G830" s="2069"/>
      <c r="H830" s="2069"/>
      <c r="I830"/>
      <c r="J830"/>
      <c r="K830"/>
    </row>
    <row r="831" spans="2:11" x14ac:dyDescent="0.2">
      <c r="B831" s="2069"/>
      <c r="C831" s="2069"/>
      <c r="D831" s="2069"/>
      <c r="E831" s="2069"/>
      <c r="F831" s="2069"/>
      <c r="G831" s="2069"/>
      <c r="H831" s="2069"/>
      <c r="I831"/>
      <c r="J831"/>
      <c r="K831"/>
    </row>
    <row r="832" spans="2:11" x14ac:dyDescent="0.2">
      <c r="B832" s="2069"/>
      <c r="C832" s="2069"/>
      <c r="D832" s="2069"/>
      <c r="E832" s="2069"/>
      <c r="F832" s="2069"/>
      <c r="G832" s="2069"/>
      <c r="H832" s="2069"/>
      <c r="I832"/>
      <c r="J832"/>
      <c r="K832"/>
    </row>
    <row r="833" spans="2:11" x14ac:dyDescent="0.2">
      <c r="B833" s="2069"/>
      <c r="C833" s="2069"/>
      <c r="D833" s="2069"/>
      <c r="E833" s="2069"/>
      <c r="F833" s="2069"/>
      <c r="G833" s="2069"/>
      <c r="H833" s="2069"/>
      <c r="I833"/>
      <c r="J833"/>
      <c r="K833"/>
    </row>
    <row r="834" spans="2:11" x14ac:dyDescent="0.2">
      <c r="B834" s="2069"/>
      <c r="C834" s="2069"/>
      <c r="D834" s="2069"/>
      <c r="E834" s="2069"/>
      <c r="F834" s="2069"/>
      <c r="G834" s="2069"/>
      <c r="H834" s="2069"/>
      <c r="I834"/>
      <c r="J834"/>
      <c r="K834"/>
    </row>
    <row r="835" spans="2:11" x14ac:dyDescent="0.2">
      <c r="B835" s="2069"/>
      <c r="C835" s="2069"/>
      <c r="D835" s="2069"/>
      <c r="E835" s="2069"/>
      <c r="F835" s="2069"/>
      <c r="G835" s="2069"/>
      <c r="H835" s="2069"/>
      <c r="I835"/>
      <c r="J835"/>
      <c r="K835"/>
    </row>
    <row r="836" spans="2:11" x14ac:dyDescent="0.2">
      <c r="B836" s="2069"/>
      <c r="C836" s="2069"/>
      <c r="D836" s="2069"/>
      <c r="E836" s="2069"/>
      <c r="F836" s="2069"/>
      <c r="G836" s="2069"/>
      <c r="H836" s="2069"/>
      <c r="I836"/>
      <c r="J836"/>
      <c r="K836"/>
    </row>
    <row r="837" spans="2:11" x14ac:dyDescent="0.2">
      <c r="B837" s="2069"/>
      <c r="C837" s="2069"/>
      <c r="D837" s="2069"/>
      <c r="E837" s="2069"/>
      <c r="F837" s="2069"/>
      <c r="G837" s="2069"/>
      <c r="H837" s="2069"/>
      <c r="I837"/>
      <c r="J837"/>
      <c r="K837"/>
    </row>
    <row r="838" spans="2:11" x14ac:dyDescent="0.2">
      <c r="B838" s="2069"/>
      <c r="C838" s="2069"/>
      <c r="D838" s="2069"/>
      <c r="E838" s="2069"/>
      <c r="F838" s="2069"/>
      <c r="G838" s="2069"/>
      <c r="H838" s="2069"/>
      <c r="I838"/>
      <c r="J838"/>
      <c r="K838"/>
    </row>
    <row r="839" spans="2:11" x14ac:dyDescent="0.2">
      <c r="B839" s="2069"/>
      <c r="C839" s="2069"/>
      <c r="D839" s="2069"/>
      <c r="E839" s="2069"/>
      <c r="F839" s="2069"/>
      <c r="G839" s="2069"/>
      <c r="H839" s="2069"/>
      <c r="I839"/>
      <c r="J839"/>
      <c r="K839"/>
    </row>
    <row r="840" spans="2:11" x14ac:dyDescent="0.2">
      <c r="B840" s="2069"/>
      <c r="C840" s="2069"/>
      <c r="D840" s="2069"/>
      <c r="E840" s="2069"/>
      <c r="F840" s="2069"/>
      <c r="G840" s="2069"/>
      <c r="H840" s="2069"/>
      <c r="I840"/>
      <c r="J840"/>
      <c r="K840"/>
    </row>
    <row r="841" spans="2:11" x14ac:dyDescent="0.2">
      <c r="B841" s="2069"/>
      <c r="C841" s="2069"/>
      <c r="D841" s="2069"/>
      <c r="E841" s="2069"/>
      <c r="F841" s="2069"/>
      <c r="G841" s="2069"/>
      <c r="H841" s="2069"/>
      <c r="I841"/>
      <c r="J841"/>
      <c r="K841"/>
    </row>
    <row r="842" spans="2:11" x14ac:dyDescent="0.2">
      <c r="B842" s="2069"/>
      <c r="C842" s="2069"/>
      <c r="D842" s="2069"/>
      <c r="E842" s="2069"/>
      <c r="F842" s="2069"/>
      <c r="G842" s="2069"/>
      <c r="H842" s="2069"/>
      <c r="I842"/>
      <c r="J842"/>
      <c r="K842"/>
    </row>
    <row r="843" spans="2:11" x14ac:dyDescent="0.2">
      <c r="B843" s="2069"/>
      <c r="C843" s="2069"/>
      <c r="D843" s="2069"/>
      <c r="E843" s="2069"/>
      <c r="F843" s="2069"/>
      <c r="G843" s="2069"/>
      <c r="H843" s="2069"/>
      <c r="I843"/>
      <c r="J843"/>
      <c r="K843"/>
    </row>
    <row r="844" spans="2:11" x14ac:dyDescent="0.2">
      <c r="B844" s="2069"/>
      <c r="C844" s="2069"/>
      <c r="D844" s="2069"/>
      <c r="E844" s="2069"/>
      <c r="F844" s="2069"/>
      <c r="G844" s="2069"/>
      <c r="H844" s="2069"/>
      <c r="I844"/>
      <c r="J844"/>
      <c r="K844"/>
    </row>
    <row r="845" spans="2:11" x14ac:dyDescent="0.2">
      <c r="B845" s="2069"/>
      <c r="C845" s="2069"/>
      <c r="D845" s="2069"/>
      <c r="E845" s="2069"/>
      <c r="F845" s="2069"/>
      <c r="G845" s="2069"/>
      <c r="H845" s="2069"/>
      <c r="I845"/>
      <c r="J845"/>
      <c r="K845"/>
    </row>
    <row r="846" spans="2:11" x14ac:dyDescent="0.2">
      <c r="B846" s="2069"/>
      <c r="C846" s="2069"/>
      <c r="D846" s="2069"/>
      <c r="E846" s="2069"/>
      <c r="F846" s="2069"/>
      <c r="G846" s="2069"/>
      <c r="H846" s="2069"/>
      <c r="I846"/>
      <c r="J846"/>
      <c r="K846"/>
    </row>
    <row r="847" spans="2:11" x14ac:dyDescent="0.2">
      <c r="B847" s="2069"/>
      <c r="C847" s="2069"/>
      <c r="D847" s="2069"/>
      <c r="E847" s="2069"/>
      <c r="F847" s="2069"/>
      <c r="G847" s="2069"/>
      <c r="H847" s="2069"/>
      <c r="I847"/>
      <c r="J847"/>
      <c r="K847"/>
    </row>
    <row r="848" spans="2:11" x14ac:dyDescent="0.2">
      <c r="B848" s="2069"/>
      <c r="C848" s="2069"/>
      <c r="D848" s="2069"/>
      <c r="E848" s="2069"/>
      <c r="F848" s="2069"/>
      <c r="G848" s="2069"/>
      <c r="H848" s="2069"/>
      <c r="I848"/>
      <c r="J848"/>
      <c r="K848"/>
    </row>
    <row r="849" spans="2:11" x14ac:dyDescent="0.2">
      <c r="B849" s="2069"/>
      <c r="C849" s="2069"/>
      <c r="D849" s="2069"/>
      <c r="E849" s="2069"/>
      <c r="F849" s="2069"/>
      <c r="G849" s="2069"/>
      <c r="H849" s="2069"/>
      <c r="I849"/>
      <c r="J849"/>
      <c r="K849"/>
    </row>
    <row r="850" spans="2:11" x14ac:dyDescent="0.2">
      <c r="B850" s="2069"/>
      <c r="C850" s="2069"/>
      <c r="D850" s="2069"/>
      <c r="E850" s="2069"/>
      <c r="F850" s="2069"/>
      <c r="G850" s="2069"/>
      <c r="H850" s="2069"/>
      <c r="I850"/>
      <c r="J850"/>
      <c r="K850"/>
    </row>
    <row r="851" spans="2:11" x14ac:dyDescent="0.2">
      <c r="B851" s="2069"/>
      <c r="C851" s="2069"/>
      <c r="D851" s="2069"/>
      <c r="E851" s="2069"/>
      <c r="F851" s="2069"/>
      <c r="G851" s="2069"/>
      <c r="H851" s="2069"/>
      <c r="I851"/>
      <c r="J851"/>
      <c r="K851"/>
    </row>
    <row r="852" spans="2:11" x14ac:dyDescent="0.2">
      <c r="B852" s="2069"/>
      <c r="C852" s="2069"/>
      <c r="D852" s="2069"/>
      <c r="E852" s="2069"/>
      <c r="F852" s="2069"/>
      <c r="G852" s="2069"/>
      <c r="H852" s="2069"/>
      <c r="I852"/>
      <c r="J852"/>
      <c r="K852"/>
    </row>
    <row r="853" spans="2:11" x14ac:dyDescent="0.2">
      <c r="B853" s="2069"/>
      <c r="C853" s="2069"/>
      <c r="D853" s="2069"/>
      <c r="E853" s="2069"/>
      <c r="F853" s="2069"/>
      <c r="G853" s="2069"/>
      <c r="H853" s="2069"/>
      <c r="I853"/>
      <c r="J853"/>
      <c r="K853"/>
    </row>
    <row r="854" spans="2:11" x14ac:dyDescent="0.2">
      <c r="B854" s="2069"/>
      <c r="C854" s="2069"/>
      <c r="D854" s="2069"/>
      <c r="E854" s="2069"/>
      <c r="F854" s="2069"/>
      <c r="G854" s="2069"/>
      <c r="H854" s="2069"/>
      <c r="I854"/>
      <c r="J854"/>
      <c r="K854"/>
    </row>
    <row r="855" spans="2:11" x14ac:dyDescent="0.2">
      <c r="B855" s="2069"/>
      <c r="C855" s="2069"/>
      <c r="D855" s="2069"/>
      <c r="E855" s="2069"/>
      <c r="F855" s="2069"/>
      <c r="G855" s="2069"/>
      <c r="H855" s="2069"/>
      <c r="I855"/>
      <c r="J855"/>
      <c r="K855"/>
    </row>
    <row r="856" spans="2:11" x14ac:dyDescent="0.2">
      <c r="B856" s="2069"/>
      <c r="C856" s="2069"/>
      <c r="D856" s="2069"/>
      <c r="E856" s="2069"/>
      <c r="F856" s="2069"/>
      <c r="G856" s="2069"/>
      <c r="H856" s="2069"/>
      <c r="I856"/>
      <c r="J856"/>
      <c r="K856"/>
    </row>
    <row r="857" spans="2:11" x14ac:dyDescent="0.2">
      <c r="B857" s="2069"/>
      <c r="C857" s="2069"/>
      <c r="D857" s="2069"/>
      <c r="E857" s="2069"/>
      <c r="F857" s="2069"/>
      <c r="G857" s="2069"/>
      <c r="H857" s="2069"/>
      <c r="I857"/>
      <c r="J857"/>
      <c r="K857"/>
    </row>
    <row r="858" spans="2:11" x14ac:dyDescent="0.2">
      <c r="B858" s="2069"/>
      <c r="C858" s="2069"/>
      <c r="D858" s="2069"/>
      <c r="E858" s="2069"/>
      <c r="F858" s="2069"/>
      <c r="G858" s="2069"/>
      <c r="H858" s="2069"/>
      <c r="I858"/>
      <c r="J858"/>
      <c r="K858"/>
    </row>
    <row r="859" spans="2:11" x14ac:dyDescent="0.2">
      <c r="B859" s="2069"/>
      <c r="C859" s="2069"/>
      <c r="D859" s="2069"/>
      <c r="E859" s="2069"/>
      <c r="F859" s="2069"/>
      <c r="G859" s="2069"/>
      <c r="H859" s="2069"/>
      <c r="I859"/>
      <c r="J859"/>
      <c r="K859"/>
    </row>
    <row r="860" spans="2:11" x14ac:dyDescent="0.2">
      <c r="B860" s="2069"/>
      <c r="C860" s="2069"/>
      <c r="D860" s="2069"/>
      <c r="E860" s="2069"/>
      <c r="F860" s="2069"/>
      <c r="G860" s="2069"/>
      <c r="H860" s="2069"/>
      <c r="I860"/>
      <c r="J860"/>
      <c r="K860"/>
    </row>
    <row r="861" spans="2:11" x14ac:dyDescent="0.2">
      <c r="B861" s="2069"/>
      <c r="C861" s="2069"/>
      <c r="D861" s="2069"/>
      <c r="E861" s="2069"/>
      <c r="F861" s="2069"/>
      <c r="G861" s="2069"/>
      <c r="H861" s="2069"/>
      <c r="I861"/>
      <c r="J861"/>
      <c r="K861"/>
    </row>
    <row r="862" spans="2:11" x14ac:dyDescent="0.2">
      <c r="B862" s="2069"/>
      <c r="C862" s="2069"/>
      <c r="D862" s="2069"/>
      <c r="E862" s="2069"/>
      <c r="F862" s="2069"/>
      <c r="G862" s="2069"/>
      <c r="H862" s="2069"/>
      <c r="I862"/>
      <c r="J862"/>
      <c r="K862"/>
    </row>
    <row r="863" spans="2:11" x14ac:dyDescent="0.2">
      <c r="B863" s="2069"/>
      <c r="C863" s="2069"/>
      <c r="D863" s="2069"/>
      <c r="E863" s="2069"/>
      <c r="F863" s="2069"/>
      <c r="G863" s="2069"/>
      <c r="H863" s="2069"/>
      <c r="I863"/>
      <c r="J863"/>
      <c r="K863"/>
    </row>
    <row r="864" spans="2:11" x14ac:dyDescent="0.2">
      <c r="B864" s="2069"/>
      <c r="C864" s="2069"/>
      <c r="D864" s="2069"/>
      <c r="E864" s="2069"/>
      <c r="F864" s="2069"/>
      <c r="G864" s="2069"/>
      <c r="H864" s="2069"/>
      <c r="I864"/>
      <c r="J864"/>
      <c r="K864"/>
    </row>
    <row r="865" spans="2:11" x14ac:dyDescent="0.2">
      <c r="B865" s="2069"/>
      <c r="C865" s="2069"/>
      <c r="D865" s="2069"/>
      <c r="E865" s="2069"/>
      <c r="F865" s="2069"/>
      <c r="G865" s="2069"/>
      <c r="H865" s="2069"/>
      <c r="I865"/>
      <c r="J865"/>
      <c r="K865"/>
    </row>
    <row r="866" spans="2:11" x14ac:dyDescent="0.2">
      <c r="B866" s="2069"/>
      <c r="C866" s="2069"/>
      <c r="D866" s="2069"/>
      <c r="E866" s="2069"/>
      <c r="F866" s="2069"/>
      <c r="G866" s="2069"/>
      <c r="H866" s="2069"/>
      <c r="I866"/>
      <c r="J866"/>
      <c r="K866"/>
    </row>
    <row r="867" spans="2:11" x14ac:dyDescent="0.2">
      <c r="B867" s="2069"/>
      <c r="C867" s="2069"/>
      <c r="D867" s="2069"/>
      <c r="E867" s="2069"/>
      <c r="F867" s="2069"/>
      <c r="G867" s="2069"/>
      <c r="H867" s="2069"/>
      <c r="I867"/>
      <c r="J867"/>
      <c r="K867"/>
    </row>
    <row r="868" spans="2:11" x14ac:dyDescent="0.2">
      <c r="B868" s="2069"/>
      <c r="C868" s="2069"/>
      <c r="D868" s="2069"/>
      <c r="E868" s="2069"/>
      <c r="F868" s="2069"/>
      <c r="G868" s="2069"/>
      <c r="H868" s="2069"/>
      <c r="I868"/>
      <c r="J868"/>
      <c r="K868"/>
    </row>
    <row r="869" spans="2:11" x14ac:dyDescent="0.2">
      <c r="B869" s="2069"/>
      <c r="C869" s="2069"/>
      <c r="D869" s="2069"/>
      <c r="E869" s="2069"/>
      <c r="F869" s="2069"/>
      <c r="G869" s="2069"/>
      <c r="H869" s="2069"/>
      <c r="I869"/>
      <c r="J869"/>
      <c r="K869"/>
    </row>
    <row r="870" spans="2:11" x14ac:dyDescent="0.2">
      <c r="B870" s="2069"/>
      <c r="C870" s="2069"/>
      <c r="D870" s="2069"/>
      <c r="E870" s="2069"/>
      <c r="F870" s="2069"/>
      <c r="G870" s="2069"/>
      <c r="H870" s="2069"/>
      <c r="I870"/>
      <c r="J870"/>
      <c r="K870"/>
    </row>
    <row r="871" spans="2:11" x14ac:dyDescent="0.2">
      <c r="B871" s="2069"/>
      <c r="C871" s="2069"/>
      <c r="D871" s="2069"/>
      <c r="E871" s="2069"/>
      <c r="F871" s="2069"/>
      <c r="G871" s="2069"/>
      <c r="H871" s="2069"/>
      <c r="I871"/>
      <c r="J871"/>
      <c r="K871"/>
    </row>
    <row r="872" spans="2:11" x14ac:dyDescent="0.2">
      <c r="B872" s="2069"/>
      <c r="C872" s="2069"/>
      <c r="D872" s="2069"/>
      <c r="E872" s="2069"/>
      <c r="F872" s="2069"/>
      <c r="G872" s="2069"/>
      <c r="H872" s="2069"/>
      <c r="I872"/>
      <c r="J872"/>
      <c r="K872"/>
    </row>
    <row r="873" spans="2:11" x14ac:dyDescent="0.2">
      <c r="B873" s="2069"/>
      <c r="C873" s="2069"/>
      <c r="D873" s="2069"/>
      <c r="E873" s="2069"/>
      <c r="F873" s="2069"/>
      <c r="G873" s="2069"/>
      <c r="H873" s="2069"/>
      <c r="I873"/>
      <c r="J873"/>
      <c r="K873"/>
    </row>
    <row r="874" spans="2:11" x14ac:dyDescent="0.2">
      <c r="B874" s="2069"/>
      <c r="C874" s="2069"/>
      <c r="D874" s="2069"/>
      <c r="E874" s="2069"/>
      <c r="F874" s="2069"/>
      <c r="G874" s="2069"/>
      <c r="H874" s="2069"/>
      <c r="I874"/>
      <c r="J874"/>
      <c r="K874"/>
    </row>
    <row r="875" spans="2:11" x14ac:dyDescent="0.2">
      <c r="B875" s="2069"/>
      <c r="C875" s="2069"/>
      <c r="D875" s="2069"/>
      <c r="E875" s="2069"/>
      <c r="F875" s="2069"/>
      <c r="G875" s="2069"/>
      <c r="H875" s="2069"/>
      <c r="I875"/>
      <c r="J875"/>
      <c r="K875"/>
    </row>
    <row r="876" spans="2:11" x14ac:dyDescent="0.2">
      <c r="B876" s="2069"/>
      <c r="C876" s="2069"/>
      <c r="D876" s="2069"/>
      <c r="E876" s="2069"/>
      <c r="F876" s="2069"/>
      <c r="G876" s="2069"/>
      <c r="H876" s="2069"/>
      <c r="I876"/>
      <c r="J876"/>
      <c r="K876"/>
    </row>
    <row r="877" spans="2:11" x14ac:dyDescent="0.2">
      <c r="B877" s="2069"/>
      <c r="C877" s="2069"/>
      <c r="D877" s="2069"/>
      <c r="E877" s="2069"/>
      <c r="F877" s="2069"/>
      <c r="G877" s="2069"/>
      <c r="H877" s="2069"/>
      <c r="I877"/>
      <c r="J877"/>
      <c r="K877"/>
    </row>
    <row r="878" spans="2:11" x14ac:dyDescent="0.2">
      <c r="B878" s="2069"/>
      <c r="C878" s="2069"/>
      <c r="D878" s="2069"/>
      <c r="E878" s="2069"/>
      <c r="F878" s="2069"/>
      <c r="G878" s="2069"/>
      <c r="H878" s="2069"/>
      <c r="I878"/>
      <c r="J878"/>
      <c r="K878"/>
    </row>
    <row r="879" spans="2:11" x14ac:dyDescent="0.2">
      <c r="B879" s="2069"/>
      <c r="C879" s="2069"/>
      <c r="D879" s="2069"/>
      <c r="E879" s="2069"/>
      <c r="F879" s="2069"/>
      <c r="G879" s="2069"/>
      <c r="H879" s="2069"/>
      <c r="I879"/>
      <c r="J879"/>
      <c r="K879"/>
    </row>
    <row r="880" spans="2:11" x14ac:dyDescent="0.2">
      <c r="B880" s="2069"/>
      <c r="C880" s="2069"/>
      <c r="D880" s="2069"/>
      <c r="E880" s="2069"/>
      <c r="F880" s="2069"/>
      <c r="G880" s="2069"/>
      <c r="H880" s="2069"/>
      <c r="I880"/>
      <c r="J880"/>
      <c r="K880"/>
    </row>
    <row r="881" spans="2:11" x14ac:dyDescent="0.2">
      <c r="B881" s="2069"/>
      <c r="C881" s="2069"/>
      <c r="D881" s="2069"/>
      <c r="E881" s="2069"/>
      <c r="F881" s="2069"/>
      <c r="G881" s="2069"/>
      <c r="H881" s="2069"/>
      <c r="I881"/>
      <c r="J881"/>
      <c r="K881"/>
    </row>
    <row r="882" spans="2:11" x14ac:dyDescent="0.2">
      <c r="B882" s="2069"/>
      <c r="C882" s="2069"/>
      <c r="D882" s="2069"/>
      <c r="E882" s="2069"/>
      <c r="F882" s="2069"/>
      <c r="G882" s="2069"/>
      <c r="H882" s="2069"/>
      <c r="I882"/>
      <c r="J882"/>
      <c r="K882"/>
    </row>
    <row r="883" spans="2:11" x14ac:dyDescent="0.2">
      <c r="B883" s="2069"/>
      <c r="C883" s="2069"/>
      <c r="D883" s="2069"/>
      <c r="E883" s="2069"/>
      <c r="F883" s="2069"/>
      <c r="G883" s="2069"/>
      <c r="H883" s="2069"/>
      <c r="I883"/>
      <c r="J883"/>
      <c r="K883"/>
    </row>
    <row r="884" spans="2:11" x14ac:dyDescent="0.2">
      <c r="B884" s="2069"/>
      <c r="C884" s="2069"/>
      <c r="D884" s="2069"/>
      <c r="E884" s="2069"/>
      <c r="F884" s="2069"/>
      <c r="G884" s="2069"/>
      <c r="H884" s="2069"/>
      <c r="I884"/>
      <c r="J884"/>
      <c r="K884"/>
    </row>
    <row r="885" spans="2:11" x14ac:dyDescent="0.2">
      <c r="B885" s="2069"/>
      <c r="C885" s="2069"/>
      <c r="D885" s="2069"/>
      <c r="E885" s="2069"/>
      <c r="F885" s="2069"/>
      <c r="G885" s="2069"/>
      <c r="H885" s="2069"/>
      <c r="I885"/>
      <c r="J885"/>
      <c r="K885"/>
    </row>
    <row r="886" spans="2:11" x14ac:dyDescent="0.2">
      <c r="B886" s="2069"/>
      <c r="C886" s="2069"/>
      <c r="D886" s="2069"/>
      <c r="E886" s="2069"/>
      <c r="F886" s="2069"/>
      <c r="G886" s="2069"/>
      <c r="H886" s="2069"/>
      <c r="I886"/>
      <c r="J886"/>
      <c r="K886"/>
    </row>
    <row r="887" spans="2:11" x14ac:dyDescent="0.2">
      <c r="B887" s="2069"/>
      <c r="C887" s="2069"/>
      <c r="D887" s="2069"/>
      <c r="E887" s="2069"/>
      <c r="F887" s="2069"/>
      <c r="G887" s="2069"/>
      <c r="H887" s="2069"/>
      <c r="I887"/>
      <c r="J887"/>
      <c r="K887"/>
    </row>
    <row r="888" spans="2:11" x14ac:dyDescent="0.2">
      <c r="B888" s="2069"/>
      <c r="C888" s="2069"/>
      <c r="D888" s="2069"/>
      <c r="E888" s="2069"/>
      <c r="F888" s="2069"/>
      <c r="G888" s="2069"/>
      <c r="H888" s="2069"/>
      <c r="I888"/>
      <c r="J888"/>
      <c r="K888"/>
    </row>
    <row r="889" spans="2:11" x14ac:dyDescent="0.2">
      <c r="B889" s="2069"/>
      <c r="C889" s="2069"/>
      <c r="D889" s="2069"/>
      <c r="E889" s="2069"/>
      <c r="F889" s="2069"/>
      <c r="G889" s="2069"/>
      <c r="H889" s="2069"/>
      <c r="I889"/>
      <c r="J889"/>
      <c r="K889"/>
    </row>
    <row r="890" spans="2:11" x14ac:dyDescent="0.2">
      <c r="B890" s="2069"/>
      <c r="C890" s="2069"/>
      <c r="D890" s="2069"/>
      <c r="E890" s="2069"/>
      <c r="F890" s="2069"/>
      <c r="G890" s="2069"/>
      <c r="H890" s="2069"/>
      <c r="I890"/>
      <c r="J890"/>
      <c r="K890"/>
    </row>
    <row r="891" spans="2:11" x14ac:dyDescent="0.2">
      <c r="B891" s="2069"/>
      <c r="C891" s="2069"/>
      <c r="D891" s="2069"/>
      <c r="E891" s="2069"/>
      <c r="F891" s="2069"/>
      <c r="G891" s="2069"/>
      <c r="H891" s="2069"/>
      <c r="I891"/>
      <c r="J891"/>
      <c r="K891"/>
    </row>
    <row r="892" spans="2:11" x14ac:dyDescent="0.2">
      <c r="B892" s="2069"/>
      <c r="C892" s="2069"/>
      <c r="D892" s="2069"/>
      <c r="E892" s="2069"/>
      <c r="F892" s="2069"/>
      <c r="G892" s="2069"/>
      <c r="H892" s="2069"/>
      <c r="I892"/>
      <c r="J892"/>
      <c r="K892"/>
    </row>
    <row r="893" spans="2:11" x14ac:dyDescent="0.2">
      <c r="B893" s="2069"/>
      <c r="C893" s="2069"/>
      <c r="D893" s="2069"/>
      <c r="E893" s="2069"/>
      <c r="F893" s="2069"/>
      <c r="G893" s="2069"/>
      <c r="H893" s="2069"/>
      <c r="I893"/>
      <c r="J893"/>
      <c r="K893"/>
    </row>
    <row r="894" spans="2:11" x14ac:dyDescent="0.2">
      <c r="B894" s="2069"/>
      <c r="C894" s="2069"/>
      <c r="D894" s="2069"/>
      <c r="E894" s="2069"/>
      <c r="F894" s="2069"/>
      <c r="G894" s="2069"/>
      <c r="H894" s="2069"/>
      <c r="I894"/>
      <c r="J894"/>
      <c r="K894"/>
    </row>
    <row r="895" spans="2:11" x14ac:dyDescent="0.2">
      <c r="B895" s="2069"/>
      <c r="C895" s="2069"/>
      <c r="D895" s="2069"/>
      <c r="E895" s="2069"/>
      <c r="F895" s="2069"/>
      <c r="G895" s="2069"/>
      <c r="H895" s="2069"/>
      <c r="I895"/>
      <c r="J895"/>
      <c r="K895"/>
    </row>
    <row r="896" spans="2:11" x14ac:dyDescent="0.2">
      <c r="B896" s="2069"/>
      <c r="C896" s="2069"/>
      <c r="D896" s="2069"/>
      <c r="E896" s="2069"/>
      <c r="F896" s="2069"/>
      <c r="G896" s="2069"/>
      <c r="H896" s="2069"/>
      <c r="I896"/>
      <c r="J896"/>
      <c r="K896"/>
    </row>
    <row r="897" spans="2:11" x14ac:dyDescent="0.2">
      <c r="B897" s="2069"/>
      <c r="C897" s="2069"/>
      <c r="D897" s="2069"/>
      <c r="E897" s="2069"/>
      <c r="F897" s="2069"/>
      <c r="G897" s="2069"/>
      <c r="H897" s="2069"/>
      <c r="I897"/>
      <c r="J897"/>
      <c r="K897"/>
    </row>
    <row r="898" spans="2:11" x14ac:dyDescent="0.2">
      <c r="B898" s="2069"/>
      <c r="C898" s="2069"/>
      <c r="D898" s="2069"/>
      <c r="E898" s="2069"/>
      <c r="F898" s="2069"/>
      <c r="G898" s="2069"/>
      <c r="H898" s="2069"/>
      <c r="I898"/>
      <c r="J898"/>
      <c r="K898"/>
    </row>
    <row r="899" spans="2:11" x14ac:dyDescent="0.2">
      <c r="B899" s="2069"/>
      <c r="C899" s="2069"/>
      <c r="D899" s="2069"/>
      <c r="E899" s="2069"/>
      <c r="F899" s="2069"/>
      <c r="G899" s="2069"/>
      <c r="H899" s="2069"/>
      <c r="I899"/>
      <c r="J899"/>
      <c r="K899"/>
    </row>
    <row r="900" spans="2:11" x14ac:dyDescent="0.2">
      <c r="B900" s="2069"/>
      <c r="C900" s="2069"/>
      <c r="D900" s="2069"/>
      <c r="E900" s="2069"/>
      <c r="F900" s="2069"/>
      <c r="G900" s="2069"/>
      <c r="H900" s="2069"/>
      <c r="I900"/>
      <c r="J900"/>
      <c r="K900"/>
    </row>
    <row r="901" spans="2:11" x14ac:dyDescent="0.2">
      <c r="B901" s="2069"/>
      <c r="C901" s="2069"/>
      <c r="D901" s="2069"/>
      <c r="E901" s="2069"/>
      <c r="F901" s="2069"/>
      <c r="G901" s="2069"/>
      <c r="H901" s="2069"/>
      <c r="I901"/>
      <c r="J901"/>
      <c r="K901"/>
    </row>
    <row r="902" spans="2:11" x14ac:dyDescent="0.2">
      <c r="B902" s="2069"/>
      <c r="C902" s="2069"/>
      <c r="D902" s="2069"/>
      <c r="E902" s="2069"/>
      <c r="F902" s="2069"/>
      <c r="G902" s="2069"/>
      <c r="H902" s="2069"/>
      <c r="I902"/>
      <c r="J902"/>
      <c r="K902"/>
    </row>
    <row r="903" spans="2:11" x14ac:dyDescent="0.2">
      <c r="B903" s="2069"/>
      <c r="C903" s="2069"/>
      <c r="D903" s="2069"/>
      <c r="E903" s="2069"/>
      <c r="F903" s="2069"/>
      <c r="G903" s="2069"/>
      <c r="H903" s="2069"/>
      <c r="I903"/>
      <c r="J903"/>
      <c r="K903"/>
    </row>
    <row r="904" spans="2:11" x14ac:dyDescent="0.2">
      <c r="B904" s="2069"/>
      <c r="C904" s="2069"/>
      <c r="D904" s="2069"/>
      <c r="E904" s="2069"/>
      <c r="F904" s="2069"/>
      <c r="G904" s="2069"/>
      <c r="H904" s="2069"/>
      <c r="I904"/>
      <c r="J904"/>
      <c r="K904"/>
    </row>
    <row r="905" spans="2:11" x14ac:dyDescent="0.2">
      <c r="B905" s="2069"/>
      <c r="C905" s="2069"/>
      <c r="D905" s="2069"/>
      <c r="E905" s="2069"/>
      <c r="F905" s="2069"/>
      <c r="G905" s="2069"/>
      <c r="H905" s="2069"/>
      <c r="I905"/>
      <c r="J905"/>
      <c r="K905"/>
    </row>
    <row r="906" spans="2:11" x14ac:dyDescent="0.2">
      <c r="B906" s="2069"/>
      <c r="C906" s="2069"/>
      <c r="D906" s="2069"/>
      <c r="E906" s="2069"/>
      <c r="F906" s="2069"/>
      <c r="G906" s="2069"/>
      <c r="H906" s="2069"/>
      <c r="I906"/>
      <c r="J906"/>
      <c r="K906"/>
    </row>
    <row r="907" spans="2:11" x14ac:dyDescent="0.2">
      <c r="B907" s="2069"/>
      <c r="C907" s="2069"/>
      <c r="D907" s="2069"/>
      <c r="E907" s="2069"/>
      <c r="F907" s="2069"/>
      <c r="G907" s="2069"/>
      <c r="H907" s="2069"/>
      <c r="I907"/>
      <c r="J907"/>
      <c r="K907"/>
    </row>
    <row r="908" spans="2:11" x14ac:dyDescent="0.2">
      <c r="B908" s="2069"/>
      <c r="C908" s="2069"/>
      <c r="D908" s="2069"/>
      <c r="E908" s="2069"/>
      <c r="F908" s="2069"/>
      <c r="G908" s="2069"/>
      <c r="H908" s="2069"/>
      <c r="I908"/>
      <c r="J908"/>
      <c r="K908"/>
    </row>
    <row r="909" spans="2:11" x14ac:dyDescent="0.2">
      <c r="B909" s="2069"/>
      <c r="C909" s="2069"/>
      <c r="D909" s="2069"/>
      <c r="E909" s="2069"/>
      <c r="F909" s="2069"/>
      <c r="G909" s="2069"/>
      <c r="H909" s="2069"/>
      <c r="I909"/>
      <c r="J909"/>
      <c r="K909"/>
    </row>
    <row r="910" spans="2:11" x14ac:dyDescent="0.2">
      <c r="B910" s="2069"/>
      <c r="C910" s="2069"/>
      <c r="D910" s="2069"/>
      <c r="E910" s="2069"/>
      <c r="F910" s="2069"/>
      <c r="G910" s="2069"/>
      <c r="H910" s="2069"/>
      <c r="I910"/>
      <c r="J910"/>
      <c r="K910"/>
    </row>
    <row r="911" spans="2:11" x14ac:dyDescent="0.2">
      <c r="B911" s="2069"/>
      <c r="C911" s="2069"/>
      <c r="D911" s="2069"/>
      <c r="E911" s="2069"/>
      <c r="F911" s="2069"/>
      <c r="G911" s="2069"/>
      <c r="H911" s="2069"/>
      <c r="I911"/>
      <c r="J911"/>
      <c r="K911"/>
    </row>
    <row r="912" spans="2:11" x14ac:dyDescent="0.2">
      <c r="B912" s="2069"/>
      <c r="C912" s="2069"/>
      <c r="D912" s="2069"/>
      <c r="E912" s="2069"/>
      <c r="F912" s="2069"/>
      <c r="G912" s="2069"/>
      <c r="H912" s="2069"/>
      <c r="I912"/>
      <c r="J912"/>
      <c r="K912"/>
    </row>
    <row r="913" spans="2:11" x14ac:dyDescent="0.2">
      <c r="B913" s="2069"/>
      <c r="C913" s="2069"/>
      <c r="D913" s="2069"/>
      <c r="E913" s="2069"/>
      <c r="F913" s="2069"/>
      <c r="G913" s="2069"/>
      <c r="H913" s="2069"/>
      <c r="I913"/>
      <c r="J913"/>
      <c r="K913"/>
    </row>
    <row r="914" spans="2:11" x14ac:dyDescent="0.2">
      <c r="B914" s="2069"/>
      <c r="C914" s="2069"/>
      <c r="D914" s="2069"/>
      <c r="E914" s="2069"/>
      <c r="F914" s="2069"/>
      <c r="G914" s="2069"/>
      <c r="H914" s="2069"/>
      <c r="I914"/>
      <c r="J914"/>
      <c r="K914"/>
    </row>
    <row r="915" spans="2:11" x14ac:dyDescent="0.2">
      <c r="B915" s="2069"/>
      <c r="C915" s="2069"/>
      <c r="D915" s="2069"/>
      <c r="E915" s="2069"/>
      <c r="F915" s="2069"/>
      <c r="G915" s="2069"/>
      <c r="H915" s="2069"/>
      <c r="I915"/>
      <c r="J915"/>
      <c r="K915"/>
    </row>
    <row r="916" spans="2:11" x14ac:dyDescent="0.2">
      <c r="B916" s="2069"/>
      <c r="C916" s="2069"/>
      <c r="D916" s="2069"/>
      <c r="E916" s="2069"/>
      <c r="F916" s="2069"/>
      <c r="G916" s="2069"/>
      <c r="H916" s="2069"/>
      <c r="I916"/>
      <c r="J916"/>
      <c r="K916"/>
    </row>
    <row r="917" spans="2:11" x14ac:dyDescent="0.2">
      <c r="B917" s="2069"/>
      <c r="C917" s="2069"/>
      <c r="D917" s="2069"/>
      <c r="E917" s="2069"/>
      <c r="F917" s="2069"/>
      <c r="G917" s="2069"/>
      <c r="H917" s="2069"/>
      <c r="I917"/>
      <c r="J917"/>
      <c r="K917"/>
    </row>
    <row r="918" spans="2:11" x14ac:dyDescent="0.2">
      <c r="B918" s="2069"/>
      <c r="C918" s="2069"/>
      <c r="D918" s="2069"/>
      <c r="E918" s="2069"/>
      <c r="F918" s="2069"/>
      <c r="G918" s="2069"/>
      <c r="H918" s="2069"/>
      <c r="I918"/>
      <c r="J918"/>
      <c r="K918"/>
    </row>
    <row r="919" spans="2:11" x14ac:dyDescent="0.2">
      <c r="B919" s="2069"/>
      <c r="C919" s="2069"/>
      <c r="D919" s="2069"/>
      <c r="E919" s="2069"/>
      <c r="F919" s="2069"/>
      <c r="G919" s="2069"/>
      <c r="H919" s="2069"/>
      <c r="I919"/>
      <c r="J919"/>
      <c r="K919"/>
    </row>
    <row r="920" spans="2:11" x14ac:dyDescent="0.2">
      <c r="B920" s="2069"/>
      <c r="C920" s="2069"/>
      <c r="D920" s="2069"/>
      <c r="E920" s="2069"/>
      <c r="F920" s="2069"/>
      <c r="G920" s="2069"/>
      <c r="H920" s="2069"/>
      <c r="I920"/>
      <c r="J920"/>
      <c r="K920"/>
    </row>
    <row r="921" spans="2:11" x14ac:dyDescent="0.2">
      <c r="B921" s="2069"/>
      <c r="C921" s="2069"/>
      <c r="D921" s="2069"/>
      <c r="E921" s="2069"/>
      <c r="F921" s="2069"/>
      <c r="G921" s="2069"/>
      <c r="H921" s="2069"/>
      <c r="I921"/>
      <c r="J921"/>
      <c r="K921"/>
    </row>
    <row r="922" spans="2:11" x14ac:dyDescent="0.2">
      <c r="B922" s="2069"/>
      <c r="C922" s="2069"/>
      <c r="D922" s="2069"/>
      <c r="E922" s="2069"/>
      <c r="F922" s="2069"/>
      <c r="G922" s="2069"/>
      <c r="H922" s="2069"/>
      <c r="I922"/>
      <c r="J922"/>
      <c r="K922"/>
    </row>
    <row r="923" spans="2:11" x14ac:dyDescent="0.2">
      <c r="B923" s="2069"/>
      <c r="C923" s="2069"/>
      <c r="D923" s="2069"/>
      <c r="E923" s="2069"/>
      <c r="F923" s="2069"/>
      <c r="G923" s="2069"/>
      <c r="H923" s="2069"/>
      <c r="I923"/>
      <c r="J923"/>
      <c r="K923"/>
    </row>
    <row r="924" spans="2:11" x14ac:dyDescent="0.2">
      <c r="B924" s="2069"/>
      <c r="C924" s="2069"/>
      <c r="D924" s="2069"/>
      <c r="E924" s="2069"/>
      <c r="F924" s="2069"/>
      <c r="G924" s="2069"/>
      <c r="H924" s="2069"/>
      <c r="I924"/>
      <c r="J924"/>
      <c r="K924"/>
    </row>
    <row r="925" spans="2:11" x14ac:dyDescent="0.2">
      <c r="B925" s="2069"/>
      <c r="C925" s="2069"/>
      <c r="D925" s="2069"/>
      <c r="E925" s="2069"/>
      <c r="F925" s="2069"/>
      <c r="G925" s="2069"/>
      <c r="H925" s="2069"/>
      <c r="I925"/>
      <c r="J925"/>
      <c r="K925"/>
    </row>
    <row r="926" spans="2:11" x14ac:dyDescent="0.2">
      <c r="B926" s="2069"/>
      <c r="C926" s="2069"/>
      <c r="D926" s="2069"/>
      <c r="E926" s="2069"/>
      <c r="F926" s="2069"/>
      <c r="G926" s="2069"/>
      <c r="H926" s="2069"/>
      <c r="I926"/>
      <c r="J926"/>
      <c r="K926"/>
    </row>
    <row r="927" spans="2:11" x14ac:dyDescent="0.2">
      <c r="B927" s="2069"/>
      <c r="C927" s="2069"/>
      <c r="D927" s="2069"/>
      <c r="E927" s="2069"/>
      <c r="F927" s="2069"/>
      <c r="G927" s="2069"/>
      <c r="H927" s="2069"/>
      <c r="I927"/>
      <c r="J927"/>
      <c r="K927"/>
    </row>
    <row r="928" spans="2:11" x14ac:dyDescent="0.2">
      <c r="B928" s="2069"/>
      <c r="C928" s="2069"/>
      <c r="D928" s="2069"/>
      <c r="E928" s="2069"/>
      <c r="F928" s="2069"/>
      <c r="G928" s="2069"/>
      <c r="H928" s="2069"/>
      <c r="I928"/>
      <c r="J928"/>
      <c r="K928"/>
    </row>
    <row r="929" spans="2:11" x14ac:dyDescent="0.2">
      <c r="B929" s="2069"/>
      <c r="C929" s="2069"/>
      <c r="D929" s="2069"/>
      <c r="E929" s="2069"/>
      <c r="F929" s="2069"/>
      <c r="G929" s="2069"/>
      <c r="H929" s="2069"/>
      <c r="I929"/>
      <c r="J929"/>
      <c r="K929"/>
    </row>
    <row r="930" spans="2:11" x14ac:dyDescent="0.2">
      <c r="B930" s="2069"/>
      <c r="C930" s="2069"/>
      <c r="D930" s="2069"/>
      <c r="E930" s="2069"/>
      <c r="F930" s="2069"/>
      <c r="G930" s="2069"/>
      <c r="H930" s="2069"/>
      <c r="I930"/>
      <c r="J930"/>
      <c r="K930"/>
    </row>
    <row r="931" spans="2:11" x14ac:dyDescent="0.2">
      <c r="B931" s="2069"/>
      <c r="C931" s="2069"/>
      <c r="D931" s="2069"/>
      <c r="E931" s="2069"/>
      <c r="F931" s="2069"/>
      <c r="G931" s="2069"/>
      <c r="H931" s="2069"/>
      <c r="I931"/>
      <c r="J931"/>
      <c r="K931"/>
    </row>
    <row r="932" spans="2:11" x14ac:dyDescent="0.2">
      <c r="B932" s="2069"/>
      <c r="C932" s="2069"/>
      <c r="D932" s="2069"/>
      <c r="E932" s="2069"/>
      <c r="F932" s="2069"/>
      <c r="G932" s="2069"/>
      <c r="H932" s="2069"/>
      <c r="I932"/>
      <c r="J932"/>
      <c r="K932"/>
    </row>
    <row r="933" spans="2:11" x14ac:dyDescent="0.2">
      <c r="B933" s="2069"/>
      <c r="C933" s="2069"/>
      <c r="D933" s="2069"/>
      <c r="E933" s="2069"/>
      <c r="F933" s="2069"/>
      <c r="G933" s="2069"/>
      <c r="H933" s="2069"/>
      <c r="I933"/>
      <c r="J933"/>
      <c r="K933"/>
    </row>
    <row r="934" spans="2:11" x14ac:dyDescent="0.2">
      <c r="B934" s="2069"/>
      <c r="C934" s="2069"/>
      <c r="D934" s="2069"/>
      <c r="E934" s="2069"/>
      <c r="F934" s="2069"/>
      <c r="G934" s="2069"/>
      <c r="H934" s="2069"/>
      <c r="I934"/>
      <c r="J934"/>
      <c r="K934"/>
    </row>
    <row r="935" spans="2:11" x14ac:dyDescent="0.2">
      <c r="B935" s="2069"/>
      <c r="C935" s="2069"/>
      <c r="D935" s="2069"/>
      <c r="E935" s="2069"/>
      <c r="F935" s="2069"/>
      <c r="G935" s="2069"/>
      <c r="H935" s="2069"/>
      <c r="I935"/>
      <c r="J935"/>
      <c r="K935"/>
    </row>
    <row r="936" spans="2:11" x14ac:dyDescent="0.2">
      <c r="B936" s="2069"/>
      <c r="C936" s="2069"/>
      <c r="D936" s="2069"/>
      <c r="E936" s="2069"/>
      <c r="F936" s="2069"/>
      <c r="G936" s="2069"/>
      <c r="H936" s="2069"/>
      <c r="I936"/>
      <c r="J936"/>
      <c r="K936"/>
    </row>
    <row r="937" spans="2:11" x14ac:dyDescent="0.2">
      <c r="B937" s="2069"/>
      <c r="C937" s="2069"/>
      <c r="D937" s="2069"/>
      <c r="E937" s="2069"/>
      <c r="F937" s="2069"/>
      <c r="G937" s="2069"/>
      <c r="H937" s="2069"/>
      <c r="I937"/>
      <c r="J937"/>
      <c r="K937"/>
    </row>
    <row r="938" spans="2:11" x14ac:dyDescent="0.2">
      <c r="B938" s="2069"/>
      <c r="C938" s="2069"/>
      <c r="D938" s="2069"/>
      <c r="E938" s="2069"/>
      <c r="F938" s="2069"/>
      <c r="G938" s="2069"/>
      <c r="H938" s="2069"/>
      <c r="I938"/>
      <c r="J938"/>
      <c r="K938"/>
    </row>
    <row r="939" spans="2:11" x14ac:dyDescent="0.2">
      <c r="B939" s="2069"/>
      <c r="C939" s="2069"/>
      <c r="D939" s="2069"/>
      <c r="E939" s="2069"/>
      <c r="F939" s="2069"/>
      <c r="G939" s="2069"/>
      <c r="H939" s="2069"/>
      <c r="I939"/>
      <c r="J939"/>
      <c r="K939"/>
    </row>
    <row r="940" spans="2:11" x14ac:dyDescent="0.2">
      <c r="B940" s="2069"/>
      <c r="C940" s="2069"/>
      <c r="D940" s="2069"/>
      <c r="E940" s="2069"/>
      <c r="F940" s="2069"/>
      <c r="G940" s="2069"/>
      <c r="H940" s="2069"/>
      <c r="I940"/>
      <c r="J940"/>
      <c r="K940"/>
    </row>
    <row r="941" spans="2:11" x14ac:dyDescent="0.2">
      <c r="B941" s="2069"/>
      <c r="C941" s="2069"/>
      <c r="D941" s="2069"/>
      <c r="E941" s="2069"/>
      <c r="F941" s="2069"/>
      <c r="G941" s="2069"/>
      <c r="H941" s="2069"/>
      <c r="I941"/>
      <c r="J941"/>
      <c r="K941"/>
    </row>
    <row r="942" spans="2:11" x14ac:dyDescent="0.2">
      <c r="B942" s="2069"/>
      <c r="C942" s="2069"/>
      <c r="D942" s="2069"/>
      <c r="E942" s="2069"/>
      <c r="F942" s="2069"/>
      <c r="G942" s="2069"/>
      <c r="H942" s="2069"/>
      <c r="I942"/>
      <c r="J942"/>
      <c r="K942"/>
    </row>
    <row r="943" spans="2:11" x14ac:dyDescent="0.2">
      <c r="B943" s="2069"/>
      <c r="C943" s="2069"/>
      <c r="D943" s="2069"/>
      <c r="E943" s="2069"/>
      <c r="F943" s="2069"/>
      <c r="G943" s="2069"/>
      <c r="H943" s="2069"/>
      <c r="I943"/>
      <c r="J943"/>
      <c r="K943"/>
    </row>
    <row r="944" spans="2:11" x14ac:dyDescent="0.2">
      <c r="B944" s="2069"/>
      <c r="C944" s="2069"/>
      <c r="D944" s="2069"/>
      <c r="E944" s="2069"/>
      <c r="F944" s="2069"/>
      <c r="G944" s="2069"/>
      <c r="H944" s="2069"/>
      <c r="I944"/>
      <c r="J944"/>
      <c r="K944"/>
    </row>
    <row r="945" spans="2:11" x14ac:dyDescent="0.2">
      <c r="B945" s="2069"/>
      <c r="C945" s="2069"/>
      <c r="D945" s="2069"/>
      <c r="E945" s="2069"/>
      <c r="F945" s="2069"/>
      <c r="G945" s="2069"/>
      <c r="H945" s="2069"/>
      <c r="I945"/>
      <c r="J945"/>
      <c r="K945"/>
    </row>
    <row r="946" spans="2:11" x14ac:dyDescent="0.2">
      <c r="B946" s="2069"/>
      <c r="C946" s="2069"/>
      <c r="D946" s="2069"/>
      <c r="E946" s="2069"/>
      <c r="F946" s="2069"/>
      <c r="G946" s="2069"/>
      <c r="H946" s="2069"/>
      <c r="I946"/>
      <c r="J946"/>
      <c r="K946"/>
    </row>
    <row r="947" spans="2:11" x14ac:dyDescent="0.2">
      <c r="B947" s="2069"/>
      <c r="C947" s="2069"/>
      <c r="D947" s="2069"/>
      <c r="E947" s="2069"/>
      <c r="F947" s="2069"/>
      <c r="G947" s="2069"/>
      <c r="H947" s="2069"/>
      <c r="I947"/>
      <c r="J947"/>
      <c r="K947"/>
    </row>
    <row r="948" spans="2:11" x14ac:dyDescent="0.2">
      <c r="B948" s="2069"/>
      <c r="C948" s="2069"/>
      <c r="D948" s="2069"/>
      <c r="E948" s="2069"/>
      <c r="F948" s="2069"/>
      <c r="G948" s="2069"/>
      <c r="H948" s="2069"/>
      <c r="I948"/>
      <c r="J948"/>
      <c r="K948"/>
    </row>
    <row r="949" spans="2:11" x14ac:dyDescent="0.2">
      <c r="B949" s="2069"/>
      <c r="C949" s="2069"/>
      <c r="D949" s="2069"/>
      <c r="E949" s="2069"/>
      <c r="F949" s="2069"/>
      <c r="G949" s="2069"/>
      <c r="H949" s="2069"/>
      <c r="I949"/>
      <c r="J949"/>
      <c r="K949"/>
    </row>
    <row r="950" spans="2:11" x14ac:dyDescent="0.2">
      <c r="B950" s="2069"/>
      <c r="C950" s="2069"/>
      <c r="D950" s="2069"/>
      <c r="E950" s="2069"/>
      <c r="F950" s="2069"/>
      <c r="G950" s="2069"/>
      <c r="H950" s="2069"/>
      <c r="I950"/>
      <c r="J950"/>
      <c r="K950"/>
    </row>
    <row r="951" spans="2:11" x14ac:dyDescent="0.2">
      <c r="B951" s="2069"/>
      <c r="C951" s="2069"/>
      <c r="D951" s="2069"/>
      <c r="E951" s="2069"/>
      <c r="F951" s="2069"/>
      <c r="G951" s="2069"/>
      <c r="H951" s="2069"/>
      <c r="I951"/>
      <c r="J951"/>
      <c r="K951"/>
    </row>
    <row r="952" spans="2:11" x14ac:dyDescent="0.2">
      <c r="B952" s="2069"/>
      <c r="C952" s="2069"/>
      <c r="D952" s="2069"/>
      <c r="E952" s="2069"/>
      <c r="F952" s="2069"/>
      <c r="G952" s="2069"/>
      <c r="H952" s="2069"/>
      <c r="I952"/>
      <c r="J952"/>
      <c r="K952"/>
    </row>
    <row r="953" spans="2:11" x14ac:dyDescent="0.2">
      <c r="B953" s="2069"/>
      <c r="C953" s="2069"/>
      <c r="D953" s="2069"/>
      <c r="E953" s="2069"/>
      <c r="F953" s="2069"/>
      <c r="G953" s="2069"/>
      <c r="H953" s="2069"/>
      <c r="I953"/>
      <c r="J953"/>
      <c r="K953"/>
    </row>
    <row r="954" spans="2:11" x14ac:dyDescent="0.2">
      <c r="B954" s="2069"/>
      <c r="C954" s="2069"/>
      <c r="D954" s="2069"/>
      <c r="E954" s="2069"/>
      <c r="F954" s="2069"/>
      <c r="G954" s="2069"/>
      <c r="H954" s="2069"/>
      <c r="I954"/>
      <c r="J954"/>
      <c r="K954"/>
    </row>
    <row r="955" spans="2:11" x14ac:dyDescent="0.2">
      <c r="B955" s="2069"/>
      <c r="C955" s="2069"/>
      <c r="D955" s="2069"/>
      <c r="E955" s="2069"/>
      <c r="F955" s="2069"/>
      <c r="G955" s="2069"/>
      <c r="H955" s="2069"/>
      <c r="I955"/>
      <c r="J955"/>
      <c r="K955"/>
    </row>
    <row r="956" spans="2:11" x14ac:dyDescent="0.2">
      <c r="B956" s="2069"/>
      <c r="C956" s="2069"/>
      <c r="D956" s="2069"/>
      <c r="E956" s="2069"/>
      <c r="F956" s="2069"/>
      <c r="G956" s="2069"/>
      <c r="H956" s="2069"/>
      <c r="I956"/>
      <c r="J956"/>
      <c r="K956"/>
    </row>
    <row r="957" spans="2:11" x14ac:dyDescent="0.2">
      <c r="B957" s="2069"/>
      <c r="C957" s="2069"/>
      <c r="D957" s="2069"/>
      <c r="E957" s="2069"/>
      <c r="F957" s="2069"/>
      <c r="G957" s="2069"/>
      <c r="H957" s="2069"/>
      <c r="I957"/>
      <c r="J957"/>
      <c r="K957"/>
    </row>
    <row r="958" spans="2:11" x14ac:dyDescent="0.2">
      <c r="B958" s="2069"/>
      <c r="C958" s="2069"/>
      <c r="D958" s="2069"/>
      <c r="E958" s="2069"/>
      <c r="F958" s="2069"/>
      <c r="G958" s="2069"/>
      <c r="H958" s="2069"/>
      <c r="I958"/>
      <c r="J958"/>
      <c r="K958"/>
    </row>
    <row r="959" spans="2:11" x14ac:dyDescent="0.2">
      <c r="B959" s="2069"/>
      <c r="C959" s="2069"/>
      <c r="D959" s="2069"/>
      <c r="E959" s="2069"/>
      <c r="F959" s="2069"/>
      <c r="G959" s="2069"/>
      <c r="H959" s="2069"/>
      <c r="I959"/>
      <c r="J959"/>
      <c r="K959"/>
    </row>
    <row r="960" spans="2:11" x14ac:dyDescent="0.2">
      <c r="B960" s="2069"/>
      <c r="C960" s="2069"/>
      <c r="D960" s="2069"/>
      <c r="E960" s="2069"/>
      <c r="F960" s="2069"/>
      <c r="G960" s="2069"/>
      <c r="H960" s="2069"/>
      <c r="I960"/>
      <c r="J960"/>
      <c r="K960"/>
    </row>
    <row r="961" spans="2:11" x14ac:dyDescent="0.2">
      <c r="B961" s="2069"/>
      <c r="C961" s="2069"/>
      <c r="D961" s="2069"/>
      <c r="E961" s="2069"/>
      <c r="F961" s="2069"/>
      <c r="G961" s="2069"/>
      <c r="H961" s="2069"/>
      <c r="I961"/>
      <c r="J961"/>
      <c r="K961"/>
    </row>
    <row r="962" spans="2:11" x14ac:dyDescent="0.2">
      <c r="B962" s="2069"/>
      <c r="C962" s="2069"/>
      <c r="D962" s="2069"/>
      <c r="E962" s="2069"/>
      <c r="F962" s="2069"/>
      <c r="G962" s="2069"/>
      <c r="H962" s="2069"/>
      <c r="I962"/>
      <c r="J962"/>
      <c r="K962"/>
    </row>
    <row r="963" spans="2:11" x14ac:dyDescent="0.2">
      <c r="B963" s="2069"/>
      <c r="C963" s="2069"/>
      <c r="D963" s="2069"/>
      <c r="E963" s="2069"/>
      <c r="F963" s="2069"/>
      <c r="G963" s="2069"/>
      <c r="H963" s="2069"/>
      <c r="I963"/>
      <c r="J963"/>
      <c r="K963"/>
    </row>
    <row r="964" spans="2:11" x14ac:dyDescent="0.2">
      <c r="B964" s="2069"/>
      <c r="C964" s="2069"/>
      <c r="D964" s="2069"/>
      <c r="E964" s="2069"/>
      <c r="F964" s="2069"/>
      <c r="G964" s="2069"/>
      <c r="H964" s="2069"/>
      <c r="I964"/>
      <c r="J964"/>
      <c r="K964"/>
    </row>
    <row r="965" spans="2:11" x14ac:dyDescent="0.2">
      <c r="B965" s="2069"/>
      <c r="C965" s="2069"/>
      <c r="D965" s="2069"/>
      <c r="E965" s="2069"/>
      <c r="F965" s="2069"/>
      <c r="G965" s="2069"/>
      <c r="H965" s="2069"/>
      <c r="I965"/>
      <c r="J965"/>
      <c r="K965"/>
    </row>
    <row r="966" spans="2:11" x14ac:dyDescent="0.2">
      <c r="B966" s="2069"/>
      <c r="C966" s="2069"/>
      <c r="D966" s="2069"/>
      <c r="E966" s="2069"/>
      <c r="F966" s="2069"/>
      <c r="G966" s="2069"/>
      <c r="H966" s="2069"/>
      <c r="I966"/>
      <c r="J966"/>
      <c r="K966"/>
    </row>
    <row r="967" spans="2:11" x14ac:dyDescent="0.2">
      <c r="B967" s="2069"/>
      <c r="C967" s="2069"/>
      <c r="D967" s="2069"/>
      <c r="E967" s="2069"/>
      <c r="F967" s="2069"/>
      <c r="G967" s="2069"/>
      <c r="H967" s="2069"/>
      <c r="I967"/>
      <c r="J967"/>
      <c r="K967"/>
    </row>
    <row r="968" spans="2:11" x14ac:dyDescent="0.2">
      <c r="B968" s="2069"/>
      <c r="C968" s="2069"/>
      <c r="D968" s="2069"/>
      <c r="E968" s="2069"/>
      <c r="F968" s="2069"/>
      <c r="G968" s="2069"/>
      <c r="H968" s="2069"/>
      <c r="I968"/>
      <c r="J968"/>
      <c r="K968"/>
    </row>
    <row r="969" spans="2:11" x14ac:dyDescent="0.2">
      <c r="B969" s="2069"/>
      <c r="C969" s="2069"/>
      <c r="D969" s="2069"/>
      <c r="E969" s="2069"/>
      <c r="F969" s="2069"/>
      <c r="G969" s="2069"/>
      <c r="H969" s="2069"/>
      <c r="I969"/>
      <c r="J969"/>
      <c r="K969"/>
    </row>
    <row r="970" spans="2:11" x14ac:dyDescent="0.2">
      <c r="B970" s="2069"/>
      <c r="C970" s="2069"/>
      <c r="D970" s="2069"/>
      <c r="E970" s="2069"/>
      <c r="F970" s="2069"/>
      <c r="G970" s="2069"/>
      <c r="H970" s="2069"/>
      <c r="I970"/>
      <c r="J970"/>
      <c r="K970"/>
    </row>
    <row r="971" spans="2:11" x14ac:dyDescent="0.2">
      <c r="B971" s="2069"/>
      <c r="C971" s="2069"/>
      <c r="D971" s="2069"/>
      <c r="E971" s="2069"/>
      <c r="F971" s="2069"/>
      <c r="G971" s="2069"/>
      <c r="H971" s="2069"/>
      <c r="I971"/>
      <c r="J971"/>
      <c r="K971"/>
    </row>
    <row r="972" spans="2:11" x14ac:dyDescent="0.2">
      <c r="B972" s="2069"/>
      <c r="C972" s="2069"/>
      <c r="D972" s="2069"/>
      <c r="E972" s="2069"/>
      <c r="F972" s="2069"/>
      <c r="G972" s="2069"/>
      <c r="H972" s="2069"/>
      <c r="I972"/>
      <c r="J972"/>
      <c r="K972"/>
    </row>
    <row r="973" spans="2:11" x14ac:dyDescent="0.2">
      <c r="B973" s="2069"/>
      <c r="C973" s="2069"/>
      <c r="D973" s="2069"/>
      <c r="E973" s="2069"/>
      <c r="F973" s="2069"/>
      <c r="G973" s="2069"/>
      <c r="H973" s="2069"/>
      <c r="I973"/>
      <c r="J973"/>
      <c r="K973"/>
    </row>
    <row r="974" spans="2:11" x14ac:dyDescent="0.2">
      <c r="B974" s="2069"/>
      <c r="C974" s="2069"/>
      <c r="D974" s="2069"/>
      <c r="E974" s="2069"/>
      <c r="F974" s="2069"/>
      <c r="G974" s="2069"/>
      <c r="H974" s="2069"/>
      <c r="I974"/>
      <c r="J974"/>
      <c r="K974"/>
    </row>
    <row r="975" spans="2:11" x14ac:dyDescent="0.2">
      <c r="B975" s="2069"/>
      <c r="C975" s="2069"/>
      <c r="D975" s="2069"/>
      <c r="E975" s="2069"/>
      <c r="F975" s="2069"/>
      <c r="G975" s="2069"/>
      <c r="H975" s="2069"/>
      <c r="I975"/>
      <c r="J975"/>
      <c r="K975"/>
    </row>
    <row r="976" spans="2:11" x14ac:dyDescent="0.2">
      <c r="B976" s="2069"/>
      <c r="C976" s="2069"/>
      <c r="D976" s="2069"/>
      <c r="E976" s="2069"/>
      <c r="F976" s="2069"/>
      <c r="G976" s="2069"/>
      <c r="H976" s="2069"/>
      <c r="I976"/>
      <c r="J976"/>
      <c r="K976"/>
    </row>
    <row r="977" spans="2:11" x14ac:dyDescent="0.2">
      <c r="B977" s="2069"/>
      <c r="C977" s="2069"/>
      <c r="D977" s="2069"/>
      <c r="E977" s="2069"/>
      <c r="F977" s="2069"/>
      <c r="G977" s="2069"/>
      <c r="H977" s="2069"/>
      <c r="I977"/>
      <c r="J977"/>
      <c r="K977"/>
    </row>
    <row r="978" spans="2:11" x14ac:dyDescent="0.2">
      <c r="B978" s="2069"/>
      <c r="C978" s="2069"/>
      <c r="D978" s="2069"/>
      <c r="E978" s="2069"/>
      <c r="F978" s="2069"/>
      <c r="G978" s="2069"/>
      <c r="H978" s="2069"/>
      <c r="I978"/>
      <c r="J978"/>
      <c r="K978"/>
    </row>
    <row r="979" spans="2:11" x14ac:dyDescent="0.2">
      <c r="B979" s="2069"/>
      <c r="C979" s="2069"/>
      <c r="D979" s="2069"/>
      <c r="E979" s="2069"/>
      <c r="F979" s="2069"/>
      <c r="G979" s="2069"/>
      <c r="H979" s="2069"/>
      <c r="I979"/>
      <c r="J979"/>
      <c r="K979"/>
    </row>
    <row r="980" spans="2:11" x14ac:dyDescent="0.2">
      <c r="B980" s="2069"/>
      <c r="C980" s="2069"/>
      <c r="D980" s="2069"/>
      <c r="E980" s="2069"/>
      <c r="F980" s="2069"/>
      <c r="G980" s="2069"/>
      <c r="H980" s="2069"/>
      <c r="I980"/>
      <c r="J980"/>
      <c r="K980"/>
    </row>
    <row r="981" spans="2:11" x14ac:dyDescent="0.2">
      <c r="B981" s="2069"/>
      <c r="C981" s="2069"/>
      <c r="D981" s="2069"/>
      <c r="E981" s="2069"/>
      <c r="F981" s="2069"/>
      <c r="G981" s="2069"/>
      <c r="H981" s="2069"/>
      <c r="I981"/>
      <c r="J981"/>
      <c r="K981"/>
    </row>
    <row r="982" spans="2:11" x14ac:dyDescent="0.2">
      <c r="B982" s="2069"/>
      <c r="C982" s="2069"/>
      <c r="D982" s="2069"/>
      <c r="E982" s="2069"/>
      <c r="F982" s="2069"/>
      <c r="G982" s="2069"/>
      <c r="H982" s="2069"/>
      <c r="I982"/>
      <c r="J982"/>
      <c r="K982"/>
    </row>
    <row r="983" spans="2:11" x14ac:dyDescent="0.2">
      <c r="B983" s="2069"/>
      <c r="C983" s="2069"/>
      <c r="D983" s="2069"/>
      <c r="E983" s="2069"/>
      <c r="F983" s="2069"/>
      <c r="G983" s="2069"/>
      <c r="H983" s="2069"/>
      <c r="I983"/>
      <c r="J983"/>
      <c r="K983"/>
    </row>
    <row r="984" spans="2:11" x14ac:dyDescent="0.2">
      <c r="B984" s="2069"/>
      <c r="C984" s="2069"/>
      <c r="D984" s="2069"/>
      <c r="E984" s="2069"/>
      <c r="F984" s="2069"/>
      <c r="G984" s="2069"/>
      <c r="H984" s="2069"/>
      <c r="I984"/>
      <c r="J984"/>
      <c r="K984"/>
    </row>
    <row r="985" spans="2:11" x14ac:dyDescent="0.2">
      <c r="B985" s="2069"/>
      <c r="C985" s="2069"/>
      <c r="D985" s="2069"/>
      <c r="E985" s="2069"/>
      <c r="F985" s="2069"/>
      <c r="G985" s="2069"/>
      <c r="H985" s="2069"/>
      <c r="I985"/>
      <c r="J985"/>
      <c r="K985"/>
    </row>
    <row r="986" spans="2:11" x14ac:dyDescent="0.2">
      <c r="B986" s="2069"/>
      <c r="C986" s="2069"/>
      <c r="D986" s="2069"/>
      <c r="E986" s="2069"/>
      <c r="F986" s="2069"/>
      <c r="G986" s="2069"/>
      <c r="H986" s="2069"/>
      <c r="I986"/>
      <c r="J986"/>
      <c r="K986"/>
    </row>
    <row r="987" spans="2:11" x14ac:dyDescent="0.2">
      <c r="B987" s="2069"/>
      <c r="C987" s="2069"/>
      <c r="D987" s="2069"/>
      <c r="E987" s="2069"/>
      <c r="F987" s="2069"/>
      <c r="G987" s="2069"/>
      <c r="H987" s="2069"/>
      <c r="I987"/>
      <c r="J987"/>
      <c r="K987"/>
    </row>
    <row r="988" spans="2:11" x14ac:dyDescent="0.2">
      <c r="B988" s="2069"/>
      <c r="C988" s="2069"/>
      <c r="D988" s="2069"/>
      <c r="E988" s="2069"/>
      <c r="F988" s="2069"/>
      <c r="G988" s="2069"/>
      <c r="H988" s="2069"/>
      <c r="I988"/>
      <c r="J988"/>
      <c r="K988"/>
    </row>
    <row r="989" spans="2:11" x14ac:dyDescent="0.2">
      <c r="B989" s="2069"/>
      <c r="C989" s="2069"/>
      <c r="D989" s="2069"/>
      <c r="E989" s="2069"/>
      <c r="F989" s="2069"/>
      <c r="G989" s="2069"/>
      <c r="H989" s="2069"/>
      <c r="I989"/>
      <c r="J989"/>
      <c r="K989"/>
    </row>
    <row r="990" spans="2:11" x14ac:dyDescent="0.2">
      <c r="B990" s="2069"/>
      <c r="C990" s="2069"/>
      <c r="D990" s="2069"/>
      <c r="E990" s="2069"/>
      <c r="F990" s="2069"/>
      <c r="G990" s="2069"/>
      <c r="H990" s="2069"/>
      <c r="I990"/>
      <c r="J990"/>
      <c r="K990"/>
    </row>
    <row r="991" spans="2:11" x14ac:dyDescent="0.2">
      <c r="B991" s="2069"/>
      <c r="C991" s="2069"/>
      <c r="D991" s="2069"/>
      <c r="E991" s="2069"/>
      <c r="F991" s="2069"/>
      <c r="G991" s="2069"/>
      <c r="H991" s="2069"/>
      <c r="I991"/>
      <c r="J991"/>
      <c r="K991"/>
    </row>
    <row r="992" spans="2:11" x14ac:dyDescent="0.2">
      <c r="B992" s="2069"/>
      <c r="C992" s="2069"/>
      <c r="D992" s="2069"/>
      <c r="E992" s="2069"/>
      <c r="F992" s="2069"/>
      <c r="G992" s="2069"/>
      <c r="H992" s="2069"/>
      <c r="I992"/>
      <c r="J992"/>
      <c r="K992"/>
    </row>
    <row r="993" spans="2:11" x14ac:dyDescent="0.2">
      <c r="B993" s="2069"/>
      <c r="C993" s="2069"/>
      <c r="D993" s="2069"/>
      <c r="E993" s="2069"/>
      <c r="F993" s="2069"/>
      <c r="G993" s="2069"/>
      <c r="H993" s="2069"/>
      <c r="I993"/>
      <c r="J993"/>
      <c r="K993"/>
    </row>
    <row r="994" spans="2:11" x14ac:dyDescent="0.2">
      <c r="B994" s="2069"/>
      <c r="C994" s="2069"/>
      <c r="D994" s="2069"/>
      <c r="E994" s="2069"/>
      <c r="F994" s="2069"/>
      <c r="G994" s="2069"/>
      <c r="H994" s="2069"/>
      <c r="I994"/>
      <c r="J994"/>
      <c r="K994"/>
    </row>
    <row r="995" spans="2:11" x14ac:dyDescent="0.2">
      <c r="B995" s="2069"/>
      <c r="C995" s="2069"/>
      <c r="D995" s="2069"/>
      <c r="E995" s="2069"/>
      <c r="F995" s="2069"/>
      <c r="G995" s="2069"/>
      <c r="H995" s="2069"/>
      <c r="I995"/>
      <c r="J995"/>
      <c r="K995"/>
    </row>
    <row r="996" spans="2:11" x14ac:dyDescent="0.2">
      <c r="B996" s="2069"/>
      <c r="C996" s="2069"/>
      <c r="D996" s="2069"/>
      <c r="E996" s="2069"/>
      <c r="F996" s="2069"/>
      <c r="G996" s="2069"/>
      <c r="H996" s="2069"/>
      <c r="I996"/>
      <c r="J996"/>
      <c r="K996"/>
    </row>
    <row r="997" spans="2:11" x14ac:dyDescent="0.2">
      <c r="B997" s="2069"/>
      <c r="C997" s="2069"/>
      <c r="D997" s="2069"/>
      <c r="E997" s="2069"/>
      <c r="F997" s="2069"/>
      <c r="G997" s="2069"/>
      <c r="H997" s="2069"/>
      <c r="I997"/>
      <c r="J997"/>
      <c r="K997"/>
    </row>
    <row r="998" spans="2:11" x14ac:dyDescent="0.2">
      <c r="B998" s="2069"/>
      <c r="C998" s="2069"/>
      <c r="D998" s="2069"/>
      <c r="E998" s="2069"/>
      <c r="F998" s="2069"/>
      <c r="G998" s="2069"/>
      <c r="H998" s="2069"/>
      <c r="I998"/>
      <c r="J998"/>
      <c r="K998"/>
    </row>
    <row r="999" spans="2:11" x14ac:dyDescent="0.2">
      <c r="B999" s="2069"/>
      <c r="C999" s="2069"/>
      <c r="D999" s="2069"/>
      <c r="E999" s="2069"/>
      <c r="F999" s="2069"/>
      <c r="G999" s="2069"/>
      <c r="H999" s="2069"/>
      <c r="I999"/>
      <c r="J999"/>
      <c r="K999"/>
    </row>
    <row r="1000" spans="2:11" x14ac:dyDescent="0.2">
      <c r="B1000" s="2069"/>
      <c r="C1000" s="2069"/>
      <c r="D1000" s="2069"/>
      <c r="E1000" s="2069"/>
      <c r="F1000" s="2069"/>
      <c r="G1000" s="2069"/>
      <c r="H1000" s="2069"/>
      <c r="I1000"/>
      <c r="J1000"/>
      <c r="K1000"/>
    </row>
    <row r="1001" spans="2:11" x14ac:dyDescent="0.2">
      <c r="B1001" s="2069"/>
      <c r="C1001" s="2069"/>
      <c r="D1001" s="2069"/>
      <c r="E1001" s="2069"/>
      <c r="F1001" s="2069"/>
      <c r="G1001" s="2069"/>
      <c r="H1001" s="2069"/>
      <c r="I1001"/>
      <c r="J1001"/>
      <c r="K1001"/>
    </row>
    <row r="1002" spans="2:11" x14ac:dyDescent="0.2">
      <c r="B1002" s="2069"/>
      <c r="C1002" s="2069"/>
      <c r="D1002" s="2069"/>
      <c r="E1002" s="2069"/>
      <c r="F1002" s="2069"/>
      <c r="G1002" s="2069"/>
      <c r="H1002" s="2069"/>
      <c r="I1002"/>
      <c r="J1002"/>
      <c r="K1002"/>
    </row>
    <row r="1003" spans="2:11" x14ac:dyDescent="0.2">
      <c r="B1003" s="2069"/>
      <c r="C1003" s="2069"/>
      <c r="D1003" s="2069"/>
      <c r="E1003" s="2069"/>
      <c r="F1003" s="2069"/>
      <c r="G1003" s="2069"/>
      <c r="H1003" s="2069"/>
      <c r="I1003"/>
      <c r="J1003"/>
      <c r="K1003"/>
    </row>
    <row r="1004" spans="2:11" x14ac:dyDescent="0.2">
      <c r="B1004" s="2069"/>
      <c r="C1004" s="2069"/>
      <c r="D1004" s="2069"/>
      <c r="E1004" s="2069"/>
      <c r="F1004" s="2069"/>
      <c r="G1004" s="2069"/>
      <c r="H1004" s="2069"/>
      <c r="I1004"/>
      <c r="J1004"/>
      <c r="K1004"/>
    </row>
    <row r="1005" spans="2:11" x14ac:dyDescent="0.2">
      <c r="B1005" s="2069"/>
      <c r="C1005" s="2069"/>
      <c r="D1005" s="2069"/>
      <c r="E1005" s="2069"/>
      <c r="F1005" s="2069"/>
      <c r="G1005" s="2069"/>
      <c r="H1005" s="2069"/>
      <c r="I1005"/>
      <c r="J1005"/>
      <c r="K1005"/>
    </row>
    <row r="1006" spans="2:11" x14ac:dyDescent="0.2">
      <c r="B1006" s="2069"/>
      <c r="C1006" s="2069"/>
      <c r="D1006" s="2069"/>
      <c r="E1006" s="2069"/>
      <c r="F1006" s="2069"/>
      <c r="G1006" s="2069"/>
      <c r="H1006" s="2069"/>
      <c r="I1006"/>
      <c r="J1006"/>
      <c r="K1006"/>
    </row>
    <row r="1007" spans="2:11" x14ac:dyDescent="0.2">
      <c r="B1007" s="2069"/>
      <c r="C1007" s="2069"/>
      <c r="D1007" s="2069"/>
      <c r="E1007" s="2069"/>
      <c r="F1007" s="2069"/>
      <c r="G1007" s="2069"/>
      <c r="H1007" s="2069"/>
      <c r="I1007"/>
      <c r="J1007"/>
      <c r="K1007"/>
    </row>
    <row r="1008" spans="2:11" x14ac:dyDescent="0.2">
      <c r="B1008" s="2069"/>
      <c r="C1008" s="2069"/>
      <c r="D1008" s="2069"/>
      <c r="E1008" s="2069"/>
      <c r="F1008" s="2069"/>
      <c r="G1008" s="2069"/>
      <c r="H1008" s="2069"/>
      <c r="I1008"/>
      <c r="J1008"/>
      <c r="K1008"/>
    </row>
    <row r="1009" spans="2:11" x14ac:dyDescent="0.2">
      <c r="B1009" s="2069"/>
      <c r="C1009" s="2069"/>
      <c r="D1009" s="2069"/>
      <c r="E1009" s="2069"/>
      <c r="F1009" s="2069"/>
      <c r="G1009" s="2069"/>
      <c r="H1009" s="2069"/>
      <c r="I1009"/>
      <c r="J1009"/>
      <c r="K1009"/>
    </row>
    <row r="1010" spans="2:11" x14ac:dyDescent="0.2">
      <c r="B1010" s="2069"/>
      <c r="C1010" s="2069"/>
      <c r="D1010" s="2069"/>
      <c r="E1010" s="2069"/>
      <c r="F1010" s="2069"/>
      <c r="G1010" s="2069"/>
      <c r="H1010" s="2069"/>
      <c r="I1010"/>
      <c r="J1010"/>
      <c r="K1010"/>
    </row>
    <row r="1011" spans="2:11" x14ac:dyDescent="0.2">
      <c r="B1011" s="2069"/>
      <c r="C1011" s="2069"/>
      <c r="D1011" s="2069"/>
      <c r="E1011" s="2069"/>
      <c r="F1011" s="2069"/>
      <c r="G1011" s="2069"/>
      <c r="H1011" s="2069"/>
      <c r="I1011"/>
      <c r="J1011"/>
      <c r="K1011"/>
    </row>
    <row r="1012" spans="2:11" x14ac:dyDescent="0.2">
      <c r="B1012" s="2069"/>
      <c r="C1012" s="2069"/>
      <c r="D1012" s="2069"/>
      <c r="E1012" s="2069"/>
      <c r="F1012" s="2069"/>
      <c r="G1012" s="2069"/>
      <c r="H1012" s="2069"/>
      <c r="I1012"/>
      <c r="J1012"/>
      <c r="K1012"/>
    </row>
    <row r="1013" spans="2:11" x14ac:dyDescent="0.2">
      <c r="B1013" s="2069"/>
      <c r="C1013" s="2069"/>
      <c r="D1013" s="2069"/>
      <c r="E1013" s="2069"/>
      <c r="F1013" s="2069"/>
      <c r="G1013" s="2069"/>
      <c r="H1013" s="2069"/>
      <c r="I1013"/>
      <c r="J1013"/>
      <c r="K1013"/>
    </row>
    <row r="1014" spans="2:11" x14ac:dyDescent="0.2">
      <c r="B1014" s="2069"/>
      <c r="C1014" s="2069"/>
      <c r="D1014" s="2069"/>
      <c r="E1014" s="2069"/>
      <c r="F1014" s="2069"/>
      <c r="G1014" s="2069"/>
      <c r="H1014" s="2069"/>
      <c r="I1014"/>
      <c r="J1014"/>
      <c r="K1014"/>
    </row>
    <row r="1015" spans="2:11" x14ac:dyDescent="0.2">
      <c r="B1015" s="2069"/>
      <c r="C1015" s="2069"/>
      <c r="D1015" s="2069"/>
      <c r="E1015" s="2069"/>
      <c r="F1015" s="2069"/>
      <c r="G1015" s="2069"/>
      <c r="H1015" s="2069"/>
      <c r="I1015"/>
      <c r="J1015"/>
      <c r="K1015"/>
    </row>
    <row r="1016" spans="2:11" x14ac:dyDescent="0.2">
      <c r="B1016" s="2069"/>
      <c r="C1016" s="2069"/>
      <c r="D1016" s="2069"/>
      <c r="E1016" s="2069"/>
      <c r="F1016" s="2069"/>
      <c r="G1016" s="2069"/>
      <c r="H1016" s="2069"/>
      <c r="I1016"/>
      <c r="J1016"/>
      <c r="K1016"/>
    </row>
    <row r="1017" spans="2:11" x14ac:dyDescent="0.2">
      <c r="B1017" s="2069"/>
      <c r="C1017" s="2069"/>
      <c r="D1017" s="2069"/>
      <c r="E1017" s="2069"/>
      <c r="F1017" s="2069"/>
      <c r="G1017" s="2069"/>
      <c r="H1017" s="2069"/>
      <c r="I1017"/>
      <c r="J1017"/>
      <c r="K1017"/>
    </row>
    <row r="1018" spans="2:11" x14ac:dyDescent="0.2">
      <c r="B1018" s="2069"/>
      <c r="C1018" s="2069"/>
      <c r="D1018" s="2069"/>
      <c r="E1018" s="2069"/>
      <c r="F1018" s="2069"/>
      <c r="G1018" s="2069"/>
      <c r="H1018" s="2069"/>
      <c r="I1018"/>
      <c r="J1018"/>
      <c r="K1018"/>
    </row>
    <row r="1019" spans="2:11" x14ac:dyDescent="0.2">
      <c r="B1019" s="2069"/>
      <c r="C1019" s="2069"/>
      <c r="D1019" s="2069"/>
      <c r="E1019" s="2069"/>
      <c r="F1019" s="2069"/>
      <c r="G1019" s="2069"/>
      <c r="H1019" s="2069"/>
      <c r="I1019"/>
      <c r="J1019"/>
      <c r="K1019"/>
    </row>
    <row r="1020" spans="2:11" x14ac:dyDescent="0.2">
      <c r="B1020" s="2069"/>
      <c r="C1020" s="2069"/>
      <c r="D1020" s="2069"/>
      <c r="E1020" s="2069"/>
      <c r="F1020" s="2069"/>
      <c r="G1020" s="2069"/>
      <c r="H1020" s="2069"/>
      <c r="I1020"/>
      <c r="J1020"/>
      <c r="K1020"/>
    </row>
    <row r="1021" spans="2:11" x14ac:dyDescent="0.2">
      <c r="B1021" s="2069"/>
      <c r="C1021" s="2069"/>
      <c r="D1021" s="2069"/>
      <c r="E1021" s="2069"/>
      <c r="F1021" s="2069"/>
      <c r="G1021" s="2069"/>
      <c r="H1021" s="2069"/>
      <c r="I1021"/>
      <c r="J1021"/>
      <c r="K1021"/>
    </row>
    <row r="1022" spans="2:11" x14ac:dyDescent="0.2">
      <c r="B1022" s="2069"/>
      <c r="C1022" s="2069"/>
      <c r="D1022" s="2069"/>
      <c r="E1022" s="2069"/>
      <c r="F1022" s="2069"/>
      <c r="G1022" s="2069"/>
      <c r="H1022" s="2069"/>
      <c r="I1022"/>
      <c r="J1022"/>
      <c r="K1022"/>
    </row>
    <row r="1023" spans="2:11" x14ac:dyDescent="0.2">
      <c r="B1023" s="2069"/>
      <c r="C1023" s="2069"/>
      <c r="D1023" s="2069"/>
      <c r="E1023" s="2069"/>
      <c r="F1023" s="2069"/>
      <c r="G1023" s="2069"/>
      <c r="H1023" s="2069"/>
      <c r="I1023"/>
      <c r="J1023"/>
      <c r="K1023"/>
    </row>
    <row r="1024" spans="2:11" x14ac:dyDescent="0.2">
      <c r="B1024" s="2069"/>
      <c r="C1024" s="2069"/>
      <c r="D1024" s="2069"/>
      <c r="E1024" s="2069"/>
      <c r="F1024" s="2069"/>
      <c r="G1024" s="2069"/>
      <c r="H1024" s="2069"/>
      <c r="I1024"/>
      <c r="J1024"/>
      <c r="K1024"/>
    </row>
    <row r="1025" spans="2:11" x14ac:dyDescent="0.2">
      <c r="B1025" s="2069"/>
      <c r="C1025" s="2069"/>
      <c r="D1025" s="2069"/>
      <c r="E1025" s="2069"/>
      <c r="F1025" s="2069"/>
      <c r="G1025" s="2069"/>
      <c r="H1025" s="2069"/>
      <c r="I1025"/>
      <c r="J1025"/>
      <c r="K1025"/>
    </row>
    <row r="1026" spans="2:11" x14ac:dyDescent="0.2">
      <c r="B1026" s="2069"/>
      <c r="C1026" s="2069"/>
      <c r="D1026" s="2069"/>
      <c r="E1026" s="2069"/>
      <c r="F1026" s="2069"/>
      <c r="G1026" s="2069"/>
      <c r="H1026" s="2069"/>
      <c r="I1026"/>
      <c r="J1026"/>
      <c r="K1026"/>
    </row>
    <row r="1027" spans="2:11" x14ac:dyDescent="0.2">
      <c r="B1027" s="2069"/>
      <c r="C1027" s="2069"/>
      <c r="D1027" s="2069"/>
      <c r="E1027" s="2069"/>
      <c r="F1027" s="2069"/>
      <c r="G1027" s="2069"/>
      <c r="H1027" s="2069"/>
      <c r="I1027"/>
      <c r="J1027"/>
      <c r="K1027"/>
    </row>
    <row r="1028" spans="2:11" x14ac:dyDescent="0.2">
      <c r="B1028" s="2069"/>
      <c r="C1028" s="2069"/>
      <c r="D1028" s="2069"/>
      <c r="E1028" s="2069"/>
      <c r="F1028" s="2069"/>
      <c r="G1028" s="2069"/>
      <c r="H1028" s="2069"/>
      <c r="I1028"/>
      <c r="J1028"/>
      <c r="K1028"/>
    </row>
    <row r="1029" spans="2:11" x14ac:dyDescent="0.2">
      <c r="B1029" s="2069"/>
      <c r="C1029" s="2069"/>
      <c r="D1029" s="2069"/>
      <c r="E1029" s="2069"/>
      <c r="F1029" s="2069"/>
      <c r="G1029" s="2069"/>
      <c r="H1029" s="2069"/>
      <c r="I1029"/>
      <c r="J1029"/>
      <c r="K1029"/>
    </row>
    <row r="1030" spans="2:11" x14ac:dyDescent="0.2">
      <c r="B1030" s="2069"/>
      <c r="C1030" s="2069"/>
      <c r="D1030" s="2069"/>
      <c r="E1030" s="2069"/>
      <c r="F1030" s="2069"/>
      <c r="G1030" s="2069"/>
      <c r="H1030" s="2069"/>
      <c r="I1030"/>
      <c r="J1030"/>
      <c r="K1030"/>
    </row>
    <row r="1031" spans="2:11" x14ac:dyDescent="0.2">
      <c r="B1031" s="2069"/>
      <c r="C1031" s="2069"/>
      <c r="D1031" s="2069"/>
      <c r="E1031" s="2069"/>
      <c r="F1031" s="2069"/>
      <c r="G1031" s="2069"/>
      <c r="H1031" s="2069"/>
      <c r="I1031"/>
      <c r="J1031"/>
      <c r="K1031"/>
    </row>
    <row r="1032" spans="2:11" x14ac:dyDescent="0.2">
      <c r="B1032" s="2069"/>
      <c r="C1032" s="2069"/>
      <c r="D1032" s="2069"/>
      <c r="E1032" s="2069"/>
      <c r="F1032" s="2069"/>
      <c r="G1032" s="2069"/>
      <c r="H1032" s="2069"/>
      <c r="I1032"/>
      <c r="J1032"/>
      <c r="K1032"/>
    </row>
    <row r="1033" spans="2:11" x14ac:dyDescent="0.2">
      <c r="B1033" s="2069"/>
      <c r="C1033" s="2069"/>
      <c r="D1033" s="2069"/>
      <c r="E1033" s="2069"/>
      <c r="F1033" s="2069"/>
      <c r="G1033" s="2069"/>
      <c r="H1033" s="2069"/>
      <c r="I1033"/>
      <c r="J1033"/>
      <c r="K1033"/>
    </row>
    <row r="1034" spans="2:11" x14ac:dyDescent="0.2">
      <c r="B1034" s="2069"/>
      <c r="C1034" s="2069"/>
      <c r="D1034" s="2069"/>
      <c r="E1034" s="2069"/>
      <c r="F1034" s="2069"/>
      <c r="G1034" s="2069"/>
      <c r="H1034" s="2069"/>
      <c r="I1034"/>
      <c r="J1034"/>
      <c r="K1034"/>
    </row>
    <row r="1035" spans="2:11" x14ac:dyDescent="0.2">
      <c r="B1035" s="2069"/>
      <c r="C1035" s="2069"/>
      <c r="D1035" s="2069"/>
      <c r="E1035" s="2069"/>
      <c r="F1035" s="2069"/>
      <c r="G1035" s="2069"/>
      <c r="H1035" s="2069"/>
      <c r="I1035"/>
      <c r="J1035"/>
      <c r="K1035"/>
    </row>
    <row r="1036" spans="2:11" x14ac:dyDescent="0.2">
      <c r="B1036" s="2069"/>
      <c r="C1036" s="2069"/>
      <c r="D1036" s="2069"/>
      <c r="E1036" s="2069"/>
      <c r="F1036" s="2069"/>
      <c r="G1036" s="2069"/>
      <c r="H1036" s="2069"/>
      <c r="I1036"/>
      <c r="J1036"/>
      <c r="K1036"/>
    </row>
    <row r="1037" spans="2:11" x14ac:dyDescent="0.2">
      <c r="B1037" s="2069"/>
      <c r="C1037" s="2069"/>
      <c r="D1037" s="2069"/>
      <c r="E1037" s="2069"/>
      <c r="F1037" s="2069"/>
      <c r="G1037" s="2069"/>
      <c r="H1037" s="2069"/>
      <c r="I1037"/>
      <c r="J1037"/>
      <c r="K1037"/>
    </row>
    <row r="1038" spans="2:11" x14ac:dyDescent="0.2">
      <c r="B1038" s="2069"/>
      <c r="C1038" s="2069"/>
      <c r="D1038" s="2069"/>
      <c r="E1038" s="2069"/>
      <c r="F1038" s="2069"/>
      <c r="G1038" s="2069"/>
      <c r="H1038" s="2069"/>
      <c r="I1038"/>
      <c r="J1038"/>
      <c r="K1038"/>
    </row>
    <row r="1039" spans="2:11" x14ac:dyDescent="0.2">
      <c r="B1039" s="2069"/>
      <c r="C1039" s="2069"/>
      <c r="D1039" s="2069"/>
      <c r="E1039" s="2069"/>
      <c r="F1039" s="2069"/>
      <c r="G1039" s="2069"/>
      <c r="H1039" s="2069"/>
      <c r="I1039"/>
      <c r="J1039"/>
      <c r="K1039"/>
    </row>
    <row r="1040" spans="2:11" x14ac:dyDescent="0.2">
      <c r="B1040" s="2069"/>
      <c r="C1040" s="2069"/>
      <c r="D1040" s="2069"/>
      <c r="E1040" s="2069"/>
      <c r="F1040" s="2069"/>
      <c r="G1040" s="2069"/>
      <c r="H1040" s="2069"/>
      <c r="I1040"/>
      <c r="J1040"/>
      <c r="K1040"/>
    </row>
    <row r="1041" spans="2:11" x14ac:dyDescent="0.2">
      <c r="B1041" s="2069"/>
      <c r="C1041" s="2069"/>
      <c r="D1041" s="2069"/>
      <c r="E1041" s="2069"/>
      <c r="F1041" s="2069"/>
      <c r="G1041" s="2069"/>
      <c r="H1041" s="2069"/>
      <c r="I1041"/>
      <c r="J1041"/>
      <c r="K1041"/>
    </row>
    <row r="1042" spans="2:11" x14ac:dyDescent="0.2">
      <c r="B1042" s="2069"/>
      <c r="C1042" s="2069"/>
      <c r="D1042" s="2069"/>
      <c r="E1042" s="2069"/>
      <c r="F1042" s="2069"/>
      <c r="G1042" s="2069"/>
      <c r="H1042" s="2069"/>
      <c r="I1042"/>
      <c r="J1042"/>
      <c r="K1042"/>
    </row>
    <row r="1043" spans="2:11" x14ac:dyDescent="0.2">
      <c r="B1043" s="2069"/>
      <c r="C1043" s="2069"/>
      <c r="D1043" s="2069"/>
      <c r="E1043" s="2069"/>
      <c r="F1043" s="2069"/>
      <c r="G1043" s="2069"/>
      <c r="H1043" s="2069"/>
      <c r="I1043"/>
      <c r="J1043"/>
      <c r="K1043"/>
    </row>
    <row r="1044" spans="2:11" x14ac:dyDescent="0.2">
      <c r="B1044" s="2069"/>
      <c r="C1044" s="2069"/>
      <c r="D1044" s="2069"/>
      <c r="E1044" s="2069"/>
      <c r="F1044" s="2069"/>
      <c r="G1044" s="2069"/>
      <c r="H1044" s="2069"/>
      <c r="I1044"/>
      <c r="J1044"/>
      <c r="K1044"/>
    </row>
    <row r="1045" spans="2:11" x14ac:dyDescent="0.2">
      <c r="B1045" s="2069"/>
      <c r="C1045" s="2069"/>
      <c r="D1045" s="2069"/>
      <c r="E1045" s="2069"/>
      <c r="F1045" s="2069"/>
      <c r="G1045" s="2069"/>
      <c r="H1045" s="2069"/>
      <c r="I1045"/>
      <c r="J1045"/>
      <c r="K1045"/>
    </row>
    <row r="1046" spans="2:11" x14ac:dyDescent="0.2">
      <c r="B1046" s="2069"/>
      <c r="C1046" s="2069"/>
      <c r="D1046" s="2069"/>
      <c r="E1046" s="2069"/>
      <c r="F1046" s="2069"/>
      <c r="G1046" s="2069"/>
      <c r="H1046" s="2069"/>
      <c r="I1046"/>
      <c r="J1046"/>
      <c r="K1046"/>
    </row>
    <row r="1047" spans="2:11" x14ac:dyDescent="0.2">
      <c r="B1047" s="2069"/>
      <c r="C1047" s="2069"/>
      <c r="D1047" s="2069"/>
      <c r="E1047" s="2069"/>
      <c r="F1047" s="2069"/>
      <c r="G1047" s="2069"/>
      <c r="H1047" s="2069"/>
      <c r="I1047"/>
      <c r="J1047"/>
      <c r="K1047"/>
    </row>
    <row r="1048" spans="2:11" x14ac:dyDescent="0.2">
      <c r="B1048" s="2069"/>
      <c r="C1048" s="2069"/>
      <c r="D1048" s="2069"/>
      <c r="E1048" s="2069"/>
      <c r="F1048" s="2069"/>
      <c r="G1048" s="2069"/>
      <c r="H1048" s="2069"/>
      <c r="I1048"/>
      <c r="J1048"/>
      <c r="K1048"/>
    </row>
    <row r="1049" spans="2:11" x14ac:dyDescent="0.2">
      <c r="B1049" s="2069"/>
      <c r="C1049" s="2069"/>
      <c r="D1049" s="2069"/>
      <c r="E1049" s="2069"/>
      <c r="F1049" s="2069"/>
      <c r="G1049" s="2069"/>
      <c r="H1049" s="2069"/>
      <c r="I1049"/>
      <c r="J1049"/>
      <c r="K1049"/>
    </row>
    <row r="1050" spans="2:11" x14ac:dyDescent="0.2">
      <c r="B1050" s="2069"/>
      <c r="C1050" s="2069"/>
      <c r="D1050" s="2069"/>
      <c r="E1050" s="2069"/>
      <c r="F1050" s="2069"/>
      <c r="G1050" s="2069"/>
      <c r="H1050" s="2069"/>
      <c r="I1050"/>
      <c r="J1050"/>
      <c r="K1050"/>
    </row>
    <row r="1051" spans="2:11" x14ac:dyDescent="0.2">
      <c r="B1051" s="2069"/>
      <c r="C1051" s="2069"/>
      <c r="D1051" s="2069"/>
      <c r="E1051" s="2069"/>
      <c r="F1051" s="2069"/>
      <c r="G1051" s="2069"/>
      <c r="H1051" s="2069"/>
      <c r="I1051"/>
      <c r="J1051"/>
      <c r="K1051"/>
    </row>
    <row r="1052" spans="2:11" x14ac:dyDescent="0.2">
      <c r="B1052" s="2069"/>
      <c r="C1052" s="2069"/>
      <c r="D1052" s="2069"/>
      <c r="E1052" s="2069"/>
      <c r="F1052" s="2069"/>
      <c r="G1052" s="2069"/>
      <c r="H1052" s="2069"/>
      <c r="I1052"/>
      <c r="J1052"/>
      <c r="K1052"/>
    </row>
    <row r="1053" spans="2:11" x14ac:dyDescent="0.2">
      <c r="B1053" s="2069"/>
      <c r="C1053" s="2069"/>
      <c r="D1053" s="2069"/>
      <c r="E1053" s="2069"/>
      <c r="F1053" s="2069"/>
      <c r="G1053" s="2069"/>
      <c r="H1053" s="2069"/>
      <c r="I1053"/>
      <c r="J1053"/>
      <c r="K1053"/>
    </row>
    <row r="1054" spans="2:11" x14ac:dyDescent="0.2">
      <c r="B1054" s="2069"/>
      <c r="C1054" s="2069"/>
      <c r="D1054" s="2069"/>
      <c r="E1054" s="2069"/>
      <c r="F1054" s="2069"/>
      <c r="G1054" s="2069"/>
      <c r="H1054" s="2069"/>
      <c r="I1054"/>
      <c r="J1054"/>
      <c r="K1054"/>
    </row>
    <row r="1055" spans="2:11" x14ac:dyDescent="0.2">
      <c r="B1055" s="2069"/>
      <c r="C1055" s="2069"/>
      <c r="D1055" s="2069"/>
      <c r="E1055" s="2069"/>
      <c r="F1055" s="2069"/>
      <c r="G1055" s="2069"/>
      <c r="H1055" s="2069"/>
      <c r="I1055"/>
      <c r="J1055"/>
      <c r="K1055"/>
    </row>
    <row r="1056" spans="2:11" x14ac:dyDescent="0.2">
      <c r="B1056" s="2069"/>
      <c r="C1056" s="2069"/>
      <c r="D1056" s="2069"/>
      <c r="E1056" s="2069"/>
      <c r="F1056" s="2069"/>
      <c r="G1056" s="2069"/>
      <c r="H1056" s="2069"/>
      <c r="I1056"/>
      <c r="J1056"/>
      <c r="K1056"/>
    </row>
    <row r="1057" spans="2:11" x14ac:dyDescent="0.2">
      <c r="B1057" s="2069"/>
      <c r="C1057" s="2069"/>
      <c r="D1057" s="2069"/>
      <c r="E1057" s="2069"/>
      <c r="F1057" s="2069"/>
      <c r="G1057" s="2069"/>
      <c r="H1057" s="2069"/>
      <c r="I1057"/>
      <c r="J1057"/>
      <c r="K1057"/>
    </row>
    <row r="1058" spans="2:11" x14ac:dyDescent="0.2">
      <c r="B1058" s="2069"/>
      <c r="C1058" s="2069"/>
      <c r="D1058" s="2069"/>
      <c r="E1058" s="2069"/>
      <c r="F1058" s="2069"/>
      <c r="G1058" s="2069"/>
      <c r="H1058" s="2069"/>
      <c r="I1058"/>
      <c r="J1058"/>
      <c r="K1058"/>
    </row>
    <row r="1059" spans="2:11" x14ac:dyDescent="0.2">
      <c r="B1059" s="2069"/>
      <c r="C1059" s="2069"/>
      <c r="D1059" s="2069"/>
      <c r="E1059" s="2069"/>
      <c r="F1059" s="2069"/>
      <c r="G1059" s="2069"/>
      <c r="H1059" s="2069"/>
      <c r="I1059"/>
      <c r="J1059"/>
      <c r="K1059"/>
    </row>
    <row r="1060" spans="2:11" x14ac:dyDescent="0.2">
      <c r="B1060" s="2069"/>
      <c r="C1060" s="2069"/>
      <c r="D1060" s="2069"/>
      <c r="E1060" s="2069"/>
      <c r="F1060" s="2069"/>
      <c r="G1060" s="2069"/>
      <c r="H1060" s="2069"/>
      <c r="I1060"/>
      <c r="J1060"/>
      <c r="K1060"/>
    </row>
    <row r="1061" spans="2:11" x14ac:dyDescent="0.2">
      <c r="B1061" s="2069"/>
      <c r="C1061" s="2069"/>
      <c r="D1061" s="2069"/>
      <c r="E1061" s="2069"/>
      <c r="F1061" s="2069"/>
      <c r="G1061" s="2069"/>
      <c r="H1061" s="2069"/>
      <c r="I1061"/>
      <c r="J1061"/>
      <c r="K1061"/>
    </row>
    <row r="1062" spans="2:11" x14ac:dyDescent="0.2">
      <c r="B1062" s="2069"/>
      <c r="C1062" s="2069"/>
      <c r="D1062" s="2069"/>
      <c r="E1062" s="2069"/>
      <c r="F1062" s="2069"/>
      <c r="G1062" s="2069"/>
      <c r="H1062" s="2069"/>
      <c r="I1062"/>
      <c r="J1062"/>
      <c r="K1062"/>
    </row>
    <row r="1063" spans="2:11" x14ac:dyDescent="0.2">
      <c r="B1063" s="2069"/>
      <c r="C1063" s="2069"/>
      <c r="D1063" s="2069"/>
      <c r="E1063" s="2069"/>
      <c r="F1063" s="2069"/>
      <c r="G1063" s="2069"/>
      <c r="H1063" s="2069"/>
      <c r="I1063"/>
      <c r="J1063"/>
      <c r="K1063"/>
    </row>
    <row r="1064" spans="2:11" x14ac:dyDescent="0.2">
      <c r="B1064" s="2069"/>
      <c r="C1064" s="2069"/>
      <c r="D1064" s="2069"/>
      <c r="E1064" s="2069"/>
      <c r="F1064" s="2069"/>
      <c r="G1064" s="2069"/>
      <c r="H1064" s="2069"/>
      <c r="I1064"/>
      <c r="J1064"/>
      <c r="K1064"/>
    </row>
    <row r="1065" spans="2:11" x14ac:dyDescent="0.2">
      <c r="B1065" s="2069"/>
      <c r="C1065" s="2069"/>
      <c r="D1065" s="2069"/>
      <c r="E1065" s="2069"/>
      <c r="F1065" s="2069"/>
      <c r="G1065" s="2069"/>
      <c r="H1065" s="2069"/>
      <c r="I1065"/>
      <c r="J1065"/>
      <c r="K1065"/>
    </row>
    <row r="1066" spans="2:11" x14ac:dyDescent="0.2">
      <c r="B1066" s="2069"/>
      <c r="C1066" s="2069"/>
      <c r="D1066" s="2069"/>
      <c r="E1066" s="2069"/>
      <c r="F1066" s="2069"/>
      <c r="G1066" s="2069"/>
      <c r="H1066" s="2069"/>
      <c r="I1066"/>
      <c r="J1066"/>
      <c r="K1066"/>
    </row>
    <row r="1067" spans="2:11" x14ac:dyDescent="0.2">
      <c r="B1067" s="2069"/>
      <c r="C1067" s="2069"/>
      <c r="D1067" s="2069"/>
      <c r="E1067" s="2069"/>
      <c r="F1067" s="2069"/>
      <c r="G1067" s="2069"/>
      <c r="H1067" s="2069"/>
      <c r="I1067"/>
      <c r="J1067"/>
      <c r="K1067"/>
    </row>
    <row r="1068" spans="2:11" x14ac:dyDescent="0.2">
      <c r="B1068" s="2069"/>
      <c r="C1068" s="2069"/>
      <c r="D1068" s="2069"/>
      <c r="E1068" s="2069"/>
      <c r="F1068" s="2069"/>
      <c r="G1068" s="2069"/>
      <c r="H1068" s="2069"/>
      <c r="I1068"/>
      <c r="J1068"/>
      <c r="K1068"/>
    </row>
    <row r="1069" spans="2:11" x14ac:dyDescent="0.2">
      <c r="B1069" s="2069"/>
      <c r="C1069" s="2069"/>
      <c r="D1069" s="2069"/>
      <c r="E1069" s="2069"/>
      <c r="F1069" s="2069"/>
      <c r="G1069" s="2069"/>
      <c r="H1069" s="2069"/>
      <c r="I1069"/>
      <c r="J1069"/>
      <c r="K1069"/>
    </row>
    <row r="1070" spans="2:11" x14ac:dyDescent="0.2">
      <c r="B1070" s="2069"/>
      <c r="C1070" s="2069"/>
      <c r="D1070" s="2069"/>
      <c r="E1070" s="2069"/>
      <c r="F1070" s="2069"/>
      <c r="G1070" s="2069"/>
      <c r="H1070" s="2069"/>
      <c r="I1070"/>
      <c r="J1070"/>
      <c r="K1070"/>
    </row>
    <row r="1071" spans="2:11" x14ac:dyDescent="0.2">
      <c r="B1071" s="2069"/>
      <c r="C1071" s="2069"/>
      <c r="D1071" s="2069"/>
      <c r="E1071" s="2069"/>
      <c r="F1071" s="2069"/>
      <c r="G1071" s="2069"/>
      <c r="H1071" s="2069"/>
      <c r="I1071"/>
      <c r="J1071"/>
      <c r="K1071"/>
    </row>
    <row r="1072" spans="2:11" x14ac:dyDescent="0.2">
      <c r="B1072" s="2069"/>
      <c r="C1072" s="2069"/>
      <c r="D1072" s="2069"/>
      <c r="E1072" s="2069"/>
      <c r="F1072" s="2069"/>
      <c r="G1072" s="2069"/>
      <c r="H1072" s="2069"/>
      <c r="I1072"/>
      <c r="J1072"/>
      <c r="K1072"/>
    </row>
    <row r="1073" spans="2:11" x14ac:dyDescent="0.2">
      <c r="B1073" s="2069"/>
      <c r="C1073" s="2069"/>
      <c r="D1073" s="2069"/>
      <c r="E1073" s="2069"/>
      <c r="F1073" s="2069"/>
      <c r="G1073" s="2069"/>
      <c r="H1073" s="2069"/>
      <c r="I1073"/>
      <c r="J1073"/>
      <c r="K1073"/>
    </row>
    <row r="1074" spans="2:11" x14ac:dyDescent="0.2">
      <c r="B1074" s="2069"/>
      <c r="C1074" s="2069"/>
      <c r="D1074" s="2069"/>
      <c r="E1074" s="2069"/>
      <c r="F1074" s="2069"/>
      <c r="G1074" s="2069"/>
      <c r="H1074" s="2069"/>
      <c r="I1074"/>
      <c r="J1074"/>
      <c r="K1074"/>
    </row>
    <row r="1075" spans="2:11" x14ac:dyDescent="0.2">
      <c r="B1075" s="2069"/>
      <c r="C1075" s="2069"/>
      <c r="D1075" s="2069"/>
      <c r="E1075" s="2069"/>
      <c r="F1075" s="2069"/>
      <c r="G1075" s="2069"/>
      <c r="H1075" s="2069"/>
      <c r="I1075"/>
      <c r="J1075"/>
      <c r="K1075"/>
    </row>
    <row r="1076" spans="2:11" x14ac:dyDescent="0.2">
      <c r="B1076" s="2069"/>
      <c r="C1076" s="2069"/>
      <c r="D1076" s="2069"/>
      <c r="E1076" s="2069"/>
      <c r="F1076" s="2069"/>
      <c r="G1076" s="2069"/>
      <c r="H1076" s="2069"/>
      <c r="I1076"/>
      <c r="J1076"/>
      <c r="K1076"/>
    </row>
    <row r="1077" spans="2:11" x14ac:dyDescent="0.2">
      <c r="B1077" s="2069"/>
      <c r="C1077" s="2069"/>
      <c r="D1077" s="2069"/>
      <c r="E1077" s="2069"/>
      <c r="F1077" s="2069"/>
      <c r="G1077" s="2069"/>
      <c r="H1077" s="2069"/>
      <c r="I1077"/>
      <c r="J1077"/>
      <c r="K1077"/>
    </row>
    <row r="1078" spans="2:11" x14ac:dyDescent="0.2">
      <c r="B1078" s="2069"/>
      <c r="C1078" s="2069"/>
      <c r="D1078" s="2069"/>
      <c r="E1078" s="2069"/>
      <c r="F1078" s="2069"/>
      <c r="G1078" s="2069"/>
      <c r="H1078" s="2069"/>
      <c r="I1078"/>
      <c r="J1078"/>
      <c r="K1078"/>
    </row>
    <row r="1079" spans="2:11" x14ac:dyDescent="0.2">
      <c r="B1079" s="2069"/>
      <c r="C1079" s="2069"/>
      <c r="D1079" s="2069"/>
      <c r="E1079" s="2069"/>
      <c r="F1079" s="2069"/>
      <c r="G1079" s="2069"/>
      <c r="H1079" s="2069"/>
      <c r="I1079"/>
      <c r="J1079"/>
      <c r="K1079"/>
    </row>
    <row r="1080" spans="2:11" x14ac:dyDescent="0.2">
      <c r="B1080" s="2069"/>
      <c r="C1080" s="2069"/>
      <c r="D1080" s="2069"/>
      <c r="E1080" s="2069"/>
      <c r="F1080" s="2069"/>
      <c r="G1080" s="2069"/>
      <c r="H1080" s="2069"/>
      <c r="I1080"/>
      <c r="J1080"/>
      <c r="K1080"/>
    </row>
    <row r="1081" spans="2:11" x14ac:dyDescent="0.2">
      <c r="B1081" s="2069"/>
      <c r="C1081" s="2069"/>
      <c r="D1081" s="2069"/>
      <c r="E1081" s="2069"/>
      <c r="F1081" s="2069"/>
      <c r="G1081" s="2069"/>
      <c r="H1081" s="2069"/>
      <c r="I1081"/>
      <c r="J1081"/>
      <c r="K1081"/>
    </row>
    <row r="1082" spans="2:11" x14ac:dyDescent="0.2">
      <c r="B1082" s="2069"/>
      <c r="C1082" s="2069"/>
      <c r="D1082" s="2069"/>
      <c r="E1082" s="2069"/>
      <c r="F1082" s="2069"/>
      <c r="G1082" s="2069"/>
      <c r="H1082" s="2069"/>
      <c r="I1082"/>
      <c r="J1082"/>
      <c r="K1082"/>
    </row>
    <row r="1083" spans="2:11" x14ac:dyDescent="0.2">
      <c r="B1083" s="2069"/>
      <c r="C1083" s="2069"/>
      <c r="D1083" s="2069"/>
      <c r="E1083" s="2069"/>
      <c r="F1083" s="2069"/>
      <c r="G1083" s="2069"/>
      <c r="H1083" s="2069"/>
      <c r="I1083"/>
      <c r="J1083"/>
      <c r="K1083"/>
    </row>
    <row r="1084" spans="2:11" x14ac:dyDescent="0.2">
      <c r="B1084" s="2069"/>
      <c r="C1084" s="2069"/>
      <c r="D1084" s="2069"/>
      <c r="E1084" s="2069"/>
      <c r="F1084" s="2069"/>
      <c r="G1084" s="2069"/>
      <c r="H1084" s="2069"/>
      <c r="I1084"/>
      <c r="J1084"/>
      <c r="K1084"/>
    </row>
    <row r="1085" spans="2:11" x14ac:dyDescent="0.2">
      <c r="B1085" s="2069"/>
      <c r="C1085" s="2069"/>
      <c r="D1085" s="2069"/>
      <c r="E1085" s="2069"/>
      <c r="F1085" s="2069"/>
      <c r="G1085" s="2069"/>
      <c r="H1085" s="2069"/>
      <c r="I1085"/>
      <c r="J1085"/>
      <c r="K1085"/>
    </row>
    <row r="1086" spans="2:11" x14ac:dyDescent="0.2">
      <c r="B1086" s="2069"/>
      <c r="C1086" s="2069"/>
      <c r="D1086" s="2069"/>
      <c r="E1086" s="2069"/>
      <c r="F1086" s="2069"/>
      <c r="G1086" s="2069"/>
      <c r="H1086" s="2069"/>
      <c r="I1086"/>
      <c r="J1086"/>
      <c r="K1086"/>
    </row>
    <row r="1087" spans="2:11" x14ac:dyDescent="0.2">
      <c r="B1087" s="2069"/>
      <c r="C1087" s="2069"/>
      <c r="D1087" s="2069"/>
      <c r="E1087" s="2069"/>
      <c r="F1087" s="2069"/>
      <c r="G1087" s="2069"/>
      <c r="H1087" s="2069"/>
      <c r="I1087"/>
      <c r="J1087"/>
      <c r="K1087"/>
    </row>
    <row r="1088" spans="2:11" x14ac:dyDescent="0.2">
      <c r="B1088" s="2069"/>
      <c r="C1088" s="2069"/>
      <c r="D1088" s="2069"/>
      <c r="E1088" s="2069"/>
      <c r="F1088" s="2069"/>
      <c r="G1088" s="2069"/>
      <c r="H1088" s="2069"/>
      <c r="I1088"/>
      <c r="J1088"/>
      <c r="K1088"/>
    </row>
    <row r="1089" spans="2:11" x14ac:dyDescent="0.2">
      <c r="B1089" s="2069"/>
      <c r="C1089" s="2069"/>
      <c r="D1089" s="2069"/>
      <c r="E1089" s="2069"/>
      <c r="F1089" s="2069"/>
      <c r="G1089" s="2069"/>
      <c r="H1089" s="2069"/>
      <c r="I1089"/>
      <c r="J1089"/>
      <c r="K1089"/>
    </row>
    <row r="1090" spans="2:11" x14ac:dyDescent="0.2">
      <c r="B1090" s="2069"/>
      <c r="C1090" s="2069"/>
      <c r="D1090" s="2069"/>
      <c r="E1090" s="2069"/>
      <c r="F1090" s="2069"/>
      <c r="G1090" s="2069"/>
      <c r="H1090" s="2069"/>
      <c r="I1090"/>
      <c r="J1090"/>
      <c r="K1090"/>
    </row>
    <row r="1091" spans="2:11" x14ac:dyDescent="0.2">
      <c r="B1091" s="2069"/>
      <c r="C1091" s="2069"/>
      <c r="D1091" s="2069"/>
      <c r="E1091" s="2069"/>
      <c r="F1091" s="2069"/>
      <c r="G1091" s="2069"/>
      <c r="H1091" s="2069"/>
      <c r="I1091"/>
      <c r="J1091"/>
      <c r="K1091"/>
    </row>
    <row r="1092" spans="2:11" x14ac:dyDescent="0.2">
      <c r="B1092" s="2069"/>
      <c r="C1092" s="2069"/>
      <c r="D1092" s="2069"/>
      <c r="E1092" s="2069"/>
      <c r="F1092" s="2069"/>
      <c r="G1092" s="2069"/>
      <c r="H1092" s="2069"/>
      <c r="I1092"/>
      <c r="J1092"/>
      <c r="K1092"/>
    </row>
    <row r="1093" spans="2:11" x14ac:dyDescent="0.2">
      <c r="B1093" s="2069"/>
      <c r="C1093" s="2069"/>
      <c r="D1093" s="2069"/>
      <c r="E1093" s="2069"/>
      <c r="F1093" s="2069"/>
      <c r="G1093" s="2069"/>
      <c r="H1093" s="2069"/>
      <c r="I1093"/>
      <c r="J1093"/>
      <c r="K1093"/>
    </row>
    <row r="1094" spans="2:11" x14ac:dyDescent="0.2">
      <c r="B1094" s="2069"/>
      <c r="C1094" s="2069"/>
      <c r="D1094" s="2069"/>
      <c r="E1094" s="2069"/>
      <c r="F1094" s="2069"/>
      <c r="G1094" s="2069"/>
      <c r="H1094" s="2069"/>
      <c r="I1094"/>
      <c r="J1094"/>
      <c r="K1094"/>
    </row>
    <row r="1095" spans="2:11" x14ac:dyDescent="0.2">
      <c r="B1095" s="2069"/>
      <c r="C1095" s="2069"/>
      <c r="D1095" s="2069"/>
      <c r="E1095" s="2069"/>
      <c r="F1095" s="2069"/>
      <c r="G1095" s="2069"/>
      <c r="H1095" s="2069"/>
      <c r="I1095"/>
      <c r="J1095"/>
      <c r="K1095"/>
    </row>
    <row r="1096" spans="2:11" x14ac:dyDescent="0.2">
      <c r="B1096" s="2069"/>
      <c r="C1096" s="2069"/>
      <c r="D1096" s="2069"/>
      <c r="E1096" s="2069"/>
      <c r="F1096" s="2069"/>
      <c r="G1096" s="2069"/>
      <c r="H1096" s="2069"/>
      <c r="I1096"/>
      <c r="J1096"/>
      <c r="K1096"/>
    </row>
    <row r="1097" spans="2:11" x14ac:dyDescent="0.2">
      <c r="B1097" s="2069"/>
      <c r="C1097" s="2069"/>
      <c r="D1097" s="2069"/>
      <c r="E1097" s="2069"/>
      <c r="F1097" s="2069"/>
      <c r="G1097" s="2069"/>
      <c r="H1097" s="2069"/>
      <c r="I1097"/>
      <c r="J1097"/>
      <c r="K1097"/>
    </row>
    <row r="1098" spans="2:11" x14ac:dyDescent="0.2">
      <c r="B1098" s="2069"/>
      <c r="C1098" s="2069"/>
      <c r="D1098" s="2069"/>
      <c r="E1098" s="2069"/>
      <c r="F1098" s="2069"/>
      <c r="G1098" s="2069"/>
      <c r="H1098" s="2069"/>
      <c r="I1098"/>
      <c r="J1098"/>
      <c r="K1098"/>
    </row>
    <row r="1099" spans="2:11" x14ac:dyDescent="0.2">
      <c r="B1099" s="2069"/>
      <c r="C1099" s="2069"/>
      <c r="D1099" s="2069"/>
      <c r="E1099" s="2069"/>
      <c r="F1099" s="2069"/>
      <c r="G1099" s="2069"/>
      <c r="H1099" s="2069"/>
      <c r="I1099"/>
      <c r="J1099"/>
      <c r="K1099"/>
    </row>
    <row r="1100" spans="2:11" x14ac:dyDescent="0.2">
      <c r="B1100" s="2069"/>
      <c r="C1100" s="2069"/>
      <c r="D1100" s="2069"/>
      <c r="E1100" s="2069"/>
      <c r="F1100" s="2069"/>
      <c r="G1100" s="2069"/>
      <c r="H1100" s="2069"/>
      <c r="I1100"/>
      <c r="J1100"/>
      <c r="K1100"/>
    </row>
    <row r="1101" spans="2:11" x14ac:dyDescent="0.2">
      <c r="B1101" s="2069"/>
      <c r="C1101" s="2069"/>
      <c r="D1101" s="2069"/>
      <c r="E1101" s="2069"/>
      <c r="F1101" s="2069"/>
      <c r="G1101" s="2069"/>
      <c r="H1101" s="2069"/>
      <c r="I1101"/>
      <c r="J1101"/>
      <c r="K1101"/>
    </row>
    <row r="1102" spans="2:11" x14ac:dyDescent="0.2">
      <c r="B1102" s="2069"/>
      <c r="C1102" s="2069"/>
      <c r="D1102" s="2069"/>
      <c r="E1102" s="2069"/>
      <c r="F1102" s="2069"/>
      <c r="G1102" s="2069"/>
      <c r="H1102" s="2069"/>
      <c r="I1102"/>
      <c r="J1102"/>
      <c r="K1102"/>
    </row>
    <row r="1103" spans="2:11" x14ac:dyDescent="0.2">
      <c r="B1103" s="2069"/>
      <c r="C1103" s="2069"/>
      <c r="D1103" s="2069"/>
      <c r="E1103" s="2069"/>
      <c r="F1103" s="2069"/>
      <c r="G1103" s="2069"/>
      <c r="H1103" s="2069"/>
      <c r="I1103"/>
      <c r="J1103"/>
      <c r="K1103"/>
    </row>
    <row r="1104" spans="2:11" x14ac:dyDescent="0.2">
      <c r="B1104" s="2069"/>
      <c r="C1104" s="2069"/>
      <c r="D1104" s="2069"/>
      <c r="E1104" s="2069"/>
      <c r="F1104" s="2069"/>
      <c r="G1104" s="2069"/>
      <c r="H1104" s="2069"/>
      <c r="I1104"/>
      <c r="J1104"/>
      <c r="K1104"/>
    </row>
    <row r="1105" spans="2:11" x14ac:dyDescent="0.2">
      <c r="B1105" s="2069"/>
      <c r="C1105" s="2069"/>
      <c r="D1105" s="2069"/>
      <c r="E1105" s="2069"/>
      <c r="F1105" s="2069"/>
      <c r="G1105" s="2069"/>
      <c r="H1105" s="2069"/>
      <c r="I1105"/>
      <c r="J1105"/>
      <c r="K1105"/>
    </row>
    <row r="1106" spans="2:11" x14ac:dyDescent="0.2">
      <c r="B1106" s="2069"/>
      <c r="C1106" s="2069"/>
      <c r="D1106" s="2069"/>
      <c r="E1106" s="2069"/>
      <c r="F1106" s="2069"/>
      <c r="G1106" s="2069"/>
      <c r="H1106" s="2069"/>
      <c r="I1106"/>
      <c r="J1106"/>
      <c r="K1106"/>
    </row>
    <row r="1107" spans="2:11" x14ac:dyDescent="0.2">
      <c r="B1107" s="2069"/>
      <c r="C1107" s="2069"/>
      <c r="D1107" s="2069"/>
      <c r="E1107" s="2069"/>
      <c r="F1107" s="2069"/>
      <c r="G1107" s="2069"/>
      <c r="H1107" s="2069"/>
      <c r="I1107"/>
      <c r="J1107"/>
      <c r="K1107"/>
    </row>
    <row r="1108" spans="2:11" x14ac:dyDescent="0.2">
      <c r="B1108" s="2069"/>
      <c r="C1108" s="2069"/>
      <c r="D1108" s="2069"/>
      <c r="E1108" s="2069"/>
      <c r="F1108" s="2069"/>
      <c r="G1108" s="2069"/>
      <c r="H1108" s="2069"/>
      <c r="I1108"/>
      <c r="J1108"/>
      <c r="K1108"/>
    </row>
    <row r="1109" spans="2:11" x14ac:dyDescent="0.2">
      <c r="B1109" s="2069"/>
      <c r="C1109" s="2069"/>
      <c r="D1109" s="2069"/>
      <c r="E1109" s="2069"/>
      <c r="F1109" s="2069"/>
      <c r="G1109" s="2069"/>
      <c r="H1109" s="2069"/>
      <c r="I1109"/>
      <c r="J1109"/>
      <c r="K1109"/>
    </row>
    <row r="1110" spans="2:11" x14ac:dyDescent="0.2">
      <c r="B1110" s="2069"/>
      <c r="C1110" s="2069"/>
      <c r="D1110" s="2069"/>
      <c r="E1110" s="2069"/>
      <c r="F1110" s="2069"/>
      <c r="G1110" s="2069"/>
      <c r="H1110" s="2069"/>
      <c r="I1110"/>
      <c r="J1110"/>
      <c r="K1110"/>
    </row>
    <row r="1111" spans="2:11" x14ac:dyDescent="0.2">
      <c r="B1111" s="2069"/>
      <c r="C1111" s="2069"/>
      <c r="D1111" s="2069"/>
      <c r="E1111" s="2069"/>
      <c r="F1111" s="2069"/>
      <c r="G1111" s="2069"/>
      <c r="H1111" s="2069"/>
      <c r="I1111"/>
      <c r="J1111"/>
      <c r="K1111"/>
    </row>
    <row r="1112" spans="2:11" x14ac:dyDescent="0.2">
      <c r="B1112" s="2069"/>
      <c r="C1112" s="2069"/>
      <c r="D1112" s="2069"/>
      <c r="E1112" s="2069"/>
      <c r="F1112" s="2069"/>
      <c r="G1112" s="2069"/>
      <c r="H1112" s="2069"/>
      <c r="I1112"/>
      <c r="J1112"/>
      <c r="K1112"/>
    </row>
    <row r="1113" spans="2:11" x14ac:dyDescent="0.2">
      <c r="B1113" s="2069"/>
      <c r="C1113" s="2069"/>
      <c r="D1113" s="2069"/>
      <c r="E1113" s="2069"/>
      <c r="F1113" s="2069"/>
      <c r="G1113" s="2069"/>
      <c r="H1113" s="2069"/>
      <c r="I1113"/>
      <c r="J1113"/>
      <c r="K1113"/>
    </row>
    <row r="1114" spans="2:11" x14ac:dyDescent="0.2">
      <c r="B1114" s="2069"/>
      <c r="C1114" s="2069"/>
      <c r="D1114" s="2069"/>
      <c r="E1114" s="2069"/>
      <c r="F1114" s="2069"/>
      <c r="G1114" s="2069"/>
      <c r="H1114" s="2069"/>
      <c r="I1114"/>
      <c r="J1114"/>
      <c r="K1114"/>
    </row>
    <row r="1115" spans="2:11" x14ac:dyDescent="0.2">
      <c r="B1115" s="2069"/>
      <c r="C1115" s="2069"/>
      <c r="D1115" s="2069"/>
      <c r="E1115" s="2069"/>
      <c r="F1115" s="2069"/>
      <c r="G1115" s="2069"/>
      <c r="H1115" s="2069"/>
      <c r="I1115"/>
      <c r="J1115"/>
      <c r="K1115"/>
    </row>
    <row r="1116" spans="2:11" x14ac:dyDescent="0.2">
      <c r="B1116" s="2069"/>
      <c r="C1116" s="2069"/>
      <c r="D1116" s="2069"/>
      <c r="E1116" s="2069"/>
      <c r="F1116" s="2069"/>
      <c r="G1116" s="2069"/>
      <c r="H1116" s="2069"/>
      <c r="I1116"/>
      <c r="J1116"/>
      <c r="K1116"/>
    </row>
    <row r="1117" spans="2:11" x14ac:dyDescent="0.2">
      <c r="B1117" s="2069"/>
      <c r="C1117" s="2069"/>
      <c r="D1117" s="2069"/>
      <c r="E1117" s="2069"/>
      <c r="F1117" s="2069"/>
      <c r="G1117" s="2069"/>
      <c r="H1117" s="2069"/>
      <c r="I1117"/>
      <c r="J1117"/>
      <c r="K1117"/>
    </row>
    <row r="1118" spans="2:11" x14ac:dyDescent="0.2">
      <c r="B1118" s="2069"/>
      <c r="C1118" s="2069"/>
      <c r="D1118" s="2069"/>
      <c r="E1118" s="2069"/>
      <c r="F1118" s="2069"/>
      <c r="G1118" s="2069"/>
      <c r="H1118" s="2069"/>
      <c r="I1118"/>
      <c r="J1118"/>
      <c r="K1118"/>
    </row>
    <row r="1119" spans="2:11" x14ac:dyDescent="0.2">
      <c r="B1119" s="2069"/>
      <c r="C1119" s="2069"/>
      <c r="D1119" s="2069"/>
      <c r="E1119" s="2069"/>
      <c r="F1119" s="2069"/>
      <c r="G1119" s="2069"/>
      <c r="H1119" s="2069"/>
      <c r="I1119"/>
      <c r="J1119"/>
      <c r="K1119"/>
    </row>
    <row r="1120" spans="2:11" x14ac:dyDescent="0.2">
      <c r="B1120" s="2069"/>
      <c r="C1120" s="2069"/>
      <c r="D1120" s="2069"/>
      <c r="E1120" s="2069"/>
      <c r="F1120" s="2069"/>
      <c r="G1120" s="2069"/>
      <c r="H1120" s="2069"/>
      <c r="I1120"/>
      <c r="J1120"/>
      <c r="K1120"/>
    </row>
    <row r="1121" spans="2:11" x14ac:dyDescent="0.2">
      <c r="B1121" s="2069"/>
      <c r="C1121" s="2069"/>
      <c r="D1121" s="2069"/>
      <c r="E1121" s="2069"/>
      <c r="F1121" s="2069"/>
      <c r="G1121" s="2069"/>
      <c r="H1121" s="2069"/>
      <c r="I1121"/>
      <c r="J1121"/>
      <c r="K1121"/>
    </row>
    <row r="1122" spans="2:11" x14ac:dyDescent="0.2">
      <c r="B1122" s="2069"/>
      <c r="C1122" s="2069"/>
      <c r="D1122" s="2069"/>
      <c r="E1122" s="2069"/>
      <c r="F1122" s="2069"/>
      <c r="G1122" s="2069"/>
      <c r="H1122" s="2069"/>
      <c r="I1122"/>
      <c r="J1122"/>
      <c r="K1122"/>
    </row>
    <row r="1123" spans="2:11" x14ac:dyDescent="0.2">
      <c r="B1123" s="2069"/>
      <c r="C1123" s="2069"/>
      <c r="D1123" s="2069"/>
      <c r="E1123" s="2069"/>
      <c r="F1123" s="2069"/>
      <c r="G1123" s="2069"/>
      <c r="H1123" s="2069"/>
      <c r="I1123"/>
      <c r="J1123"/>
      <c r="K1123"/>
    </row>
    <row r="1124" spans="2:11" x14ac:dyDescent="0.2">
      <c r="B1124" s="2069"/>
      <c r="C1124" s="2069"/>
      <c r="D1124" s="2069"/>
      <c r="E1124" s="2069"/>
      <c r="F1124" s="2069"/>
      <c r="G1124" s="2069"/>
      <c r="H1124" s="2069"/>
      <c r="I1124"/>
      <c r="J1124"/>
      <c r="K1124"/>
    </row>
    <row r="1125" spans="2:11" x14ac:dyDescent="0.2">
      <c r="B1125" s="2069"/>
      <c r="C1125" s="2069"/>
      <c r="D1125" s="2069"/>
      <c r="E1125" s="2069"/>
      <c r="F1125" s="2069"/>
      <c r="G1125" s="2069"/>
      <c r="H1125" s="2069"/>
      <c r="I1125"/>
      <c r="J1125"/>
      <c r="K1125"/>
    </row>
    <row r="1126" spans="2:11" x14ac:dyDescent="0.2">
      <c r="B1126" s="2069"/>
      <c r="C1126" s="2069"/>
      <c r="D1126" s="2069"/>
      <c r="E1126" s="2069"/>
      <c r="F1126" s="2069"/>
      <c r="G1126" s="2069"/>
      <c r="H1126" s="2069"/>
      <c r="I1126"/>
      <c r="J1126"/>
      <c r="K1126"/>
    </row>
    <row r="1127" spans="2:11" x14ac:dyDescent="0.2">
      <c r="B1127" s="2069"/>
      <c r="C1127" s="2069"/>
      <c r="D1127" s="2069"/>
      <c r="E1127" s="2069"/>
      <c r="F1127" s="2069"/>
      <c r="G1127" s="2069"/>
      <c r="H1127" s="2069"/>
      <c r="I1127"/>
      <c r="J1127"/>
      <c r="K1127"/>
    </row>
    <row r="1128" spans="2:11" x14ac:dyDescent="0.2">
      <c r="B1128" s="2069"/>
      <c r="C1128" s="2069"/>
      <c r="D1128" s="2069"/>
      <c r="E1128" s="2069"/>
      <c r="F1128" s="2069"/>
      <c r="G1128" s="2069"/>
      <c r="H1128" s="2069"/>
      <c r="I1128"/>
      <c r="J1128"/>
      <c r="K1128"/>
    </row>
    <row r="1129" spans="2:11" x14ac:dyDescent="0.2">
      <c r="B1129" s="2069"/>
      <c r="C1129" s="2069"/>
      <c r="D1129" s="2069"/>
      <c r="E1129" s="2069"/>
      <c r="F1129" s="2069"/>
      <c r="G1129" s="2069"/>
      <c r="H1129" s="2069"/>
      <c r="I1129"/>
      <c r="J1129"/>
      <c r="K1129"/>
    </row>
    <row r="1130" spans="2:11" x14ac:dyDescent="0.2">
      <c r="B1130" s="2069"/>
      <c r="C1130" s="2069"/>
      <c r="D1130" s="2069"/>
      <c r="E1130" s="2069"/>
      <c r="F1130" s="2069"/>
      <c r="G1130" s="2069"/>
      <c r="H1130" s="2069"/>
      <c r="I1130"/>
      <c r="J1130"/>
      <c r="K1130"/>
    </row>
    <row r="1131" spans="2:11" x14ac:dyDescent="0.2">
      <c r="B1131" s="2069"/>
      <c r="C1131" s="2069"/>
      <c r="D1131" s="2069"/>
      <c r="E1131" s="2069"/>
      <c r="F1131" s="2069"/>
      <c r="G1131" s="2069"/>
      <c r="H1131" s="2069"/>
      <c r="I1131"/>
      <c r="J1131"/>
      <c r="K1131"/>
    </row>
    <row r="1132" spans="2:11" x14ac:dyDescent="0.2">
      <c r="B1132" s="2069"/>
      <c r="C1132" s="2069"/>
      <c r="D1132" s="2069"/>
      <c r="E1132" s="2069"/>
      <c r="F1132" s="2069"/>
      <c r="G1132" s="2069"/>
      <c r="H1132" s="2069"/>
      <c r="I1132"/>
      <c r="J1132"/>
      <c r="K1132"/>
    </row>
    <row r="1133" spans="2:11" x14ac:dyDescent="0.2">
      <c r="B1133" s="2069"/>
      <c r="C1133" s="2069"/>
      <c r="D1133" s="2069"/>
      <c r="E1133" s="2069"/>
      <c r="F1133" s="2069"/>
      <c r="G1133" s="2069"/>
      <c r="H1133" s="2069"/>
      <c r="I1133"/>
      <c r="J1133"/>
      <c r="K1133"/>
    </row>
    <row r="1134" spans="2:11" x14ac:dyDescent="0.2">
      <c r="B1134" s="2069"/>
      <c r="C1134" s="2069"/>
      <c r="D1134" s="2069"/>
      <c r="E1134" s="2069"/>
      <c r="F1134" s="2069"/>
      <c r="G1134" s="2069"/>
      <c r="H1134" s="2069"/>
      <c r="I1134"/>
      <c r="J1134"/>
      <c r="K1134"/>
    </row>
    <row r="1135" spans="2:11" x14ac:dyDescent="0.2">
      <c r="B1135" s="2069"/>
      <c r="C1135" s="2069"/>
      <c r="D1135" s="2069"/>
      <c r="E1135" s="2069"/>
      <c r="F1135" s="2069"/>
      <c r="G1135" s="2069"/>
      <c r="H1135" s="2069"/>
      <c r="I1135"/>
      <c r="J1135"/>
      <c r="K1135"/>
    </row>
    <row r="1136" spans="2:11" x14ac:dyDescent="0.2">
      <c r="B1136" s="2069"/>
      <c r="C1136" s="2069"/>
      <c r="D1136" s="2069"/>
      <c r="E1136" s="2069"/>
      <c r="F1136" s="2069"/>
      <c r="G1136" s="2069"/>
      <c r="H1136" s="2069"/>
      <c r="I1136"/>
      <c r="J1136"/>
      <c r="K1136"/>
    </row>
    <row r="1137" spans="2:11" x14ac:dyDescent="0.2">
      <c r="B1137" s="2069"/>
      <c r="C1137" s="2069"/>
      <c r="D1137" s="2069"/>
      <c r="E1137" s="2069"/>
      <c r="F1137" s="2069"/>
      <c r="G1137" s="2069"/>
      <c r="H1137" s="2069"/>
      <c r="I1137"/>
      <c r="J1137"/>
      <c r="K1137"/>
    </row>
    <row r="1138" spans="2:11" x14ac:dyDescent="0.2">
      <c r="B1138" s="2069"/>
      <c r="C1138" s="2069"/>
      <c r="D1138" s="2069"/>
      <c r="E1138" s="2069"/>
      <c r="F1138" s="2069"/>
      <c r="G1138" s="2069"/>
      <c r="H1138" s="2069"/>
      <c r="I1138"/>
      <c r="J1138"/>
      <c r="K1138"/>
    </row>
    <row r="1139" spans="2:11" x14ac:dyDescent="0.2">
      <c r="B1139" s="2069"/>
      <c r="C1139" s="2069"/>
      <c r="D1139" s="2069"/>
      <c r="E1139" s="2069"/>
      <c r="F1139" s="2069"/>
      <c r="G1139" s="2069"/>
      <c r="H1139" s="2069"/>
      <c r="I1139"/>
      <c r="J1139"/>
      <c r="K1139"/>
    </row>
    <row r="1140" spans="2:11" x14ac:dyDescent="0.2">
      <c r="B1140" s="2069"/>
      <c r="C1140" s="2069"/>
      <c r="D1140" s="2069"/>
      <c r="E1140" s="2069"/>
      <c r="F1140" s="2069"/>
      <c r="G1140" s="2069"/>
      <c r="H1140" s="2069"/>
      <c r="I1140"/>
      <c r="J1140"/>
      <c r="K1140"/>
    </row>
    <row r="1141" spans="2:11" x14ac:dyDescent="0.2">
      <c r="B1141" s="2069"/>
      <c r="C1141" s="2069"/>
      <c r="D1141" s="2069"/>
      <c r="E1141" s="2069"/>
      <c r="F1141" s="2069"/>
      <c r="G1141" s="2069"/>
      <c r="H1141" s="2069"/>
      <c r="I1141"/>
      <c r="J1141"/>
      <c r="K1141"/>
    </row>
    <row r="1142" spans="2:11" x14ac:dyDescent="0.2">
      <c r="B1142" s="2069"/>
      <c r="C1142" s="2069"/>
      <c r="D1142" s="2069"/>
      <c r="E1142" s="2069"/>
      <c r="F1142" s="2069"/>
      <c r="G1142" s="2069"/>
      <c r="H1142" s="2069"/>
      <c r="I1142"/>
      <c r="J1142"/>
      <c r="K1142"/>
    </row>
    <row r="1143" spans="2:11" x14ac:dyDescent="0.2">
      <c r="B1143" s="2069"/>
      <c r="C1143" s="2069"/>
      <c r="D1143" s="2069"/>
      <c r="E1143" s="2069"/>
      <c r="F1143" s="2069"/>
      <c r="G1143" s="2069"/>
      <c r="H1143" s="2069"/>
      <c r="I1143"/>
      <c r="J1143"/>
      <c r="K1143"/>
    </row>
    <row r="1144" spans="2:11" x14ac:dyDescent="0.2">
      <c r="B1144" s="2069"/>
      <c r="C1144" s="2069"/>
      <c r="D1144" s="2069"/>
      <c r="E1144" s="2069"/>
      <c r="F1144" s="2069"/>
      <c r="G1144" s="2069"/>
      <c r="H1144" s="2069"/>
      <c r="I1144"/>
      <c r="J1144"/>
      <c r="K1144"/>
    </row>
    <row r="1145" spans="2:11" x14ac:dyDescent="0.2">
      <c r="B1145" s="2069"/>
      <c r="C1145" s="2069"/>
      <c r="D1145" s="2069"/>
      <c r="E1145" s="2069"/>
      <c r="F1145" s="2069"/>
      <c r="G1145" s="2069"/>
      <c r="H1145" s="2069"/>
      <c r="I1145"/>
      <c r="J1145"/>
      <c r="K1145"/>
    </row>
    <row r="1146" spans="2:11" x14ac:dyDescent="0.2">
      <c r="B1146" s="2069"/>
      <c r="C1146" s="2069"/>
      <c r="D1146" s="2069"/>
      <c r="E1146" s="2069"/>
      <c r="F1146" s="2069"/>
      <c r="G1146" s="2069"/>
      <c r="H1146" s="2069"/>
      <c r="I1146"/>
      <c r="J1146"/>
      <c r="K1146"/>
    </row>
    <row r="1147" spans="2:11" x14ac:dyDescent="0.2">
      <c r="B1147" s="2069"/>
      <c r="C1147" s="2069"/>
      <c r="D1147" s="2069"/>
      <c r="E1147" s="2069"/>
      <c r="F1147" s="2069"/>
      <c r="G1147" s="2069"/>
      <c r="H1147" s="2069"/>
      <c r="I1147"/>
      <c r="J1147"/>
      <c r="K1147"/>
    </row>
    <row r="1148" spans="2:11" x14ac:dyDescent="0.2">
      <c r="B1148" s="2069"/>
      <c r="C1148" s="2069"/>
      <c r="D1148" s="2069"/>
      <c r="E1148" s="2069"/>
      <c r="F1148" s="2069"/>
      <c r="G1148" s="2069"/>
      <c r="H1148" s="2069"/>
      <c r="I1148"/>
      <c r="J1148"/>
      <c r="K1148"/>
    </row>
    <row r="1149" spans="2:11" x14ac:dyDescent="0.2">
      <c r="B1149" s="2069"/>
      <c r="C1149" s="2069"/>
      <c r="D1149" s="2069"/>
      <c r="E1149" s="2069"/>
      <c r="F1149" s="2069"/>
      <c r="G1149" s="2069"/>
      <c r="H1149" s="2069"/>
      <c r="I1149"/>
      <c r="J1149"/>
      <c r="K1149"/>
    </row>
    <row r="1150" spans="2:11" x14ac:dyDescent="0.2">
      <c r="B1150" s="2069"/>
      <c r="C1150" s="2069"/>
      <c r="D1150" s="2069"/>
      <c r="E1150" s="2069"/>
      <c r="F1150" s="2069"/>
      <c r="G1150" s="2069"/>
      <c r="H1150" s="2069"/>
      <c r="I1150"/>
      <c r="J1150"/>
      <c r="K1150"/>
    </row>
    <row r="1151" spans="2:11" x14ac:dyDescent="0.2">
      <c r="B1151" s="2069"/>
      <c r="C1151" s="2069"/>
      <c r="D1151" s="2069"/>
      <c r="E1151" s="2069"/>
      <c r="F1151" s="2069"/>
      <c r="G1151" s="2069"/>
      <c r="H1151" s="2069"/>
      <c r="I1151"/>
      <c r="J1151"/>
      <c r="K1151"/>
    </row>
    <row r="1152" spans="2:11" x14ac:dyDescent="0.2">
      <c r="B1152" s="2069"/>
      <c r="C1152" s="2069"/>
      <c r="D1152" s="2069"/>
      <c r="E1152" s="2069"/>
      <c r="F1152" s="2069"/>
      <c r="G1152" s="2069"/>
      <c r="H1152" s="2069"/>
      <c r="I1152"/>
      <c r="J1152"/>
      <c r="K1152"/>
    </row>
    <row r="1153" spans="2:11" x14ac:dyDescent="0.2">
      <c r="B1153" s="2069"/>
      <c r="C1153" s="2069"/>
      <c r="D1153" s="2069"/>
      <c r="E1153" s="2069"/>
      <c r="F1153" s="2069"/>
      <c r="G1153" s="2069"/>
      <c r="H1153" s="2069"/>
      <c r="I1153"/>
      <c r="J1153"/>
      <c r="K1153"/>
    </row>
    <row r="1154" spans="2:11" x14ac:dyDescent="0.2">
      <c r="B1154" s="2069"/>
      <c r="C1154" s="2069"/>
      <c r="D1154" s="2069"/>
      <c r="E1154" s="2069"/>
      <c r="F1154" s="2069"/>
      <c r="G1154" s="2069"/>
      <c r="H1154" s="2069"/>
      <c r="I1154"/>
      <c r="J1154"/>
      <c r="K1154"/>
    </row>
    <row r="1155" spans="2:11" x14ac:dyDescent="0.2">
      <c r="B1155" s="2069"/>
      <c r="C1155" s="2069"/>
      <c r="D1155" s="2069"/>
      <c r="E1155" s="2069"/>
      <c r="F1155" s="2069"/>
      <c r="G1155" s="2069"/>
      <c r="H1155" s="2069"/>
      <c r="I1155"/>
      <c r="J1155"/>
      <c r="K1155"/>
    </row>
    <row r="1156" spans="2:11" x14ac:dyDescent="0.2">
      <c r="B1156" s="2069"/>
      <c r="C1156" s="2069"/>
      <c r="D1156" s="2069"/>
      <c r="E1156" s="2069"/>
      <c r="F1156" s="2069"/>
      <c r="G1156" s="2069"/>
      <c r="H1156" s="2069"/>
      <c r="I1156"/>
      <c r="J1156"/>
      <c r="K1156"/>
    </row>
    <row r="1157" spans="2:11" x14ac:dyDescent="0.2">
      <c r="B1157" s="2069"/>
      <c r="C1157" s="2069"/>
      <c r="D1157" s="2069"/>
      <c r="E1157" s="2069"/>
      <c r="F1157" s="2069"/>
      <c r="G1157" s="2069"/>
      <c r="H1157" s="2069"/>
      <c r="I1157"/>
      <c r="J1157"/>
      <c r="K1157"/>
    </row>
    <row r="1158" spans="2:11" x14ac:dyDescent="0.2">
      <c r="B1158" s="2069"/>
      <c r="C1158" s="2069"/>
      <c r="D1158" s="2069"/>
      <c r="E1158" s="2069"/>
      <c r="F1158" s="2069"/>
      <c r="G1158" s="2069"/>
      <c r="H1158" s="2069"/>
      <c r="I1158"/>
      <c r="J1158"/>
      <c r="K1158"/>
    </row>
    <row r="1159" spans="2:11" x14ac:dyDescent="0.2">
      <c r="B1159" s="2069"/>
      <c r="C1159" s="2069"/>
      <c r="D1159" s="2069"/>
      <c r="E1159" s="2069"/>
      <c r="F1159" s="2069"/>
      <c r="G1159" s="2069"/>
      <c r="H1159" s="2069"/>
      <c r="I1159"/>
      <c r="J1159"/>
      <c r="K1159"/>
    </row>
    <row r="1160" spans="2:11" x14ac:dyDescent="0.2">
      <c r="B1160" s="2069"/>
      <c r="C1160" s="2069"/>
      <c r="D1160" s="2069"/>
      <c r="E1160" s="2069"/>
      <c r="F1160" s="2069"/>
      <c r="G1160" s="2069"/>
      <c r="H1160" s="2069"/>
      <c r="I1160"/>
      <c r="J1160"/>
      <c r="K1160"/>
    </row>
    <row r="1161" spans="2:11" x14ac:dyDescent="0.2">
      <c r="B1161" s="2069"/>
      <c r="C1161" s="2069"/>
      <c r="D1161" s="2069"/>
      <c r="E1161" s="2069"/>
      <c r="F1161" s="2069"/>
      <c r="G1161" s="2069"/>
      <c r="H1161" s="2069"/>
      <c r="I1161"/>
      <c r="J1161"/>
      <c r="K1161"/>
    </row>
    <row r="1162" spans="2:11" x14ac:dyDescent="0.2">
      <c r="B1162" s="2069"/>
      <c r="C1162" s="2069"/>
      <c r="D1162" s="2069"/>
      <c r="E1162" s="2069"/>
      <c r="F1162" s="2069"/>
      <c r="G1162" s="2069"/>
      <c r="H1162" s="2069"/>
      <c r="I1162"/>
      <c r="J1162"/>
      <c r="K1162"/>
    </row>
    <row r="1163" spans="2:11" x14ac:dyDescent="0.2">
      <c r="B1163" s="2069"/>
      <c r="C1163" s="2069"/>
      <c r="D1163" s="2069"/>
      <c r="E1163" s="2069"/>
      <c r="F1163" s="2069"/>
      <c r="G1163" s="2069"/>
      <c r="H1163" s="2069"/>
      <c r="I1163"/>
      <c r="J1163"/>
      <c r="K1163"/>
    </row>
    <row r="1164" spans="2:11" x14ac:dyDescent="0.2">
      <c r="B1164" s="2069"/>
      <c r="C1164" s="2069"/>
      <c r="D1164" s="2069"/>
      <c r="E1164" s="2069"/>
      <c r="F1164" s="2069"/>
      <c r="G1164" s="2069"/>
      <c r="H1164" s="2069"/>
      <c r="I1164"/>
      <c r="J1164"/>
      <c r="K1164"/>
    </row>
    <row r="1165" spans="2:11" x14ac:dyDescent="0.2">
      <c r="B1165" s="2069"/>
      <c r="C1165" s="2069"/>
      <c r="D1165" s="2069"/>
      <c r="E1165" s="2069"/>
      <c r="F1165" s="2069"/>
      <c r="G1165" s="2069"/>
      <c r="H1165" s="2069"/>
      <c r="I1165"/>
      <c r="J1165"/>
      <c r="K1165"/>
    </row>
    <row r="1166" spans="2:11" x14ac:dyDescent="0.2">
      <c r="B1166" s="2069"/>
      <c r="C1166" s="2069"/>
      <c r="D1166" s="2069"/>
      <c r="E1166" s="2069"/>
      <c r="F1166" s="2069"/>
      <c r="G1166" s="2069"/>
      <c r="H1166" s="2069"/>
      <c r="I1166"/>
      <c r="J1166"/>
      <c r="K1166"/>
    </row>
    <row r="1167" spans="2:11" x14ac:dyDescent="0.2">
      <c r="B1167" s="2069"/>
      <c r="C1167" s="2069"/>
      <c r="D1167" s="2069"/>
      <c r="E1167" s="2069"/>
      <c r="F1167" s="2069"/>
      <c r="G1167" s="2069"/>
      <c r="H1167" s="2069"/>
      <c r="I1167"/>
      <c r="J1167"/>
      <c r="K1167"/>
    </row>
    <row r="1168" spans="2:11" x14ac:dyDescent="0.2">
      <c r="B1168" s="2069"/>
      <c r="C1168" s="2069"/>
      <c r="D1168" s="2069"/>
      <c r="E1168" s="2069"/>
      <c r="F1168" s="2069"/>
      <c r="G1168" s="2069"/>
      <c r="H1168" s="2069"/>
      <c r="I1168"/>
      <c r="J1168"/>
      <c r="K1168"/>
    </row>
    <row r="1169" spans="2:11" x14ac:dyDescent="0.2">
      <c r="B1169" s="2069"/>
      <c r="C1169" s="2069"/>
      <c r="D1169" s="2069"/>
      <c r="E1169" s="2069"/>
      <c r="F1169" s="2069"/>
      <c r="G1169" s="2069"/>
      <c r="H1169" s="2069"/>
      <c r="I1169"/>
      <c r="J1169"/>
      <c r="K1169"/>
    </row>
    <row r="1170" spans="2:11" x14ac:dyDescent="0.2">
      <c r="B1170" s="2069"/>
      <c r="C1170" s="2069"/>
      <c r="D1170" s="2069"/>
      <c r="E1170" s="2069"/>
      <c r="F1170" s="2069"/>
      <c r="G1170" s="2069"/>
      <c r="H1170" s="2069"/>
      <c r="I1170"/>
      <c r="J1170"/>
      <c r="K1170"/>
    </row>
    <row r="1171" spans="2:11" x14ac:dyDescent="0.2">
      <c r="B1171" s="2069"/>
      <c r="C1171" s="2069"/>
      <c r="D1171" s="2069"/>
      <c r="E1171" s="2069"/>
      <c r="F1171" s="2069"/>
      <c r="G1171" s="2069"/>
      <c r="H1171" s="2069"/>
      <c r="I1171"/>
      <c r="J1171"/>
      <c r="K1171"/>
    </row>
    <row r="1172" spans="2:11" x14ac:dyDescent="0.2">
      <c r="B1172" s="2069"/>
      <c r="C1172" s="2069"/>
      <c r="D1172" s="2069"/>
      <c r="E1172" s="2069"/>
      <c r="F1172" s="2069"/>
      <c r="G1172" s="2069"/>
      <c r="H1172" s="2069"/>
      <c r="I1172"/>
      <c r="J1172"/>
      <c r="K1172"/>
    </row>
    <row r="1173" spans="2:11" x14ac:dyDescent="0.2">
      <c r="B1173" s="2069"/>
      <c r="C1173" s="2069"/>
      <c r="D1173" s="2069"/>
      <c r="E1173" s="2069"/>
      <c r="F1173" s="2069"/>
      <c r="G1173" s="2069"/>
      <c r="H1173" s="2069"/>
      <c r="I1173"/>
      <c r="J1173"/>
      <c r="K1173"/>
    </row>
    <row r="1174" spans="2:11" x14ac:dyDescent="0.2">
      <c r="B1174" s="2069"/>
      <c r="C1174" s="2069"/>
      <c r="D1174" s="2069"/>
      <c r="E1174" s="2069"/>
      <c r="F1174" s="2069"/>
      <c r="G1174" s="2069"/>
      <c r="H1174" s="2069"/>
      <c r="I1174"/>
      <c r="J1174"/>
      <c r="K1174"/>
    </row>
    <row r="1175" spans="2:11" x14ac:dyDescent="0.2">
      <c r="B1175" s="2069"/>
      <c r="C1175" s="2069"/>
      <c r="D1175" s="2069"/>
      <c r="E1175" s="2069"/>
      <c r="F1175" s="2069"/>
      <c r="G1175" s="2069"/>
      <c r="H1175" s="2069"/>
      <c r="I1175"/>
      <c r="J1175"/>
      <c r="K1175"/>
    </row>
    <row r="1176" spans="2:11" x14ac:dyDescent="0.2">
      <c r="B1176" s="2069"/>
      <c r="C1176" s="2069"/>
      <c r="D1176" s="2069"/>
      <c r="E1176" s="2069"/>
      <c r="F1176" s="2069"/>
      <c r="G1176" s="2069"/>
      <c r="H1176" s="2069"/>
      <c r="I1176"/>
      <c r="J1176"/>
      <c r="K1176"/>
    </row>
    <row r="1177" spans="2:11" x14ac:dyDescent="0.2">
      <c r="B1177" s="2069"/>
      <c r="C1177" s="2069"/>
      <c r="D1177" s="2069"/>
      <c r="E1177" s="2069"/>
      <c r="F1177" s="2069"/>
      <c r="G1177" s="2069"/>
      <c r="H1177" s="2069"/>
      <c r="I1177"/>
      <c r="J1177"/>
      <c r="K1177"/>
    </row>
    <row r="1178" spans="2:11" x14ac:dyDescent="0.2">
      <c r="B1178" s="2069"/>
      <c r="C1178" s="2069"/>
      <c r="D1178" s="2069"/>
      <c r="E1178" s="2069"/>
      <c r="F1178" s="2069"/>
      <c r="G1178" s="2069"/>
      <c r="H1178" s="2069"/>
      <c r="I1178"/>
      <c r="J1178"/>
      <c r="K1178"/>
    </row>
    <row r="1179" spans="2:11" x14ac:dyDescent="0.2">
      <c r="B1179" s="2069"/>
      <c r="C1179" s="2069"/>
      <c r="D1179" s="2069"/>
      <c r="E1179" s="2069"/>
      <c r="F1179" s="2069"/>
      <c r="G1179" s="2069"/>
      <c r="H1179" s="2069"/>
      <c r="I1179"/>
      <c r="J1179"/>
      <c r="K1179"/>
    </row>
    <row r="1180" spans="2:11" x14ac:dyDescent="0.2">
      <c r="B1180" s="2069"/>
      <c r="C1180" s="2069"/>
      <c r="D1180" s="2069"/>
      <c r="E1180" s="2069"/>
      <c r="F1180" s="2069"/>
      <c r="G1180" s="2069"/>
      <c r="H1180" s="2069"/>
      <c r="I1180"/>
      <c r="J1180"/>
      <c r="K1180"/>
    </row>
    <row r="1181" spans="2:11" x14ac:dyDescent="0.2">
      <c r="B1181" s="2069"/>
      <c r="C1181" s="2069"/>
      <c r="D1181" s="2069"/>
      <c r="E1181" s="2069"/>
      <c r="F1181" s="2069"/>
      <c r="G1181" s="2069"/>
      <c r="H1181" s="2069"/>
      <c r="I1181"/>
      <c r="J1181"/>
      <c r="K1181"/>
    </row>
    <row r="1182" spans="2:11" x14ac:dyDescent="0.2">
      <c r="B1182" s="2069"/>
      <c r="C1182" s="2069"/>
      <c r="D1182" s="2069"/>
      <c r="E1182" s="2069"/>
      <c r="F1182" s="2069"/>
      <c r="G1182" s="2069"/>
      <c r="H1182" s="2069"/>
      <c r="I1182"/>
      <c r="J1182"/>
      <c r="K1182"/>
    </row>
    <row r="1183" spans="2:11" x14ac:dyDescent="0.2">
      <c r="B1183" s="2069"/>
      <c r="C1183" s="2069"/>
      <c r="D1183" s="2069"/>
      <c r="E1183" s="2069"/>
      <c r="F1183" s="2069"/>
      <c r="G1183" s="2069"/>
      <c r="H1183" s="2069"/>
      <c r="I1183"/>
      <c r="J1183"/>
      <c r="K1183"/>
    </row>
    <row r="1184" spans="2:11" x14ac:dyDescent="0.2">
      <c r="B1184" s="2069"/>
      <c r="C1184" s="2069"/>
      <c r="D1184" s="2069"/>
      <c r="E1184" s="2069"/>
      <c r="F1184" s="2069"/>
      <c r="G1184" s="2069"/>
      <c r="H1184" s="2069"/>
      <c r="I1184"/>
      <c r="J1184"/>
      <c r="K1184"/>
    </row>
    <row r="1185" spans="2:11" x14ac:dyDescent="0.2">
      <c r="B1185" s="2069"/>
      <c r="C1185" s="2069"/>
      <c r="D1185" s="2069"/>
      <c r="E1185" s="2069"/>
      <c r="F1185" s="2069"/>
      <c r="G1185" s="2069"/>
      <c r="H1185" s="2069"/>
      <c r="I1185"/>
      <c r="J1185"/>
      <c r="K1185"/>
    </row>
    <row r="1186" spans="2:11" x14ac:dyDescent="0.2">
      <c r="B1186" s="2069"/>
      <c r="C1186" s="2069"/>
      <c r="D1186" s="2069"/>
      <c r="E1186" s="2069"/>
      <c r="F1186" s="2069"/>
      <c r="G1186" s="2069"/>
      <c r="H1186" s="2069"/>
      <c r="I1186"/>
      <c r="J1186"/>
      <c r="K1186"/>
    </row>
    <row r="1187" spans="2:11" x14ac:dyDescent="0.2">
      <c r="B1187" s="2069"/>
      <c r="C1187" s="2069"/>
      <c r="D1187" s="2069"/>
      <c r="E1187" s="2069"/>
      <c r="F1187" s="2069"/>
      <c r="G1187" s="2069"/>
      <c r="H1187" s="2069"/>
      <c r="I1187"/>
      <c r="J1187"/>
      <c r="K1187"/>
    </row>
    <row r="1188" spans="2:11" x14ac:dyDescent="0.2">
      <c r="B1188" s="2069"/>
      <c r="C1188" s="2069"/>
      <c r="D1188" s="2069"/>
      <c r="E1188" s="2069"/>
      <c r="F1188" s="2069"/>
      <c r="G1188" s="2069"/>
      <c r="H1188" s="2069"/>
      <c r="I1188"/>
      <c r="J1188"/>
      <c r="K1188"/>
    </row>
    <row r="1189" spans="2:11" x14ac:dyDescent="0.2">
      <c r="B1189" s="2069"/>
      <c r="C1189" s="2069"/>
      <c r="D1189" s="2069"/>
      <c r="E1189" s="2069"/>
      <c r="F1189" s="2069"/>
      <c r="G1189" s="2069"/>
      <c r="H1189" s="2069"/>
      <c r="I1189"/>
      <c r="J1189"/>
      <c r="K1189"/>
    </row>
    <row r="1190" spans="2:11" x14ac:dyDescent="0.2">
      <c r="B1190" s="2069"/>
      <c r="C1190" s="2069"/>
      <c r="D1190" s="2069"/>
      <c r="E1190" s="2069"/>
      <c r="F1190" s="2069"/>
      <c r="G1190" s="2069"/>
      <c r="H1190" s="2069"/>
      <c r="I1190"/>
      <c r="J1190"/>
      <c r="K1190"/>
    </row>
    <row r="1191" spans="2:11" x14ac:dyDescent="0.2">
      <c r="B1191" s="2069"/>
      <c r="C1191" s="2069"/>
      <c r="D1191" s="2069"/>
      <c r="E1191" s="2069"/>
      <c r="F1191" s="2069"/>
      <c r="G1191" s="2069"/>
      <c r="H1191" s="2069"/>
      <c r="I1191"/>
      <c r="J1191"/>
      <c r="K1191"/>
    </row>
    <row r="1192" spans="2:11" x14ac:dyDescent="0.2">
      <c r="B1192" s="2069"/>
      <c r="C1192" s="2069"/>
      <c r="D1192" s="2069"/>
      <c r="E1192" s="2069"/>
      <c r="F1192" s="2069"/>
      <c r="G1192" s="2069"/>
      <c r="H1192" s="2069"/>
      <c r="I1192"/>
      <c r="J1192"/>
      <c r="K1192"/>
    </row>
    <row r="1193" spans="2:11" x14ac:dyDescent="0.2">
      <c r="B1193" s="2069"/>
      <c r="C1193" s="2069"/>
      <c r="D1193" s="2069"/>
      <c r="E1193" s="2069"/>
      <c r="F1193" s="2069"/>
      <c r="G1193" s="2069"/>
      <c r="H1193" s="2069"/>
      <c r="I1193"/>
      <c r="J1193"/>
      <c r="K1193"/>
    </row>
    <row r="1194" spans="2:11" x14ac:dyDescent="0.2">
      <c r="B1194" s="2069"/>
      <c r="C1194" s="2069"/>
      <c r="D1194" s="2069"/>
      <c r="E1194" s="2069"/>
      <c r="F1194" s="2069"/>
      <c r="G1194" s="2069"/>
      <c r="H1194" s="2069"/>
      <c r="I1194"/>
      <c r="J1194"/>
      <c r="K1194"/>
    </row>
    <row r="1195" spans="2:11" x14ac:dyDescent="0.2">
      <c r="B1195" s="2069"/>
      <c r="C1195" s="2069"/>
      <c r="D1195" s="2069"/>
      <c r="E1195" s="2069"/>
      <c r="F1195" s="2069"/>
      <c r="G1195" s="2069"/>
      <c r="H1195" s="2069"/>
      <c r="I1195"/>
      <c r="J1195"/>
      <c r="K1195"/>
    </row>
    <row r="1196" spans="2:11" x14ac:dyDescent="0.2">
      <c r="B1196" s="2069"/>
      <c r="C1196" s="2069"/>
      <c r="D1196" s="2069"/>
      <c r="E1196" s="2069"/>
      <c r="F1196" s="2069"/>
      <c r="G1196" s="2069"/>
      <c r="H1196" s="2069"/>
      <c r="I1196"/>
      <c r="J1196"/>
      <c r="K1196"/>
    </row>
    <row r="1197" spans="2:11" x14ac:dyDescent="0.2">
      <c r="B1197" s="2069"/>
      <c r="C1197" s="2069"/>
      <c r="D1197" s="2069"/>
      <c r="E1197" s="2069"/>
      <c r="F1197" s="2069"/>
      <c r="G1197" s="2069"/>
      <c r="H1197" s="2069"/>
      <c r="I1197"/>
      <c r="J1197"/>
      <c r="K1197"/>
    </row>
    <row r="1198" spans="2:11" x14ac:dyDescent="0.2">
      <c r="B1198" s="2069"/>
      <c r="C1198" s="2069"/>
      <c r="D1198" s="2069"/>
      <c r="E1198" s="2069"/>
      <c r="F1198" s="2069"/>
      <c r="G1198" s="2069"/>
      <c r="H1198" s="2069"/>
      <c r="I1198"/>
      <c r="J1198"/>
      <c r="K1198"/>
    </row>
    <row r="1199" spans="2:11" x14ac:dyDescent="0.2">
      <c r="B1199" s="2069"/>
      <c r="C1199" s="2069"/>
      <c r="D1199" s="2069"/>
      <c r="E1199" s="2069"/>
      <c r="F1199" s="2069"/>
      <c r="G1199" s="2069"/>
      <c r="H1199" s="2069"/>
      <c r="I1199"/>
      <c r="J1199"/>
      <c r="K1199"/>
    </row>
    <row r="1200" spans="2:11" x14ac:dyDescent="0.2">
      <c r="B1200" s="2069"/>
      <c r="C1200" s="2069"/>
      <c r="D1200" s="2069"/>
      <c r="E1200" s="2069"/>
      <c r="F1200" s="2069"/>
      <c r="G1200" s="2069"/>
      <c r="H1200" s="2069"/>
      <c r="I1200"/>
      <c r="J1200"/>
      <c r="K1200"/>
    </row>
    <row r="1201" spans="2:11" x14ac:dyDescent="0.2">
      <c r="B1201" s="2069"/>
      <c r="C1201" s="2069"/>
      <c r="D1201" s="2069"/>
      <c r="E1201" s="2069"/>
      <c r="F1201" s="2069"/>
      <c r="G1201" s="2069"/>
      <c r="H1201" s="2069"/>
      <c r="I1201"/>
      <c r="J1201"/>
      <c r="K1201"/>
    </row>
    <row r="1202" spans="2:11" x14ac:dyDescent="0.2">
      <c r="B1202" s="2069"/>
      <c r="C1202" s="2069"/>
      <c r="D1202" s="2069"/>
      <c r="E1202" s="2069"/>
      <c r="F1202" s="2069"/>
      <c r="G1202" s="2069"/>
      <c r="H1202" s="2069"/>
      <c r="I1202"/>
      <c r="J1202"/>
      <c r="K1202"/>
    </row>
    <row r="1203" spans="2:11" x14ac:dyDescent="0.2">
      <c r="B1203" s="2069"/>
      <c r="C1203" s="2069"/>
      <c r="D1203" s="2069"/>
      <c r="E1203" s="2069"/>
      <c r="F1203" s="2069"/>
      <c r="G1203" s="2069"/>
      <c r="H1203" s="2069"/>
      <c r="I1203"/>
      <c r="J1203"/>
      <c r="K1203"/>
    </row>
    <row r="1204" spans="2:11" x14ac:dyDescent="0.2">
      <c r="B1204" s="2069"/>
      <c r="C1204" s="2069"/>
      <c r="D1204" s="2069"/>
      <c r="E1204" s="2069"/>
      <c r="F1204" s="2069"/>
      <c r="G1204" s="2069"/>
      <c r="H1204" s="2069"/>
      <c r="I1204"/>
      <c r="J1204"/>
      <c r="K1204"/>
    </row>
    <row r="1205" spans="2:11" x14ac:dyDescent="0.2">
      <c r="B1205" s="2069"/>
      <c r="C1205" s="2069"/>
      <c r="D1205" s="2069"/>
      <c r="E1205" s="2069"/>
      <c r="F1205" s="2069"/>
      <c r="G1205" s="2069"/>
      <c r="H1205" s="2069"/>
      <c r="I1205"/>
      <c r="J1205"/>
      <c r="K1205"/>
    </row>
    <row r="1206" spans="2:11" x14ac:dyDescent="0.2">
      <c r="B1206" s="2069"/>
      <c r="C1206" s="2069"/>
      <c r="D1206" s="2069"/>
      <c r="E1206" s="2069"/>
      <c r="F1206" s="2069"/>
      <c r="G1206" s="2069"/>
      <c r="H1206" s="2069"/>
      <c r="I1206"/>
      <c r="J1206"/>
      <c r="K1206"/>
    </row>
    <row r="1207" spans="2:11" x14ac:dyDescent="0.2">
      <c r="B1207" s="2069"/>
      <c r="C1207" s="2069"/>
      <c r="D1207" s="2069"/>
      <c r="E1207" s="2069"/>
      <c r="F1207" s="2069"/>
      <c r="G1207" s="2069"/>
      <c r="H1207" s="2069"/>
      <c r="I1207"/>
      <c r="J1207"/>
      <c r="K1207"/>
    </row>
    <row r="1208" spans="2:11" x14ac:dyDescent="0.2">
      <c r="B1208" s="2069"/>
      <c r="C1208" s="2069"/>
      <c r="D1208" s="2069"/>
      <c r="E1208" s="2069"/>
      <c r="F1208" s="2069"/>
      <c r="G1208" s="2069"/>
      <c r="H1208" s="2069"/>
      <c r="I1208"/>
      <c r="J1208"/>
      <c r="K1208"/>
    </row>
    <row r="1209" spans="2:11" x14ac:dyDescent="0.2">
      <c r="B1209" s="2069"/>
      <c r="C1209" s="2069"/>
      <c r="D1209" s="2069"/>
      <c r="E1209" s="2069"/>
      <c r="F1209" s="2069"/>
      <c r="G1209" s="2069"/>
      <c r="H1209" s="2069"/>
      <c r="I1209"/>
      <c r="J1209"/>
      <c r="K1209"/>
    </row>
    <row r="1210" spans="2:11" x14ac:dyDescent="0.2">
      <c r="B1210" s="2069"/>
      <c r="C1210" s="2069"/>
      <c r="D1210" s="2069"/>
      <c r="E1210" s="2069"/>
      <c r="F1210" s="2069"/>
      <c r="G1210" s="2069"/>
      <c r="H1210" s="2069"/>
      <c r="I1210"/>
      <c r="J1210"/>
      <c r="K1210"/>
    </row>
    <row r="1211" spans="2:11" x14ac:dyDescent="0.2">
      <c r="B1211" s="2069"/>
      <c r="C1211" s="2069"/>
      <c r="D1211" s="2069"/>
      <c r="E1211" s="2069"/>
      <c r="F1211" s="2069"/>
      <c r="G1211" s="2069"/>
      <c r="H1211" s="2069"/>
      <c r="I1211"/>
      <c r="J1211"/>
      <c r="K1211"/>
    </row>
    <row r="1212" spans="2:11" x14ac:dyDescent="0.2">
      <c r="B1212" s="2069"/>
      <c r="C1212" s="2069"/>
      <c r="D1212" s="2069"/>
      <c r="E1212" s="2069"/>
      <c r="F1212" s="2069"/>
      <c r="G1212" s="2069"/>
      <c r="H1212" s="2069"/>
      <c r="I1212"/>
      <c r="J1212"/>
      <c r="K1212"/>
    </row>
    <row r="1213" spans="2:11" x14ac:dyDescent="0.2">
      <c r="B1213" s="2069"/>
      <c r="C1213" s="2069"/>
      <c r="D1213" s="2069"/>
      <c r="E1213" s="2069"/>
      <c r="F1213" s="2069"/>
      <c r="G1213" s="2069"/>
      <c r="H1213" s="2069"/>
      <c r="I1213"/>
      <c r="J1213"/>
      <c r="K1213"/>
    </row>
    <row r="1214" spans="2:11" x14ac:dyDescent="0.2">
      <c r="B1214" s="2069"/>
      <c r="C1214" s="2069"/>
      <c r="D1214" s="2069"/>
      <c r="E1214" s="2069"/>
      <c r="F1214" s="2069"/>
      <c r="G1214" s="2069"/>
      <c r="H1214" s="2069"/>
      <c r="I1214"/>
      <c r="J1214"/>
      <c r="K1214"/>
    </row>
    <row r="1215" spans="2:11" x14ac:dyDescent="0.2">
      <c r="B1215" s="2069"/>
      <c r="C1215" s="2069"/>
      <c r="D1215" s="2069"/>
      <c r="E1215" s="2069"/>
      <c r="F1215" s="2069"/>
      <c r="G1215" s="2069"/>
      <c r="H1215" s="2069"/>
      <c r="I1215"/>
      <c r="J1215"/>
      <c r="K1215"/>
    </row>
    <row r="1216" spans="2:11" x14ac:dyDescent="0.2">
      <c r="B1216" s="2069"/>
      <c r="C1216" s="2069"/>
      <c r="D1216" s="2069"/>
      <c r="E1216" s="2069"/>
      <c r="F1216" s="2069"/>
      <c r="G1216" s="2069"/>
      <c r="H1216" s="2069"/>
      <c r="I1216"/>
      <c r="J1216"/>
      <c r="K1216"/>
    </row>
    <row r="1217" spans="2:11" x14ac:dyDescent="0.2">
      <c r="B1217" s="2069"/>
      <c r="C1217" s="2069"/>
      <c r="D1217" s="2069"/>
      <c r="E1217" s="2069"/>
      <c r="F1217" s="2069"/>
      <c r="G1217" s="2069"/>
      <c r="H1217" s="2069"/>
      <c r="I1217"/>
      <c r="J1217"/>
      <c r="K1217"/>
    </row>
    <row r="1218" spans="2:11" x14ac:dyDescent="0.2">
      <c r="B1218" s="2069"/>
      <c r="C1218" s="2069"/>
      <c r="D1218" s="2069"/>
      <c r="E1218" s="2069"/>
      <c r="F1218" s="2069"/>
      <c r="G1218" s="2069"/>
      <c r="H1218" s="2069"/>
      <c r="I1218"/>
      <c r="J1218"/>
      <c r="K1218"/>
    </row>
    <row r="1219" spans="2:11" x14ac:dyDescent="0.2">
      <c r="B1219" s="2069"/>
      <c r="C1219" s="2069"/>
      <c r="D1219" s="2069"/>
      <c r="E1219" s="2069"/>
      <c r="F1219" s="2069"/>
      <c r="G1219" s="2069"/>
      <c r="H1219" s="2069"/>
      <c r="I1219"/>
      <c r="J1219"/>
      <c r="K1219"/>
    </row>
    <row r="1220" spans="2:11" x14ac:dyDescent="0.2">
      <c r="B1220" s="2069"/>
      <c r="C1220" s="2069"/>
      <c r="D1220" s="2069"/>
      <c r="E1220" s="2069"/>
      <c r="F1220" s="2069"/>
      <c r="G1220" s="2069"/>
      <c r="H1220" s="2069"/>
      <c r="I1220"/>
      <c r="J1220"/>
      <c r="K1220"/>
    </row>
    <row r="1221" spans="2:11" x14ac:dyDescent="0.2">
      <c r="B1221" s="2069"/>
      <c r="C1221" s="2069"/>
      <c r="D1221" s="2069"/>
      <c r="E1221" s="2069"/>
      <c r="F1221" s="2069"/>
      <c r="G1221" s="2069"/>
      <c r="H1221" s="2069"/>
      <c r="I1221"/>
      <c r="J1221"/>
      <c r="K1221"/>
    </row>
    <row r="1222" spans="2:11" x14ac:dyDescent="0.2">
      <c r="B1222" s="2069"/>
      <c r="C1222" s="2069"/>
      <c r="D1222" s="2069"/>
      <c r="E1222" s="2069"/>
      <c r="F1222" s="2069"/>
      <c r="G1222" s="2069"/>
      <c r="H1222" s="2069"/>
      <c r="I1222"/>
      <c r="J1222"/>
      <c r="K1222"/>
    </row>
    <row r="1223" spans="2:11" x14ac:dyDescent="0.2">
      <c r="B1223" s="2069"/>
      <c r="C1223" s="2069"/>
      <c r="D1223" s="2069"/>
      <c r="E1223" s="2069"/>
      <c r="F1223" s="2069"/>
      <c r="G1223" s="2069"/>
      <c r="H1223" s="2069"/>
      <c r="I1223"/>
      <c r="J1223"/>
      <c r="K1223"/>
    </row>
    <row r="1224" spans="2:11" x14ac:dyDescent="0.2">
      <c r="B1224" s="2069"/>
      <c r="C1224" s="2069"/>
      <c r="D1224" s="2069"/>
      <c r="E1224" s="2069"/>
      <c r="F1224" s="2069"/>
      <c r="G1224" s="2069"/>
      <c r="H1224" s="2069"/>
      <c r="I1224"/>
      <c r="J1224"/>
      <c r="K1224"/>
    </row>
    <row r="1225" spans="2:11" x14ac:dyDescent="0.2">
      <c r="B1225" s="2069"/>
      <c r="C1225" s="2069"/>
      <c r="D1225" s="2069"/>
      <c r="E1225" s="2069"/>
      <c r="F1225" s="2069"/>
      <c r="G1225" s="2069"/>
      <c r="H1225" s="2069"/>
      <c r="I1225"/>
      <c r="J1225"/>
      <c r="K1225"/>
    </row>
    <row r="1226" spans="2:11" x14ac:dyDescent="0.2">
      <c r="B1226" s="2069"/>
      <c r="C1226" s="2069"/>
      <c r="D1226" s="2069"/>
      <c r="E1226" s="2069"/>
      <c r="F1226" s="2069"/>
      <c r="G1226" s="2069"/>
      <c r="H1226" s="2069"/>
      <c r="I1226"/>
      <c r="J1226"/>
      <c r="K1226"/>
    </row>
    <row r="1227" spans="2:11" x14ac:dyDescent="0.2">
      <c r="B1227" s="2069"/>
      <c r="C1227" s="2069"/>
      <c r="D1227" s="2069"/>
      <c r="E1227" s="2069"/>
      <c r="F1227" s="2069"/>
      <c r="G1227" s="2069"/>
      <c r="H1227" s="2069"/>
      <c r="I1227"/>
      <c r="J1227"/>
      <c r="K1227"/>
    </row>
    <row r="1228" spans="2:11" x14ac:dyDescent="0.2">
      <c r="B1228" s="2069"/>
      <c r="C1228" s="2069"/>
      <c r="D1228" s="2069"/>
      <c r="E1228" s="2069"/>
      <c r="F1228" s="2069"/>
      <c r="G1228" s="2069"/>
      <c r="H1228" s="2069"/>
      <c r="I1228"/>
      <c r="J1228"/>
      <c r="K1228"/>
    </row>
    <row r="1229" spans="2:11" x14ac:dyDescent="0.2">
      <c r="B1229" s="2069"/>
      <c r="C1229" s="2069"/>
      <c r="D1229" s="2069"/>
      <c r="E1229" s="2069"/>
      <c r="F1229" s="2069"/>
      <c r="G1229" s="2069"/>
      <c r="H1229" s="2069"/>
      <c r="I1229"/>
      <c r="J1229"/>
      <c r="K1229"/>
    </row>
    <row r="1230" spans="2:11" x14ac:dyDescent="0.2">
      <c r="B1230" s="2069"/>
      <c r="C1230" s="2069"/>
      <c r="D1230" s="2069"/>
      <c r="E1230" s="2069"/>
      <c r="F1230" s="2069"/>
      <c r="G1230" s="2069"/>
      <c r="H1230" s="2069"/>
      <c r="I1230"/>
      <c r="J1230"/>
      <c r="K1230"/>
    </row>
    <row r="1231" spans="2:11" x14ac:dyDescent="0.2">
      <c r="B1231" s="2069"/>
      <c r="C1231" s="2069"/>
      <c r="D1231" s="2069"/>
      <c r="E1231" s="2069"/>
      <c r="F1231" s="2069"/>
      <c r="G1231" s="2069"/>
      <c r="H1231" s="2069"/>
      <c r="I1231"/>
      <c r="J1231"/>
      <c r="K1231"/>
    </row>
    <row r="1232" spans="2:11" x14ac:dyDescent="0.2">
      <c r="B1232" s="2069"/>
      <c r="C1232" s="2069"/>
      <c r="D1232" s="2069"/>
      <c r="E1232" s="2069"/>
      <c r="F1232" s="2069"/>
      <c r="G1232" s="2069"/>
      <c r="H1232" s="2069"/>
      <c r="I1232"/>
      <c r="J1232"/>
      <c r="K1232"/>
    </row>
    <row r="1233" spans="2:11" x14ac:dyDescent="0.2">
      <c r="B1233" s="2069"/>
      <c r="C1233" s="2069"/>
      <c r="D1233" s="2069"/>
      <c r="E1233" s="2069"/>
      <c r="F1233" s="2069"/>
      <c r="G1233" s="2069"/>
      <c r="H1233" s="2069"/>
      <c r="I1233"/>
      <c r="J1233"/>
      <c r="K1233"/>
    </row>
    <row r="1234" spans="2:11" x14ac:dyDescent="0.2">
      <c r="B1234" s="2069"/>
      <c r="C1234" s="2069"/>
      <c r="D1234" s="2069"/>
      <c r="E1234" s="2069"/>
      <c r="F1234" s="2069"/>
      <c r="G1234" s="2069"/>
      <c r="H1234" s="2069"/>
      <c r="I1234"/>
      <c r="J1234"/>
      <c r="K1234"/>
    </row>
    <row r="1235" spans="2:11" x14ac:dyDescent="0.2">
      <c r="B1235" s="2069"/>
      <c r="C1235" s="2069"/>
      <c r="D1235" s="2069"/>
      <c r="E1235" s="2069"/>
      <c r="F1235" s="2069"/>
      <c r="G1235" s="2069"/>
      <c r="H1235" s="2069"/>
      <c r="I1235"/>
      <c r="J1235"/>
      <c r="K1235"/>
    </row>
    <row r="1236" spans="2:11" x14ac:dyDescent="0.2">
      <c r="B1236" s="2069"/>
      <c r="C1236" s="2069"/>
      <c r="D1236" s="2069"/>
      <c r="E1236" s="2069"/>
      <c r="F1236" s="2069"/>
      <c r="G1236" s="2069"/>
      <c r="H1236" s="2069"/>
      <c r="I1236"/>
      <c r="J1236"/>
      <c r="K1236"/>
    </row>
    <row r="1237" spans="2:11" x14ac:dyDescent="0.2">
      <c r="B1237" s="2069"/>
      <c r="C1237" s="2069"/>
      <c r="D1237" s="2069"/>
      <c r="E1237" s="2069"/>
      <c r="F1237" s="2069"/>
      <c r="G1237" s="2069"/>
      <c r="H1237" s="2069"/>
      <c r="I1237"/>
      <c r="J1237"/>
      <c r="K1237"/>
    </row>
    <row r="1238" spans="2:11" x14ac:dyDescent="0.2">
      <c r="B1238" s="2069"/>
      <c r="C1238" s="2069"/>
      <c r="D1238" s="2069"/>
      <c r="E1238" s="2069"/>
      <c r="F1238" s="2069"/>
      <c r="G1238" s="2069"/>
      <c r="H1238" s="2069"/>
      <c r="I1238"/>
      <c r="J1238"/>
      <c r="K1238"/>
    </row>
    <row r="1239" spans="2:11" x14ac:dyDescent="0.2">
      <c r="B1239" s="2069"/>
      <c r="C1239" s="2069"/>
      <c r="D1239" s="2069"/>
      <c r="E1239" s="2069"/>
      <c r="F1239" s="2069"/>
      <c r="G1239" s="2069"/>
      <c r="H1239" s="2069"/>
      <c r="I1239"/>
      <c r="J1239"/>
      <c r="K1239"/>
    </row>
    <row r="1240" spans="2:11" x14ac:dyDescent="0.2">
      <c r="B1240" s="2069"/>
      <c r="C1240" s="2069"/>
      <c r="D1240" s="2069"/>
      <c r="E1240" s="2069"/>
      <c r="F1240" s="2069"/>
      <c r="G1240" s="2069"/>
      <c r="H1240" s="2069"/>
      <c r="I1240"/>
      <c r="J1240"/>
      <c r="K1240"/>
    </row>
    <row r="1241" spans="2:11" x14ac:dyDescent="0.2">
      <c r="B1241" s="2069"/>
      <c r="C1241" s="2069"/>
      <c r="D1241" s="2069"/>
      <c r="E1241" s="2069"/>
      <c r="F1241" s="2069"/>
      <c r="G1241" s="2069"/>
      <c r="H1241" s="2069"/>
      <c r="I1241"/>
      <c r="J1241"/>
      <c r="K1241"/>
    </row>
    <row r="1242" spans="2:11" x14ac:dyDescent="0.2">
      <c r="B1242" s="2069"/>
      <c r="C1242" s="2069"/>
      <c r="D1242" s="2069"/>
      <c r="E1242" s="2069"/>
      <c r="F1242" s="2069"/>
      <c r="G1242" s="2069"/>
      <c r="H1242" s="2069"/>
      <c r="I1242"/>
      <c r="J1242"/>
      <c r="K1242"/>
    </row>
    <row r="1243" spans="2:11" x14ac:dyDescent="0.2">
      <c r="B1243" s="2069"/>
      <c r="C1243" s="2069"/>
      <c r="D1243" s="2069"/>
      <c r="E1243" s="2069"/>
      <c r="F1243" s="2069"/>
      <c r="G1243" s="2069"/>
      <c r="H1243" s="2069"/>
      <c r="I1243"/>
      <c r="J1243"/>
      <c r="K1243"/>
    </row>
    <row r="1244" spans="2:11" x14ac:dyDescent="0.2">
      <c r="B1244" s="2069"/>
      <c r="C1244" s="2069"/>
      <c r="D1244" s="2069"/>
      <c r="E1244" s="2069"/>
      <c r="F1244" s="2069"/>
      <c r="G1244" s="2069"/>
      <c r="H1244" s="2069"/>
      <c r="I1244"/>
      <c r="J1244"/>
      <c r="K1244"/>
    </row>
    <row r="1245" spans="2:11" x14ac:dyDescent="0.2">
      <c r="B1245" s="2069"/>
      <c r="C1245" s="2069"/>
      <c r="D1245" s="2069"/>
      <c r="E1245" s="2069"/>
      <c r="F1245" s="2069"/>
      <c r="G1245" s="2069"/>
      <c r="H1245" s="2069"/>
      <c r="I1245"/>
      <c r="J1245"/>
      <c r="K1245"/>
    </row>
    <row r="1246" spans="2:11" x14ac:dyDescent="0.2">
      <c r="B1246" s="2069"/>
      <c r="C1246" s="2069"/>
      <c r="D1246" s="2069"/>
      <c r="E1246" s="2069"/>
      <c r="F1246" s="2069"/>
      <c r="G1246" s="2069"/>
      <c r="H1246" s="2069"/>
      <c r="I1246"/>
      <c r="J1246"/>
      <c r="K1246"/>
    </row>
    <row r="1247" spans="2:11" x14ac:dyDescent="0.2">
      <c r="B1247" s="2069"/>
      <c r="C1247" s="2069"/>
      <c r="D1247" s="2069"/>
      <c r="E1247" s="2069"/>
      <c r="F1247" s="2069"/>
      <c r="G1247" s="2069"/>
      <c r="H1247" s="2069"/>
      <c r="I1247"/>
      <c r="J1247"/>
      <c r="K1247"/>
    </row>
    <row r="1248" spans="2:11" x14ac:dyDescent="0.2">
      <c r="B1248" s="2069"/>
      <c r="C1248" s="2069"/>
      <c r="D1248" s="2069"/>
      <c r="E1248" s="2069"/>
      <c r="F1248" s="2069"/>
      <c r="G1248" s="2069"/>
      <c r="H1248" s="2069"/>
      <c r="I1248"/>
      <c r="J1248"/>
      <c r="K1248"/>
    </row>
    <row r="1249" spans="2:11" x14ac:dyDescent="0.2">
      <c r="B1249" s="2069"/>
      <c r="C1249" s="2069"/>
      <c r="D1249" s="2069"/>
      <c r="E1249" s="2069"/>
      <c r="F1249" s="2069"/>
      <c r="G1249" s="2069"/>
      <c r="H1249" s="2069"/>
      <c r="I1249"/>
      <c r="J1249"/>
      <c r="K1249"/>
    </row>
    <row r="1250" spans="2:11" x14ac:dyDescent="0.2">
      <c r="B1250" s="2069"/>
      <c r="C1250" s="2069"/>
      <c r="D1250" s="2069"/>
      <c r="E1250" s="2069"/>
      <c r="F1250" s="2069"/>
      <c r="G1250" s="2069"/>
      <c r="H1250" s="2069"/>
      <c r="I1250"/>
      <c r="J1250"/>
      <c r="K1250"/>
    </row>
    <row r="1251" spans="2:11" x14ac:dyDescent="0.2">
      <c r="B1251" s="2069"/>
      <c r="C1251" s="2069"/>
      <c r="D1251" s="2069"/>
      <c r="E1251" s="2069"/>
      <c r="F1251" s="2069"/>
      <c r="G1251" s="2069"/>
      <c r="H1251" s="2069"/>
      <c r="I1251"/>
      <c r="J1251"/>
      <c r="K1251"/>
    </row>
    <row r="1252" spans="2:11" x14ac:dyDescent="0.2">
      <c r="B1252" s="2069"/>
      <c r="C1252" s="2069"/>
      <c r="D1252" s="2069"/>
      <c r="E1252" s="2069"/>
      <c r="F1252" s="2069"/>
      <c r="G1252" s="2069"/>
      <c r="H1252" s="2069"/>
      <c r="I1252"/>
      <c r="J1252"/>
      <c r="K1252"/>
    </row>
    <row r="1253" spans="2:11" x14ac:dyDescent="0.2">
      <c r="B1253" s="2069"/>
      <c r="C1253" s="2069"/>
      <c r="D1253" s="2069"/>
      <c r="E1253" s="2069"/>
      <c r="F1253" s="2069"/>
      <c r="G1253" s="2069"/>
      <c r="H1253" s="2069"/>
      <c r="I1253"/>
      <c r="J1253"/>
      <c r="K1253"/>
    </row>
    <row r="1254" spans="2:11" x14ac:dyDescent="0.2">
      <c r="B1254" s="2069"/>
      <c r="C1254" s="2069"/>
      <c r="D1254" s="2069"/>
      <c r="E1254" s="2069"/>
      <c r="F1254" s="2069"/>
      <c r="G1254" s="2069"/>
      <c r="H1254" s="2069"/>
      <c r="I1254"/>
      <c r="J1254"/>
      <c r="K1254"/>
    </row>
    <row r="1255" spans="2:11" x14ac:dyDescent="0.2">
      <c r="B1255" s="2069"/>
      <c r="C1255" s="2069"/>
      <c r="D1255" s="2069"/>
      <c r="E1255" s="2069"/>
      <c r="F1255" s="2069"/>
      <c r="G1255" s="2069"/>
      <c r="H1255" s="2069"/>
      <c r="I1255"/>
      <c r="J1255"/>
      <c r="K1255"/>
    </row>
    <row r="1256" spans="2:11" x14ac:dyDescent="0.2">
      <c r="B1256" s="2069"/>
      <c r="C1256" s="2069"/>
      <c r="D1256" s="2069"/>
      <c r="E1256" s="2069"/>
      <c r="F1256" s="2069"/>
      <c r="G1256" s="2069"/>
      <c r="H1256" s="2069"/>
      <c r="I1256"/>
      <c r="J1256"/>
      <c r="K1256"/>
    </row>
    <row r="1257" spans="2:11" x14ac:dyDescent="0.2">
      <c r="B1257" s="2069"/>
      <c r="C1257" s="2069"/>
      <c r="D1257" s="2069"/>
      <c r="E1257" s="2069"/>
      <c r="F1257" s="2069"/>
      <c r="G1257" s="2069"/>
      <c r="H1257" s="2069"/>
      <c r="I1257"/>
      <c r="J1257"/>
      <c r="K1257"/>
    </row>
    <row r="1258" spans="2:11" x14ac:dyDescent="0.2">
      <c r="B1258" s="2069"/>
      <c r="C1258" s="2069"/>
      <c r="D1258" s="2069"/>
      <c r="E1258" s="2069"/>
      <c r="F1258" s="2069"/>
      <c r="G1258" s="2069"/>
      <c r="H1258" s="2069"/>
      <c r="I1258"/>
      <c r="J1258"/>
      <c r="K1258"/>
    </row>
    <row r="1259" spans="2:11" x14ac:dyDescent="0.2">
      <c r="B1259" s="2069"/>
      <c r="C1259" s="2069"/>
      <c r="D1259" s="2069"/>
      <c r="E1259" s="2069"/>
      <c r="F1259" s="2069"/>
      <c r="G1259" s="2069"/>
      <c r="H1259" s="2069"/>
      <c r="I1259"/>
      <c r="J1259"/>
      <c r="K1259"/>
    </row>
    <row r="1260" spans="2:11" x14ac:dyDescent="0.2">
      <c r="B1260" s="2069"/>
      <c r="C1260" s="2069"/>
      <c r="D1260" s="2069"/>
      <c r="E1260" s="2069"/>
      <c r="F1260" s="2069"/>
      <c r="G1260" s="2069"/>
      <c r="H1260" s="2069"/>
      <c r="I1260"/>
      <c r="J1260"/>
      <c r="K1260"/>
    </row>
    <row r="1261" spans="2:11" x14ac:dyDescent="0.2">
      <c r="B1261" s="2069"/>
      <c r="C1261" s="2069"/>
      <c r="D1261" s="2069"/>
      <c r="E1261" s="2069"/>
      <c r="F1261" s="2069"/>
      <c r="G1261" s="2069"/>
      <c r="H1261" s="2069"/>
      <c r="I1261"/>
      <c r="J1261"/>
      <c r="K1261"/>
    </row>
    <row r="1262" spans="2:11" x14ac:dyDescent="0.2">
      <c r="B1262" s="2069"/>
      <c r="C1262" s="2069"/>
      <c r="D1262" s="2069"/>
      <c r="E1262" s="2069"/>
      <c r="F1262" s="2069"/>
      <c r="G1262" s="2069"/>
      <c r="H1262" s="2069"/>
      <c r="I1262"/>
      <c r="J1262"/>
      <c r="K1262"/>
    </row>
    <row r="1263" spans="2:11" x14ac:dyDescent="0.2">
      <c r="B1263" s="2069"/>
      <c r="C1263" s="2069"/>
      <c r="D1263" s="2069"/>
      <c r="E1263" s="2069"/>
      <c r="F1263" s="2069"/>
      <c r="G1263" s="2069"/>
      <c r="H1263" s="2069"/>
      <c r="I1263"/>
      <c r="J1263"/>
      <c r="K1263"/>
    </row>
    <row r="1264" spans="2:11" x14ac:dyDescent="0.2">
      <c r="B1264" s="2069"/>
      <c r="C1264" s="2069"/>
      <c r="D1264" s="2069"/>
      <c r="E1264" s="2069"/>
      <c r="F1264" s="2069"/>
      <c r="G1264" s="2069"/>
      <c r="H1264" s="2069"/>
      <c r="I1264"/>
      <c r="J1264"/>
      <c r="K1264"/>
    </row>
    <row r="1265" spans="2:11" x14ac:dyDescent="0.2">
      <c r="B1265" s="2069"/>
      <c r="C1265" s="2069"/>
      <c r="D1265" s="2069"/>
      <c r="E1265" s="2069"/>
      <c r="F1265" s="2069"/>
      <c r="G1265" s="2069"/>
      <c r="H1265" s="2069"/>
      <c r="I1265"/>
      <c r="J1265"/>
      <c r="K1265"/>
    </row>
    <row r="1266" spans="2:11" x14ac:dyDescent="0.2">
      <c r="B1266" s="2069"/>
      <c r="C1266" s="2069"/>
      <c r="D1266" s="2069"/>
      <c r="E1266" s="2069"/>
      <c r="F1266" s="2069"/>
      <c r="G1266" s="2069"/>
      <c r="H1266" s="2069"/>
      <c r="I1266"/>
      <c r="J1266"/>
      <c r="K1266"/>
    </row>
    <row r="1267" spans="2:11" x14ac:dyDescent="0.2">
      <c r="B1267" s="2069"/>
      <c r="C1267" s="2069"/>
      <c r="D1267" s="2069"/>
      <c r="E1267" s="2069"/>
      <c r="F1267" s="2069"/>
      <c r="G1267" s="2069"/>
      <c r="H1267" s="2069"/>
      <c r="I1267"/>
      <c r="J1267"/>
      <c r="K1267"/>
    </row>
    <row r="1268" spans="2:11" x14ac:dyDescent="0.2">
      <c r="B1268" s="2069"/>
      <c r="C1268" s="2069"/>
      <c r="D1268" s="2069"/>
      <c r="E1268" s="2069"/>
      <c r="F1268" s="2069"/>
      <c r="G1268" s="2069"/>
      <c r="H1268" s="2069"/>
      <c r="I1268"/>
      <c r="J1268"/>
      <c r="K1268"/>
    </row>
    <row r="1269" spans="2:11" x14ac:dyDescent="0.2">
      <c r="B1269" s="2069"/>
      <c r="C1269" s="2069"/>
      <c r="D1269" s="2069"/>
      <c r="E1269" s="2069"/>
      <c r="F1269" s="2069"/>
      <c r="G1269" s="2069"/>
      <c r="H1269" s="2069"/>
      <c r="I1269"/>
      <c r="J1269"/>
      <c r="K1269"/>
    </row>
    <row r="1270" spans="2:11" x14ac:dyDescent="0.2">
      <c r="B1270" s="2069"/>
      <c r="C1270" s="2069"/>
      <c r="D1270" s="2069"/>
      <c r="E1270" s="2069"/>
      <c r="F1270" s="2069"/>
      <c r="G1270" s="2069"/>
      <c r="H1270" s="2069"/>
      <c r="I1270"/>
      <c r="J1270"/>
      <c r="K1270"/>
    </row>
    <row r="1271" spans="2:11" x14ac:dyDescent="0.2">
      <c r="B1271" s="2069"/>
      <c r="C1271" s="2069"/>
      <c r="D1271" s="2069"/>
      <c r="E1271" s="2069"/>
      <c r="F1271" s="2069"/>
      <c r="G1271" s="2069"/>
      <c r="H1271" s="2069"/>
      <c r="I1271"/>
      <c r="J1271"/>
      <c r="K1271"/>
    </row>
    <row r="1272" spans="2:11" x14ac:dyDescent="0.2">
      <c r="B1272" s="2069"/>
      <c r="C1272" s="2069"/>
      <c r="D1272" s="2069"/>
      <c r="E1272" s="2069"/>
      <c r="F1272" s="2069"/>
      <c r="G1272" s="2069"/>
      <c r="H1272" s="2069"/>
      <c r="I1272"/>
      <c r="J1272"/>
      <c r="K1272"/>
    </row>
    <row r="1273" spans="2:11" x14ac:dyDescent="0.2">
      <c r="B1273" s="2069"/>
      <c r="C1273" s="2069"/>
      <c r="D1273" s="2069"/>
      <c r="E1273" s="2069"/>
      <c r="F1273" s="2069"/>
      <c r="G1273" s="2069"/>
      <c r="H1273" s="2069"/>
      <c r="I1273"/>
      <c r="J1273"/>
      <c r="K1273"/>
    </row>
    <row r="1274" spans="2:11" x14ac:dyDescent="0.2">
      <c r="B1274" s="2069"/>
      <c r="C1274" s="2069"/>
      <c r="D1274" s="2069"/>
      <c r="E1274" s="2069"/>
      <c r="F1274" s="2069"/>
      <c r="G1274" s="2069"/>
      <c r="H1274" s="2069"/>
      <c r="I1274"/>
      <c r="J1274"/>
      <c r="K1274"/>
    </row>
    <row r="1275" spans="2:11" x14ac:dyDescent="0.2">
      <c r="B1275" s="2069"/>
      <c r="C1275" s="2069"/>
      <c r="D1275" s="2069"/>
      <c r="E1275" s="2069"/>
      <c r="F1275" s="2069"/>
      <c r="G1275" s="2069"/>
      <c r="H1275" s="2069"/>
      <c r="I1275"/>
      <c r="J1275"/>
      <c r="K1275"/>
    </row>
    <row r="1276" spans="2:11" x14ac:dyDescent="0.2">
      <c r="B1276" s="2069"/>
      <c r="C1276" s="2069"/>
      <c r="D1276" s="2069"/>
      <c r="E1276" s="2069"/>
      <c r="F1276" s="2069"/>
      <c r="G1276" s="2069"/>
      <c r="H1276" s="2069"/>
      <c r="I1276"/>
      <c r="J1276"/>
      <c r="K1276"/>
    </row>
    <row r="1277" spans="2:11" x14ac:dyDescent="0.2">
      <c r="B1277" s="2069"/>
      <c r="C1277" s="2069"/>
      <c r="D1277" s="2069"/>
      <c r="E1277" s="2069"/>
      <c r="F1277" s="2069"/>
      <c r="G1277" s="2069"/>
      <c r="H1277" s="2069"/>
      <c r="I1277"/>
      <c r="J1277"/>
      <c r="K1277"/>
    </row>
    <row r="1278" spans="2:11" x14ac:dyDescent="0.2">
      <c r="B1278" s="2069"/>
      <c r="C1278" s="2069"/>
      <c r="D1278" s="2069"/>
      <c r="E1278" s="2069"/>
      <c r="F1278" s="2069"/>
      <c r="G1278" s="2069"/>
      <c r="H1278" s="2069"/>
      <c r="I1278"/>
      <c r="J1278"/>
      <c r="K1278"/>
    </row>
    <row r="1279" spans="2:11" x14ac:dyDescent="0.2">
      <c r="B1279" s="2069"/>
      <c r="C1279" s="2069"/>
      <c r="D1279" s="2069"/>
      <c r="E1279" s="2069"/>
      <c r="F1279" s="2069"/>
      <c r="G1279" s="2069"/>
      <c r="H1279" s="2069"/>
      <c r="I1279"/>
      <c r="J1279"/>
      <c r="K1279"/>
    </row>
    <row r="1280" spans="2:11" x14ac:dyDescent="0.2">
      <c r="B1280" s="2069"/>
      <c r="C1280" s="2069"/>
      <c r="D1280" s="2069"/>
      <c r="E1280" s="2069"/>
      <c r="F1280" s="2069"/>
      <c r="G1280" s="2069"/>
      <c r="H1280" s="2069"/>
      <c r="I1280"/>
      <c r="J1280"/>
      <c r="K1280"/>
    </row>
    <row r="1281" spans="2:11" x14ac:dyDescent="0.2">
      <c r="B1281" s="2069"/>
      <c r="C1281" s="2069"/>
      <c r="D1281" s="2069"/>
      <c r="E1281" s="2069"/>
      <c r="F1281" s="2069"/>
      <c r="G1281" s="2069"/>
      <c r="H1281" s="2069"/>
      <c r="I1281"/>
      <c r="J1281"/>
      <c r="K1281"/>
    </row>
    <row r="1282" spans="2:11" x14ac:dyDescent="0.2">
      <c r="B1282" s="2069"/>
      <c r="C1282" s="2069"/>
      <c r="D1282" s="2069"/>
      <c r="E1282" s="2069"/>
      <c r="F1282" s="2069"/>
      <c r="G1282" s="2069"/>
      <c r="H1282" s="2069"/>
      <c r="I1282"/>
      <c r="J1282"/>
      <c r="K1282"/>
    </row>
    <row r="1283" spans="2:11" x14ac:dyDescent="0.2">
      <c r="B1283" s="2069"/>
      <c r="C1283" s="2069"/>
      <c r="D1283" s="2069"/>
      <c r="E1283" s="2069"/>
      <c r="F1283" s="2069"/>
      <c r="G1283" s="2069"/>
      <c r="H1283" s="2069"/>
      <c r="I1283"/>
      <c r="J1283"/>
      <c r="K1283"/>
    </row>
    <row r="1284" spans="2:11" x14ac:dyDescent="0.2">
      <c r="B1284" s="2069"/>
      <c r="C1284" s="2069"/>
      <c r="D1284" s="2069"/>
      <c r="E1284" s="2069"/>
      <c r="F1284" s="2069"/>
      <c r="G1284" s="2069"/>
      <c r="H1284" s="2069"/>
      <c r="I1284"/>
      <c r="J1284"/>
      <c r="K1284"/>
    </row>
    <row r="1285" spans="2:11" x14ac:dyDescent="0.2">
      <c r="B1285" s="2069"/>
      <c r="C1285" s="2069"/>
      <c r="D1285" s="2069"/>
      <c r="E1285" s="2069"/>
      <c r="F1285" s="2069"/>
      <c r="G1285" s="2069"/>
      <c r="H1285" s="2069"/>
      <c r="I1285"/>
      <c r="J1285"/>
      <c r="K1285"/>
    </row>
    <row r="1286" spans="2:11" x14ac:dyDescent="0.2">
      <c r="B1286" s="2069"/>
      <c r="C1286" s="2069"/>
      <c r="D1286" s="2069"/>
      <c r="E1286" s="2069"/>
      <c r="F1286" s="2069"/>
      <c r="G1286" s="2069"/>
      <c r="H1286" s="2069"/>
      <c r="I1286"/>
      <c r="J1286"/>
      <c r="K1286"/>
    </row>
    <row r="1287" spans="2:11" x14ac:dyDescent="0.2">
      <c r="B1287" s="2069"/>
      <c r="C1287" s="2069"/>
      <c r="D1287" s="2069"/>
      <c r="E1287" s="2069"/>
      <c r="F1287" s="2069"/>
      <c r="G1287" s="2069"/>
      <c r="H1287" s="2069"/>
      <c r="I1287"/>
      <c r="J1287"/>
      <c r="K1287"/>
    </row>
    <row r="1288" spans="2:11" x14ac:dyDescent="0.2">
      <c r="B1288" s="2069"/>
      <c r="C1288" s="2069"/>
      <c r="D1288" s="2069"/>
      <c r="E1288" s="2069"/>
      <c r="F1288" s="2069"/>
      <c r="G1288" s="2069"/>
      <c r="H1288" s="2069"/>
      <c r="I1288"/>
      <c r="J1288"/>
      <c r="K1288"/>
    </row>
    <row r="1289" spans="2:11" x14ac:dyDescent="0.2">
      <c r="B1289" s="2069"/>
      <c r="C1289" s="2069"/>
      <c r="D1289" s="2069"/>
      <c r="E1289" s="2069"/>
      <c r="F1289" s="2069"/>
      <c r="G1289" s="2069"/>
      <c r="H1289" s="2069"/>
      <c r="I1289"/>
      <c r="J1289"/>
      <c r="K1289"/>
    </row>
    <row r="1290" spans="2:11" x14ac:dyDescent="0.2">
      <c r="B1290" s="2069"/>
      <c r="C1290" s="2069"/>
      <c r="D1290" s="2069"/>
      <c r="E1290" s="2069"/>
      <c r="F1290" s="2069"/>
      <c r="G1290" s="2069"/>
      <c r="H1290" s="2069"/>
      <c r="I1290"/>
      <c r="J1290"/>
      <c r="K1290"/>
    </row>
    <row r="1291" spans="2:11" x14ac:dyDescent="0.2">
      <c r="B1291" s="2069"/>
      <c r="C1291" s="2069"/>
      <c r="D1291" s="2069"/>
      <c r="E1291" s="2069"/>
      <c r="F1291" s="2069"/>
      <c r="G1291" s="2069"/>
      <c r="H1291" s="2069"/>
      <c r="I1291"/>
      <c r="J1291"/>
      <c r="K1291"/>
    </row>
    <row r="1292" spans="2:11" x14ac:dyDescent="0.2">
      <c r="B1292" s="2069"/>
      <c r="C1292" s="2069"/>
      <c r="D1292" s="2069"/>
      <c r="E1292" s="2069"/>
      <c r="F1292" s="2069"/>
      <c r="G1292" s="2069"/>
      <c r="H1292" s="2069"/>
      <c r="I1292"/>
      <c r="J1292"/>
      <c r="K1292"/>
    </row>
    <row r="1293" spans="2:11" x14ac:dyDescent="0.2">
      <c r="B1293" s="2069"/>
      <c r="C1293" s="2069"/>
      <c r="D1293" s="2069"/>
      <c r="E1293" s="2069"/>
      <c r="F1293" s="2069"/>
      <c r="G1293" s="2069"/>
      <c r="H1293" s="2069"/>
      <c r="I1293"/>
      <c r="J1293"/>
      <c r="K1293"/>
    </row>
    <row r="1294" spans="2:11" x14ac:dyDescent="0.2">
      <c r="B1294" s="2069"/>
      <c r="C1294" s="2069"/>
      <c r="D1294" s="2069"/>
      <c r="E1294" s="2069"/>
      <c r="F1294" s="2069"/>
      <c r="G1294" s="2069"/>
      <c r="H1294" s="2069"/>
      <c r="I1294"/>
      <c r="J1294"/>
      <c r="K1294"/>
    </row>
    <row r="1295" spans="2:11" x14ac:dyDescent="0.2">
      <c r="B1295" s="2069"/>
      <c r="C1295" s="2069"/>
      <c r="D1295" s="2069"/>
      <c r="E1295" s="2069"/>
      <c r="F1295" s="2069"/>
      <c r="G1295" s="2069"/>
      <c r="H1295" s="2069"/>
      <c r="I1295"/>
      <c r="J1295"/>
      <c r="K1295"/>
    </row>
    <row r="1296" spans="2:11" x14ac:dyDescent="0.2">
      <c r="B1296" s="2069"/>
      <c r="C1296" s="2069"/>
      <c r="D1296" s="2069"/>
      <c r="E1296" s="2069"/>
      <c r="F1296" s="2069"/>
      <c r="G1296" s="2069"/>
      <c r="H1296" s="2069"/>
      <c r="I1296"/>
      <c r="J1296"/>
      <c r="K1296"/>
    </row>
    <row r="1297" spans="2:11" x14ac:dyDescent="0.2">
      <c r="B1297" s="2069"/>
      <c r="C1297" s="2069"/>
      <c r="D1297" s="2069"/>
      <c r="E1297" s="2069"/>
      <c r="F1297" s="2069"/>
      <c r="G1297" s="2069"/>
      <c r="H1297" s="2069"/>
      <c r="I1297"/>
      <c r="J1297"/>
      <c r="K1297"/>
    </row>
    <row r="1298" spans="2:11" x14ac:dyDescent="0.2">
      <c r="B1298" s="2069"/>
      <c r="C1298" s="2069"/>
      <c r="D1298" s="2069"/>
      <c r="E1298" s="2069"/>
      <c r="F1298" s="2069"/>
      <c r="G1298" s="2069"/>
      <c r="H1298" s="2069"/>
      <c r="I1298"/>
      <c r="J1298"/>
      <c r="K1298"/>
    </row>
    <row r="1299" spans="2:11" x14ac:dyDescent="0.2">
      <c r="B1299" s="2069"/>
      <c r="C1299" s="2069"/>
      <c r="D1299" s="2069"/>
      <c r="E1299" s="2069"/>
      <c r="F1299" s="2069"/>
      <c r="G1299" s="2069"/>
      <c r="H1299" s="2069"/>
      <c r="I1299"/>
      <c r="J1299"/>
      <c r="K1299"/>
    </row>
    <row r="1300" spans="2:11" x14ac:dyDescent="0.2">
      <c r="B1300" s="2069"/>
      <c r="C1300" s="2069"/>
      <c r="D1300" s="2069"/>
      <c r="E1300" s="2069"/>
      <c r="F1300" s="2069"/>
      <c r="G1300" s="2069"/>
      <c r="H1300" s="2069"/>
      <c r="I1300"/>
      <c r="J1300"/>
      <c r="K1300"/>
    </row>
    <row r="1301" spans="2:11" x14ac:dyDescent="0.2">
      <c r="B1301" s="2069"/>
      <c r="C1301" s="2069"/>
      <c r="D1301" s="2069"/>
      <c r="E1301" s="2069"/>
      <c r="F1301" s="2069"/>
      <c r="G1301" s="2069"/>
      <c r="H1301" s="2069"/>
      <c r="I1301"/>
      <c r="J1301"/>
      <c r="K1301"/>
    </row>
    <row r="1302" spans="2:11" x14ac:dyDescent="0.2">
      <c r="B1302" s="2069"/>
      <c r="C1302" s="2069"/>
      <c r="D1302" s="2069"/>
      <c r="E1302" s="2069"/>
      <c r="F1302" s="2069"/>
      <c r="G1302" s="2069"/>
      <c r="H1302" s="2069"/>
      <c r="I1302"/>
      <c r="J1302"/>
      <c r="K1302"/>
    </row>
    <row r="1303" spans="2:11" x14ac:dyDescent="0.2">
      <c r="B1303" s="2069"/>
      <c r="C1303" s="2069"/>
      <c r="D1303" s="2069"/>
      <c r="E1303" s="2069"/>
      <c r="F1303" s="2069"/>
      <c r="G1303" s="2069"/>
      <c r="H1303" s="2069"/>
      <c r="I1303"/>
      <c r="J1303"/>
      <c r="K1303"/>
    </row>
    <row r="1304" spans="2:11" x14ac:dyDescent="0.2">
      <c r="B1304" s="2069"/>
      <c r="C1304" s="2069"/>
      <c r="D1304" s="2069"/>
      <c r="E1304" s="2069"/>
      <c r="F1304" s="2069"/>
      <c r="G1304" s="2069"/>
      <c r="H1304" s="2069"/>
      <c r="I1304"/>
      <c r="J1304"/>
      <c r="K1304"/>
    </row>
    <row r="1305" spans="2:11" x14ac:dyDescent="0.2">
      <c r="B1305" s="2069"/>
      <c r="C1305" s="2069"/>
      <c r="D1305" s="2069"/>
      <c r="E1305" s="2069"/>
      <c r="F1305" s="2069"/>
      <c r="G1305" s="2069"/>
      <c r="H1305" s="2069"/>
      <c r="I1305"/>
      <c r="J1305"/>
      <c r="K1305"/>
    </row>
    <row r="1306" spans="2:11" x14ac:dyDescent="0.2">
      <c r="B1306" s="2069"/>
      <c r="C1306" s="2069"/>
      <c r="D1306" s="2069"/>
      <c r="E1306" s="2069"/>
      <c r="F1306" s="2069"/>
      <c r="G1306" s="2069"/>
      <c r="H1306" s="2069"/>
      <c r="I1306"/>
      <c r="J1306"/>
      <c r="K1306"/>
    </row>
    <row r="1307" spans="2:11" x14ac:dyDescent="0.2">
      <c r="B1307" s="2069"/>
      <c r="C1307" s="2069"/>
      <c r="D1307" s="2069"/>
      <c r="E1307" s="2069"/>
      <c r="F1307" s="2069"/>
      <c r="G1307" s="2069"/>
      <c r="H1307" s="2069"/>
      <c r="I1307"/>
      <c r="J1307"/>
      <c r="K1307"/>
    </row>
    <row r="1308" spans="2:11" x14ac:dyDescent="0.2">
      <c r="B1308" s="2069"/>
      <c r="C1308" s="2069"/>
      <c r="D1308" s="2069"/>
      <c r="E1308" s="2069"/>
      <c r="F1308" s="2069"/>
      <c r="G1308" s="2069"/>
      <c r="H1308" s="2069"/>
      <c r="I1308"/>
      <c r="J1308"/>
      <c r="K1308"/>
    </row>
    <row r="1309" spans="2:11" x14ac:dyDescent="0.2">
      <c r="B1309" s="2069"/>
      <c r="C1309" s="2069"/>
      <c r="D1309" s="2069"/>
      <c r="E1309" s="2069"/>
      <c r="F1309" s="2069"/>
      <c r="G1309" s="2069"/>
      <c r="H1309" s="2069"/>
      <c r="I1309"/>
      <c r="J1309"/>
      <c r="K1309"/>
    </row>
    <row r="1310" spans="2:11" x14ac:dyDescent="0.2">
      <c r="B1310" s="2069"/>
      <c r="C1310" s="2069"/>
      <c r="D1310" s="2069"/>
      <c r="E1310" s="2069"/>
      <c r="F1310" s="2069"/>
      <c r="G1310" s="2069"/>
      <c r="H1310" s="2069"/>
      <c r="I1310"/>
      <c r="J1310"/>
      <c r="K1310"/>
    </row>
    <row r="1311" spans="2:11" x14ac:dyDescent="0.2">
      <c r="B1311" s="2069"/>
      <c r="C1311" s="2069"/>
      <c r="D1311" s="2069"/>
      <c r="E1311" s="2069"/>
      <c r="F1311" s="2069"/>
      <c r="G1311" s="2069"/>
      <c r="H1311" s="2069"/>
      <c r="I1311"/>
      <c r="J1311"/>
      <c r="K1311"/>
    </row>
    <row r="1312" spans="2:11" x14ac:dyDescent="0.2">
      <c r="B1312" s="2069"/>
      <c r="C1312" s="2069"/>
      <c r="D1312" s="2069"/>
      <c r="E1312" s="2069"/>
      <c r="F1312" s="2069"/>
      <c r="G1312" s="2069"/>
      <c r="H1312" s="2069"/>
      <c r="I1312"/>
      <c r="J1312"/>
      <c r="K1312"/>
    </row>
    <row r="1313" spans="2:11" x14ac:dyDescent="0.2">
      <c r="B1313" s="2069"/>
      <c r="C1313" s="2069"/>
      <c r="D1313" s="2069"/>
      <c r="E1313" s="2069"/>
      <c r="F1313" s="2069"/>
      <c r="G1313" s="2069"/>
      <c r="H1313" s="2069"/>
      <c r="I1313"/>
      <c r="J1313"/>
      <c r="K1313"/>
    </row>
    <row r="1314" spans="2:11" x14ac:dyDescent="0.2">
      <c r="B1314" s="2069"/>
      <c r="C1314" s="2069"/>
      <c r="D1314" s="2069"/>
      <c r="E1314" s="2069"/>
      <c r="F1314" s="2069"/>
      <c r="G1314" s="2069"/>
      <c r="H1314" s="2069"/>
      <c r="I1314"/>
      <c r="J1314"/>
      <c r="K1314"/>
    </row>
    <row r="1315" spans="2:11" x14ac:dyDescent="0.2">
      <c r="B1315" s="2069"/>
      <c r="C1315" s="2069"/>
      <c r="D1315" s="2069"/>
      <c r="E1315" s="2069"/>
      <c r="F1315" s="2069"/>
      <c r="G1315" s="2069"/>
      <c r="H1315" s="2069"/>
      <c r="I1315"/>
      <c r="J1315"/>
      <c r="K1315"/>
    </row>
    <row r="1316" spans="2:11" x14ac:dyDescent="0.2">
      <c r="B1316" s="2069"/>
      <c r="C1316" s="2069"/>
      <c r="D1316" s="2069"/>
      <c r="E1316" s="2069"/>
      <c r="F1316" s="2069"/>
      <c r="G1316" s="2069"/>
      <c r="H1316" s="2069"/>
      <c r="I1316"/>
      <c r="J1316"/>
      <c r="K1316"/>
    </row>
    <row r="1317" spans="2:11" x14ac:dyDescent="0.2">
      <c r="B1317" s="2069"/>
      <c r="C1317" s="2069"/>
      <c r="D1317" s="2069"/>
      <c r="E1317" s="2069"/>
      <c r="F1317" s="2069"/>
      <c r="G1317" s="2069"/>
      <c r="H1317" s="2069"/>
      <c r="I1317"/>
      <c r="J1317"/>
      <c r="K1317"/>
    </row>
    <row r="1318" spans="2:11" x14ac:dyDescent="0.2">
      <c r="B1318" s="2069"/>
      <c r="C1318" s="2069"/>
      <c r="D1318" s="2069"/>
      <c r="E1318" s="2069"/>
      <c r="F1318" s="2069"/>
      <c r="G1318" s="2069"/>
      <c r="H1318" s="2069"/>
      <c r="I1318"/>
      <c r="J1318"/>
      <c r="K1318"/>
    </row>
    <row r="1319" spans="2:11" x14ac:dyDescent="0.2">
      <c r="B1319" s="2069"/>
      <c r="C1319" s="2069"/>
      <c r="D1319" s="2069"/>
      <c r="E1319" s="2069"/>
      <c r="F1319" s="2069"/>
      <c r="G1319" s="2069"/>
      <c r="H1319" s="2069"/>
      <c r="I1319"/>
      <c r="J1319"/>
      <c r="K1319"/>
    </row>
    <row r="1320" spans="2:11" x14ac:dyDescent="0.2">
      <c r="B1320" s="2069"/>
      <c r="C1320" s="2069"/>
      <c r="D1320" s="2069"/>
      <c r="E1320" s="2069"/>
      <c r="F1320" s="2069"/>
      <c r="G1320" s="2069"/>
      <c r="H1320" s="2069"/>
      <c r="I1320"/>
      <c r="J1320"/>
      <c r="K1320"/>
    </row>
    <row r="1321" spans="2:11" x14ac:dyDescent="0.2">
      <c r="B1321" s="2069"/>
      <c r="C1321" s="2069"/>
      <c r="D1321" s="2069"/>
      <c r="E1321" s="2069"/>
      <c r="F1321" s="2069"/>
      <c r="G1321" s="2069"/>
      <c r="H1321" s="2069"/>
      <c r="I1321"/>
      <c r="J1321"/>
      <c r="K1321"/>
    </row>
    <row r="1322" spans="2:11" x14ac:dyDescent="0.2">
      <c r="B1322" s="2069"/>
      <c r="C1322" s="2069"/>
      <c r="D1322" s="2069"/>
      <c r="E1322" s="2069"/>
      <c r="F1322" s="2069"/>
      <c r="G1322" s="2069"/>
      <c r="H1322" s="2069"/>
      <c r="I1322"/>
      <c r="J1322"/>
      <c r="K1322"/>
    </row>
    <row r="1323" spans="2:11" x14ac:dyDescent="0.2">
      <c r="B1323" s="2069"/>
      <c r="C1323" s="2069"/>
      <c r="D1323" s="2069"/>
      <c r="E1323" s="2069"/>
      <c r="F1323" s="2069"/>
      <c r="G1323" s="2069"/>
      <c r="H1323" s="2069"/>
      <c r="I1323"/>
      <c r="J1323"/>
      <c r="K1323"/>
    </row>
    <row r="1324" spans="2:11" x14ac:dyDescent="0.2">
      <c r="B1324" s="2069"/>
      <c r="C1324" s="2069"/>
      <c r="D1324" s="2069"/>
      <c r="E1324" s="2069"/>
      <c r="F1324" s="2069"/>
      <c r="G1324" s="2069"/>
      <c r="H1324" s="2069"/>
      <c r="I1324"/>
      <c r="J1324"/>
      <c r="K1324"/>
    </row>
    <row r="1325" spans="2:11" x14ac:dyDescent="0.2">
      <c r="B1325" s="2069"/>
      <c r="C1325" s="2069"/>
      <c r="D1325" s="2069"/>
      <c r="E1325" s="2069"/>
      <c r="F1325" s="2069"/>
      <c r="G1325" s="2069"/>
      <c r="H1325" s="2069"/>
      <c r="I1325"/>
      <c r="J1325"/>
      <c r="K1325"/>
    </row>
    <row r="1326" spans="2:11" x14ac:dyDescent="0.2">
      <c r="B1326" s="2069"/>
      <c r="C1326" s="2069"/>
      <c r="D1326" s="2069"/>
      <c r="E1326" s="2069"/>
      <c r="F1326" s="2069"/>
      <c r="G1326" s="2069"/>
      <c r="H1326" s="2069"/>
      <c r="I1326"/>
      <c r="J1326"/>
      <c r="K1326"/>
    </row>
    <row r="1327" spans="2:11" x14ac:dyDescent="0.2">
      <c r="B1327" s="2069"/>
      <c r="C1327" s="2069"/>
      <c r="D1327" s="2069"/>
      <c r="E1327" s="2069"/>
      <c r="F1327" s="2069"/>
      <c r="G1327" s="2069"/>
      <c r="H1327" s="2069"/>
      <c r="I1327"/>
      <c r="J1327"/>
      <c r="K1327"/>
    </row>
    <row r="1328" spans="2:11" x14ac:dyDescent="0.2">
      <c r="B1328" s="2069"/>
      <c r="C1328" s="2069"/>
      <c r="D1328" s="2069"/>
      <c r="E1328" s="2069"/>
      <c r="F1328" s="2069"/>
      <c r="G1328" s="2069"/>
      <c r="H1328" s="2069"/>
      <c r="I1328"/>
      <c r="J1328"/>
      <c r="K1328"/>
    </row>
    <row r="1329" spans="2:11" x14ac:dyDescent="0.2">
      <c r="B1329" s="2069"/>
      <c r="C1329" s="2069"/>
      <c r="D1329" s="2069"/>
      <c r="E1329" s="2069"/>
      <c r="F1329" s="2069"/>
      <c r="G1329" s="2069"/>
      <c r="H1329" s="2069"/>
      <c r="I1329"/>
      <c r="J1329"/>
      <c r="K1329"/>
    </row>
    <row r="1330" spans="2:11" x14ac:dyDescent="0.2">
      <c r="B1330" s="2069"/>
      <c r="C1330" s="2069"/>
      <c r="D1330" s="2069"/>
      <c r="E1330" s="2069"/>
      <c r="F1330" s="2069"/>
      <c r="G1330" s="2069"/>
      <c r="H1330" s="2069"/>
      <c r="I1330"/>
      <c r="J1330"/>
      <c r="K1330"/>
    </row>
    <row r="1331" spans="2:11" x14ac:dyDescent="0.2">
      <c r="B1331" s="2069"/>
      <c r="C1331" s="2069"/>
      <c r="D1331" s="2069"/>
      <c r="E1331" s="2069"/>
      <c r="F1331" s="2069"/>
      <c r="G1331" s="2069"/>
      <c r="H1331" s="2069"/>
      <c r="I1331"/>
      <c r="J1331"/>
      <c r="K1331"/>
    </row>
    <row r="1332" spans="2:11" x14ac:dyDescent="0.2">
      <c r="B1332" s="2069"/>
      <c r="C1332" s="2069"/>
      <c r="D1332" s="2069"/>
      <c r="E1332" s="2069"/>
      <c r="F1332" s="2069"/>
      <c r="G1332" s="2069"/>
      <c r="H1332" s="2069"/>
      <c r="I1332"/>
      <c r="J1332"/>
      <c r="K1332"/>
    </row>
    <row r="1333" spans="2:11" x14ac:dyDescent="0.2">
      <c r="B1333" s="2069"/>
      <c r="C1333" s="2069"/>
      <c r="D1333" s="2069"/>
      <c r="E1333" s="2069"/>
      <c r="F1333" s="2069"/>
      <c r="G1333" s="2069"/>
      <c r="H1333" s="2069"/>
      <c r="I1333"/>
      <c r="J1333"/>
      <c r="K1333"/>
    </row>
    <row r="1334" spans="2:11" x14ac:dyDescent="0.2">
      <c r="B1334" s="2069"/>
      <c r="C1334" s="2069"/>
      <c r="D1334" s="2069"/>
      <c r="E1334" s="2069"/>
      <c r="F1334" s="2069"/>
      <c r="G1334" s="2069"/>
      <c r="H1334" s="2069"/>
      <c r="I1334"/>
      <c r="J1334"/>
      <c r="K1334"/>
    </row>
    <row r="1335" spans="2:11" x14ac:dyDescent="0.2">
      <c r="B1335" s="2069"/>
      <c r="C1335" s="2069"/>
      <c r="D1335" s="2069"/>
      <c r="E1335" s="2069"/>
      <c r="F1335" s="2069"/>
      <c r="G1335" s="2069"/>
      <c r="H1335" s="2069"/>
      <c r="I1335"/>
      <c r="J1335"/>
      <c r="K1335"/>
    </row>
    <row r="1336" spans="2:11" x14ac:dyDescent="0.2">
      <c r="B1336" s="2069"/>
      <c r="C1336" s="2069"/>
      <c r="D1336" s="2069"/>
      <c r="E1336" s="2069"/>
      <c r="F1336" s="2069"/>
      <c r="G1336" s="2069"/>
      <c r="H1336" s="2069"/>
      <c r="I1336"/>
      <c r="J1336"/>
      <c r="K1336"/>
    </row>
    <row r="1337" spans="2:11" x14ac:dyDescent="0.2">
      <c r="B1337" s="2069"/>
      <c r="C1337" s="2069"/>
      <c r="D1337" s="2069"/>
      <c r="E1337" s="2069"/>
      <c r="F1337" s="2069"/>
      <c r="G1337" s="2069"/>
      <c r="H1337" s="2069"/>
      <c r="I1337"/>
      <c r="J1337"/>
      <c r="K1337"/>
    </row>
    <row r="1338" spans="2:11" x14ac:dyDescent="0.2">
      <c r="B1338" s="2069"/>
      <c r="C1338" s="2069"/>
      <c r="D1338" s="2069"/>
      <c r="E1338" s="2069"/>
      <c r="F1338" s="2069"/>
      <c r="G1338" s="2069"/>
      <c r="H1338" s="2069"/>
      <c r="I1338"/>
      <c r="J1338"/>
      <c r="K1338"/>
    </row>
    <row r="1339" spans="2:11" x14ac:dyDescent="0.2">
      <c r="B1339" s="2069"/>
      <c r="C1339" s="2069"/>
      <c r="D1339" s="2069"/>
      <c r="E1339" s="2069"/>
      <c r="F1339" s="2069"/>
      <c r="G1339" s="2069"/>
      <c r="H1339" s="2069"/>
      <c r="I1339"/>
      <c r="J1339"/>
      <c r="K1339"/>
    </row>
    <row r="1340" spans="2:11" x14ac:dyDescent="0.2">
      <c r="B1340" s="2069"/>
      <c r="C1340" s="2069"/>
      <c r="D1340" s="2069"/>
      <c r="E1340" s="2069"/>
      <c r="F1340" s="2069"/>
      <c r="G1340" s="2069"/>
      <c r="H1340" s="2069"/>
      <c r="I1340"/>
      <c r="J1340"/>
      <c r="K1340"/>
    </row>
    <row r="1341" spans="2:11" x14ac:dyDescent="0.2">
      <c r="B1341" s="2069"/>
      <c r="C1341" s="2069"/>
      <c r="D1341" s="2069"/>
      <c r="E1341" s="2069"/>
      <c r="F1341" s="2069"/>
      <c r="G1341" s="2069"/>
      <c r="H1341" s="2069"/>
      <c r="I1341"/>
      <c r="J1341"/>
      <c r="K1341"/>
    </row>
    <row r="1342" spans="2:11" x14ac:dyDescent="0.2">
      <c r="B1342" s="2069"/>
      <c r="C1342" s="2069"/>
      <c r="D1342" s="2069"/>
      <c r="E1342" s="2069"/>
      <c r="F1342" s="2069"/>
      <c r="G1342" s="2069"/>
      <c r="H1342" s="2069"/>
      <c r="I1342"/>
      <c r="J1342"/>
      <c r="K1342"/>
    </row>
    <row r="1343" spans="2:11" x14ac:dyDescent="0.2">
      <c r="B1343" s="2069"/>
      <c r="C1343" s="2069"/>
      <c r="D1343" s="2069"/>
      <c r="E1343" s="2069"/>
      <c r="F1343" s="2069"/>
      <c r="G1343" s="2069"/>
      <c r="H1343" s="2069"/>
      <c r="I1343"/>
      <c r="J1343"/>
      <c r="K1343"/>
    </row>
    <row r="1344" spans="2:11" x14ac:dyDescent="0.2">
      <c r="B1344" s="2069"/>
      <c r="C1344" s="2069"/>
      <c r="D1344" s="2069"/>
      <c r="E1344" s="2069"/>
      <c r="F1344" s="2069"/>
      <c r="G1344" s="2069"/>
      <c r="H1344" s="2069"/>
      <c r="I1344"/>
      <c r="J1344"/>
      <c r="K1344"/>
    </row>
    <row r="1345" spans="2:11" x14ac:dyDescent="0.2">
      <c r="B1345" s="2069"/>
      <c r="C1345" s="2069"/>
      <c r="D1345" s="2069"/>
      <c r="E1345" s="2069"/>
      <c r="F1345" s="2069"/>
      <c r="G1345" s="2069"/>
      <c r="H1345" s="2069"/>
      <c r="I1345"/>
      <c r="J1345"/>
      <c r="K1345"/>
    </row>
    <row r="1346" spans="2:11" x14ac:dyDescent="0.2">
      <c r="B1346" s="2069"/>
      <c r="C1346" s="2069"/>
      <c r="D1346" s="2069"/>
      <c r="E1346" s="2069"/>
      <c r="F1346" s="2069"/>
      <c r="G1346" s="2069"/>
      <c r="H1346" s="2069"/>
      <c r="I1346"/>
      <c r="J1346"/>
      <c r="K1346"/>
    </row>
    <row r="1347" spans="2:11" x14ac:dyDescent="0.2">
      <c r="B1347" s="2069"/>
      <c r="C1347" s="2069"/>
      <c r="D1347" s="2069"/>
      <c r="E1347" s="2069"/>
      <c r="F1347" s="2069"/>
      <c r="G1347" s="2069"/>
      <c r="H1347" s="2069"/>
      <c r="I1347"/>
      <c r="J1347"/>
      <c r="K1347"/>
    </row>
    <row r="1348" spans="2:11" x14ac:dyDescent="0.2">
      <c r="B1348" s="2069"/>
      <c r="C1348" s="2069"/>
      <c r="D1348" s="2069"/>
      <c r="E1348" s="2069"/>
      <c r="F1348" s="2069"/>
      <c r="G1348" s="2069"/>
      <c r="H1348" s="2069"/>
      <c r="I1348"/>
      <c r="J1348"/>
      <c r="K1348"/>
    </row>
    <row r="1349" spans="2:11" x14ac:dyDescent="0.2">
      <c r="B1349" s="2069"/>
      <c r="C1349" s="2069"/>
      <c r="D1349" s="2069"/>
      <c r="E1349" s="2069"/>
      <c r="F1349" s="2069"/>
      <c r="G1349" s="2069"/>
      <c r="H1349" s="2069"/>
      <c r="I1349"/>
      <c r="J1349"/>
      <c r="K1349"/>
    </row>
    <row r="1350" spans="2:11" x14ac:dyDescent="0.2">
      <c r="B1350" s="2069"/>
      <c r="C1350" s="2069"/>
      <c r="D1350" s="2069"/>
      <c r="E1350" s="2069"/>
      <c r="F1350" s="2069"/>
      <c r="G1350" s="2069"/>
      <c r="H1350" s="2069"/>
      <c r="I1350"/>
      <c r="J1350"/>
      <c r="K1350"/>
    </row>
    <row r="1351" spans="2:11" x14ac:dyDescent="0.2">
      <c r="B1351" s="2069"/>
      <c r="C1351" s="2069"/>
      <c r="D1351" s="2069"/>
      <c r="E1351" s="2069"/>
      <c r="F1351" s="2069"/>
      <c r="G1351" s="2069"/>
      <c r="H1351" s="2069"/>
      <c r="I1351"/>
      <c r="J1351"/>
      <c r="K1351"/>
    </row>
    <row r="1352" spans="2:11" x14ac:dyDescent="0.2">
      <c r="B1352" s="2069"/>
      <c r="C1352" s="2069"/>
      <c r="D1352" s="2069"/>
      <c r="E1352" s="2069"/>
      <c r="F1352" s="2069"/>
      <c r="G1352" s="2069"/>
      <c r="H1352" s="2069"/>
      <c r="I1352"/>
      <c r="J1352"/>
      <c r="K1352"/>
    </row>
    <row r="1353" spans="2:11" x14ac:dyDescent="0.2">
      <c r="B1353" s="2069"/>
      <c r="C1353" s="2069"/>
      <c r="D1353" s="2069"/>
      <c r="E1353" s="2069"/>
      <c r="F1353" s="2069"/>
      <c r="G1353" s="2069"/>
      <c r="H1353" s="2069"/>
      <c r="I1353"/>
      <c r="J1353"/>
      <c r="K1353"/>
    </row>
    <row r="1354" spans="2:11" x14ac:dyDescent="0.2">
      <c r="B1354" s="2069"/>
      <c r="C1354" s="2069"/>
      <c r="D1354" s="2069"/>
      <c r="E1354" s="2069"/>
      <c r="F1354" s="2069"/>
      <c r="G1354" s="2069"/>
      <c r="H1354" s="2069"/>
      <c r="I1354"/>
      <c r="J1354"/>
      <c r="K1354"/>
    </row>
    <row r="1355" spans="2:11" x14ac:dyDescent="0.2">
      <c r="B1355" s="2069"/>
      <c r="C1355" s="2069"/>
      <c r="D1355" s="2069"/>
      <c r="E1355" s="2069"/>
      <c r="F1355" s="2069"/>
      <c r="G1355" s="2069"/>
      <c r="H1355" s="2069"/>
      <c r="I1355"/>
      <c r="J1355"/>
      <c r="K1355"/>
    </row>
    <row r="1356" spans="2:11" x14ac:dyDescent="0.2">
      <c r="B1356" s="2069"/>
      <c r="C1356" s="2069"/>
      <c r="D1356" s="2069"/>
      <c r="E1356" s="2069"/>
      <c r="F1356" s="2069"/>
      <c r="G1356" s="2069"/>
      <c r="H1356" s="2069"/>
      <c r="I1356"/>
      <c r="J1356"/>
      <c r="K1356"/>
    </row>
    <row r="1357" spans="2:11" x14ac:dyDescent="0.2">
      <c r="B1357" s="2069"/>
      <c r="C1357" s="2069"/>
      <c r="D1357" s="2069"/>
      <c r="E1357" s="2069"/>
      <c r="F1357" s="2069"/>
      <c r="G1357" s="2069"/>
      <c r="H1357" s="2069"/>
      <c r="I1357"/>
      <c r="J1357"/>
      <c r="K1357"/>
    </row>
    <row r="1358" spans="2:11" x14ac:dyDescent="0.2">
      <c r="B1358" s="2069"/>
      <c r="C1358" s="2069"/>
      <c r="D1358" s="2069"/>
      <c r="E1358" s="2069"/>
      <c r="F1358" s="2069"/>
      <c r="G1358" s="2069"/>
      <c r="H1358" s="2069"/>
      <c r="I1358"/>
      <c r="J1358"/>
      <c r="K1358"/>
    </row>
    <row r="1359" spans="2:11" x14ac:dyDescent="0.2">
      <c r="B1359" s="2069"/>
      <c r="C1359" s="2069"/>
      <c r="D1359" s="2069"/>
      <c r="E1359" s="2069"/>
      <c r="F1359" s="2069"/>
      <c r="G1359" s="2069"/>
      <c r="H1359" s="2069"/>
      <c r="I1359"/>
      <c r="J1359"/>
      <c r="K1359"/>
    </row>
    <row r="1360" spans="2:11" x14ac:dyDescent="0.2">
      <c r="B1360" s="2069"/>
      <c r="C1360" s="2069"/>
      <c r="D1360" s="2069"/>
      <c r="E1360" s="2069"/>
      <c r="F1360" s="2069"/>
      <c r="G1360" s="2069"/>
      <c r="H1360" s="2069"/>
      <c r="I1360"/>
      <c r="J1360"/>
      <c r="K1360"/>
    </row>
    <row r="1361" spans="2:11" x14ac:dyDescent="0.2">
      <c r="B1361" s="2069"/>
      <c r="C1361" s="2069"/>
      <c r="D1361" s="2069"/>
      <c r="E1361" s="2069"/>
      <c r="F1361" s="2069"/>
      <c r="G1361" s="2069"/>
      <c r="H1361" s="2069"/>
      <c r="I1361"/>
      <c r="J1361"/>
      <c r="K1361"/>
    </row>
    <row r="1362" spans="2:11" x14ac:dyDescent="0.2">
      <c r="B1362" s="2069"/>
      <c r="C1362" s="2069"/>
      <c r="D1362" s="2069"/>
      <c r="E1362" s="2069"/>
      <c r="F1362" s="2069"/>
      <c r="G1362" s="2069"/>
      <c r="H1362" s="2069"/>
      <c r="I1362"/>
      <c r="J1362"/>
      <c r="K1362"/>
    </row>
    <row r="1363" spans="2:11" x14ac:dyDescent="0.2">
      <c r="B1363" s="2069"/>
      <c r="C1363" s="2069"/>
      <c r="D1363" s="2069"/>
      <c r="E1363" s="2069"/>
      <c r="F1363" s="2069"/>
      <c r="G1363" s="2069"/>
      <c r="H1363" s="2069"/>
      <c r="I1363"/>
      <c r="J1363"/>
      <c r="K1363"/>
    </row>
    <row r="1364" spans="2:11" x14ac:dyDescent="0.2">
      <c r="B1364" s="2069"/>
      <c r="C1364" s="2069"/>
      <c r="D1364" s="2069"/>
      <c r="E1364" s="2069"/>
      <c r="F1364" s="2069"/>
      <c r="G1364" s="2069"/>
      <c r="H1364" s="2069"/>
      <c r="I1364"/>
      <c r="J1364"/>
      <c r="K1364"/>
    </row>
    <row r="1365" spans="2:11" x14ac:dyDescent="0.2">
      <c r="B1365" s="2069"/>
      <c r="C1365" s="2069"/>
      <c r="D1365" s="2069"/>
      <c r="E1365" s="2069"/>
      <c r="F1365" s="2069"/>
      <c r="G1365" s="2069"/>
      <c r="H1365" s="2069"/>
      <c r="I1365"/>
      <c r="J1365"/>
      <c r="K1365"/>
    </row>
    <row r="1366" spans="2:11" x14ac:dyDescent="0.2">
      <c r="B1366" s="2069"/>
      <c r="C1366" s="2069"/>
      <c r="D1366" s="2069"/>
      <c r="E1366" s="2069"/>
      <c r="F1366" s="2069"/>
      <c r="G1366" s="2069"/>
      <c r="H1366" s="2069"/>
      <c r="I1366"/>
      <c r="J1366"/>
      <c r="K1366"/>
    </row>
    <row r="1367" spans="2:11" x14ac:dyDescent="0.2">
      <c r="B1367" s="2069"/>
      <c r="C1367" s="2069"/>
      <c r="D1367" s="2069"/>
      <c r="E1367" s="2069"/>
      <c r="F1367" s="2069"/>
      <c r="G1367" s="2069"/>
      <c r="H1367" s="2069"/>
      <c r="I1367"/>
      <c r="J1367"/>
      <c r="K1367"/>
    </row>
    <row r="1368" spans="2:11" x14ac:dyDescent="0.2">
      <c r="B1368" s="2069"/>
      <c r="C1368" s="2069"/>
      <c r="D1368" s="2069"/>
      <c r="E1368" s="2069"/>
      <c r="F1368" s="2069"/>
      <c r="G1368" s="2069"/>
      <c r="H1368" s="2069"/>
      <c r="I1368"/>
      <c r="J1368"/>
      <c r="K1368"/>
    </row>
    <row r="1369" spans="2:11" x14ac:dyDescent="0.2">
      <c r="B1369" s="2069"/>
      <c r="C1369" s="2069"/>
      <c r="D1369" s="2069"/>
      <c r="E1369" s="2069"/>
      <c r="F1369" s="2069"/>
      <c r="G1369" s="2069"/>
      <c r="H1369" s="2069"/>
      <c r="I1369"/>
      <c r="J1369"/>
      <c r="K1369"/>
    </row>
    <row r="1370" spans="2:11" x14ac:dyDescent="0.2">
      <c r="B1370" s="2069"/>
      <c r="C1370" s="2069"/>
      <c r="D1370" s="2069"/>
      <c r="E1370" s="2069"/>
      <c r="F1370" s="2069"/>
      <c r="G1370" s="2069"/>
      <c r="H1370" s="2069"/>
      <c r="I1370"/>
      <c r="J1370"/>
      <c r="K1370"/>
    </row>
    <row r="1371" spans="2:11" x14ac:dyDescent="0.2">
      <c r="B1371" s="2069"/>
      <c r="C1371" s="2069"/>
      <c r="D1371" s="2069"/>
      <c r="E1371" s="2069"/>
      <c r="F1371" s="2069"/>
      <c r="G1371" s="2069"/>
      <c r="H1371" s="2069"/>
      <c r="I1371"/>
      <c r="J1371"/>
      <c r="K1371"/>
    </row>
    <row r="1372" spans="2:11" x14ac:dyDescent="0.2">
      <c r="B1372" s="2069"/>
      <c r="C1372" s="2069"/>
      <c r="D1372" s="2069"/>
      <c r="E1372" s="2069"/>
      <c r="F1372" s="2069"/>
      <c r="G1372" s="2069"/>
      <c r="H1372" s="2069"/>
      <c r="I1372"/>
      <c r="J1372"/>
      <c r="K1372"/>
    </row>
    <row r="1373" spans="2:11" x14ac:dyDescent="0.2">
      <c r="B1373" s="2069"/>
      <c r="C1373" s="2069"/>
      <c r="D1373" s="2069"/>
      <c r="E1373" s="2069"/>
      <c r="F1373" s="2069"/>
      <c r="G1373" s="2069"/>
      <c r="H1373" s="2069"/>
      <c r="I1373"/>
      <c r="J1373"/>
      <c r="K1373"/>
    </row>
    <row r="1374" spans="2:11" x14ac:dyDescent="0.2">
      <c r="B1374" s="2069"/>
      <c r="C1374" s="2069"/>
      <c r="D1374" s="2069"/>
      <c r="E1374" s="2069"/>
      <c r="F1374" s="2069"/>
      <c r="G1374" s="2069"/>
      <c r="H1374" s="2069"/>
      <c r="I1374"/>
      <c r="J1374"/>
      <c r="K1374"/>
    </row>
    <row r="1375" spans="2:11" x14ac:dyDescent="0.2">
      <c r="B1375" s="2069"/>
      <c r="C1375" s="2069"/>
      <c r="D1375" s="2069"/>
      <c r="E1375" s="2069"/>
      <c r="F1375" s="2069"/>
      <c r="G1375" s="2069"/>
      <c r="H1375" s="2069"/>
      <c r="I1375"/>
      <c r="J1375"/>
      <c r="K1375"/>
    </row>
    <row r="1376" spans="2:11" x14ac:dyDescent="0.2">
      <c r="B1376" s="2069"/>
      <c r="C1376" s="2069"/>
      <c r="D1376" s="2069"/>
      <c r="E1376" s="2069"/>
      <c r="F1376" s="2069"/>
      <c r="G1376" s="2069"/>
      <c r="H1376" s="2069"/>
      <c r="I1376"/>
      <c r="J1376"/>
      <c r="K1376"/>
    </row>
    <row r="1377" spans="2:11" x14ac:dyDescent="0.2">
      <c r="B1377" s="2069"/>
      <c r="C1377" s="2069"/>
      <c r="D1377" s="2069"/>
      <c r="E1377" s="2069"/>
      <c r="F1377" s="2069"/>
      <c r="G1377" s="2069"/>
      <c r="H1377" s="2069"/>
      <c r="I1377"/>
      <c r="J1377"/>
      <c r="K1377"/>
    </row>
    <row r="1378" spans="2:11" x14ac:dyDescent="0.2">
      <c r="B1378" s="2069"/>
      <c r="C1378" s="2069"/>
      <c r="D1378" s="2069"/>
      <c r="E1378" s="2069"/>
      <c r="F1378" s="2069"/>
      <c r="G1378" s="2069"/>
      <c r="H1378" s="2069"/>
      <c r="I1378"/>
      <c r="J1378"/>
      <c r="K1378"/>
    </row>
    <row r="1379" spans="2:11" x14ac:dyDescent="0.2">
      <c r="B1379" s="2069"/>
      <c r="C1379" s="2069"/>
      <c r="D1379" s="2069"/>
      <c r="E1379" s="2069"/>
      <c r="F1379" s="2069"/>
      <c r="G1379" s="2069"/>
      <c r="H1379" s="2069"/>
      <c r="I1379"/>
      <c r="J1379"/>
      <c r="K1379"/>
    </row>
    <row r="1380" spans="2:11" x14ac:dyDescent="0.2">
      <c r="B1380" s="2069"/>
      <c r="C1380" s="2069"/>
      <c r="D1380" s="2069"/>
      <c r="E1380" s="2069"/>
      <c r="F1380" s="2069"/>
      <c r="G1380" s="2069"/>
      <c r="H1380" s="2069"/>
      <c r="I1380"/>
      <c r="J1380"/>
      <c r="K1380"/>
    </row>
    <row r="1381" spans="2:11" x14ac:dyDescent="0.2">
      <c r="B1381" s="2069"/>
      <c r="C1381" s="2069"/>
      <c r="D1381" s="2069"/>
      <c r="E1381" s="2069"/>
      <c r="F1381" s="2069"/>
      <c r="G1381" s="2069"/>
      <c r="H1381" s="2069"/>
      <c r="I1381"/>
      <c r="J1381"/>
      <c r="K1381"/>
    </row>
    <row r="1382" spans="2:11" x14ac:dyDescent="0.2">
      <c r="B1382" s="2069"/>
      <c r="C1382" s="2069"/>
      <c r="D1382" s="2069"/>
      <c r="E1382" s="2069"/>
      <c r="F1382" s="2069"/>
      <c r="G1382" s="2069"/>
      <c r="H1382" s="2069"/>
      <c r="I1382"/>
      <c r="J1382"/>
      <c r="K1382"/>
    </row>
    <row r="1383" spans="2:11" x14ac:dyDescent="0.2">
      <c r="B1383" s="2069"/>
      <c r="C1383" s="2069"/>
      <c r="D1383" s="2069"/>
      <c r="E1383" s="2069"/>
      <c r="F1383" s="2069"/>
      <c r="G1383" s="2069"/>
      <c r="H1383" s="2069"/>
      <c r="I1383"/>
      <c r="J1383"/>
      <c r="K1383"/>
    </row>
    <row r="1384" spans="2:11" x14ac:dyDescent="0.2">
      <c r="B1384" s="2069"/>
      <c r="C1384" s="2069"/>
      <c r="D1384" s="2069"/>
      <c r="E1384" s="2069"/>
      <c r="F1384" s="2069"/>
      <c r="G1384" s="2069"/>
      <c r="H1384" s="2069"/>
      <c r="I1384"/>
      <c r="J1384"/>
      <c r="K1384"/>
    </row>
    <row r="1385" spans="2:11" x14ac:dyDescent="0.2">
      <c r="B1385" s="2069"/>
      <c r="C1385" s="2069"/>
      <c r="D1385" s="2069"/>
      <c r="E1385" s="2069"/>
      <c r="F1385" s="2069"/>
      <c r="G1385" s="2069"/>
      <c r="H1385" s="2069"/>
      <c r="I1385"/>
      <c r="J1385"/>
      <c r="K1385"/>
    </row>
    <row r="1386" spans="2:11" x14ac:dyDescent="0.2">
      <c r="B1386" s="2069"/>
      <c r="C1386" s="2069"/>
      <c r="D1386" s="2069"/>
      <c r="E1386" s="2069"/>
      <c r="F1386" s="2069"/>
      <c r="G1386" s="2069"/>
      <c r="H1386" s="2069"/>
      <c r="I1386"/>
      <c r="J1386"/>
      <c r="K1386"/>
    </row>
    <row r="1387" spans="2:11" x14ac:dyDescent="0.2">
      <c r="B1387" s="2069"/>
      <c r="C1387" s="2069"/>
      <c r="D1387" s="2069"/>
      <c r="E1387" s="2069"/>
      <c r="F1387" s="2069"/>
      <c r="G1387" s="2069"/>
      <c r="H1387" s="2069"/>
      <c r="I1387"/>
      <c r="J1387"/>
      <c r="K1387"/>
    </row>
    <row r="1388" spans="2:11" x14ac:dyDescent="0.2">
      <c r="B1388" s="2069"/>
      <c r="C1388" s="2069"/>
      <c r="D1388" s="2069"/>
      <c r="E1388" s="2069"/>
      <c r="F1388" s="2069"/>
      <c r="G1388" s="2069"/>
      <c r="H1388" s="2069"/>
      <c r="I1388"/>
      <c r="J1388"/>
      <c r="K1388"/>
    </row>
    <row r="1389" spans="2:11" x14ac:dyDescent="0.2">
      <c r="B1389" s="2069"/>
      <c r="C1389" s="2069"/>
      <c r="D1389" s="2069"/>
      <c r="E1389" s="2069"/>
      <c r="F1389" s="2069"/>
      <c r="G1389" s="2069"/>
      <c r="H1389" s="2069"/>
      <c r="I1389"/>
      <c r="J1389"/>
      <c r="K1389"/>
    </row>
    <row r="1390" spans="2:11" x14ac:dyDescent="0.2">
      <c r="B1390" s="2069"/>
      <c r="C1390" s="2069"/>
      <c r="D1390" s="2069"/>
      <c r="E1390" s="2069"/>
      <c r="F1390" s="2069"/>
      <c r="G1390" s="2069"/>
      <c r="H1390" s="2069"/>
      <c r="I1390"/>
      <c r="J1390"/>
      <c r="K1390"/>
    </row>
    <row r="1391" spans="2:11" x14ac:dyDescent="0.2">
      <c r="B1391" s="2069"/>
      <c r="C1391" s="2069"/>
      <c r="D1391" s="2069"/>
      <c r="E1391" s="2069"/>
      <c r="F1391" s="2069"/>
      <c r="G1391" s="2069"/>
      <c r="H1391" s="2069"/>
      <c r="I1391"/>
      <c r="J1391"/>
      <c r="K1391"/>
    </row>
    <row r="1392" spans="2:11" x14ac:dyDescent="0.2">
      <c r="B1392" s="2069"/>
      <c r="C1392" s="2069"/>
      <c r="D1392" s="2069"/>
      <c r="E1392" s="2069"/>
      <c r="F1392" s="2069"/>
      <c r="G1392" s="2069"/>
      <c r="H1392" s="2069"/>
      <c r="I1392"/>
      <c r="J1392"/>
      <c r="K1392"/>
    </row>
    <row r="1393" spans="2:11" x14ac:dyDescent="0.2">
      <c r="B1393" s="2069"/>
      <c r="C1393" s="2069"/>
      <c r="D1393" s="2069"/>
      <c r="E1393" s="2069"/>
      <c r="F1393" s="2069"/>
      <c r="G1393" s="2069"/>
      <c r="H1393" s="2069"/>
      <c r="I1393"/>
      <c r="J1393"/>
      <c r="K1393"/>
    </row>
    <row r="1394" spans="2:11" x14ac:dyDescent="0.2">
      <c r="B1394" s="2069"/>
      <c r="C1394" s="2069"/>
      <c r="D1394" s="2069"/>
      <c r="E1394" s="2069"/>
      <c r="F1394" s="2069"/>
      <c r="G1394" s="2069"/>
      <c r="H1394" s="2069"/>
      <c r="I1394"/>
      <c r="J1394"/>
      <c r="K1394"/>
    </row>
    <row r="1395" spans="2:11" x14ac:dyDescent="0.2">
      <c r="B1395" s="2069"/>
      <c r="C1395" s="2069"/>
      <c r="D1395" s="2069"/>
      <c r="E1395" s="2069"/>
      <c r="F1395" s="2069"/>
      <c r="G1395" s="2069"/>
      <c r="H1395" s="2069"/>
      <c r="I1395"/>
      <c r="J1395"/>
      <c r="K1395"/>
    </row>
    <row r="1396" spans="2:11" x14ac:dyDescent="0.2">
      <c r="B1396" s="2069"/>
      <c r="C1396" s="2069"/>
      <c r="D1396" s="2069"/>
      <c r="E1396" s="2069"/>
      <c r="F1396" s="2069"/>
      <c r="G1396" s="2069"/>
      <c r="H1396" s="2069"/>
      <c r="I1396"/>
      <c r="J1396"/>
      <c r="K1396"/>
    </row>
    <row r="1397" spans="2:11" x14ac:dyDescent="0.2">
      <c r="B1397" s="2069"/>
      <c r="C1397" s="2069"/>
      <c r="D1397" s="2069"/>
      <c r="E1397" s="2069"/>
      <c r="F1397" s="2069"/>
      <c r="G1397" s="2069"/>
      <c r="H1397" s="2069"/>
      <c r="I1397"/>
      <c r="J1397"/>
      <c r="K1397"/>
    </row>
    <row r="1398" spans="2:11" x14ac:dyDescent="0.2">
      <c r="B1398" s="2069"/>
      <c r="C1398" s="2069"/>
      <c r="D1398" s="2069"/>
      <c r="E1398" s="2069"/>
      <c r="F1398" s="2069"/>
      <c r="G1398" s="2069"/>
      <c r="H1398" s="2069"/>
      <c r="I1398"/>
      <c r="J1398"/>
      <c r="K1398"/>
    </row>
    <row r="1399" spans="2:11" x14ac:dyDescent="0.2">
      <c r="B1399" s="2069"/>
      <c r="C1399" s="2069"/>
      <c r="D1399" s="2069"/>
      <c r="E1399" s="2069"/>
      <c r="F1399" s="2069"/>
      <c r="G1399" s="2069"/>
      <c r="H1399" s="2069"/>
      <c r="I1399"/>
      <c r="J1399"/>
      <c r="K1399"/>
    </row>
    <row r="1400" spans="2:11" x14ac:dyDescent="0.2">
      <c r="B1400" s="2069"/>
      <c r="C1400" s="2069"/>
      <c r="D1400" s="2069"/>
      <c r="E1400" s="2069"/>
      <c r="F1400" s="2069"/>
      <c r="G1400" s="2069"/>
      <c r="H1400" s="2069"/>
      <c r="I1400"/>
      <c r="J1400"/>
      <c r="K1400"/>
    </row>
    <row r="1401" spans="2:11" x14ac:dyDescent="0.2">
      <c r="B1401" s="2069"/>
      <c r="C1401" s="2069"/>
      <c r="D1401" s="2069"/>
      <c r="E1401" s="2069"/>
      <c r="F1401" s="2069"/>
      <c r="G1401" s="2069"/>
      <c r="H1401" s="2069"/>
      <c r="I1401"/>
      <c r="J1401"/>
      <c r="K1401"/>
    </row>
    <row r="1402" spans="2:11" x14ac:dyDescent="0.2">
      <c r="B1402" s="2069"/>
      <c r="C1402" s="2069"/>
      <c r="D1402" s="2069"/>
      <c r="E1402" s="2069"/>
      <c r="F1402" s="2069"/>
      <c r="G1402" s="2069"/>
      <c r="H1402" s="2069"/>
      <c r="I1402"/>
      <c r="J1402"/>
      <c r="K1402"/>
    </row>
    <row r="1403" spans="2:11" x14ac:dyDescent="0.2">
      <c r="B1403" s="2069"/>
      <c r="C1403" s="2069"/>
      <c r="D1403" s="2069"/>
      <c r="E1403" s="2069"/>
      <c r="F1403" s="2069"/>
      <c r="G1403" s="2069"/>
      <c r="H1403" s="2069"/>
      <c r="I1403"/>
      <c r="J1403"/>
      <c r="K1403"/>
    </row>
    <row r="1404" spans="2:11" x14ac:dyDescent="0.2">
      <c r="B1404" s="2069"/>
      <c r="C1404" s="2069"/>
      <c r="D1404" s="2069"/>
      <c r="E1404" s="2069"/>
      <c r="F1404" s="2069"/>
      <c r="G1404" s="2069"/>
      <c r="H1404" s="2069"/>
      <c r="I1404"/>
      <c r="J1404"/>
      <c r="K1404"/>
    </row>
    <row r="1405" spans="2:11" x14ac:dyDescent="0.2">
      <c r="B1405" s="2069"/>
      <c r="C1405" s="2069"/>
      <c r="D1405" s="2069"/>
      <c r="E1405" s="2069"/>
      <c r="F1405" s="2069"/>
      <c r="G1405" s="2069"/>
      <c r="H1405" s="2069"/>
      <c r="I1405"/>
      <c r="J1405"/>
      <c r="K1405"/>
    </row>
    <row r="1406" spans="2:11" x14ac:dyDescent="0.2">
      <c r="B1406" s="2069"/>
      <c r="C1406" s="2069"/>
      <c r="D1406" s="2069"/>
      <c r="E1406" s="2069"/>
      <c r="F1406" s="2069"/>
      <c r="G1406" s="2069"/>
      <c r="H1406" s="2069"/>
      <c r="I1406"/>
      <c r="J1406"/>
      <c r="K1406"/>
    </row>
    <row r="1407" spans="2:11" x14ac:dyDescent="0.2">
      <c r="B1407" s="2069"/>
      <c r="C1407" s="2069"/>
      <c r="D1407" s="2069"/>
      <c r="E1407" s="2069"/>
      <c r="F1407" s="2069"/>
      <c r="G1407" s="2069"/>
      <c r="H1407" s="2069"/>
      <c r="I1407"/>
      <c r="J1407"/>
      <c r="K1407"/>
    </row>
    <row r="1408" spans="2:11" x14ac:dyDescent="0.2">
      <c r="B1408" s="2069"/>
      <c r="C1408" s="2069"/>
      <c r="D1408" s="2069"/>
      <c r="E1408" s="2069"/>
      <c r="F1408" s="2069"/>
      <c r="G1408" s="2069"/>
      <c r="H1408" s="2069"/>
      <c r="I1408"/>
      <c r="J1408"/>
      <c r="K1408"/>
    </row>
    <row r="1409" spans="2:11" x14ac:dyDescent="0.2">
      <c r="B1409" s="2069"/>
      <c r="C1409" s="2069"/>
      <c r="D1409" s="2069"/>
      <c r="E1409" s="2069"/>
      <c r="F1409" s="2069"/>
      <c r="G1409" s="2069"/>
      <c r="H1409" s="2069"/>
      <c r="I1409"/>
      <c r="J1409"/>
      <c r="K1409"/>
    </row>
    <row r="1410" spans="2:11" x14ac:dyDescent="0.2">
      <c r="B1410" s="2069"/>
      <c r="C1410" s="2069"/>
      <c r="D1410" s="2069"/>
      <c r="E1410" s="2069"/>
      <c r="F1410" s="2069"/>
      <c r="G1410" s="2069"/>
      <c r="H1410" s="2069"/>
      <c r="I1410"/>
      <c r="J1410"/>
      <c r="K1410"/>
    </row>
    <row r="1411" spans="2:11" x14ac:dyDescent="0.2">
      <c r="B1411" s="2069"/>
      <c r="C1411" s="2069"/>
      <c r="D1411" s="2069"/>
      <c r="E1411" s="2069"/>
      <c r="F1411" s="2069"/>
      <c r="G1411" s="2069"/>
      <c r="H1411" s="2069"/>
      <c r="I1411"/>
      <c r="J1411"/>
      <c r="K1411"/>
    </row>
    <row r="1412" spans="2:11" x14ac:dyDescent="0.2">
      <c r="B1412" s="2069"/>
      <c r="C1412" s="2069"/>
      <c r="D1412" s="2069"/>
      <c r="E1412" s="2069"/>
      <c r="F1412" s="2069"/>
      <c r="G1412" s="2069"/>
      <c r="H1412" s="2069"/>
      <c r="I1412"/>
      <c r="J1412"/>
      <c r="K1412"/>
    </row>
    <row r="1413" spans="2:11" x14ac:dyDescent="0.2">
      <c r="B1413" s="2069"/>
      <c r="C1413" s="2069"/>
      <c r="D1413" s="2069"/>
      <c r="E1413" s="2069"/>
      <c r="F1413" s="2069"/>
      <c r="G1413" s="2069"/>
      <c r="H1413" s="2069"/>
      <c r="I1413"/>
      <c r="J1413"/>
      <c r="K1413"/>
    </row>
    <row r="1414" spans="2:11" x14ac:dyDescent="0.2">
      <c r="B1414" s="2069"/>
      <c r="C1414" s="2069"/>
      <c r="D1414" s="2069"/>
      <c r="E1414" s="2069"/>
      <c r="F1414" s="2069"/>
      <c r="G1414" s="2069"/>
      <c r="H1414" s="2069"/>
      <c r="I1414"/>
      <c r="J1414"/>
      <c r="K1414"/>
    </row>
    <row r="1415" spans="2:11" x14ac:dyDescent="0.2">
      <c r="B1415" s="2069"/>
      <c r="C1415" s="2069"/>
      <c r="D1415" s="2069"/>
      <c r="E1415" s="2069"/>
      <c r="F1415" s="2069"/>
      <c r="G1415" s="2069"/>
      <c r="H1415" s="2069"/>
      <c r="I1415"/>
      <c r="J1415"/>
      <c r="K1415"/>
    </row>
    <row r="1416" spans="2:11" x14ac:dyDescent="0.2">
      <c r="B1416" s="2069"/>
      <c r="C1416" s="2069"/>
      <c r="D1416" s="2069"/>
      <c r="E1416" s="2069"/>
      <c r="F1416" s="2069"/>
      <c r="G1416" s="2069"/>
      <c r="H1416" s="2069"/>
      <c r="I1416"/>
      <c r="J1416"/>
      <c r="K1416"/>
    </row>
    <row r="1417" spans="2:11" x14ac:dyDescent="0.2">
      <c r="B1417" s="2069"/>
      <c r="C1417" s="2069"/>
      <c r="D1417" s="2069"/>
      <c r="E1417" s="2069"/>
      <c r="F1417" s="2069"/>
      <c r="G1417" s="2069"/>
      <c r="H1417" s="2069"/>
      <c r="I1417"/>
      <c r="J1417"/>
      <c r="K1417"/>
    </row>
    <row r="1418" spans="2:11" x14ac:dyDescent="0.2">
      <c r="B1418" s="2069"/>
      <c r="C1418" s="2069"/>
      <c r="D1418" s="2069"/>
      <c r="E1418" s="2069"/>
      <c r="F1418" s="2069"/>
      <c r="G1418" s="2069"/>
      <c r="H1418" s="2069"/>
      <c r="I1418"/>
      <c r="J1418"/>
      <c r="K1418"/>
    </row>
    <row r="1419" spans="2:11" x14ac:dyDescent="0.2">
      <c r="B1419" s="2069"/>
      <c r="C1419" s="2069"/>
      <c r="D1419" s="2069"/>
      <c r="E1419" s="2069"/>
      <c r="F1419" s="2069"/>
      <c r="G1419" s="2069"/>
      <c r="H1419" s="2069"/>
      <c r="I1419"/>
      <c r="J1419"/>
      <c r="K1419"/>
    </row>
    <row r="1420" spans="2:11" x14ac:dyDescent="0.2">
      <c r="B1420" s="2069"/>
      <c r="C1420" s="2069"/>
      <c r="D1420" s="2069"/>
      <c r="E1420" s="2069"/>
      <c r="F1420" s="2069"/>
      <c r="G1420" s="2069"/>
      <c r="H1420" s="2069"/>
      <c r="I1420"/>
      <c r="J1420"/>
      <c r="K1420"/>
    </row>
    <row r="1421" spans="2:11" x14ac:dyDescent="0.2">
      <c r="B1421" s="2069"/>
      <c r="C1421" s="2069"/>
      <c r="D1421" s="2069"/>
      <c r="E1421" s="2069"/>
      <c r="F1421" s="2069"/>
      <c r="G1421" s="2069"/>
      <c r="H1421" s="2069"/>
      <c r="I1421"/>
      <c r="J1421"/>
      <c r="K1421"/>
    </row>
    <row r="1422" spans="2:11" x14ac:dyDescent="0.2">
      <c r="B1422" s="2069"/>
      <c r="C1422" s="2069"/>
      <c r="D1422" s="2069"/>
      <c r="E1422" s="2069"/>
      <c r="F1422" s="2069"/>
      <c r="G1422" s="2069"/>
      <c r="H1422" s="2069"/>
      <c r="I1422"/>
      <c r="J1422"/>
      <c r="K1422"/>
    </row>
    <row r="1423" spans="2:11" x14ac:dyDescent="0.2">
      <c r="B1423" s="2069"/>
      <c r="C1423" s="2069"/>
      <c r="D1423" s="2069"/>
      <c r="E1423" s="2069"/>
      <c r="F1423" s="2069"/>
      <c r="G1423" s="2069"/>
      <c r="H1423" s="2069"/>
      <c r="I1423"/>
      <c r="J1423"/>
      <c r="K1423"/>
    </row>
    <row r="1424" spans="2:11" x14ac:dyDescent="0.2">
      <c r="B1424" s="2069"/>
      <c r="C1424" s="2069"/>
      <c r="D1424" s="2069"/>
      <c r="E1424" s="2069"/>
      <c r="F1424" s="2069"/>
      <c r="G1424" s="2069"/>
      <c r="H1424" s="2069"/>
      <c r="I1424"/>
      <c r="J1424"/>
      <c r="K1424"/>
    </row>
    <row r="1425" spans="2:11" x14ac:dyDescent="0.2">
      <c r="B1425" s="2069"/>
      <c r="C1425" s="2069"/>
      <c r="D1425" s="2069"/>
      <c r="E1425" s="2069"/>
      <c r="F1425" s="2069"/>
      <c r="G1425" s="2069"/>
      <c r="H1425" s="2069"/>
      <c r="I1425"/>
      <c r="J1425"/>
      <c r="K1425"/>
    </row>
    <row r="1426" spans="2:11" x14ac:dyDescent="0.2">
      <c r="B1426" s="2069"/>
      <c r="C1426" s="2069"/>
      <c r="D1426" s="2069"/>
      <c r="E1426" s="2069"/>
      <c r="F1426" s="2069"/>
      <c r="G1426" s="2069"/>
      <c r="H1426" s="2069"/>
      <c r="I1426"/>
      <c r="J1426"/>
      <c r="K1426"/>
    </row>
    <row r="1427" spans="2:11" x14ac:dyDescent="0.2">
      <c r="B1427" s="2069"/>
      <c r="C1427" s="2069"/>
      <c r="D1427" s="2069"/>
      <c r="E1427" s="2069"/>
      <c r="F1427" s="2069"/>
      <c r="G1427" s="2069"/>
      <c r="H1427" s="2069"/>
      <c r="I1427"/>
      <c r="J1427"/>
      <c r="K1427"/>
    </row>
    <row r="1428" spans="2:11" x14ac:dyDescent="0.2">
      <c r="B1428" s="2069"/>
      <c r="C1428" s="2069"/>
      <c r="D1428" s="2069"/>
      <c r="E1428" s="2069"/>
      <c r="F1428" s="2069"/>
      <c r="G1428" s="2069"/>
      <c r="H1428" s="2069"/>
      <c r="I1428"/>
      <c r="J1428"/>
      <c r="K1428"/>
    </row>
    <row r="1429" spans="2:11" x14ac:dyDescent="0.2">
      <c r="B1429" s="2069"/>
      <c r="C1429" s="2069"/>
      <c r="D1429" s="2069"/>
      <c r="E1429" s="2069"/>
      <c r="F1429" s="2069"/>
      <c r="G1429" s="2069"/>
      <c r="H1429" s="2069"/>
      <c r="I1429"/>
      <c r="J1429"/>
      <c r="K1429"/>
    </row>
    <row r="1430" spans="2:11" x14ac:dyDescent="0.2">
      <c r="B1430" s="2069"/>
      <c r="C1430" s="2069"/>
      <c r="D1430" s="2069"/>
      <c r="E1430" s="2069"/>
      <c r="F1430" s="2069"/>
      <c r="G1430" s="2069"/>
      <c r="H1430" s="2069"/>
      <c r="I1430"/>
      <c r="J1430"/>
      <c r="K1430"/>
    </row>
    <row r="1431" spans="2:11" x14ac:dyDescent="0.2">
      <c r="B1431" s="2069"/>
      <c r="C1431" s="2069"/>
      <c r="D1431" s="2069"/>
      <c r="E1431" s="2069"/>
      <c r="F1431" s="2069"/>
      <c r="G1431" s="2069"/>
      <c r="H1431" s="2069"/>
      <c r="I1431"/>
      <c r="J1431"/>
      <c r="K1431"/>
    </row>
    <row r="1432" spans="2:11" x14ac:dyDescent="0.2">
      <c r="B1432" s="2069"/>
      <c r="C1432" s="2069"/>
      <c r="D1432" s="2069"/>
      <c r="E1432" s="2069"/>
      <c r="F1432" s="2069"/>
      <c r="G1432" s="2069"/>
      <c r="H1432" s="2069"/>
      <c r="I1432"/>
      <c r="J1432"/>
      <c r="K1432"/>
    </row>
    <row r="1433" spans="2:11" x14ac:dyDescent="0.2">
      <c r="B1433" s="2069"/>
      <c r="C1433" s="2069"/>
      <c r="D1433" s="2069"/>
      <c r="E1433" s="2069"/>
      <c r="F1433" s="2069"/>
      <c r="G1433" s="2069"/>
      <c r="H1433" s="2069"/>
      <c r="I1433"/>
      <c r="J1433"/>
      <c r="K1433"/>
    </row>
    <row r="1434" spans="2:11" x14ac:dyDescent="0.2">
      <c r="B1434" s="2069"/>
      <c r="C1434" s="2069"/>
      <c r="D1434" s="2069"/>
      <c r="E1434" s="2069"/>
      <c r="F1434" s="2069"/>
      <c r="G1434" s="2069"/>
      <c r="H1434" s="2069"/>
      <c r="I1434"/>
      <c r="J1434"/>
      <c r="K1434"/>
    </row>
    <row r="1435" spans="2:11" x14ac:dyDescent="0.2">
      <c r="B1435" s="2069"/>
      <c r="C1435" s="2069"/>
      <c r="D1435" s="2069"/>
      <c r="E1435" s="2069"/>
      <c r="F1435" s="2069"/>
      <c r="G1435" s="2069"/>
      <c r="H1435" s="2069"/>
      <c r="I1435"/>
      <c r="J1435"/>
      <c r="K1435"/>
    </row>
    <row r="1436" spans="2:11" x14ac:dyDescent="0.2">
      <c r="B1436" s="2069"/>
      <c r="C1436" s="2069"/>
      <c r="D1436" s="2069"/>
      <c r="E1436" s="2069"/>
      <c r="F1436" s="2069"/>
      <c r="G1436" s="2069"/>
      <c r="H1436" s="2069"/>
      <c r="I1436"/>
      <c r="J1436"/>
      <c r="K1436"/>
    </row>
    <row r="1437" spans="2:11" x14ac:dyDescent="0.2">
      <c r="B1437" s="2069"/>
      <c r="C1437" s="2069"/>
      <c r="D1437" s="2069"/>
      <c r="E1437" s="2069"/>
      <c r="F1437" s="2069"/>
      <c r="G1437" s="2069"/>
      <c r="H1437" s="2069"/>
      <c r="I1437"/>
      <c r="J1437"/>
      <c r="K1437"/>
    </row>
    <row r="1438" spans="2:11" x14ac:dyDescent="0.2">
      <c r="B1438" s="2069"/>
      <c r="C1438" s="2069"/>
      <c r="D1438" s="2069"/>
      <c r="E1438" s="2069"/>
      <c r="F1438" s="2069"/>
      <c r="G1438" s="2069"/>
      <c r="H1438" s="2069"/>
      <c r="I1438"/>
      <c r="J1438"/>
      <c r="K1438"/>
    </row>
    <row r="1439" spans="2:11" x14ac:dyDescent="0.2">
      <c r="B1439" s="2069"/>
      <c r="C1439" s="2069"/>
      <c r="D1439" s="2069"/>
      <c r="E1439" s="2069"/>
      <c r="F1439" s="2069"/>
      <c r="G1439" s="2069"/>
      <c r="H1439" s="2069"/>
      <c r="I1439"/>
      <c r="J1439"/>
      <c r="K1439"/>
    </row>
    <row r="1440" spans="2:11" x14ac:dyDescent="0.2">
      <c r="B1440" s="2069"/>
      <c r="C1440" s="2069"/>
      <c r="D1440" s="2069"/>
      <c r="E1440" s="2069"/>
      <c r="F1440" s="2069"/>
      <c r="G1440" s="2069"/>
      <c r="H1440" s="2069"/>
      <c r="I1440"/>
      <c r="J1440"/>
      <c r="K1440"/>
    </row>
    <row r="1441" spans="2:11" x14ac:dyDescent="0.2">
      <c r="B1441" s="2069"/>
      <c r="C1441" s="2069"/>
      <c r="D1441" s="2069"/>
      <c r="E1441" s="2069"/>
      <c r="F1441" s="2069"/>
      <c r="G1441" s="2069"/>
      <c r="H1441" s="2069"/>
      <c r="I1441"/>
      <c r="J1441"/>
      <c r="K1441"/>
    </row>
    <row r="1442" spans="2:11" x14ac:dyDescent="0.2">
      <c r="B1442" s="2069"/>
      <c r="C1442" s="2069"/>
      <c r="D1442" s="2069"/>
      <c r="E1442" s="2069"/>
      <c r="F1442" s="2069"/>
      <c r="G1442" s="2069"/>
      <c r="H1442" s="2069"/>
      <c r="I1442"/>
      <c r="J1442"/>
      <c r="K1442"/>
    </row>
    <row r="1443" spans="2:11" x14ac:dyDescent="0.2">
      <c r="B1443" s="2069"/>
      <c r="C1443" s="2069"/>
      <c r="D1443" s="2069"/>
      <c r="E1443" s="2069"/>
      <c r="F1443" s="2069"/>
      <c r="G1443" s="2069"/>
      <c r="H1443" s="2069"/>
      <c r="I1443"/>
      <c r="J1443"/>
      <c r="K1443"/>
    </row>
    <row r="1444" spans="2:11" x14ac:dyDescent="0.2">
      <c r="B1444" s="2069"/>
      <c r="C1444" s="2069"/>
      <c r="D1444" s="2069"/>
      <c r="E1444" s="2069"/>
      <c r="F1444" s="2069"/>
      <c r="G1444" s="2069"/>
      <c r="H1444" s="2069"/>
      <c r="I1444"/>
      <c r="J1444"/>
      <c r="K1444"/>
    </row>
    <row r="1445" spans="2:11" x14ac:dyDescent="0.2">
      <c r="B1445" s="2069"/>
      <c r="C1445" s="2069"/>
      <c r="D1445" s="2069"/>
      <c r="E1445" s="2069"/>
      <c r="F1445" s="2069"/>
      <c r="G1445" s="2069"/>
      <c r="H1445" s="2069"/>
      <c r="I1445"/>
      <c r="J1445"/>
      <c r="K1445"/>
    </row>
    <row r="1446" spans="2:11" x14ac:dyDescent="0.2">
      <c r="B1446" s="2069"/>
      <c r="C1446" s="2069"/>
      <c r="D1446" s="2069"/>
      <c r="E1446" s="2069"/>
      <c r="F1446" s="2069"/>
      <c r="G1446" s="2069"/>
      <c r="H1446" s="2069"/>
      <c r="I1446"/>
      <c r="J1446"/>
      <c r="K1446"/>
    </row>
    <row r="1447" spans="2:11" x14ac:dyDescent="0.2">
      <c r="B1447" s="2069"/>
      <c r="C1447" s="2069"/>
      <c r="D1447" s="2069"/>
      <c r="E1447" s="2069"/>
      <c r="F1447" s="2069"/>
      <c r="G1447" s="2069"/>
      <c r="H1447" s="2069"/>
      <c r="I1447"/>
      <c r="J1447"/>
      <c r="K1447"/>
    </row>
    <row r="1448" spans="2:11" x14ac:dyDescent="0.2">
      <c r="B1448" s="2069"/>
      <c r="C1448" s="2069"/>
      <c r="D1448" s="2069"/>
      <c r="E1448" s="2069"/>
      <c r="F1448" s="2069"/>
      <c r="G1448" s="2069"/>
      <c r="H1448" s="2069"/>
      <c r="I1448"/>
      <c r="J1448"/>
      <c r="K1448"/>
    </row>
    <row r="1449" spans="2:11" x14ac:dyDescent="0.2">
      <c r="B1449" s="2069"/>
      <c r="C1449" s="2069"/>
      <c r="D1449" s="2069"/>
      <c r="E1449" s="2069"/>
      <c r="F1449" s="2069"/>
      <c r="G1449" s="2069"/>
      <c r="H1449" s="2069"/>
      <c r="I1449"/>
      <c r="J1449"/>
      <c r="K1449"/>
    </row>
    <row r="1450" spans="2:11" x14ac:dyDescent="0.2">
      <c r="B1450" s="2069"/>
      <c r="C1450" s="2069"/>
      <c r="D1450" s="2069"/>
      <c r="E1450" s="2069"/>
      <c r="F1450" s="2069"/>
      <c r="G1450" s="2069"/>
      <c r="H1450" s="2069"/>
      <c r="I1450"/>
      <c r="J1450"/>
      <c r="K1450"/>
    </row>
    <row r="1451" spans="2:11" x14ac:dyDescent="0.2">
      <c r="B1451" s="2069"/>
      <c r="C1451" s="2069"/>
      <c r="D1451" s="2069"/>
      <c r="E1451" s="2069"/>
      <c r="F1451" s="2069"/>
      <c r="G1451" s="2069"/>
      <c r="H1451" s="2069"/>
      <c r="I1451"/>
      <c r="J1451"/>
      <c r="K1451"/>
    </row>
    <row r="1452" spans="2:11" x14ac:dyDescent="0.2">
      <c r="B1452" s="2069"/>
      <c r="C1452" s="2069"/>
      <c r="D1452" s="2069"/>
      <c r="E1452" s="2069"/>
      <c r="F1452" s="2069"/>
      <c r="G1452" s="2069"/>
      <c r="H1452" s="2069"/>
      <c r="I1452"/>
      <c r="J1452"/>
      <c r="K1452"/>
    </row>
    <row r="1453" spans="2:11" x14ac:dyDescent="0.2">
      <c r="B1453" s="2069"/>
      <c r="C1453" s="2069"/>
      <c r="D1453" s="2069"/>
      <c r="E1453" s="2069"/>
      <c r="F1453" s="2069"/>
      <c r="G1453" s="2069"/>
      <c r="H1453" s="2069"/>
      <c r="I1453"/>
      <c r="J1453"/>
      <c r="K1453"/>
    </row>
    <row r="1454" spans="2:11" x14ac:dyDescent="0.2">
      <c r="B1454" s="2069"/>
      <c r="C1454" s="2069"/>
      <c r="D1454" s="2069"/>
      <c r="E1454" s="2069"/>
      <c r="F1454" s="2069"/>
      <c r="G1454" s="2069"/>
      <c r="H1454" s="2069"/>
      <c r="I1454"/>
      <c r="J1454"/>
      <c r="K1454"/>
    </row>
    <row r="1455" spans="2:11" x14ac:dyDescent="0.2">
      <c r="B1455" s="2069"/>
      <c r="C1455" s="2069"/>
      <c r="D1455" s="2069"/>
      <c r="E1455" s="2069"/>
      <c r="F1455" s="2069"/>
      <c r="G1455" s="2069"/>
      <c r="H1455" s="2069"/>
      <c r="I1455"/>
      <c r="J1455"/>
      <c r="K1455"/>
    </row>
    <row r="1456" spans="2:11" x14ac:dyDescent="0.2">
      <c r="B1456" s="2069"/>
      <c r="C1456" s="2069"/>
      <c r="D1456" s="2069"/>
      <c r="E1456" s="2069"/>
      <c r="F1456" s="2069"/>
      <c r="G1456" s="2069"/>
      <c r="H1456" s="2069"/>
      <c r="I1456"/>
      <c r="J1456"/>
      <c r="K1456"/>
    </row>
    <row r="1457" spans="2:11" x14ac:dyDescent="0.2">
      <c r="B1457" s="2069"/>
      <c r="C1457" s="2069"/>
      <c r="D1457" s="2069"/>
      <c r="E1457" s="2069"/>
      <c r="F1457" s="2069"/>
      <c r="G1457" s="2069"/>
      <c r="H1457" s="2069"/>
      <c r="I1457"/>
      <c r="J1457"/>
      <c r="K1457"/>
    </row>
    <row r="1458" spans="2:11" x14ac:dyDescent="0.2">
      <c r="B1458" s="2069"/>
      <c r="C1458" s="2069"/>
      <c r="D1458" s="2069"/>
      <c r="E1458" s="2069"/>
      <c r="F1458" s="2069"/>
      <c r="G1458" s="2069"/>
      <c r="H1458" s="2069"/>
      <c r="I1458"/>
      <c r="J1458"/>
      <c r="K1458"/>
    </row>
    <row r="1459" spans="2:11" x14ac:dyDescent="0.2">
      <c r="B1459" s="2069"/>
      <c r="C1459" s="2069"/>
      <c r="D1459" s="2069"/>
      <c r="E1459" s="2069"/>
      <c r="F1459" s="2069"/>
      <c r="G1459" s="2069"/>
      <c r="H1459" s="2069"/>
      <c r="I1459"/>
      <c r="J1459"/>
      <c r="K1459"/>
    </row>
    <row r="1460" spans="2:11" x14ac:dyDescent="0.2">
      <c r="B1460" s="2069"/>
      <c r="C1460" s="2069"/>
      <c r="D1460" s="2069"/>
      <c r="E1460" s="2069"/>
      <c r="F1460" s="2069"/>
      <c r="G1460" s="2069"/>
      <c r="H1460" s="2069"/>
      <c r="I1460"/>
      <c r="J1460"/>
      <c r="K1460"/>
    </row>
    <row r="1461" spans="2:11" x14ac:dyDescent="0.2">
      <c r="B1461" s="2069"/>
      <c r="C1461" s="2069"/>
      <c r="D1461" s="2069"/>
      <c r="E1461" s="2069"/>
      <c r="F1461" s="2069"/>
      <c r="G1461" s="2069"/>
      <c r="H1461" s="2069"/>
      <c r="I1461"/>
      <c r="J1461"/>
      <c r="K1461"/>
    </row>
    <row r="1462" spans="2:11" x14ac:dyDescent="0.2">
      <c r="B1462" s="2069"/>
      <c r="C1462" s="2069"/>
      <c r="D1462" s="2069"/>
      <c r="E1462" s="2069"/>
      <c r="F1462" s="2069"/>
      <c r="G1462" s="2069"/>
      <c r="H1462" s="2069"/>
      <c r="I1462"/>
      <c r="J1462"/>
      <c r="K1462"/>
    </row>
    <row r="1463" spans="2:11" x14ac:dyDescent="0.2">
      <c r="B1463" s="2069"/>
      <c r="C1463" s="2069"/>
      <c r="D1463" s="2069"/>
      <c r="E1463" s="2069"/>
      <c r="F1463" s="2069"/>
      <c r="G1463" s="2069"/>
      <c r="H1463" s="2069"/>
      <c r="I1463"/>
      <c r="J1463"/>
      <c r="K1463"/>
    </row>
    <row r="1464" spans="2:11" x14ac:dyDescent="0.2">
      <c r="B1464" s="2069"/>
      <c r="C1464" s="2069"/>
      <c r="D1464" s="2069"/>
      <c r="E1464" s="2069"/>
      <c r="F1464" s="2069"/>
      <c r="G1464" s="2069"/>
      <c r="H1464" s="2069"/>
      <c r="I1464"/>
      <c r="J1464"/>
      <c r="K1464"/>
    </row>
    <row r="1465" spans="2:11" x14ac:dyDescent="0.2">
      <c r="B1465" s="2069"/>
      <c r="C1465" s="2069"/>
      <c r="D1465" s="2069"/>
      <c r="E1465" s="2069"/>
      <c r="F1465" s="2069"/>
      <c r="G1465" s="2069"/>
      <c r="H1465" s="2069"/>
      <c r="I1465"/>
      <c r="J1465"/>
      <c r="K1465"/>
    </row>
    <row r="1466" spans="2:11" x14ac:dyDescent="0.2">
      <c r="B1466" s="2069"/>
      <c r="C1466" s="2069"/>
      <c r="D1466" s="2069"/>
      <c r="E1466" s="2069"/>
      <c r="F1466" s="2069"/>
      <c r="G1466" s="2069"/>
      <c r="H1466" s="2069"/>
      <c r="I1466"/>
      <c r="J1466"/>
      <c r="K1466"/>
    </row>
    <row r="1467" spans="2:11" x14ac:dyDescent="0.2">
      <c r="B1467" s="2069"/>
      <c r="C1467" s="2069"/>
      <c r="D1467" s="2069"/>
      <c r="E1467" s="2069"/>
      <c r="F1467" s="2069"/>
      <c r="G1467" s="2069"/>
      <c r="H1467" s="2069"/>
      <c r="I1467"/>
      <c r="J1467"/>
      <c r="K1467"/>
    </row>
    <row r="1468" spans="2:11" x14ac:dyDescent="0.2">
      <c r="B1468" s="2069"/>
      <c r="C1468" s="2069"/>
      <c r="D1468" s="2069"/>
      <c r="E1468" s="2069"/>
      <c r="F1468" s="2069"/>
      <c r="G1468" s="2069"/>
      <c r="H1468" s="2069"/>
      <c r="I1468"/>
      <c r="J1468"/>
      <c r="K1468"/>
    </row>
    <row r="1469" spans="2:11" x14ac:dyDescent="0.2">
      <c r="B1469" s="2069"/>
      <c r="C1469" s="2069"/>
      <c r="D1469" s="2069"/>
      <c r="E1469" s="2069"/>
      <c r="F1469" s="2069"/>
      <c r="G1469" s="2069"/>
      <c r="H1469" s="2069"/>
      <c r="I1469"/>
      <c r="J1469"/>
      <c r="K1469"/>
    </row>
    <row r="1470" spans="2:11" x14ac:dyDescent="0.2">
      <c r="B1470" s="2069"/>
      <c r="C1470" s="2069"/>
      <c r="D1470" s="2069"/>
      <c r="E1470" s="2069"/>
      <c r="F1470" s="2069"/>
      <c r="G1470" s="2069"/>
      <c r="H1470" s="2069"/>
      <c r="I1470"/>
      <c r="J1470"/>
      <c r="K1470"/>
    </row>
    <row r="1471" spans="2:11" x14ac:dyDescent="0.2">
      <c r="B1471" s="2069"/>
      <c r="C1471" s="2069"/>
      <c r="D1471" s="2069"/>
      <c r="E1471" s="2069"/>
      <c r="F1471" s="2069"/>
      <c r="G1471" s="2069"/>
      <c r="H1471" s="2069"/>
      <c r="I1471"/>
      <c r="J1471"/>
      <c r="K1471"/>
    </row>
    <row r="1472" spans="2:11" x14ac:dyDescent="0.2">
      <c r="B1472" s="2069"/>
      <c r="C1472" s="2069"/>
      <c r="D1472" s="2069"/>
      <c r="E1472" s="2069"/>
      <c r="F1472" s="2069"/>
      <c r="G1472" s="2069"/>
      <c r="H1472" s="2069"/>
      <c r="I1472"/>
      <c r="J1472"/>
      <c r="K1472"/>
    </row>
    <row r="1473" spans="2:11" x14ac:dyDescent="0.2">
      <c r="B1473" s="2069"/>
      <c r="C1473" s="2069"/>
      <c r="D1473" s="2069"/>
      <c r="E1473" s="2069"/>
      <c r="F1473" s="2069"/>
      <c r="G1473" s="2069"/>
      <c r="H1473" s="2069"/>
      <c r="I1473"/>
      <c r="J1473"/>
      <c r="K1473"/>
    </row>
    <row r="1474" spans="2:11" x14ac:dyDescent="0.2">
      <c r="B1474" s="2069"/>
      <c r="C1474" s="2069"/>
      <c r="D1474" s="2069"/>
      <c r="E1474" s="2069"/>
      <c r="F1474" s="2069"/>
      <c r="G1474" s="2069"/>
      <c r="H1474" s="2069"/>
      <c r="I1474"/>
      <c r="J1474"/>
      <c r="K1474"/>
    </row>
    <row r="1475" spans="2:11" x14ac:dyDescent="0.2">
      <c r="B1475" s="2069"/>
      <c r="C1475" s="2069"/>
      <c r="D1475" s="2069"/>
      <c r="E1475" s="2069"/>
      <c r="F1475" s="2069"/>
      <c r="G1475" s="2069"/>
      <c r="H1475" s="2069"/>
      <c r="I1475"/>
      <c r="J1475"/>
      <c r="K1475"/>
    </row>
    <row r="1476" spans="2:11" x14ac:dyDescent="0.2">
      <c r="B1476" s="2069"/>
      <c r="C1476" s="2069"/>
      <c r="D1476" s="2069"/>
      <c r="E1476" s="2069"/>
      <c r="F1476" s="2069"/>
      <c r="G1476" s="2069"/>
      <c r="H1476" s="2069"/>
      <c r="I1476"/>
      <c r="J1476"/>
      <c r="K1476"/>
    </row>
    <row r="1477" spans="2:11" x14ac:dyDescent="0.2">
      <c r="B1477" s="2069"/>
      <c r="C1477" s="2069"/>
      <c r="D1477" s="2069"/>
      <c r="E1477" s="2069"/>
      <c r="F1477" s="2069"/>
      <c r="G1477" s="2069"/>
      <c r="H1477" s="2069"/>
      <c r="I1477"/>
      <c r="J1477"/>
      <c r="K1477"/>
    </row>
    <row r="1478" spans="2:11" x14ac:dyDescent="0.2">
      <c r="B1478" s="2069"/>
      <c r="C1478" s="2069"/>
      <c r="D1478" s="2069"/>
      <c r="E1478" s="2069"/>
      <c r="F1478" s="2069"/>
      <c r="G1478" s="2069"/>
      <c r="H1478" s="2069"/>
      <c r="I1478"/>
      <c r="J1478"/>
      <c r="K1478"/>
    </row>
    <row r="1479" spans="2:11" x14ac:dyDescent="0.2">
      <c r="B1479" s="2069"/>
      <c r="C1479" s="2069"/>
      <c r="D1479" s="2069"/>
      <c r="E1479" s="2069"/>
      <c r="F1479" s="2069"/>
      <c r="G1479" s="2069"/>
      <c r="H1479" s="2069"/>
      <c r="I1479"/>
      <c r="J1479"/>
      <c r="K1479"/>
    </row>
    <row r="1480" spans="2:11" x14ac:dyDescent="0.2">
      <c r="B1480" s="2069"/>
      <c r="C1480" s="2069"/>
      <c r="D1480" s="2069"/>
      <c r="E1480" s="2069"/>
      <c r="F1480" s="2069"/>
      <c r="G1480" s="2069"/>
      <c r="H1480" s="2069"/>
      <c r="I1480"/>
      <c r="J1480"/>
      <c r="K1480"/>
    </row>
    <row r="1481" spans="2:11" x14ac:dyDescent="0.2">
      <c r="B1481" s="2069"/>
      <c r="C1481" s="2069"/>
      <c r="D1481" s="2069"/>
      <c r="E1481" s="2069"/>
      <c r="F1481" s="2069"/>
      <c r="G1481" s="2069"/>
      <c r="H1481" s="2069"/>
      <c r="I1481"/>
      <c r="J1481"/>
      <c r="K1481"/>
    </row>
    <row r="1482" spans="2:11" x14ac:dyDescent="0.2">
      <c r="B1482" s="2069"/>
      <c r="C1482" s="2069"/>
      <c r="D1482" s="2069"/>
      <c r="E1482" s="2069"/>
      <c r="F1482" s="2069"/>
      <c r="G1482" s="2069"/>
      <c r="H1482" s="2069"/>
      <c r="I1482"/>
      <c r="J1482"/>
      <c r="K1482"/>
    </row>
    <row r="1483" spans="2:11" x14ac:dyDescent="0.2">
      <c r="B1483" s="2069"/>
      <c r="C1483" s="2069"/>
      <c r="D1483" s="2069"/>
      <c r="E1483" s="2069"/>
      <c r="F1483" s="2069"/>
      <c r="G1483" s="2069"/>
      <c r="H1483" s="2069"/>
      <c r="I1483"/>
      <c r="J1483"/>
      <c r="K1483"/>
    </row>
    <row r="1484" spans="2:11" x14ac:dyDescent="0.2">
      <c r="B1484" s="2069"/>
      <c r="C1484" s="2069"/>
      <c r="D1484" s="2069"/>
      <c r="E1484" s="2069"/>
      <c r="F1484" s="2069"/>
      <c r="G1484" s="2069"/>
      <c r="H1484" s="2069"/>
      <c r="I1484"/>
      <c r="J1484"/>
      <c r="K1484"/>
    </row>
    <row r="1485" spans="2:11" x14ac:dyDescent="0.2">
      <c r="B1485" s="2069"/>
      <c r="C1485" s="2069"/>
      <c r="D1485" s="2069"/>
      <c r="E1485" s="2069"/>
      <c r="F1485" s="2069"/>
      <c r="G1485" s="2069"/>
      <c r="H1485" s="2069"/>
      <c r="I1485"/>
      <c r="J1485"/>
      <c r="K1485"/>
    </row>
    <row r="1486" spans="2:11" x14ac:dyDescent="0.2">
      <c r="B1486" s="2069"/>
      <c r="C1486" s="2069"/>
      <c r="D1486" s="2069"/>
      <c r="E1486" s="2069"/>
      <c r="F1486" s="2069"/>
      <c r="G1486" s="2069"/>
      <c r="H1486" s="2069"/>
      <c r="I1486"/>
      <c r="J1486"/>
      <c r="K1486"/>
    </row>
    <row r="1487" spans="2:11" x14ac:dyDescent="0.2">
      <c r="B1487" s="2069"/>
      <c r="C1487" s="2069"/>
      <c r="D1487" s="2069"/>
      <c r="E1487" s="2069"/>
      <c r="F1487" s="2069"/>
      <c r="G1487" s="2069"/>
      <c r="H1487" s="2069"/>
      <c r="I1487"/>
      <c r="J1487"/>
      <c r="K1487"/>
    </row>
    <row r="1488" spans="2:11" x14ac:dyDescent="0.2">
      <c r="B1488" s="2069"/>
      <c r="C1488" s="2069"/>
      <c r="D1488" s="2069"/>
      <c r="E1488" s="2069"/>
      <c r="F1488" s="2069"/>
      <c r="G1488" s="2069"/>
      <c r="H1488" s="2069"/>
      <c r="I1488"/>
      <c r="J1488"/>
      <c r="K1488"/>
    </row>
    <row r="1489" spans="2:11" x14ac:dyDescent="0.2">
      <c r="B1489" s="2069"/>
      <c r="C1489" s="2069"/>
      <c r="D1489" s="2069"/>
      <c r="E1489" s="2069"/>
      <c r="F1489" s="2069"/>
      <c r="G1489" s="2069"/>
      <c r="H1489" s="2069"/>
      <c r="I1489"/>
      <c r="J1489"/>
      <c r="K1489"/>
    </row>
    <row r="1490" spans="2:11" x14ac:dyDescent="0.2">
      <c r="B1490" s="2069"/>
      <c r="C1490" s="2069"/>
      <c r="D1490" s="2069"/>
      <c r="E1490" s="2069"/>
      <c r="F1490" s="2069"/>
      <c r="G1490" s="2069"/>
      <c r="H1490" s="2069"/>
      <c r="I1490"/>
      <c r="J1490"/>
      <c r="K1490"/>
    </row>
    <row r="1491" spans="2:11" x14ac:dyDescent="0.2">
      <c r="B1491" s="2069"/>
      <c r="C1491" s="2069"/>
      <c r="D1491" s="2069"/>
      <c r="E1491" s="2069"/>
      <c r="F1491" s="2069"/>
      <c r="G1491" s="2069"/>
      <c r="H1491" s="2069"/>
      <c r="I1491"/>
      <c r="J1491"/>
      <c r="K1491"/>
    </row>
    <row r="1492" spans="2:11" x14ac:dyDescent="0.2">
      <c r="B1492" s="2069"/>
      <c r="C1492" s="2069"/>
      <c r="D1492" s="2069"/>
      <c r="E1492" s="2069"/>
      <c r="F1492" s="2069"/>
      <c r="G1492" s="2069"/>
      <c r="H1492" s="2069"/>
      <c r="I1492"/>
      <c r="J1492"/>
      <c r="K1492"/>
    </row>
    <row r="1493" spans="2:11" x14ac:dyDescent="0.2">
      <c r="B1493" s="2069"/>
      <c r="C1493" s="2069"/>
      <c r="D1493" s="2069"/>
      <c r="E1493" s="2069"/>
      <c r="F1493" s="2069"/>
      <c r="G1493" s="2069"/>
      <c r="H1493" s="2069"/>
      <c r="I1493"/>
      <c r="J1493"/>
      <c r="K1493"/>
    </row>
    <row r="1494" spans="2:11" x14ac:dyDescent="0.2">
      <c r="B1494" s="2069"/>
      <c r="C1494" s="2069"/>
      <c r="D1494" s="2069"/>
      <c r="E1494" s="2069"/>
      <c r="F1494" s="2069"/>
      <c r="G1494" s="2069"/>
      <c r="H1494" s="2069"/>
      <c r="I1494"/>
      <c r="J1494"/>
      <c r="K1494"/>
    </row>
    <row r="1495" spans="2:11" x14ac:dyDescent="0.2">
      <c r="B1495" s="2069"/>
      <c r="C1495" s="2069"/>
      <c r="D1495" s="2069"/>
      <c r="E1495" s="2069"/>
      <c r="F1495" s="2069"/>
      <c r="G1495" s="2069"/>
      <c r="H1495" s="2069"/>
      <c r="I1495"/>
      <c r="J1495"/>
      <c r="K1495"/>
    </row>
    <row r="1496" spans="2:11" x14ac:dyDescent="0.2">
      <c r="B1496" s="2069"/>
      <c r="C1496" s="2069"/>
      <c r="D1496" s="2069"/>
      <c r="E1496" s="2069"/>
      <c r="F1496" s="2069"/>
      <c r="G1496" s="2069"/>
      <c r="H1496" s="2069"/>
      <c r="I1496"/>
      <c r="J1496"/>
      <c r="K1496"/>
    </row>
    <row r="1497" spans="2:11" x14ac:dyDescent="0.2">
      <c r="B1497" s="2069"/>
      <c r="C1497" s="2069"/>
      <c r="D1497" s="2069"/>
      <c r="E1497" s="2069"/>
      <c r="F1497" s="2069"/>
      <c r="G1497" s="2069"/>
      <c r="H1497" s="2069"/>
      <c r="I1497"/>
      <c r="J1497"/>
      <c r="K1497"/>
    </row>
    <row r="1498" spans="2:11" x14ac:dyDescent="0.2">
      <c r="B1498" s="2069"/>
      <c r="C1498" s="2069"/>
      <c r="D1498" s="2069"/>
      <c r="E1498" s="2069"/>
      <c r="F1498" s="2069"/>
      <c r="G1498" s="2069"/>
      <c r="H1498" s="2069"/>
      <c r="I1498"/>
      <c r="J1498"/>
      <c r="K1498"/>
    </row>
    <row r="1499" spans="2:11" x14ac:dyDescent="0.2">
      <c r="B1499" s="2069"/>
      <c r="C1499" s="2069"/>
      <c r="D1499" s="2069"/>
      <c r="E1499" s="2069"/>
      <c r="F1499" s="2069"/>
      <c r="G1499" s="2069"/>
      <c r="H1499" s="2069"/>
      <c r="I1499"/>
      <c r="J1499"/>
      <c r="K1499"/>
    </row>
    <row r="1500" spans="2:11" x14ac:dyDescent="0.2">
      <c r="B1500" s="2069"/>
      <c r="C1500" s="2069"/>
      <c r="D1500" s="2069"/>
      <c r="E1500" s="2069"/>
      <c r="F1500" s="2069"/>
      <c r="G1500" s="2069"/>
      <c r="H1500" s="2069"/>
      <c r="I1500"/>
      <c r="J1500"/>
      <c r="K1500"/>
    </row>
    <row r="1501" spans="2:11" x14ac:dyDescent="0.2">
      <c r="B1501" s="2069"/>
      <c r="C1501" s="2069"/>
      <c r="D1501" s="2069"/>
      <c r="E1501" s="2069"/>
      <c r="F1501" s="2069"/>
      <c r="G1501" s="2069"/>
      <c r="H1501" s="2069"/>
      <c r="I1501"/>
      <c r="J1501"/>
      <c r="K1501"/>
    </row>
    <row r="1502" spans="2:11" x14ac:dyDescent="0.2">
      <c r="B1502" s="2069"/>
      <c r="C1502" s="2069"/>
      <c r="D1502" s="2069"/>
      <c r="E1502" s="2069"/>
      <c r="F1502" s="2069"/>
      <c r="G1502" s="2069"/>
      <c r="H1502" s="2069"/>
      <c r="I1502"/>
      <c r="J1502"/>
      <c r="K1502"/>
    </row>
    <row r="1503" spans="2:11" x14ac:dyDescent="0.2">
      <c r="B1503" s="2069"/>
      <c r="C1503" s="2069"/>
      <c r="D1503" s="2069"/>
      <c r="E1503" s="2069"/>
      <c r="F1503" s="2069"/>
      <c r="G1503" s="2069"/>
      <c r="H1503" s="2069"/>
      <c r="I1503"/>
      <c r="J1503"/>
      <c r="K1503"/>
    </row>
    <row r="1504" spans="2:11" x14ac:dyDescent="0.2">
      <c r="B1504" s="2069"/>
      <c r="C1504" s="2069"/>
      <c r="D1504" s="2069"/>
      <c r="E1504" s="2069"/>
      <c r="F1504" s="2069"/>
      <c r="G1504" s="2069"/>
      <c r="H1504" s="2069"/>
      <c r="I1504"/>
      <c r="J1504"/>
      <c r="K1504"/>
    </row>
    <row r="1505" spans="2:11" x14ac:dyDescent="0.2">
      <c r="B1505" s="2069"/>
      <c r="C1505" s="2069"/>
      <c r="D1505" s="2069"/>
      <c r="E1505" s="2069"/>
      <c r="F1505" s="2069"/>
      <c r="G1505" s="2069"/>
      <c r="H1505" s="2069"/>
      <c r="I1505"/>
      <c r="J1505"/>
      <c r="K1505"/>
    </row>
    <row r="1506" spans="2:11" x14ac:dyDescent="0.2">
      <c r="B1506" s="2069"/>
      <c r="C1506" s="2069"/>
      <c r="D1506" s="2069"/>
      <c r="E1506" s="2069"/>
      <c r="F1506" s="2069"/>
      <c r="G1506" s="2069"/>
      <c r="H1506" s="2069"/>
      <c r="I1506"/>
      <c r="J1506"/>
      <c r="K1506"/>
    </row>
    <row r="1507" spans="2:11" x14ac:dyDescent="0.2">
      <c r="B1507" s="2069"/>
      <c r="C1507" s="2069"/>
      <c r="D1507" s="2069"/>
      <c r="E1507" s="2069"/>
      <c r="F1507" s="2069"/>
      <c r="G1507" s="2069"/>
      <c r="H1507" s="2069"/>
      <c r="I1507"/>
      <c r="J1507"/>
      <c r="K1507"/>
    </row>
    <row r="1508" spans="2:11" x14ac:dyDescent="0.2">
      <c r="B1508" s="2069"/>
      <c r="C1508" s="2069"/>
      <c r="D1508" s="2069"/>
      <c r="E1508" s="2069"/>
      <c r="F1508" s="2069"/>
      <c r="G1508" s="2069"/>
      <c r="H1508" s="2069"/>
      <c r="I1508"/>
      <c r="J1508"/>
      <c r="K1508"/>
    </row>
    <row r="1509" spans="2:11" x14ac:dyDescent="0.2">
      <c r="B1509" s="2069"/>
      <c r="C1509" s="2069"/>
      <c r="D1509" s="2069"/>
      <c r="E1509" s="2069"/>
      <c r="F1509" s="2069"/>
      <c r="G1509" s="2069"/>
      <c r="H1509" s="2069"/>
      <c r="I1509"/>
      <c r="J1509"/>
      <c r="K1509"/>
    </row>
    <row r="1510" spans="2:11" x14ac:dyDescent="0.2">
      <c r="B1510" s="2069"/>
      <c r="C1510" s="2069"/>
      <c r="D1510" s="2069"/>
      <c r="E1510" s="2069"/>
      <c r="F1510" s="2069"/>
      <c r="G1510" s="2069"/>
      <c r="H1510" s="2069"/>
      <c r="I1510"/>
      <c r="J1510"/>
      <c r="K1510"/>
    </row>
    <row r="1511" spans="2:11" x14ac:dyDescent="0.2">
      <c r="B1511" s="2069"/>
      <c r="C1511" s="2069"/>
      <c r="D1511" s="2069"/>
      <c r="E1511" s="2069"/>
      <c r="F1511" s="2069"/>
      <c r="G1511" s="2069"/>
      <c r="H1511" s="2069"/>
      <c r="I1511"/>
      <c r="J1511"/>
      <c r="K1511"/>
    </row>
    <row r="1512" spans="2:11" x14ac:dyDescent="0.2">
      <c r="B1512" s="2069"/>
      <c r="C1512" s="2069"/>
      <c r="D1512" s="2069"/>
      <c r="E1512" s="2069"/>
      <c r="F1512" s="2069"/>
      <c r="G1512" s="2069"/>
      <c r="H1512" s="2069"/>
      <c r="I1512"/>
      <c r="J1512"/>
      <c r="K1512"/>
    </row>
    <row r="1513" spans="2:11" x14ac:dyDescent="0.2">
      <c r="B1513" s="2069"/>
      <c r="C1513" s="2069"/>
      <c r="D1513" s="2069"/>
      <c r="E1513" s="2069"/>
      <c r="F1513" s="2069"/>
      <c r="G1513" s="2069"/>
      <c r="H1513" s="2069"/>
      <c r="I1513"/>
      <c r="J1513"/>
      <c r="K1513"/>
    </row>
    <row r="1514" spans="2:11" x14ac:dyDescent="0.2">
      <c r="B1514" s="2069"/>
      <c r="C1514" s="2069"/>
      <c r="D1514" s="2069"/>
      <c r="E1514" s="2069"/>
      <c r="F1514" s="2069"/>
      <c r="G1514" s="2069"/>
      <c r="H1514" s="2069"/>
      <c r="I1514"/>
      <c r="J1514"/>
      <c r="K1514"/>
    </row>
    <row r="1515" spans="2:11" x14ac:dyDescent="0.2">
      <c r="B1515" s="2069"/>
      <c r="C1515" s="2069"/>
      <c r="D1515" s="2069"/>
      <c r="E1515" s="2069"/>
      <c r="F1515" s="2069"/>
      <c r="G1515" s="2069"/>
      <c r="H1515" s="2069"/>
      <c r="I1515"/>
      <c r="J1515"/>
      <c r="K1515"/>
    </row>
    <row r="1516" spans="2:11" x14ac:dyDescent="0.2">
      <c r="B1516" s="2069"/>
      <c r="C1516" s="2069"/>
      <c r="D1516" s="2069"/>
      <c r="E1516" s="2069"/>
      <c r="F1516" s="2069"/>
      <c r="G1516" s="2069"/>
      <c r="H1516" s="2069"/>
      <c r="I1516"/>
      <c r="J1516"/>
      <c r="K1516"/>
    </row>
    <row r="1517" spans="2:11" x14ac:dyDescent="0.2">
      <c r="B1517" s="2069"/>
      <c r="C1517" s="2069"/>
      <c r="D1517" s="2069"/>
      <c r="E1517" s="2069"/>
      <c r="F1517" s="2069"/>
      <c r="G1517" s="2069"/>
      <c r="H1517" s="2069"/>
      <c r="I1517"/>
      <c r="J1517"/>
      <c r="K1517"/>
    </row>
    <row r="1518" spans="2:11" x14ac:dyDescent="0.2">
      <c r="B1518" s="2069"/>
      <c r="C1518" s="2069"/>
      <c r="D1518" s="2069"/>
      <c r="E1518" s="2069"/>
      <c r="F1518" s="2069"/>
      <c r="G1518" s="2069"/>
      <c r="H1518" s="2069"/>
      <c r="I1518"/>
      <c r="J1518"/>
      <c r="K1518"/>
    </row>
    <row r="1519" spans="2:11" x14ac:dyDescent="0.2">
      <c r="B1519" s="2069"/>
      <c r="C1519" s="2069"/>
      <c r="D1519" s="2069"/>
      <c r="E1519" s="2069"/>
      <c r="F1519" s="2069"/>
      <c r="G1519" s="2069"/>
      <c r="H1519" s="2069"/>
      <c r="I1519"/>
      <c r="J1519"/>
      <c r="K1519"/>
    </row>
    <row r="1520" spans="2:11" x14ac:dyDescent="0.2">
      <c r="B1520" s="2069"/>
      <c r="C1520" s="2069"/>
      <c r="D1520" s="2069"/>
      <c r="E1520" s="2069"/>
      <c r="F1520" s="2069"/>
      <c r="G1520" s="2069"/>
      <c r="H1520" s="2069"/>
      <c r="I1520"/>
      <c r="J1520"/>
      <c r="K1520"/>
    </row>
    <row r="1521" spans="2:11" x14ac:dyDescent="0.2">
      <c r="B1521" s="2069"/>
      <c r="C1521" s="2069"/>
      <c r="D1521" s="2069"/>
      <c r="E1521" s="2069"/>
      <c r="F1521" s="2069"/>
      <c r="G1521" s="2069"/>
      <c r="H1521" s="2069"/>
      <c r="I1521"/>
      <c r="J1521"/>
      <c r="K1521"/>
    </row>
    <row r="1522" spans="2:11" x14ac:dyDescent="0.2">
      <c r="B1522" s="2069"/>
      <c r="C1522" s="2069"/>
      <c r="D1522" s="2069"/>
      <c r="E1522" s="2069"/>
      <c r="F1522" s="2069"/>
      <c r="G1522" s="2069"/>
      <c r="H1522" s="2069"/>
      <c r="I1522"/>
      <c r="J1522"/>
      <c r="K1522"/>
    </row>
    <row r="1523" spans="2:11" x14ac:dyDescent="0.2">
      <c r="B1523" s="2069"/>
      <c r="C1523" s="2069"/>
      <c r="D1523" s="2069"/>
      <c r="E1523" s="2069"/>
      <c r="F1523" s="2069"/>
      <c r="G1523" s="2069"/>
      <c r="H1523" s="2069"/>
      <c r="I1523"/>
      <c r="J1523"/>
      <c r="K1523"/>
    </row>
    <row r="1524" spans="2:11" x14ac:dyDescent="0.2">
      <c r="B1524" s="2069"/>
      <c r="C1524" s="2069"/>
      <c r="D1524" s="2069"/>
      <c r="E1524" s="2069"/>
      <c r="F1524" s="2069"/>
      <c r="G1524" s="2069"/>
      <c r="H1524" s="2069"/>
      <c r="I1524"/>
      <c r="J1524"/>
      <c r="K1524"/>
    </row>
    <row r="1525" spans="2:11" x14ac:dyDescent="0.2">
      <c r="B1525" s="2069"/>
      <c r="C1525" s="2069"/>
      <c r="D1525" s="2069"/>
      <c r="E1525" s="2069"/>
      <c r="F1525" s="2069"/>
      <c r="G1525" s="2069"/>
      <c r="H1525" s="2069"/>
      <c r="I1525"/>
      <c r="J1525"/>
      <c r="K1525"/>
    </row>
    <row r="1526" spans="2:11" x14ac:dyDescent="0.2">
      <c r="B1526" s="2069"/>
      <c r="C1526" s="2069"/>
      <c r="D1526" s="2069"/>
      <c r="E1526" s="2069"/>
      <c r="F1526" s="2069"/>
      <c r="G1526" s="2069"/>
      <c r="H1526" s="2069"/>
      <c r="I1526"/>
      <c r="J1526"/>
      <c r="K1526"/>
    </row>
    <row r="1527" spans="2:11" x14ac:dyDescent="0.2">
      <c r="B1527" s="2069"/>
      <c r="C1527" s="2069"/>
      <c r="D1527" s="2069"/>
      <c r="E1527" s="2069"/>
      <c r="F1527" s="2069"/>
      <c r="G1527" s="2069"/>
      <c r="H1527" s="2069"/>
      <c r="I1527"/>
      <c r="J1527"/>
      <c r="K1527"/>
    </row>
    <row r="1528" spans="2:11" x14ac:dyDescent="0.2">
      <c r="B1528" s="2069"/>
      <c r="C1528" s="2069"/>
      <c r="D1528" s="2069"/>
      <c r="E1528" s="2069"/>
      <c r="F1528" s="2069"/>
      <c r="G1528" s="2069"/>
      <c r="H1528" s="2069"/>
      <c r="I1528"/>
      <c r="J1528"/>
      <c r="K1528"/>
    </row>
    <row r="1529" spans="2:11" x14ac:dyDescent="0.2">
      <c r="B1529" s="2069"/>
      <c r="C1529" s="2069"/>
      <c r="D1529" s="2069"/>
      <c r="E1529" s="2069"/>
      <c r="F1529" s="2069"/>
      <c r="G1529" s="2069"/>
      <c r="H1529" s="2069"/>
      <c r="I1529"/>
      <c r="J1529"/>
      <c r="K1529"/>
    </row>
    <row r="1530" spans="2:11" x14ac:dyDescent="0.2">
      <c r="B1530" s="2069"/>
      <c r="C1530" s="2069"/>
      <c r="D1530" s="2069"/>
      <c r="E1530" s="2069"/>
      <c r="F1530" s="2069"/>
      <c r="G1530" s="2069"/>
      <c r="H1530" s="2069"/>
      <c r="I1530"/>
      <c r="J1530"/>
      <c r="K1530"/>
    </row>
    <row r="1531" spans="2:11" x14ac:dyDescent="0.2">
      <c r="B1531" s="2069"/>
      <c r="C1531" s="2069"/>
      <c r="D1531" s="2069"/>
      <c r="E1531" s="2069"/>
      <c r="F1531" s="2069"/>
      <c r="G1531" s="2069"/>
      <c r="H1531" s="2069"/>
      <c r="I1531"/>
      <c r="J1531"/>
      <c r="K1531"/>
    </row>
    <row r="1532" spans="2:11" x14ac:dyDescent="0.2">
      <c r="B1532" s="2069"/>
      <c r="C1532" s="2069"/>
      <c r="D1532" s="2069"/>
      <c r="E1532" s="2069"/>
      <c r="F1532" s="2069"/>
      <c r="G1532" s="2069"/>
      <c r="H1532" s="2069"/>
      <c r="I1532"/>
      <c r="J1532"/>
      <c r="K1532"/>
    </row>
    <row r="1533" spans="2:11" x14ac:dyDescent="0.2">
      <c r="B1533" s="2069"/>
      <c r="C1533" s="2069"/>
      <c r="D1533" s="2069"/>
      <c r="E1533" s="2069"/>
      <c r="F1533" s="2069"/>
      <c r="G1533" s="2069"/>
      <c r="H1533" s="2069"/>
      <c r="I1533"/>
      <c r="J1533"/>
      <c r="K1533"/>
    </row>
    <row r="1534" spans="2:11" x14ac:dyDescent="0.2">
      <c r="B1534" s="2069"/>
      <c r="C1534" s="2069"/>
      <c r="D1534" s="2069"/>
      <c r="E1534" s="2069"/>
      <c r="F1534" s="2069"/>
      <c r="G1534" s="2069"/>
      <c r="H1534" s="2069"/>
      <c r="I1534"/>
      <c r="J1534"/>
      <c r="K1534"/>
    </row>
    <row r="1535" spans="2:11" x14ac:dyDescent="0.2">
      <c r="B1535" s="2069"/>
      <c r="C1535" s="2069"/>
      <c r="D1535" s="2069"/>
      <c r="E1535" s="2069"/>
      <c r="F1535" s="2069"/>
      <c r="G1535" s="2069"/>
      <c r="H1535" s="2069"/>
      <c r="I1535"/>
      <c r="J1535"/>
      <c r="K1535"/>
    </row>
    <row r="1536" spans="2:11" x14ac:dyDescent="0.2">
      <c r="B1536" s="2069"/>
      <c r="C1536" s="2069"/>
      <c r="D1536" s="2069"/>
      <c r="E1536" s="2069"/>
      <c r="F1536" s="2069"/>
      <c r="G1536" s="2069"/>
      <c r="H1536" s="2069"/>
      <c r="I1536"/>
      <c r="J1536"/>
      <c r="K1536"/>
    </row>
    <row r="1537" spans="2:11" x14ac:dyDescent="0.2">
      <c r="B1537" s="2069"/>
      <c r="C1537" s="2069"/>
      <c r="D1537" s="2069"/>
      <c r="E1537" s="2069"/>
      <c r="F1537" s="2069"/>
      <c r="G1537" s="2069"/>
      <c r="H1537" s="2069"/>
      <c r="I1537"/>
      <c r="J1537"/>
      <c r="K1537"/>
    </row>
    <row r="1538" spans="2:11" x14ac:dyDescent="0.2">
      <c r="B1538" s="2069"/>
      <c r="C1538" s="2069"/>
      <c r="D1538" s="2069"/>
      <c r="E1538" s="2069"/>
      <c r="F1538" s="2069"/>
      <c r="G1538" s="2069"/>
      <c r="H1538" s="2069"/>
      <c r="I1538"/>
      <c r="J1538"/>
      <c r="K1538"/>
    </row>
    <row r="1539" spans="2:11" x14ac:dyDescent="0.2">
      <c r="B1539" s="2069"/>
      <c r="C1539" s="2069"/>
      <c r="D1539" s="2069"/>
      <c r="E1539" s="2069"/>
      <c r="F1539" s="2069"/>
      <c r="G1539" s="2069"/>
      <c r="H1539" s="2069"/>
      <c r="I1539"/>
      <c r="J1539"/>
      <c r="K1539"/>
    </row>
    <row r="1540" spans="2:11" x14ac:dyDescent="0.2">
      <c r="B1540" s="2069"/>
      <c r="C1540" s="2069"/>
      <c r="D1540" s="2069"/>
      <c r="E1540" s="2069"/>
      <c r="F1540" s="2069"/>
      <c r="G1540" s="2069"/>
      <c r="H1540" s="2069"/>
      <c r="I1540"/>
      <c r="J1540"/>
      <c r="K1540"/>
    </row>
    <row r="1541" spans="2:11" x14ac:dyDescent="0.2">
      <c r="B1541" s="2069"/>
      <c r="C1541" s="2069"/>
      <c r="D1541" s="2069"/>
      <c r="E1541" s="2069"/>
      <c r="F1541" s="2069"/>
      <c r="G1541" s="2069"/>
      <c r="H1541" s="2069"/>
      <c r="I1541"/>
      <c r="J1541"/>
      <c r="K1541"/>
    </row>
    <row r="1542" spans="2:11" x14ac:dyDescent="0.2">
      <c r="B1542" s="2069"/>
      <c r="C1542" s="2069"/>
      <c r="D1542" s="2069"/>
      <c r="E1542" s="2069"/>
      <c r="F1542" s="2069"/>
      <c r="G1542" s="2069"/>
      <c r="H1542" s="2069"/>
      <c r="I1542"/>
      <c r="J1542"/>
      <c r="K1542"/>
    </row>
    <row r="1543" spans="2:11" x14ac:dyDescent="0.2">
      <c r="B1543" s="2069"/>
      <c r="C1543" s="2069"/>
      <c r="D1543" s="2069"/>
      <c r="E1543" s="2069"/>
      <c r="F1543" s="2069"/>
      <c r="G1543" s="2069"/>
      <c r="H1543" s="2069"/>
      <c r="I1543"/>
      <c r="J1543"/>
      <c r="K1543"/>
    </row>
    <row r="1544" spans="2:11" x14ac:dyDescent="0.2">
      <c r="B1544" s="2069"/>
      <c r="C1544" s="2069"/>
      <c r="D1544" s="2069"/>
      <c r="E1544" s="2069"/>
      <c r="F1544" s="2069"/>
      <c r="G1544" s="2069"/>
      <c r="H1544" s="2069"/>
      <c r="I1544"/>
      <c r="J1544"/>
      <c r="K1544"/>
    </row>
    <row r="1545" spans="2:11" x14ac:dyDescent="0.2">
      <c r="B1545" s="2069"/>
      <c r="C1545" s="2069"/>
      <c r="D1545" s="2069"/>
      <c r="E1545" s="2069"/>
      <c r="F1545" s="2069"/>
      <c r="G1545" s="2069"/>
      <c r="H1545" s="2069"/>
      <c r="I1545"/>
      <c r="J1545"/>
      <c r="K1545"/>
    </row>
    <row r="1546" spans="2:11" x14ac:dyDescent="0.2">
      <c r="B1546" s="2069"/>
      <c r="C1546" s="2069"/>
      <c r="D1546" s="2069"/>
      <c r="E1546" s="2069"/>
      <c r="F1546" s="2069"/>
      <c r="G1546" s="2069"/>
      <c r="H1546" s="2069"/>
      <c r="I1546"/>
      <c r="J1546"/>
      <c r="K1546"/>
    </row>
    <row r="1547" spans="2:11" x14ac:dyDescent="0.2">
      <c r="B1547" s="2069"/>
      <c r="C1547" s="2069"/>
      <c r="D1547" s="2069"/>
      <c r="E1547" s="2069"/>
      <c r="F1547" s="2069"/>
      <c r="G1547" s="2069"/>
      <c r="H1547" s="2069"/>
      <c r="I1547"/>
      <c r="J1547"/>
      <c r="K1547"/>
    </row>
    <row r="1548" spans="2:11" x14ac:dyDescent="0.2">
      <c r="B1548" s="2069"/>
      <c r="C1548" s="2069"/>
      <c r="D1548" s="2069"/>
      <c r="E1548" s="2069"/>
      <c r="F1548" s="2069"/>
      <c r="G1548" s="2069"/>
      <c r="H1548" s="2069"/>
      <c r="I1548"/>
      <c r="J1548"/>
      <c r="K1548"/>
    </row>
    <row r="1549" spans="2:11" x14ac:dyDescent="0.2">
      <c r="B1549" s="2069"/>
      <c r="C1549" s="2069"/>
      <c r="D1549" s="2069"/>
      <c r="E1549" s="2069"/>
      <c r="F1549" s="2069"/>
      <c r="G1549" s="2069"/>
      <c r="H1549" s="2069"/>
      <c r="I1549"/>
      <c r="J1549"/>
      <c r="K1549"/>
    </row>
    <row r="1550" spans="2:11" x14ac:dyDescent="0.2">
      <c r="B1550" s="2069"/>
      <c r="C1550" s="2069"/>
      <c r="D1550" s="2069"/>
      <c r="E1550" s="2069"/>
      <c r="F1550" s="2069"/>
      <c r="G1550" s="2069"/>
      <c r="H1550" s="2069"/>
      <c r="I1550"/>
      <c r="J1550"/>
      <c r="K1550"/>
    </row>
    <row r="1551" spans="2:11" x14ac:dyDescent="0.2">
      <c r="B1551" s="2069"/>
      <c r="C1551" s="2069"/>
      <c r="D1551" s="2069"/>
      <c r="E1551" s="2069"/>
      <c r="F1551" s="2069"/>
      <c r="G1551" s="2069"/>
      <c r="H1551" s="2069"/>
      <c r="I1551"/>
      <c r="J1551"/>
      <c r="K1551"/>
    </row>
    <row r="1552" spans="2:11" x14ac:dyDescent="0.2">
      <c r="B1552" s="2069"/>
      <c r="C1552" s="2069"/>
      <c r="D1552" s="2069"/>
      <c r="E1552" s="2069"/>
      <c r="F1552" s="2069"/>
      <c r="G1552" s="2069"/>
      <c r="H1552" s="2069"/>
      <c r="I1552"/>
      <c r="J1552"/>
      <c r="K1552"/>
    </row>
    <row r="1553" spans="2:11" x14ac:dyDescent="0.2">
      <c r="B1553" s="2069"/>
      <c r="C1553" s="2069"/>
      <c r="D1553" s="2069"/>
      <c r="E1553" s="2069"/>
      <c r="F1553" s="2069"/>
      <c r="G1553" s="2069"/>
      <c r="H1553" s="2069"/>
      <c r="I1553"/>
      <c r="J1553"/>
      <c r="K1553"/>
    </row>
    <row r="1554" spans="2:11" x14ac:dyDescent="0.2">
      <c r="B1554" s="2069"/>
      <c r="C1554" s="2069"/>
      <c r="D1554" s="2069"/>
      <c r="E1554" s="2069"/>
      <c r="F1554" s="2069"/>
      <c r="G1554" s="2069"/>
      <c r="H1554" s="2069"/>
      <c r="I1554"/>
      <c r="J1554"/>
      <c r="K1554"/>
    </row>
    <row r="1555" spans="2:11" x14ac:dyDescent="0.2">
      <c r="B1555" s="2069"/>
      <c r="C1555" s="2069"/>
      <c r="D1555" s="2069"/>
      <c r="E1555" s="2069"/>
      <c r="F1555" s="2069"/>
      <c r="G1555" s="2069"/>
      <c r="H1555" s="2069"/>
      <c r="I1555"/>
      <c r="J1555"/>
      <c r="K1555"/>
    </row>
    <row r="1556" spans="2:11" x14ac:dyDescent="0.2">
      <c r="B1556" s="2069"/>
      <c r="C1556" s="2069"/>
      <c r="D1556" s="2069"/>
      <c r="E1556" s="2069"/>
      <c r="F1556" s="2069"/>
      <c r="G1556" s="2069"/>
      <c r="H1556" s="2069"/>
      <c r="I1556"/>
      <c r="J1556"/>
      <c r="K1556"/>
    </row>
    <row r="1557" spans="2:11" x14ac:dyDescent="0.2">
      <c r="B1557" s="2069"/>
      <c r="C1557" s="2069"/>
      <c r="D1557" s="2069"/>
      <c r="E1557" s="2069"/>
      <c r="F1557" s="2069"/>
      <c r="G1557" s="2069"/>
      <c r="H1557" s="2069"/>
      <c r="I1557"/>
      <c r="J1557"/>
      <c r="K1557"/>
    </row>
    <row r="1558" spans="2:11" x14ac:dyDescent="0.2">
      <c r="B1558" s="2069"/>
      <c r="C1558" s="2069"/>
      <c r="D1558" s="2069"/>
      <c r="E1558" s="2069"/>
      <c r="F1558" s="2069"/>
      <c r="G1558" s="2069"/>
      <c r="H1558" s="2069"/>
      <c r="I1558"/>
      <c r="J1558"/>
      <c r="K1558"/>
    </row>
    <row r="1559" spans="2:11" x14ac:dyDescent="0.2">
      <c r="B1559" s="2069"/>
      <c r="C1559" s="2069"/>
      <c r="D1559" s="2069"/>
      <c r="E1559" s="2069"/>
      <c r="F1559" s="2069"/>
      <c r="G1559" s="2069"/>
      <c r="H1559" s="2069"/>
      <c r="I1559"/>
      <c r="J1559"/>
      <c r="K1559"/>
    </row>
    <row r="1560" spans="2:11" x14ac:dyDescent="0.2">
      <c r="B1560" s="2069"/>
      <c r="C1560" s="2069"/>
      <c r="D1560" s="2069"/>
      <c r="E1560" s="2069"/>
      <c r="F1560" s="2069"/>
      <c r="G1560" s="2069"/>
      <c r="H1560" s="2069"/>
      <c r="I1560"/>
      <c r="J1560"/>
      <c r="K1560"/>
    </row>
    <row r="1561" spans="2:11" x14ac:dyDescent="0.2">
      <c r="B1561" s="2069"/>
      <c r="C1561" s="2069"/>
      <c r="D1561" s="2069"/>
      <c r="E1561" s="2069"/>
      <c r="F1561" s="2069"/>
      <c r="G1561" s="2069"/>
      <c r="H1561" s="2069"/>
      <c r="I1561"/>
      <c r="J1561"/>
      <c r="K1561"/>
    </row>
    <row r="1562" spans="2:11" x14ac:dyDescent="0.2">
      <c r="B1562" s="2069"/>
      <c r="C1562" s="2069"/>
      <c r="D1562" s="2069"/>
      <c r="E1562" s="2069"/>
      <c r="F1562" s="2069"/>
      <c r="G1562" s="2069"/>
      <c r="H1562" s="2069"/>
      <c r="I1562"/>
      <c r="J1562"/>
      <c r="K1562"/>
    </row>
    <row r="1563" spans="2:11" x14ac:dyDescent="0.2">
      <c r="B1563" s="2069"/>
      <c r="C1563" s="2069"/>
      <c r="D1563" s="2069"/>
      <c r="E1563" s="2069"/>
      <c r="F1563" s="2069"/>
      <c r="G1563" s="2069"/>
      <c r="H1563" s="2069"/>
      <c r="I1563"/>
      <c r="J1563"/>
      <c r="K1563"/>
    </row>
    <row r="1564" spans="2:11" x14ac:dyDescent="0.2">
      <c r="B1564" s="2069"/>
      <c r="C1564" s="2069"/>
      <c r="D1564" s="2069"/>
      <c r="E1564" s="2069"/>
      <c r="F1564" s="2069"/>
      <c r="G1564" s="2069"/>
      <c r="H1564" s="2069"/>
      <c r="I1564"/>
      <c r="J1564"/>
      <c r="K1564"/>
    </row>
    <row r="1565" spans="2:11" x14ac:dyDescent="0.2">
      <c r="B1565" s="2069"/>
      <c r="C1565" s="2069"/>
      <c r="D1565" s="2069"/>
      <c r="E1565" s="2069"/>
      <c r="F1565" s="2069"/>
      <c r="G1565" s="2069"/>
      <c r="H1565" s="2069"/>
      <c r="I1565"/>
      <c r="J1565"/>
      <c r="K1565"/>
    </row>
    <row r="1566" spans="2:11" x14ac:dyDescent="0.2">
      <c r="B1566" s="2069"/>
      <c r="C1566" s="2069"/>
      <c r="D1566" s="2069"/>
      <c r="E1566" s="2069"/>
      <c r="F1566" s="2069"/>
      <c r="G1566" s="2069"/>
      <c r="H1566" s="2069"/>
      <c r="I1566"/>
      <c r="J1566"/>
      <c r="K1566"/>
    </row>
    <row r="1567" spans="2:11" x14ac:dyDescent="0.2">
      <c r="B1567" s="2069"/>
      <c r="C1567" s="2069"/>
      <c r="D1567" s="2069"/>
      <c r="E1567" s="2069"/>
      <c r="F1567" s="2069"/>
      <c r="G1567" s="2069"/>
      <c r="H1567" s="2069"/>
      <c r="I1567"/>
      <c r="J1567"/>
      <c r="K1567"/>
    </row>
    <row r="1568" spans="2:11" x14ac:dyDescent="0.2">
      <c r="B1568" s="2069"/>
      <c r="C1568" s="2069"/>
      <c r="D1568" s="2069"/>
      <c r="E1568" s="2069"/>
      <c r="F1568" s="2069"/>
      <c r="G1568" s="2069"/>
      <c r="H1568" s="2069"/>
      <c r="I1568"/>
      <c r="J1568"/>
      <c r="K1568"/>
    </row>
    <row r="1569" spans="2:11" x14ac:dyDescent="0.2">
      <c r="B1569" s="2069"/>
      <c r="C1569" s="2069"/>
      <c r="D1569" s="2069"/>
      <c r="E1569" s="2069"/>
      <c r="F1569" s="2069"/>
      <c r="G1569" s="2069"/>
      <c r="H1569" s="2069"/>
      <c r="I1569"/>
      <c r="J1569"/>
      <c r="K1569"/>
    </row>
    <row r="1570" spans="2:11" x14ac:dyDescent="0.2">
      <c r="B1570" s="2069"/>
      <c r="C1570" s="2069"/>
      <c r="D1570" s="2069"/>
      <c r="E1570" s="2069"/>
      <c r="F1570" s="2069"/>
      <c r="G1570" s="2069"/>
      <c r="H1570" s="2069"/>
      <c r="I1570"/>
      <c r="J1570"/>
      <c r="K1570"/>
    </row>
    <row r="1571" spans="2:11" x14ac:dyDescent="0.2">
      <c r="B1571" s="2069"/>
      <c r="C1571" s="2069"/>
      <c r="D1571" s="2069"/>
      <c r="E1571" s="2069"/>
      <c r="F1571" s="2069"/>
      <c r="G1571" s="2069"/>
      <c r="H1571" s="2069"/>
      <c r="I1571"/>
      <c r="J1571"/>
      <c r="K1571"/>
    </row>
    <row r="1572" spans="2:11" x14ac:dyDescent="0.2">
      <c r="B1572" s="2069"/>
      <c r="C1572" s="2069"/>
      <c r="D1572" s="2069"/>
      <c r="E1572" s="2069"/>
      <c r="F1572" s="2069"/>
      <c r="G1572" s="2069"/>
      <c r="H1572" s="2069"/>
      <c r="I1572"/>
      <c r="J1572"/>
      <c r="K1572"/>
    </row>
    <row r="1573" spans="2:11" x14ac:dyDescent="0.2">
      <c r="B1573" s="2069"/>
      <c r="C1573" s="2069"/>
      <c r="D1573" s="2069"/>
      <c r="E1573" s="2069"/>
      <c r="F1573" s="2069"/>
      <c r="G1573" s="2069"/>
      <c r="H1573" s="2069"/>
      <c r="I1573"/>
      <c r="J1573"/>
      <c r="K1573"/>
    </row>
    <row r="1574" spans="2:11" x14ac:dyDescent="0.2">
      <c r="B1574" s="2069"/>
      <c r="C1574" s="2069"/>
      <c r="D1574" s="2069"/>
      <c r="E1574" s="2069"/>
      <c r="F1574" s="2069"/>
      <c r="G1574" s="2069"/>
      <c r="H1574" s="2069"/>
      <c r="I1574"/>
      <c r="J1574"/>
      <c r="K1574"/>
    </row>
    <row r="1575" spans="2:11" x14ac:dyDescent="0.2">
      <c r="B1575" s="2069"/>
      <c r="C1575" s="2069"/>
      <c r="D1575" s="2069"/>
      <c r="E1575" s="2069"/>
      <c r="F1575" s="2069"/>
      <c r="G1575" s="2069"/>
      <c r="H1575" s="2069"/>
      <c r="I1575"/>
      <c r="J1575"/>
      <c r="K1575"/>
    </row>
    <row r="1576" spans="2:11" x14ac:dyDescent="0.2">
      <c r="B1576" s="2069"/>
      <c r="C1576" s="2069"/>
      <c r="D1576" s="2069"/>
      <c r="E1576" s="2069"/>
      <c r="F1576" s="2069"/>
      <c r="G1576" s="2069"/>
      <c r="H1576" s="2069"/>
      <c r="I1576"/>
      <c r="J1576"/>
      <c r="K1576"/>
    </row>
    <row r="1577" spans="2:11" x14ac:dyDescent="0.2">
      <c r="B1577" s="2069"/>
      <c r="C1577" s="2069"/>
      <c r="D1577" s="2069"/>
      <c r="E1577" s="2069"/>
      <c r="F1577" s="2069"/>
      <c r="G1577" s="2069"/>
      <c r="H1577" s="2069"/>
      <c r="I1577"/>
      <c r="J1577"/>
      <c r="K1577"/>
    </row>
    <row r="1578" spans="2:11" x14ac:dyDescent="0.2">
      <c r="B1578" s="2069"/>
      <c r="C1578" s="2069"/>
      <c r="D1578" s="2069"/>
      <c r="E1578" s="2069"/>
      <c r="F1578" s="2069"/>
      <c r="G1578" s="2069"/>
      <c r="H1578" s="2069"/>
      <c r="I1578"/>
      <c r="J1578"/>
      <c r="K1578"/>
    </row>
    <row r="1579" spans="2:11" x14ac:dyDescent="0.2">
      <c r="B1579" s="2069"/>
      <c r="C1579" s="2069"/>
      <c r="D1579" s="2069"/>
      <c r="E1579" s="2069"/>
      <c r="F1579" s="2069"/>
      <c r="G1579" s="2069"/>
      <c r="H1579" s="2069"/>
      <c r="I1579"/>
      <c r="J1579"/>
      <c r="K1579"/>
    </row>
    <row r="1580" spans="2:11" x14ac:dyDescent="0.2">
      <c r="B1580" s="2069"/>
      <c r="C1580" s="2069"/>
      <c r="D1580" s="2069"/>
      <c r="E1580" s="2069"/>
      <c r="F1580" s="2069"/>
      <c r="G1580" s="2069"/>
      <c r="H1580" s="2069"/>
      <c r="I1580"/>
      <c r="J1580"/>
      <c r="K1580"/>
    </row>
    <row r="1581" spans="2:11" x14ac:dyDescent="0.2">
      <c r="B1581" s="2069"/>
      <c r="C1581" s="2069"/>
      <c r="D1581" s="2069"/>
      <c r="E1581" s="2069"/>
      <c r="F1581" s="2069"/>
      <c r="G1581" s="2069"/>
      <c r="H1581" s="2069"/>
      <c r="I1581"/>
      <c r="J1581"/>
      <c r="K1581"/>
    </row>
    <row r="1582" spans="2:11" x14ac:dyDescent="0.2">
      <c r="B1582" s="2069"/>
      <c r="C1582" s="2069"/>
      <c r="D1582" s="2069"/>
      <c r="E1582" s="2069"/>
      <c r="F1582" s="2069"/>
      <c r="G1582" s="2069"/>
      <c r="H1582" s="2069"/>
      <c r="I1582"/>
      <c r="J1582"/>
      <c r="K1582"/>
    </row>
    <row r="1583" spans="2:11" x14ac:dyDescent="0.2">
      <c r="B1583" s="2069"/>
      <c r="C1583" s="2069"/>
      <c r="D1583" s="2069"/>
      <c r="E1583" s="2069"/>
      <c r="F1583" s="2069"/>
      <c r="G1583" s="2069"/>
      <c r="H1583" s="2069"/>
      <c r="I1583"/>
      <c r="J1583"/>
      <c r="K1583"/>
    </row>
    <row r="1584" spans="2:11" x14ac:dyDescent="0.2">
      <c r="B1584" s="2069"/>
      <c r="C1584" s="2069"/>
      <c r="D1584" s="2069"/>
      <c r="E1584" s="2069"/>
      <c r="F1584" s="2069"/>
      <c r="G1584" s="2069"/>
      <c r="H1584" s="2069"/>
      <c r="I1584"/>
      <c r="J1584"/>
      <c r="K1584"/>
    </row>
    <row r="1585" spans="2:11" x14ac:dyDescent="0.2">
      <c r="B1585" s="2069"/>
      <c r="C1585" s="2069"/>
      <c r="D1585" s="2069"/>
      <c r="E1585" s="2069"/>
      <c r="F1585" s="2069"/>
      <c r="G1585" s="2069"/>
      <c r="H1585" s="2069"/>
      <c r="I1585"/>
      <c r="J1585"/>
      <c r="K1585"/>
    </row>
    <row r="1586" spans="2:11" x14ac:dyDescent="0.2">
      <c r="B1586" s="2069"/>
      <c r="C1586" s="2069"/>
      <c r="D1586" s="2069"/>
      <c r="E1586" s="2069"/>
      <c r="F1586" s="2069"/>
      <c r="G1586" s="2069"/>
      <c r="H1586" s="2069"/>
      <c r="I1586"/>
      <c r="J1586"/>
      <c r="K1586"/>
    </row>
    <row r="1587" spans="2:11" x14ac:dyDescent="0.2">
      <c r="B1587" s="2069"/>
      <c r="C1587" s="2069"/>
      <c r="D1587" s="2069"/>
      <c r="E1587" s="2069"/>
      <c r="F1587" s="2069"/>
      <c r="G1587" s="2069"/>
      <c r="H1587" s="2069"/>
      <c r="I1587"/>
      <c r="J1587"/>
      <c r="K1587"/>
    </row>
    <row r="1588" spans="2:11" x14ac:dyDescent="0.2">
      <c r="B1588" s="2069"/>
      <c r="C1588" s="2069"/>
      <c r="D1588" s="2069"/>
      <c r="E1588" s="2069"/>
      <c r="F1588" s="2069"/>
      <c r="G1588" s="2069"/>
      <c r="H1588" s="2069"/>
      <c r="I1588"/>
      <c r="J1588"/>
      <c r="K1588"/>
    </row>
    <row r="1589" spans="2:11" x14ac:dyDescent="0.2">
      <c r="B1589" s="2069"/>
      <c r="C1589" s="2069"/>
      <c r="D1589" s="2069"/>
      <c r="E1589" s="2069"/>
      <c r="F1589" s="2069"/>
      <c r="G1589" s="2069"/>
      <c r="H1589" s="2069"/>
      <c r="I1589"/>
      <c r="J1589"/>
      <c r="K1589"/>
    </row>
    <row r="1590" spans="2:11" x14ac:dyDescent="0.2">
      <c r="B1590" s="2069"/>
      <c r="C1590" s="2069"/>
      <c r="D1590" s="2069"/>
      <c r="E1590" s="2069"/>
      <c r="F1590" s="2069"/>
      <c r="G1590" s="2069"/>
      <c r="H1590" s="2069"/>
      <c r="I1590"/>
      <c r="J1590"/>
      <c r="K1590"/>
    </row>
    <row r="1591" spans="2:11" x14ac:dyDescent="0.2">
      <c r="B1591" s="2069"/>
      <c r="C1591" s="2069"/>
      <c r="D1591" s="2069"/>
      <c r="E1591" s="2069"/>
      <c r="F1591" s="2069"/>
      <c r="G1591" s="2069"/>
      <c r="H1591" s="2069"/>
      <c r="I1591"/>
      <c r="J1591"/>
      <c r="K1591"/>
    </row>
    <row r="1592" spans="2:11" x14ac:dyDescent="0.2">
      <c r="B1592" s="2069"/>
      <c r="C1592" s="2069"/>
      <c r="D1592" s="2069"/>
      <c r="E1592" s="2069"/>
      <c r="F1592" s="2069"/>
      <c r="G1592" s="2069"/>
      <c r="H1592" s="2069"/>
      <c r="I1592"/>
      <c r="J1592"/>
      <c r="K1592"/>
    </row>
    <row r="1593" spans="2:11" x14ac:dyDescent="0.2">
      <c r="B1593" s="2069"/>
      <c r="C1593" s="2069"/>
      <c r="D1593" s="2069"/>
      <c r="E1593" s="2069"/>
      <c r="F1593" s="2069"/>
      <c r="G1593" s="2069"/>
      <c r="H1593" s="2069"/>
      <c r="I1593"/>
      <c r="J1593"/>
      <c r="K1593"/>
    </row>
    <row r="1594" spans="2:11" x14ac:dyDescent="0.2">
      <c r="B1594" s="2069"/>
      <c r="C1594" s="2069"/>
      <c r="D1594" s="2069"/>
      <c r="E1594" s="2069"/>
      <c r="F1594" s="2069"/>
      <c r="G1594" s="2069"/>
      <c r="H1594" s="2069"/>
      <c r="I1594"/>
      <c r="J1594"/>
      <c r="K1594"/>
    </row>
    <row r="1595" spans="2:11" x14ac:dyDescent="0.2">
      <c r="B1595" s="2069"/>
      <c r="C1595" s="2069"/>
      <c r="D1595" s="2069"/>
      <c r="E1595" s="2069"/>
      <c r="F1595" s="2069"/>
      <c r="G1595" s="2069"/>
      <c r="H1595" s="2069"/>
      <c r="I1595"/>
      <c r="J1595"/>
      <c r="K1595"/>
    </row>
    <row r="1596" spans="2:11" x14ac:dyDescent="0.2">
      <c r="B1596" s="2069"/>
      <c r="C1596" s="2069"/>
      <c r="D1596" s="2069"/>
      <c r="E1596" s="2069"/>
      <c r="F1596" s="2069"/>
      <c r="G1596" s="2069"/>
      <c r="H1596" s="2069"/>
      <c r="I1596"/>
      <c r="J1596"/>
      <c r="K1596"/>
    </row>
    <row r="1597" spans="2:11" x14ac:dyDescent="0.2">
      <c r="B1597" s="2069"/>
      <c r="C1597" s="2069"/>
      <c r="D1597" s="2069"/>
      <c r="E1597" s="2069"/>
      <c r="F1597" s="2069"/>
      <c r="G1597" s="2069"/>
      <c r="H1597" s="2069"/>
      <c r="I1597"/>
      <c r="J1597"/>
      <c r="K1597"/>
    </row>
    <row r="1598" spans="2:11" x14ac:dyDescent="0.2">
      <c r="B1598" s="2069"/>
      <c r="C1598" s="2069"/>
      <c r="D1598" s="2069"/>
      <c r="E1598" s="2069"/>
      <c r="F1598" s="2069"/>
      <c r="G1598" s="2069"/>
      <c r="H1598" s="2069"/>
      <c r="I1598"/>
      <c r="J1598"/>
      <c r="K1598"/>
    </row>
    <row r="1599" spans="2:11" x14ac:dyDescent="0.2">
      <c r="B1599" s="2069"/>
      <c r="C1599" s="2069"/>
      <c r="D1599" s="2069"/>
      <c r="E1599" s="2069"/>
      <c r="F1599" s="2069"/>
      <c r="G1599" s="2069"/>
      <c r="H1599" s="2069"/>
      <c r="I1599"/>
      <c r="J1599"/>
      <c r="K1599"/>
    </row>
    <row r="1600" spans="2:11" x14ac:dyDescent="0.2">
      <c r="B1600" s="2069"/>
      <c r="C1600" s="2069"/>
      <c r="D1600" s="2069"/>
      <c r="E1600" s="2069"/>
      <c r="F1600" s="2069"/>
      <c r="G1600" s="2069"/>
      <c r="H1600" s="2069"/>
      <c r="I1600"/>
      <c r="J1600"/>
      <c r="K1600"/>
    </row>
    <row r="1601" spans="2:11" x14ac:dyDescent="0.2">
      <c r="B1601" s="2069"/>
      <c r="C1601" s="2069"/>
      <c r="D1601" s="2069"/>
      <c r="E1601" s="2069"/>
      <c r="F1601" s="2069"/>
      <c r="G1601" s="2069"/>
      <c r="H1601" s="2069"/>
      <c r="I1601"/>
      <c r="J1601"/>
      <c r="K1601"/>
    </row>
    <row r="1602" spans="2:11" x14ac:dyDescent="0.2">
      <c r="B1602" s="2069"/>
      <c r="C1602" s="2069"/>
      <c r="D1602" s="2069"/>
      <c r="E1602" s="2069"/>
      <c r="F1602" s="2069"/>
      <c r="G1602" s="2069"/>
      <c r="H1602" s="2069"/>
      <c r="I1602"/>
      <c r="J1602"/>
      <c r="K1602"/>
    </row>
    <row r="1603" spans="2:11" x14ac:dyDescent="0.2">
      <c r="B1603" s="2069"/>
      <c r="C1603" s="2069"/>
      <c r="D1603" s="2069"/>
      <c r="E1603" s="2069"/>
      <c r="F1603" s="2069"/>
      <c r="G1603" s="2069"/>
      <c r="H1603" s="2069"/>
      <c r="I1603"/>
      <c r="J1603"/>
      <c r="K1603"/>
    </row>
    <row r="1604" spans="2:11" x14ac:dyDescent="0.2">
      <c r="B1604" s="2069"/>
      <c r="C1604" s="2069"/>
      <c r="D1604" s="2069"/>
      <c r="E1604" s="2069"/>
      <c r="F1604" s="2069"/>
      <c r="G1604" s="2069"/>
      <c r="H1604" s="2069"/>
      <c r="I1604"/>
      <c r="J1604"/>
      <c r="K1604"/>
    </row>
    <row r="1605" spans="2:11" x14ac:dyDescent="0.2">
      <c r="B1605" s="2069"/>
      <c r="C1605" s="2069"/>
      <c r="D1605" s="2069"/>
      <c r="E1605" s="2069"/>
      <c r="F1605" s="2069"/>
      <c r="G1605" s="2069"/>
      <c r="H1605" s="2069"/>
      <c r="I1605"/>
      <c r="J1605"/>
      <c r="K1605"/>
    </row>
    <row r="1606" spans="2:11" x14ac:dyDescent="0.2">
      <c r="B1606" s="2069"/>
      <c r="C1606" s="2069"/>
      <c r="D1606" s="2069"/>
      <c r="E1606" s="2069"/>
      <c r="F1606" s="2069"/>
      <c r="G1606" s="2069"/>
      <c r="H1606" s="2069"/>
      <c r="I1606"/>
      <c r="J1606"/>
      <c r="K1606"/>
    </row>
    <row r="1607" spans="2:11" x14ac:dyDescent="0.2">
      <c r="B1607" s="2069"/>
      <c r="C1607" s="2069"/>
      <c r="D1607" s="2069"/>
      <c r="E1607" s="2069"/>
      <c r="F1607" s="2069"/>
      <c r="G1607" s="2069"/>
      <c r="H1607" s="2069"/>
      <c r="I1607"/>
      <c r="J1607"/>
      <c r="K1607"/>
    </row>
    <row r="1608" spans="2:11" x14ac:dyDescent="0.2">
      <c r="B1608" s="2069"/>
      <c r="C1608" s="2069"/>
      <c r="D1608" s="2069"/>
      <c r="E1608" s="2069"/>
      <c r="F1608" s="2069"/>
      <c r="G1608" s="2069"/>
      <c r="H1608" s="2069"/>
      <c r="I1608"/>
      <c r="J1608"/>
      <c r="K1608"/>
    </row>
    <row r="1609" spans="2:11" x14ac:dyDescent="0.2">
      <c r="B1609" s="2069"/>
      <c r="C1609" s="2069"/>
      <c r="D1609" s="2069"/>
      <c r="E1609" s="2069"/>
      <c r="F1609" s="2069"/>
      <c r="G1609" s="2069"/>
      <c r="H1609" s="2069"/>
      <c r="I1609"/>
      <c r="J1609"/>
      <c r="K1609"/>
    </row>
    <row r="1610" spans="2:11" x14ac:dyDescent="0.2">
      <c r="B1610" s="2069"/>
      <c r="C1610" s="2069"/>
      <c r="D1610" s="2069"/>
      <c r="E1610" s="2069"/>
      <c r="F1610" s="2069"/>
      <c r="G1610" s="2069"/>
      <c r="H1610" s="2069"/>
      <c r="I1610"/>
      <c r="J1610"/>
      <c r="K1610"/>
    </row>
    <row r="1611" spans="2:11" x14ac:dyDescent="0.2">
      <c r="B1611" s="2069"/>
      <c r="C1611" s="2069"/>
      <c r="D1611" s="2069"/>
      <c r="E1611" s="2069"/>
      <c r="F1611" s="2069"/>
      <c r="G1611" s="2069"/>
      <c r="H1611" s="2069"/>
      <c r="I1611"/>
      <c r="J1611"/>
      <c r="K1611"/>
    </row>
    <row r="1612" spans="2:11" x14ac:dyDescent="0.2">
      <c r="B1612" s="2069"/>
      <c r="C1612" s="2069"/>
      <c r="D1612" s="2069"/>
      <c r="E1612" s="2069"/>
      <c r="F1612" s="2069"/>
      <c r="G1612" s="2069"/>
      <c r="H1612" s="2069"/>
      <c r="I1612"/>
      <c r="J1612"/>
      <c r="K1612"/>
    </row>
    <row r="1613" spans="2:11" x14ac:dyDescent="0.2">
      <c r="B1613" s="2069"/>
      <c r="C1613" s="2069"/>
      <c r="D1613" s="2069"/>
      <c r="E1613" s="2069"/>
      <c r="F1613" s="2069"/>
      <c r="G1613" s="2069"/>
      <c r="H1613" s="2069"/>
      <c r="I1613"/>
      <c r="J1613"/>
      <c r="K1613"/>
    </row>
    <row r="1614" spans="2:11" x14ac:dyDescent="0.2">
      <c r="B1614" s="2069"/>
      <c r="C1614" s="2069"/>
      <c r="D1614" s="2069"/>
      <c r="E1614" s="2069"/>
      <c r="F1614" s="2069"/>
      <c r="G1614" s="2069"/>
      <c r="H1614" s="2069"/>
      <c r="I1614"/>
      <c r="J1614"/>
      <c r="K1614"/>
    </row>
    <row r="1615" spans="2:11" x14ac:dyDescent="0.2">
      <c r="B1615" s="2069"/>
      <c r="C1615" s="2069"/>
      <c r="D1615" s="2069"/>
      <c r="E1615" s="2069"/>
      <c r="F1615" s="2069"/>
      <c r="G1615" s="2069"/>
      <c r="H1615" s="2069"/>
      <c r="I1615"/>
      <c r="J1615"/>
      <c r="K1615"/>
    </row>
    <row r="1616" spans="2:11" x14ac:dyDescent="0.2">
      <c r="B1616" s="2069"/>
      <c r="C1616" s="2069"/>
      <c r="D1616" s="2069"/>
      <c r="E1616" s="2069"/>
      <c r="F1616" s="2069"/>
      <c r="G1616" s="2069"/>
      <c r="H1616" s="2069"/>
      <c r="I1616"/>
      <c r="J1616"/>
      <c r="K1616"/>
    </row>
    <row r="1617" spans="2:11" x14ac:dyDescent="0.2">
      <c r="B1617" s="2069"/>
      <c r="C1617" s="2069"/>
      <c r="D1617" s="2069"/>
      <c r="E1617" s="2069"/>
      <c r="F1617" s="2069"/>
      <c r="G1617" s="2069"/>
      <c r="H1617" s="2069"/>
      <c r="I1617"/>
      <c r="J1617"/>
      <c r="K1617"/>
    </row>
    <row r="1618" spans="2:11" x14ac:dyDescent="0.2">
      <c r="B1618" s="2069"/>
      <c r="C1618" s="2069"/>
      <c r="D1618" s="2069"/>
      <c r="E1618" s="2069"/>
      <c r="F1618" s="2069"/>
      <c r="G1618" s="2069"/>
      <c r="H1618" s="2069"/>
      <c r="I1618"/>
      <c r="J1618"/>
      <c r="K1618"/>
    </row>
    <row r="1619" spans="2:11" x14ac:dyDescent="0.2">
      <c r="B1619" s="2069"/>
      <c r="C1619" s="2069"/>
      <c r="D1619" s="2069"/>
      <c r="E1619" s="2069"/>
      <c r="F1619" s="2069"/>
      <c r="G1619" s="2069"/>
      <c r="H1619" s="2069"/>
      <c r="I1619"/>
      <c r="J1619"/>
      <c r="K1619"/>
    </row>
    <row r="1620" spans="2:11" x14ac:dyDescent="0.2">
      <c r="B1620" s="2069"/>
      <c r="C1620" s="2069"/>
      <c r="D1620" s="2069"/>
      <c r="E1620" s="2069"/>
      <c r="F1620" s="2069"/>
      <c r="G1620" s="2069"/>
      <c r="H1620" s="2069"/>
      <c r="I1620"/>
      <c r="J1620"/>
      <c r="K1620"/>
    </row>
    <row r="1621" spans="2:11" x14ac:dyDescent="0.2">
      <c r="B1621" s="2069"/>
      <c r="C1621" s="2069"/>
      <c r="D1621" s="2069"/>
      <c r="E1621" s="2069"/>
      <c r="F1621" s="2069"/>
      <c r="G1621" s="2069"/>
      <c r="H1621" s="2069"/>
      <c r="I1621"/>
      <c r="J1621"/>
      <c r="K1621"/>
    </row>
    <row r="1622" spans="2:11" x14ac:dyDescent="0.2">
      <c r="B1622" s="2069"/>
      <c r="C1622" s="2069"/>
      <c r="D1622" s="2069"/>
      <c r="E1622" s="2069"/>
      <c r="F1622" s="2069"/>
      <c r="G1622" s="2069"/>
      <c r="H1622" s="2069"/>
      <c r="I1622"/>
      <c r="J1622"/>
      <c r="K1622"/>
    </row>
    <row r="1623" spans="2:11" x14ac:dyDescent="0.2">
      <c r="B1623" s="2069"/>
      <c r="C1623" s="2069"/>
      <c r="D1623" s="2069"/>
      <c r="E1623" s="2069"/>
      <c r="F1623" s="2069"/>
      <c r="G1623" s="2069"/>
      <c r="H1623" s="2069"/>
      <c r="I1623"/>
      <c r="J1623"/>
      <c r="K1623"/>
    </row>
    <row r="1624" spans="2:11" x14ac:dyDescent="0.2">
      <c r="B1624" s="2069"/>
      <c r="C1624" s="2069"/>
      <c r="D1624" s="2069"/>
      <c r="E1624" s="2069"/>
      <c r="F1624" s="2069"/>
      <c r="G1624" s="2069"/>
      <c r="H1624" s="2069"/>
      <c r="I1624"/>
      <c r="J1624"/>
      <c r="K1624"/>
    </row>
    <row r="1625" spans="2:11" x14ac:dyDescent="0.2">
      <c r="B1625" s="2069"/>
      <c r="C1625" s="2069"/>
      <c r="D1625" s="2069"/>
      <c r="E1625" s="2069"/>
      <c r="F1625" s="2069"/>
      <c r="G1625" s="2069"/>
      <c r="H1625" s="2069"/>
      <c r="I1625"/>
      <c r="J1625"/>
      <c r="K1625"/>
    </row>
    <row r="1626" spans="2:11" x14ac:dyDescent="0.2">
      <c r="B1626" s="2069"/>
      <c r="C1626" s="2069"/>
      <c r="D1626" s="2069"/>
      <c r="E1626" s="2069"/>
      <c r="F1626" s="2069"/>
      <c r="G1626" s="2069"/>
      <c r="H1626" s="2069"/>
      <c r="I1626"/>
      <c r="J1626"/>
      <c r="K1626"/>
    </row>
    <row r="1627" spans="2:11" x14ac:dyDescent="0.2">
      <c r="B1627" s="2069"/>
      <c r="C1627" s="2069"/>
      <c r="D1627" s="2069"/>
      <c r="E1627" s="2069"/>
      <c r="F1627" s="2069"/>
      <c r="G1627" s="2069"/>
      <c r="H1627" s="2069"/>
      <c r="I1627"/>
      <c r="J1627"/>
      <c r="K1627"/>
    </row>
    <row r="1628" spans="2:11" x14ac:dyDescent="0.2">
      <c r="B1628" s="2069"/>
      <c r="C1628" s="2069"/>
      <c r="D1628" s="2069"/>
      <c r="E1628" s="2069"/>
      <c r="F1628" s="2069"/>
      <c r="G1628" s="2069"/>
      <c r="H1628" s="2069"/>
      <c r="I1628"/>
      <c r="J1628"/>
      <c r="K1628"/>
    </row>
    <row r="1629" spans="2:11" x14ac:dyDescent="0.2">
      <c r="B1629" s="2069"/>
      <c r="C1629" s="2069"/>
      <c r="D1629" s="2069"/>
      <c r="E1629" s="2069"/>
      <c r="F1629" s="2069"/>
      <c r="G1629" s="2069"/>
      <c r="H1629" s="2069"/>
      <c r="I1629"/>
      <c r="J1629"/>
      <c r="K1629"/>
    </row>
    <row r="1630" spans="2:11" x14ac:dyDescent="0.2">
      <c r="B1630" s="2069"/>
      <c r="C1630" s="2069"/>
      <c r="D1630" s="2069"/>
      <c r="E1630" s="2069"/>
      <c r="F1630" s="2069"/>
      <c r="G1630" s="2069"/>
      <c r="H1630" s="2069"/>
      <c r="I1630"/>
      <c r="J1630"/>
      <c r="K1630"/>
    </row>
    <row r="1631" spans="2:11" x14ac:dyDescent="0.2">
      <c r="B1631" s="2069"/>
      <c r="C1631" s="2069"/>
      <c r="D1631" s="2069"/>
      <c r="E1631" s="2069"/>
      <c r="F1631" s="2069"/>
      <c r="G1631" s="2069"/>
      <c r="H1631" s="2069"/>
      <c r="I1631"/>
      <c r="J1631"/>
      <c r="K1631"/>
    </row>
    <row r="1632" spans="2:11" x14ac:dyDescent="0.2">
      <c r="B1632" s="2069"/>
      <c r="C1632" s="2069"/>
      <c r="D1632" s="2069"/>
      <c r="E1632" s="2069"/>
      <c r="F1632" s="2069"/>
      <c r="G1632" s="2069"/>
      <c r="H1632" s="2069"/>
      <c r="I1632"/>
      <c r="J1632"/>
      <c r="K1632"/>
    </row>
    <row r="1633" spans="2:11" x14ac:dyDescent="0.2">
      <c r="B1633" s="2069"/>
      <c r="C1633" s="2069"/>
      <c r="D1633" s="2069"/>
      <c r="E1633" s="2069"/>
      <c r="F1633" s="2069"/>
      <c r="G1633" s="2069"/>
      <c r="H1633" s="2069"/>
      <c r="I1633"/>
      <c r="J1633"/>
      <c r="K1633"/>
    </row>
    <row r="1634" spans="2:11" x14ac:dyDescent="0.2">
      <c r="B1634" s="2069"/>
      <c r="C1634" s="2069"/>
      <c r="D1634" s="2069"/>
      <c r="E1634" s="2069"/>
      <c r="F1634" s="2069"/>
      <c r="G1634" s="2069"/>
      <c r="H1634" s="2069"/>
      <c r="I1634"/>
      <c r="J1634"/>
      <c r="K1634"/>
    </row>
    <row r="1635" spans="2:11" x14ac:dyDescent="0.2">
      <c r="B1635" s="2069"/>
      <c r="C1635" s="2069"/>
      <c r="D1635" s="2069"/>
      <c r="E1635" s="2069"/>
      <c r="F1635" s="2069"/>
      <c r="G1635" s="2069"/>
      <c r="H1635" s="2069"/>
      <c r="I1635"/>
      <c r="J1635"/>
      <c r="K1635"/>
    </row>
    <row r="1636" spans="2:11" x14ac:dyDescent="0.2">
      <c r="B1636" s="2069"/>
      <c r="C1636" s="2069"/>
      <c r="D1636" s="2069"/>
      <c r="E1636" s="2069"/>
      <c r="F1636" s="2069"/>
      <c r="G1636" s="2069"/>
      <c r="H1636" s="2069"/>
      <c r="I1636"/>
      <c r="J1636"/>
      <c r="K1636"/>
    </row>
    <row r="1637" spans="2:11" x14ac:dyDescent="0.2">
      <c r="B1637" s="2069"/>
      <c r="C1637" s="2069"/>
      <c r="D1637" s="2069"/>
      <c r="E1637" s="2069"/>
      <c r="F1637" s="2069"/>
      <c r="G1637" s="2069"/>
      <c r="H1637" s="2069"/>
      <c r="I1637"/>
      <c r="J1637"/>
      <c r="K1637"/>
    </row>
    <row r="1638" spans="2:11" x14ac:dyDescent="0.2">
      <c r="B1638" s="2069"/>
      <c r="C1638" s="2069"/>
      <c r="D1638" s="2069"/>
      <c r="E1638" s="2069"/>
      <c r="F1638" s="2069"/>
      <c r="G1638" s="2069"/>
      <c r="H1638" s="2069"/>
      <c r="I1638"/>
      <c r="J1638"/>
      <c r="K1638"/>
    </row>
    <row r="1639" spans="2:11" x14ac:dyDescent="0.2">
      <c r="B1639" s="2069"/>
      <c r="C1639" s="2069"/>
      <c r="D1639" s="2069"/>
      <c r="E1639" s="2069"/>
      <c r="F1639" s="2069"/>
      <c r="G1639" s="2069"/>
      <c r="H1639" s="2069"/>
      <c r="I1639"/>
      <c r="J1639"/>
      <c r="K1639"/>
    </row>
    <row r="1640" spans="2:11" x14ac:dyDescent="0.2">
      <c r="B1640" s="2069"/>
      <c r="C1640" s="2069"/>
      <c r="D1640" s="2069"/>
      <c r="E1640" s="2069"/>
      <c r="F1640" s="2069"/>
      <c r="G1640" s="2069"/>
      <c r="H1640" s="2069"/>
      <c r="I1640"/>
      <c r="J1640"/>
      <c r="K1640"/>
    </row>
    <row r="1641" spans="2:11" x14ac:dyDescent="0.2">
      <c r="B1641" s="2069"/>
      <c r="C1641" s="2069"/>
      <c r="D1641" s="2069"/>
      <c r="E1641" s="2069"/>
      <c r="F1641" s="2069"/>
      <c r="G1641" s="2069"/>
      <c r="H1641" s="2069"/>
      <c r="I1641"/>
      <c r="J1641"/>
      <c r="K1641"/>
    </row>
    <row r="1642" spans="2:11" x14ac:dyDescent="0.2">
      <c r="B1642" s="2069"/>
      <c r="C1642" s="2069"/>
      <c r="D1642" s="2069"/>
      <c r="E1642" s="2069"/>
      <c r="F1642" s="2069"/>
      <c r="G1642" s="2069"/>
      <c r="H1642" s="2069"/>
      <c r="I1642"/>
      <c r="J1642"/>
      <c r="K1642"/>
    </row>
    <row r="1643" spans="2:11" x14ac:dyDescent="0.2">
      <c r="B1643" s="2069"/>
      <c r="C1643" s="2069"/>
      <c r="D1643" s="2069"/>
      <c r="E1643" s="2069"/>
      <c r="F1643" s="2069"/>
      <c r="G1643" s="2069"/>
      <c r="H1643" s="2069"/>
      <c r="I1643"/>
      <c r="J1643"/>
      <c r="K1643"/>
    </row>
    <row r="1644" spans="2:11" x14ac:dyDescent="0.2">
      <c r="B1644" s="2069"/>
      <c r="C1644" s="2069"/>
      <c r="D1644" s="2069"/>
      <c r="E1644" s="2069"/>
      <c r="F1644" s="2069"/>
      <c r="G1644" s="2069"/>
      <c r="H1644" s="2069"/>
      <c r="I1644"/>
      <c r="J1644"/>
      <c r="K1644"/>
    </row>
    <row r="1645" spans="2:11" x14ac:dyDescent="0.2">
      <c r="B1645" s="2069"/>
      <c r="C1645" s="2069"/>
      <c r="D1645" s="2069"/>
      <c r="E1645" s="2069"/>
      <c r="F1645" s="2069"/>
      <c r="G1645" s="2069"/>
      <c r="H1645" s="2069"/>
      <c r="I1645"/>
      <c r="J1645"/>
      <c r="K1645"/>
    </row>
    <row r="1646" spans="2:11" x14ac:dyDescent="0.2">
      <c r="B1646" s="2069"/>
      <c r="C1646" s="2069"/>
      <c r="D1646" s="2069"/>
      <c r="E1646" s="2069"/>
      <c r="F1646" s="2069"/>
      <c r="G1646" s="2069"/>
      <c r="H1646" s="2069"/>
      <c r="I1646"/>
      <c r="J1646"/>
      <c r="K1646"/>
    </row>
    <row r="1647" spans="2:11" x14ac:dyDescent="0.2">
      <c r="B1647" s="2069"/>
      <c r="C1647" s="2069"/>
      <c r="D1647" s="2069"/>
      <c r="E1647" s="2069"/>
      <c r="F1647" s="2069"/>
      <c r="G1647" s="2069"/>
      <c r="H1647" s="2069"/>
      <c r="I1647"/>
      <c r="J1647"/>
      <c r="K1647"/>
    </row>
    <row r="1648" spans="2:11" x14ac:dyDescent="0.2">
      <c r="B1648" s="2069"/>
      <c r="C1648" s="2069"/>
      <c r="D1648" s="2069"/>
      <c r="E1648" s="2069"/>
      <c r="F1648" s="2069"/>
      <c r="G1648" s="2069"/>
      <c r="H1648" s="2069"/>
      <c r="I1648"/>
      <c r="J1648"/>
      <c r="K1648"/>
    </row>
    <row r="1649" spans="2:11" x14ac:dyDescent="0.2">
      <c r="B1649" s="2069"/>
      <c r="C1649" s="2069"/>
      <c r="D1649" s="2069"/>
      <c r="E1649" s="2069"/>
      <c r="F1649" s="2069"/>
      <c r="G1649" s="2069"/>
      <c r="H1649" s="2069"/>
      <c r="I1649"/>
      <c r="J1649"/>
      <c r="K1649"/>
    </row>
    <row r="1650" spans="2:11" x14ac:dyDescent="0.2">
      <c r="B1650" s="2069"/>
      <c r="C1650" s="2069"/>
      <c r="D1650" s="2069"/>
      <c r="E1650" s="2069"/>
      <c r="F1650" s="2069"/>
      <c r="G1650" s="2069"/>
      <c r="H1650" s="2069"/>
      <c r="I1650"/>
      <c r="J1650"/>
      <c r="K1650"/>
    </row>
    <row r="1651" spans="2:11" x14ac:dyDescent="0.2">
      <c r="B1651" s="2069"/>
      <c r="C1651" s="2069"/>
      <c r="D1651" s="2069"/>
      <c r="E1651" s="2069"/>
      <c r="F1651" s="2069"/>
      <c r="G1651" s="2069"/>
      <c r="H1651" s="2069"/>
      <c r="I1651"/>
      <c r="J1651"/>
      <c r="K1651"/>
    </row>
    <row r="1652" spans="2:11" x14ac:dyDescent="0.2">
      <c r="B1652" s="2069"/>
      <c r="C1652" s="2069"/>
      <c r="D1652" s="2069"/>
      <c r="E1652" s="2069"/>
      <c r="F1652" s="2069"/>
      <c r="G1652" s="2069"/>
      <c r="H1652" s="2069"/>
      <c r="I1652"/>
      <c r="J1652"/>
      <c r="K1652"/>
    </row>
    <row r="1653" spans="2:11" x14ac:dyDescent="0.2">
      <c r="B1653" s="2069"/>
      <c r="C1653" s="2069"/>
      <c r="D1653" s="2069"/>
      <c r="E1653" s="2069"/>
      <c r="F1653" s="2069"/>
      <c r="G1653" s="2069"/>
      <c r="H1653" s="2069"/>
      <c r="I1653"/>
      <c r="J1653"/>
      <c r="K1653"/>
    </row>
    <row r="1654" spans="2:11" x14ac:dyDescent="0.2">
      <c r="B1654" s="2069"/>
      <c r="C1654" s="2069"/>
      <c r="D1654" s="2069"/>
      <c r="E1654" s="2069"/>
      <c r="F1654" s="2069"/>
      <c r="G1654" s="2069"/>
      <c r="H1654" s="2069"/>
      <c r="I1654"/>
      <c r="J1654"/>
      <c r="K1654"/>
    </row>
    <row r="1655" spans="2:11" x14ac:dyDescent="0.2">
      <c r="B1655" s="2069"/>
      <c r="C1655" s="2069"/>
      <c r="D1655" s="2069"/>
      <c r="E1655" s="2069"/>
      <c r="F1655" s="2069"/>
      <c r="G1655" s="2069"/>
      <c r="H1655" s="2069"/>
      <c r="I1655"/>
      <c r="J1655"/>
      <c r="K1655"/>
    </row>
    <row r="1656" spans="2:11" x14ac:dyDescent="0.2">
      <c r="B1656" s="2069"/>
      <c r="C1656" s="2069"/>
      <c r="D1656" s="2069"/>
      <c r="E1656" s="2069"/>
      <c r="F1656" s="2069"/>
      <c r="G1656" s="2069"/>
      <c r="H1656" s="2069"/>
      <c r="I1656"/>
      <c r="J1656"/>
      <c r="K1656"/>
    </row>
    <row r="1657" spans="2:11" x14ac:dyDescent="0.2">
      <c r="B1657" s="2069"/>
      <c r="C1657" s="2069"/>
      <c r="D1657" s="2069"/>
      <c r="E1657" s="2069"/>
      <c r="F1657" s="2069"/>
      <c r="G1657" s="2069"/>
      <c r="H1657" s="2069"/>
      <c r="I1657"/>
      <c r="J1657"/>
      <c r="K1657"/>
    </row>
    <row r="1658" spans="2:11" x14ac:dyDescent="0.2">
      <c r="B1658" s="2069"/>
      <c r="C1658" s="2069"/>
      <c r="D1658" s="2069"/>
      <c r="E1658" s="2069"/>
      <c r="F1658" s="2069"/>
      <c r="G1658" s="2069"/>
      <c r="H1658" s="2069"/>
      <c r="I1658"/>
      <c r="J1658"/>
      <c r="K1658"/>
    </row>
    <row r="1659" spans="2:11" x14ac:dyDescent="0.2">
      <c r="B1659" s="2069"/>
      <c r="C1659" s="2069"/>
      <c r="D1659" s="2069"/>
      <c r="E1659" s="2069"/>
      <c r="F1659" s="2069"/>
      <c r="G1659" s="2069"/>
      <c r="H1659" s="2069"/>
      <c r="I1659"/>
      <c r="J1659"/>
      <c r="K1659"/>
    </row>
    <row r="1660" spans="2:11" x14ac:dyDescent="0.2">
      <c r="B1660" s="2069"/>
      <c r="C1660" s="2069"/>
      <c r="D1660" s="2069"/>
      <c r="E1660" s="2069"/>
      <c r="F1660" s="2069"/>
      <c r="G1660" s="2069"/>
      <c r="H1660" s="2069"/>
      <c r="I1660"/>
      <c r="J1660"/>
      <c r="K1660"/>
    </row>
    <row r="1661" spans="2:11" x14ac:dyDescent="0.2">
      <c r="B1661" s="2069"/>
      <c r="C1661" s="2069"/>
      <c r="D1661" s="2069"/>
      <c r="E1661" s="2069"/>
      <c r="F1661" s="2069"/>
      <c r="G1661" s="2069"/>
      <c r="H1661" s="2069"/>
      <c r="I1661"/>
      <c r="J1661"/>
      <c r="K1661"/>
    </row>
    <row r="1662" spans="2:11" x14ac:dyDescent="0.2">
      <c r="B1662" s="2069"/>
      <c r="C1662" s="2069"/>
      <c r="D1662" s="2069"/>
      <c r="E1662" s="2069"/>
      <c r="F1662" s="2069"/>
      <c r="G1662" s="2069"/>
      <c r="H1662" s="2069"/>
      <c r="I1662"/>
      <c r="J1662"/>
      <c r="K1662"/>
    </row>
    <row r="1663" spans="2:11" x14ac:dyDescent="0.2">
      <c r="B1663" s="2069"/>
      <c r="C1663" s="2069"/>
      <c r="D1663" s="2069"/>
      <c r="E1663" s="2069"/>
      <c r="F1663" s="2069"/>
      <c r="G1663" s="2069"/>
      <c r="H1663" s="2069"/>
      <c r="I1663"/>
      <c r="J1663"/>
      <c r="K1663"/>
    </row>
    <row r="1664" spans="2:11" x14ac:dyDescent="0.2">
      <c r="B1664" s="2069"/>
      <c r="C1664" s="2069"/>
      <c r="D1664" s="2069"/>
      <c r="E1664" s="2069"/>
      <c r="F1664" s="2069"/>
      <c r="G1664" s="2069"/>
      <c r="H1664" s="2069"/>
      <c r="I1664"/>
      <c r="J1664"/>
      <c r="K1664"/>
    </row>
    <row r="1665" spans="2:11" x14ac:dyDescent="0.2">
      <c r="B1665" s="2069"/>
      <c r="C1665" s="2069"/>
      <c r="D1665" s="2069"/>
      <c r="E1665" s="2069"/>
      <c r="F1665" s="2069"/>
      <c r="G1665" s="2069"/>
      <c r="H1665" s="2069"/>
      <c r="I1665"/>
      <c r="J1665"/>
      <c r="K1665"/>
    </row>
    <row r="1666" spans="2:11" x14ac:dyDescent="0.2">
      <c r="B1666" s="2069"/>
      <c r="C1666" s="2069"/>
      <c r="D1666" s="2069"/>
      <c r="E1666" s="2069"/>
      <c r="F1666" s="2069"/>
      <c r="G1666" s="2069"/>
      <c r="H1666" s="2069"/>
      <c r="I1666"/>
      <c r="J1666"/>
      <c r="K1666"/>
    </row>
    <row r="1667" spans="2:11" x14ac:dyDescent="0.2">
      <c r="B1667" s="2069"/>
      <c r="C1667" s="2069"/>
      <c r="D1667" s="2069"/>
      <c r="E1667" s="2069"/>
      <c r="F1667" s="2069"/>
      <c r="G1667" s="2069"/>
      <c r="H1667" s="2069"/>
      <c r="I1667"/>
      <c r="J1667"/>
      <c r="K1667"/>
    </row>
    <row r="1668" spans="2:11" x14ac:dyDescent="0.2">
      <c r="B1668" s="2069"/>
      <c r="C1668" s="2069"/>
      <c r="D1668" s="2069"/>
      <c r="E1668" s="2069"/>
      <c r="F1668" s="2069"/>
      <c r="G1668" s="2069"/>
      <c r="H1668" s="2069"/>
      <c r="I1668"/>
      <c r="J1668"/>
      <c r="K1668"/>
    </row>
    <row r="1669" spans="2:11" x14ac:dyDescent="0.2">
      <c r="B1669" s="2069"/>
      <c r="C1669" s="2069"/>
      <c r="D1669" s="2069"/>
      <c r="E1669" s="2069"/>
      <c r="F1669" s="2069"/>
      <c r="G1669" s="2069"/>
      <c r="H1669" s="2069"/>
      <c r="I1669"/>
      <c r="J1669"/>
      <c r="K1669"/>
    </row>
    <row r="1670" spans="2:11" x14ac:dyDescent="0.2">
      <c r="B1670" s="2069"/>
      <c r="C1670" s="2069"/>
      <c r="D1670" s="2069"/>
      <c r="E1670" s="2069"/>
      <c r="F1670" s="2069"/>
      <c r="G1670" s="2069"/>
      <c r="H1670" s="2069"/>
      <c r="I1670"/>
      <c r="J1670"/>
      <c r="K1670"/>
    </row>
    <row r="1671" spans="2:11" x14ac:dyDescent="0.2">
      <c r="B1671" s="2069"/>
      <c r="C1671" s="2069"/>
      <c r="D1671" s="2069"/>
      <c r="E1671" s="2069"/>
      <c r="F1671" s="2069"/>
      <c r="G1671" s="2069"/>
      <c r="H1671" s="2069"/>
      <c r="I1671"/>
      <c r="J1671"/>
      <c r="K1671"/>
    </row>
    <row r="1672" spans="2:11" x14ac:dyDescent="0.2">
      <c r="B1672" s="2069"/>
      <c r="C1672" s="2069"/>
      <c r="D1672" s="2069"/>
      <c r="E1672" s="2069"/>
      <c r="F1672" s="2069"/>
      <c r="G1672" s="2069"/>
      <c r="H1672" s="2069"/>
      <c r="I1672"/>
      <c r="J1672"/>
      <c r="K1672"/>
    </row>
    <row r="1673" spans="2:11" x14ac:dyDescent="0.2">
      <c r="B1673" s="2069"/>
      <c r="C1673" s="2069"/>
      <c r="D1673" s="2069"/>
      <c r="E1673" s="2069"/>
      <c r="F1673" s="2069"/>
      <c r="G1673" s="2069"/>
      <c r="H1673" s="2069"/>
      <c r="I1673"/>
      <c r="J1673"/>
      <c r="K1673"/>
    </row>
    <row r="1674" spans="2:11" x14ac:dyDescent="0.2">
      <c r="B1674" s="2069"/>
      <c r="C1674" s="2069"/>
      <c r="D1674" s="2069"/>
      <c r="E1674" s="2069"/>
      <c r="F1674" s="2069"/>
      <c r="G1674" s="2069"/>
      <c r="H1674" s="2069"/>
      <c r="I1674"/>
      <c r="J1674"/>
      <c r="K1674"/>
    </row>
    <row r="1675" spans="2:11" x14ac:dyDescent="0.2">
      <c r="B1675" s="2069"/>
      <c r="C1675" s="2069"/>
      <c r="D1675" s="2069"/>
      <c r="E1675" s="2069"/>
      <c r="F1675" s="2069"/>
      <c r="G1675" s="2069"/>
      <c r="H1675" s="2069"/>
      <c r="I1675"/>
      <c r="J1675"/>
      <c r="K1675"/>
    </row>
    <row r="1676" spans="2:11" x14ac:dyDescent="0.2">
      <c r="B1676" s="2069"/>
      <c r="C1676" s="2069"/>
      <c r="D1676" s="2069"/>
      <c r="E1676" s="2069"/>
      <c r="F1676" s="2069"/>
      <c r="G1676" s="2069"/>
      <c r="H1676" s="2069"/>
      <c r="I1676"/>
      <c r="J1676"/>
      <c r="K1676"/>
    </row>
    <row r="1677" spans="2:11" x14ac:dyDescent="0.2">
      <c r="B1677" s="2069"/>
      <c r="C1677" s="2069"/>
      <c r="D1677" s="2069"/>
      <c r="E1677" s="2069"/>
      <c r="F1677" s="2069"/>
      <c r="G1677" s="2069"/>
      <c r="H1677" s="2069"/>
      <c r="I1677"/>
      <c r="J1677"/>
      <c r="K1677"/>
    </row>
    <row r="1678" spans="2:11" x14ac:dyDescent="0.2">
      <c r="B1678" s="2069"/>
      <c r="C1678" s="2069"/>
      <c r="D1678" s="2069"/>
      <c r="E1678" s="2069"/>
      <c r="F1678" s="2069"/>
      <c r="G1678" s="2069"/>
      <c r="H1678" s="2069"/>
      <c r="I1678"/>
      <c r="J1678"/>
      <c r="K1678"/>
    </row>
    <row r="1679" spans="2:11" x14ac:dyDescent="0.2">
      <c r="B1679" s="2069"/>
      <c r="C1679" s="2069"/>
      <c r="D1679" s="2069"/>
      <c r="E1679" s="2069"/>
      <c r="F1679" s="2069"/>
      <c r="G1679" s="2069"/>
      <c r="H1679" s="2069"/>
      <c r="I1679"/>
      <c r="J1679"/>
      <c r="K1679"/>
    </row>
    <row r="1680" spans="2:11" x14ac:dyDescent="0.2">
      <c r="B1680" s="2069"/>
      <c r="C1680" s="2069"/>
      <c r="D1680" s="2069"/>
      <c r="E1680" s="2069"/>
      <c r="F1680" s="2069"/>
      <c r="G1680" s="2069"/>
      <c r="H1680" s="2069"/>
      <c r="I1680"/>
      <c r="J1680"/>
      <c r="K1680"/>
    </row>
    <row r="1681" spans="2:11" x14ac:dyDescent="0.2">
      <c r="B1681" s="2069"/>
      <c r="C1681" s="2069"/>
      <c r="D1681" s="2069"/>
      <c r="E1681" s="2069"/>
      <c r="F1681" s="2069"/>
      <c r="G1681" s="2069"/>
      <c r="H1681" s="2069"/>
      <c r="I1681"/>
      <c r="J1681"/>
      <c r="K1681"/>
    </row>
    <row r="1682" spans="2:11" x14ac:dyDescent="0.2">
      <c r="B1682" s="2069"/>
      <c r="C1682" s="2069"/>
      <c r="D1682" s="2069"/>
      <c r="E1682" s="2069"/>
      <c r="F1682" s="2069"/>
      <c r="G1682" s="2069"/>
      <c r="H1682" s="2069"/>
      <c r="I1682"/>
      <c r="J1682"/>
      <c r="K1682"/>
    </row>
    <row r="1683" spans="2:11" x14ac:dyDescent="0.2">
      <c r="B1683" s="2069"/>
      <c r="C1683" s="2069"/>
      <c r="D1683" s="2069"/>
      <c r="E1683" s="2069"/>
      <c r="F1683" s="2069"/>
      <c r="G1683" s="2069"/>
      <c r="H1683" s="2069"/>
      <c r="I1683"/>
      <c r="J1683"/>
      <c r="K1683"/>
    </row>
    <row r="1684" spans="2:11" x14ac:dyDescent="0.2">
      <c r="B1684" s="2069"/>
      <c r="C1684" s="2069"/>
      <c r="D1684" s="2069"/>
      <c r="E1684" s="2069"/>
      <c r="F1684" s="2069"/>
      <c r="G1684" s="2069"/>
      <c r="H1684" s="2069"/>
      <c r="I1684"/>
      <c r="J1684"/>
      <c r="K1684"/>
    </row>
    <row r="1685" spans="2:11" x14ac:dyDescent="0.2">
      <c r="B1685" s="2069"/>
      <c r="C1685" s="2069"/>
      <c r="D1685" s="2069"/>
      <c r="E1685" s="2069"/>
      <c r="F1685" s="2069"/>
      <c r="G1685" s="2069"/>
      <c r="H1685" s="2069"/>
      <c r="I1685"/>
      <c r="J1685"/>
      <c r="K1685"/>
    </row>
    <row r="1686" spans="2:11" x14ac:dyDescent="0.2">
      <c r="B1686" s="2069"/>
      <c r="C1686" s="2069"/>
      <c r="D1686" s="2069"/>
      <c r="E1686" s="2069"/>
      <c r="F1686" s="2069"/>
      <c r="G1686" s="2069"/>
      <c r="H1686" s="2069"/>
      <c r="I1686"/>
      <c r="J1686"/>
      <c r="K1686"/>
    </row>
    <row r="1687" spans="2:11" x14ac:dyDescent="0.2">
      <c r="B1687" s="2069"/>
      <c r="C1687" s="2069"/>
      <c r="D1687" s="2069"/>
      <c r="E1687" s="2069"/>
      <c r="F1687" s="2069"/>
      <c r="G1687" s="2069"/>
      <c r="H1687" s="2069"/>
      <c r="I1687"/>
      <c r="J1687"/>
      <c r="K1687"/>
    </row>
    <row r="1688" spans="2:11" x14ac:dyDescent="0.2">
      <c r="B1688" s="2069"/>
      <c r="C1688" s="2069"/>
      <c r="D1688" s="2069"/>
      <c r="E1688" s="2069"/>
      <c r="F1688" s="2069"/>
      <c r="G1688" s="2069"/>
      <c r="H1688" s="2069"/>
      <c r="I1688"/>
      <c r="J1688"/>
      <c r="K1688"/>
    </row>
    <row r="1689" spans="2:11" x14ac:dyDescent="0.2">
      <c r="B1689" s="2069"/>
      <c r="C1689" s="2069"/>
      <c r="D1689" s="2069"/>
      <c r="E1689" s="2069"/>
      <c r="F1689" s="2069"/>
      <c r="G1689" s="2069"/>
      <c r="H1689" s="2069"/>
      <c r="I1689"/>
      <c r="J1689"/>
      <c r="K1689"/>
    </row>
    <row r="1690" spans="2:11" x14ac:dyDescent="0.2">
      <c r="B1690" s="2069"/>
      <c r="C1690" s="2069"/>
      <c r="D1690" s="2069"/>
      <c r="E1690" s="2069"/>
      <c r="F1690" s="2069"/>
      <c r="G1690" s="2069"/>
      <c r="H1690" s="2069"/>
      <c r="I1690"/>
      <c r="J1690"/>
      <c r="K1690"/>
    </row>
    <row r="1691" spans="2:11" x14ac:dyDescent="0.2">
      <c r="B1691" s="2069"/>
      <c r="C1691" s="2069"/>
      <c r="D1691" s="2069"/>
      <c r="E1691" s="2069"/>
      <c r="F1691" s="2069"/>
      <c r="G1691" s="2069"/>
      <c r="H1691" s="2069"/>
      <c r="I1691"/>
      <c r="J1691"/>
      <c r="K1691"/>
    </row>
    <row r="1692" spans="2:11" x14ac:dyDescent="0.2">
      <c r="B1692" s="2069"/>
      <c r="C1692" s="2069"/>
      <c r="D1692" s="2069"/>
      <c r="E1692" s="2069"/>
      <c r="F1692" s="2069"/>
      <c r="G1692" s="2069"/>
      <c r="H1692" s="2069"/>
      <c r="I1692"/>
      <c r="J1692"/>
      <c r="K1692"/>
    </row>
    <row r="1693" spans="2:11" x14ac:dyDescent="0.2">
      <c r="B1693" s="2069"/>
      <c r="C1693" s="2069"/>
      <c r="D1693" s="2069"/>
      <c r="E1693" s="2069"/>
      <c r="F1693" s="2069"/>
      <c r="G1693" s="2069"/>
      <c r="H1693" s="2069"/>
      <c r="I1693"/>
      <c r="J1693"/>
      <c r="K1693"/>
    </row>
    <row r="1694" spans="2:11" x14ac:dyDescent="0.2">
      <c r="B1694" s="2069"/>
      <c r="C1694" s="2069"/>
      <c r="D1694" s="2069"/>
      <c r="E1694" s="2069"/>
      <c r="F1694" s="2069"/>
      <c r="G1694" s="2069"/>
      <c r="H1694" s="2069"/>
      <c r="I1694"/>
      <c r="J1694"/>
      <c r="K1694"/>
    </row>
    <row r="1695" spans="2:11" x14ac:dyDescent="0.2">
      <c r="B1695" s="2069"/>
      <c r="C1695" s="2069"/>
      <c r="D1695" s="2069"/>
      <c r="E1695" s="2069"/>
      <c r="F1695" s="2069"/>
      <c r="G1695" s="2069"/>
      <c r="H1695" s="2069"/>
      <c r="I1695"/>
      <c r="J1695"/>
      <c r="K1695"/>
    </row>
    <row r="1696" spans="2:11" x14ac:dyDescent="0.2">
      <c r="B1696" s="2069"/>
      <c r="C1696" s="2069"/>
      <c r="D1696" s="2069"/>
      <c r="E1696" s="2069"/>
      <c r="F1696" s="2069"/>
      <c r="G1696" s="2069"/>
      <c r="H1696" s="2069"/>
      <c r="I1696"/>
      <c r="J1696"/>
      <c r="K1696"/>
    </row>
    <row r="1697" spans="2:11" x14ac:dyDescent="0.2">
      <c r="B1697" s="2069"/>
      <c r="C1697" s="2069"/>
      <c r="D1697" s="2069"/>
      <c r="E1697" s="2069"/>
      <c r="F1697" s="2069"/>
      <c r="G1697" s="2069"/>
      <c r="H1697" s="2069"/>
      <c r="I1697"/>
      <c r="J1697"/>
      <c r="K1697"/>
    </row>
    <row r="1698" spans="2:11" x14ac:dyDescent="0.2">
      <c r="B1698" s="2069"/>
      <c r="C1698" s="2069"/>
      <c r="D1698" s="2069"/>
      <c r="E1698" s="2069"/>
      <c r="F1698" s="2069"/>
      <c r="G1698" s="2069"/>
      <c r="H1698" s="2069"/>
      <c r="I1698"/>
      <c r="J1698"/>
      <c r="K1698"/>
    </row>
    <row r="1699" spans="2:11" x14ac:dyDescent="0.2">
      <c r="B1699" s="2069"/>
      <c r="C1699" s="2069"/>
      <c r="D1699" s="2069"/>
      <c r="E1699" s="2069"/>
      <c r="F1699" s="2069"/>
      <c r="G1699" s="2069"/>
      <c r="H1699" s="2069"/>
      <c r="I1699"/>
      <c r="J1699"/>
      <c r="K1699"/>
    </row>
    <row r="1700" spans="2:11" x14ac:dyDescent="0.2">
      <c r="B1700" s="2069"/>
      <c r="C1700" s="2069"/>
      <c r="D1700" s="2069"/>
      <c r="E1700" s="2069"/>
      <c r="F1700" s="2069"/>
      <c r="G1700" s="2069"/>
      <c r="H1700" s="2069"/>
      <c r="I1700"/>
      <c r="J1700"/>
      <c r="K1700"/>
    </row>
    <row r="1701" spans="2:11" x14ac:dyDescent="0.2">
      <c r="B1701" s="2069"/>
      <c r="C1701" s="2069"/>
      <c r="D1701" s="2069"/>
      <c r="E1701" s="2069"/>
      <c r="F1701" s="2069"/>
      <c r="G1701" s="2069"/>
      <c r="H1701" s="2069"/>
      <c r="I1701"/>
      <c r="J1701"/>
      <c r="K1701"/>
    </row>
    <row r="1702" spans="2:11" x14ac:dyDescent="0.2">
      <c r="B1702" s="2069"/>
      <c r="C1702" s="2069"/>
      <c r="D1702" s="2069"/>
      <c r="E1702" s="2069"/>
      <c r="F1702" s="2069"/>
      <c r="G1702" s="2069"/>
      <c r="H1702" s="2069"/>
      <c r="I1702"/>
      <c r="J1702"/>
      <c r="K1702"/>
    </row>
    <row r="1703" spans="2:11" x14ac:dyDescent="0.2">
      <c r="B1703" s="2069"/>
      <c r="C1703" s="2069"/>
      <c r="D1703" s="2069"/>
      <c r="E1703" s="2069"/>
      <c r="F1703" s="2069"/>
      <c r="G1703" s="2069"/>
      <c r="H1703" s="2069"/>
      <c r="I1703"/>
      <c r="J1703"/>
      <c r="K1703"/>
    </row>
    <row r="1704" spans="2:11" x14ac:dyDescent="0.2">
      <c r="B1704" s="2069"/>
      <c r="C1704" s="2069"/>
      <c r="D1704" s="2069"/>
      <c r="E1704" s="2069"/>
      <c r="F1704" s="2069"/>
      <c r="G1704" s="2069"/>
      <c r="H1704" s="2069"/>
      <c r="I1704"/>
      <c r="J1704"/>
      <c r="K1704"/>
    </row>
    <row r="1705" spans="2:11" x14ac:dyDescent="0.2">
      <c r="B1705" s="2069"/>
      <c r="C1705" s="2069"/>
      <c r="D1705" s="2069"/>
      <c r="E1705" s="2069"/>
      <c r="F1705" s="2069"/>
      <c r="G1705" s="2069"/>
      <c r="H1705" s="2069"/>
      <c r="I1705"/>
      <c r="J1705"/>
      <c r="K1705"/>
    </row>
    <row r="1706" spans="2:11" x14ac:dyDescent="0.2">
      <c r="B1706" s="2069"/>
      <c r="C1706" s="2069"/>
      <c r="D1706" s="2069"/>
      <c r="E1706" s="2069"/>
      <c r="F1706" s="2069"/>
      <c r="G1706" s="2069"/>
      <c r="H1706" s="2069"/>
      <c r="I1706"/>
      <c r="J1706"/>
      <c r="K1706"/>
    </row>
    <row r="1707" spans="2:11" x14ac:dyDescent="0.2">
      <c r="B1707" s="2069"/>
      <c r="C1707" s="2069"/>
      <c r="D1707" s="2069"/>
      <c r="E1707" s="2069"/>
      <c r="F1707" s="2069"/>
      <c r="G1707" s="2069"/>
      <c r="H1707" s="2069"/>
      <c r="I1707"/>
      <c r="J1707"/>
      <c r="K1707"/>
    </row>
    <row r="1708" spans="2:11" x14ac:dyDescent="0.2">
      <c r="B1708" s="2069"/>
      <c r="C1708" s="2069"/>
      <c r="D1708" s="2069"/>
      <c r="E1708" s="2069"/>
      <c r="F1708" s="2069"/>
      <c r="G1708" s="2069"/>
      <c r="H1708" s="2069"/>
      <c r="I1708"/>
      <c r="J1708"/>
      <c r="K1708"/>
    </row>
    <row r="1709" spans="2:11" x14ac:dyDescent="0.2">
      <c r="B1709" s="2069"/>
      <c r="C1709" s="2069"/>
      <c r="D1709" s="2069"/>
      <c r="E1709" s="2069"/>
      <c r="F1709" s="2069"/>
      <c r="G1709" s="2069"/>
      <c r="H1709" s="2069"/>
      <c r="I1709"/>
      <c r="J1709"/>
      <c r="K1709"/>
    </row>
    <row r="1710" spans="2:11" x14ac:dyDescent="0.2">
      <c r="B1710" s="2069"/>
      <c r="C1710" s="2069"/>
      <c r="D1710" s="2069"/>
      <c r="E1710" s="2069"/>
      <c r="F1710" s="2069"/>
      <c r="G1710" s="2069"/>
      <c r="H1710" s="2069"/>
      <c r="I1710"/>
      <c r="J1710"/>
      <c r="K1710"/>
    </row>
    <row r="1711" spans="2:11" x14ac:dyDescent="0.2">
      <c r="B1711" s="2069"/>
      <c r="C1711" s="2069"/>
      <c r="D1711" s="2069"/>
      <c r="E1711" s="2069"/>
      <c r="F1711" s="2069"/>
      <c r="G1711" s="2069"/>
      <c r="H1711" s="2069"/>
      <c r="I1711"/>
      <c r="J1711"/>
      <c r="K1711"/>
    </row>
    <row r="1712" spans="2:11" x14ac:dyDescent="0.2">
      <c r="B1712" s="2069"/>
      <c r="C1712" s="2069"/>
      <c r="D1712" s="2069"/>
      <c r="E1712" s="2069"/>
      <c r="F1712" s="2069"/>
      <c r="G1712" s="2069"/>
      <c r="H1712" s="2069"/>
      <c r="I1712"/>
      <c r="J1712"/>
      <c r="K1712"/>
    </row>
    <row r="1713" spans="2:11" x14ac:dyDescent="0.2">
      <c r="B1713" s="2069"/>
      <c r="C1713" s="2069"/>
      <c r="D1713" s="2069"/>
      <c r="E1713" s="2069"/>
      <c r="F1713" s="2069"/>
      <c r="G1713" s="2069"/>
      <c r="H1713" s="2069"/>
      <c r="I1713"/>
      <c r="J1713"/>
      <c r="K1713"/>
    </row>
    <row r="1714" spans="2:11" x14ac:dyDescent="0.2">
      <c r="B1714" s="2069"/>
      <c r="C1714" s="2069"/>
      <c r="D1714" s="2069"/>
      <c r="E1714" s="2069"/>
      <c r="F1714" s="2069"/>
      <c r="G1714" s="2069"/>
      <c r="H1714" s="2069"/>
      <c r="I1714"/>
      <c r="J1714"/>
      <c r="K1714"/>
    </row>
    <row r="1715" spans="2:11" x14ac:dyDescent="0.2">
      <c r="B1715" s="2069"/>
      <c r="C1715" s="2069"/>
      <c r="D1715" s="2069"/>
      <c r="E1715" s="2069"/>
      <c r="F1715" s="2069"/>
      <c r="G1715" s="2069"/>
      <c r="H1715" s="2069"/>
      <c r="I1715"/>
      <c r="J1715"/>
      <c r="K1715"/>
    </row>
    <row r="1716" spans="2:11" x14ac:dyDescent="0.2">
      <c r="B1716" s="2069"/>
      <c r="C1716" s="2069"/>
      <c r="D1716" s="2069"/>
      <c r="E1716" s="2069"/>
      <c r="F1716" s="2069"/>
      <c r="G1716" s="2069"/>
      <c r="H1716" s="2069"/>
      <c r="I1716"/>
      <c r="J1716"/>
      <c r="K1716"/>
    </row>
    <row r="1717" spans="2:11" x14ac:dyDescent="0.2">
      <c r="B1717" s="2069"/>
      <c r="C1717" s="2069"/>
      <c r="D1717" s="2069"/>
      <c r="E1717" s="2069"/>
      <c r="F1717" s="2069"/>
      <c r="G1717" s="2069"/>
      <c r="H1717" s="2069"/>
      <c r="I1717"/>
      <c r="J1717"/>
      <c r="K1717"/>
    </row>
    <row r="1718" spans="2:11" x14ac:dyDescent="0.2">
      <c r="B1718" s="2069"/>
      <c r="C1718" s="2069"/>
      <c r="D1718" s="2069"/>
      <c r="E1718" s="2069"/>
      <c r="F1718" s="2069"/>
      <c r="G1718" s="2069"/>
      <c r="H1718" s="2069"/>
      <c r="I1718"/>
      <c r="J1718"/>
      <c r="K1718"/>
    </row>
    <row r="1719" spans="2:11" x14ac:dyDescent="0.2">
      <c r="B1719" s="2069"/>
      <c r="C1719" s="2069"/>
      <c r="D1719" s="2069"/>
      <c r="E1719" s="2069"/>
      <c r="F1719" s="2069"/>
      <c r="G1719" s="2069"/>
      <c r="H1719" s="2069"/>
      <c r="I1719"/>
      <c r="J1719"/>
      <c r="K1719"/>
    </row>
    <row r="1720" spans="2:11" x14ac:dyDescent="0.2">
      <c r="B1720" s="2069"/>
      <c r="C1720" s="2069"/>
      <c r="D1720" s="2069"/>
      <c r="E1720" s="2069"/>
      <c r="F1720" s="2069"/>
      <c r="G1720" s="2069"/>
      <c r="H1720" s="2069"/>
      <c r="I1720"/>
      <c r="J1720"/>
      <c r="K1720"/>
    </row>
    <row r="1721" spans="2:11" x14ac:dyDescent="0.2">
      <c r="B1721" s="2069"/>
      <c r="C1721" s="2069"/>
      <c r="D1721" s="2069"/>
      <c r="E1721" s="2069"/>
      <c r="F1721" s="2069"/>
      <c r="G1721" s="2069"/>
      <c r="H1721" s="2069"/>
      <c r="I1721"/>
      <c r="J1721"/>
      <c r="K1721"/>
    </row>
    <row r="1722" spans="2:11" x14ac:dyDescent="0.2">
      <c r="B1722" s="2069"/>
      <c r="C1722" s="2069"/>
      <c r="D1722" s="2069"/>
      <c r="E1722" s="2069"/>
      <c r="F1722" s="2069"/>
      <c r="G1722" s="2069"/>
      <c r="H1722" s="2069"/>
      <c r="I1722"/>
      <c r="J1722"/>
      <c r="K1722"/>
    </row>
    <row r="1723" spans="2:11" x14ac:dyDescent="0.2">
      <c r="B1723" s="2069"/>
      <c r="C1723" s="2069"/>
      <c r="D1723" s="2069"/>
      <c r="E1723" s="2069"/>
      <c r="F1723" s="2069"/>
      <c r="G1723" s="2069"/>
      <c r="H1723" s="2069"/>
      <c r="I1723"/>
      <c r="J1723"/>
      <c r="K1723"/>
    </row>
    <row r="1724" spans="2:11" x14ac:dyDescent="0.2">
      <c r="B1724" s="2069"/>
      <c r="C1724" s="2069"/>
      <c r="D1724" s="2069"/>
      <c r="E1724" s="2069"/>
      <c r="F1724" s="2069"/>
      <c r="G1724" s="2069"/>
      <c r="H1724" s="2069"/>
      <c r="I1724"/>
      <c r="J1724"/>
      <c r="K1724"/>
    </row>
    <row r="1725" spans="2:11" x14ac:dyDescent="0.2">
      <c r="B1725" s="2069"/>
      <c r="C1725" s="2069"/>
      <c r="D1725" s="2069"/>
      <c r="E1725" s="2069"/>
      <c r="F1725" s="2069"/>
      <c r="G1725" s="2069"/>
      <c r="H1725" s="2069"/>
      <c r="I1725"/>
      <c r="J1725"/>
      <c r="K1725"/>
    </row>
    <row r="1726" spans="2:11" x14ac:dyDescent="0.2">
      <c r="B1726" s="2069"/>
      <c r="C1726" s="2069"/>
      <c r="D1726" s="2069"/>
      <c r="E1726" s="2069"/>
      <c r="F1726" s="2069"/>
      <c r="G1726" s="2069"/>
      <c r="H1726" s="2069"/>
      <c r="I1726"/>
      <c r="J1726"/>
      <c r="K1726"/>
    </row>
    <row r="1727" spans="2:11" x14ac:dyDescent="0.2">
      <c r="B1727" s="2069"/>
      <c r="C1727" s="2069"/>
      <c r="D1727" s="2069"/>
      <c r="E1727" s="2069"/>
      <c r="F1727" s="2069"/>
      <c r="G1727" s="2069"/>
      <c r="H1727" s="2069"/>
      <c r="I1727"/>
      <c r="J1727"/>
      <c r="K1727"/>
    </row>
    <row r="1728" spans="2:11" x14ac:dyDescent="0.2">
      <c r="B1728" s="2069"/>
      <c r="C1728" s="2069"/>
      <c r="D1728" s="2069"/>
      <c r="E1728" s="2069"/>
      <c r="F1728" s="2069"/>
      <c r="G1728" s="2069"/>
      <c r="H1728" s="2069"/>
      <c r="I1728"/>
      <c r="J1728"/>
      <c r="K1728"/>
    </row>
    <row r="1729" spans="2:11" x14ac:dyDescent="0.2">
      <c r="B1729" s="2069"/>
      <c r="C1729" s="2069"/>
      <c r="D1729" s="2069"/>
      <c r="E1729" s="2069"/>
      <c r="F1729" s="2069"/>
      <c r="G1729" s="2069"/>
      <c r="H1729" s="2069"/>
      <c r="I1729"/>
      <c r="J1729"/>
      <c r="K1729"/>
    </row>
    <row r="1730" spans="2:11" x14ac:dyDescent="0.2">
      <c r="B1730" s="2069"/>
      <c r="C1730" s="2069"/>
      <c r="D1730" s="2069"/>
      <c r="E1730" s="2069"/>
      <c r="F1730" s="2069"/>
      <c r="G1730" s="2069"/>
      <c r="H1730" s="2069"/>
      <c r="I1730"/>
      <c r="J1730"/>
      <c r="K1730"/>
    </row>
    <row r="1731" spans="2:11" x14ac:dyDescent="0.2">
      <c r="B1731" s="2069"/>
      <c r="C1731" s="2069"/>
      <c r="D1731" s="2069"/>
      <c r="E1731" s="2069"/>
      <c r="F1731" s="2069"/>
      <c r="G1731" s="2069"/>
      <c r="H1731" s="2069"/>
      <c r="I1731"/>
      <c r="J1731"/>
      <c r="K1731"/>
    </row>
    <row r="1732" spans="2:11" x14ac:dyDescent="0.2">
      <c r="B1732" s="2069"/>
      <c r="C1732" s="2069"/>
      <c r="D1732" s="2069"/>
      <c r="E1732" s="2069"/>
      <c r="F1732" s="2069"/>
      <c r="G1732" s="2069"/>
      <c r="H1732" s="2069"/>
      <c r="I1732"/>
      <c r="J1732"/>
      <c r="K1732"/>
    </row>
    <row r="1733" spans="2:11" x14ac:dyDescent="0.2">
      <c r="B1733" s="2069"/>
      <c r="C1733" s="2069"/>
      <c r="D1733" s="2069"/>
      <c r="E1733" s="2069"/>
      <c r="F1733" s="2069"/>
      <c r="G1733" s="2069"/>
      <c r="H1733" s="2069"/>
      <c r="I1733"/>
      <c r="J1733"/>
      <c r="K1733"/>
    </row>
    <row r="1734" spans="2:11" x14ac:dyDescent="0.2">
      <c r="B1734" s="2069"/>
      <c r="C1734" s="2069"/>
      <c r="D1734" s="2069"/>
      <c r="E1734" s="2069"/>
      <c r="F1734" s="2069"/>
      <c r="G1734" s="2069"/>
      <c r="H1734" s="2069"/>
      <c r="I1734"/>
      <c r="J1734"/>
      <c r="K1734"/>
    </row>
    <row r="1735" spans="2:11" x14ac:dyDescent="0.2">
      <c r="B1735" s="2069"/>
      <c r="C1735" s="2069"/>
      <c r="D1735" s="2069"/>
      <c r="E1735" s="2069"/>
      <c r="F1735" s="2069"/>
      <c r="G1735" s="2069"/>
      <c r="H1735" s="2069"/>
      <c r="I1735"/>
      <c r="J1735"/>
      <c r="K1735"/>
    </row>
    <row r="1736" spans="2:11" x14ac:dyDescent="0.2">
      <c r="B1736" s="2069"/>
      <c r="C1736" s="2069"/>
      <c r="D1736" s="2069"/>
      <c r="E1736" s="2069"/>
      <c r="F1736" s="2069"/>
      <c r="G1736" s="2069"/>
      <c r="H1736" s="2069"/>
      <c r="I1736"/>
      <c r="J1736"/>
      <c r="K1736"/>
    </row>
    <row r="1737" spans="2:11" x14ac:dyDescent="0.2">
      <c r="B1737" s="2069"/>
      <c r="C1737" s="2069"/>
      <c r="D1737" s="2069"/>
      <c r="E1737" s="2069"/>
      <c r="F1737" s="2069"/>
      <c r="G1737" s="2069"/>
      <c r="H1737" s="2069"/>
      <c r="I1737"/>
      <c r="J1737"/>
      <c r="K1737"/>
    </row>
    <row r="1738" spans="2:11" x14ac:dyDescent="0.2">
      <c r="B1738" s="2069"/>
      <c r="C1738" s="2069"/>
      <c r="D1738" s="2069"/>
      <c r="E1738" s="2069"/>
      <c r="F1738" s="2069"/>
      <c r="G1738" s="2069"/>
      <c r="H1738" s="2069"/>
      <c r="I1738"/>
      <c r="J1738"/>
      <c r="K1738"/>
    </row>
    <row r="1739" spans="2:11" x14ac:dyDescent="0.2">
      <c r="B1739" s="2069"/>
      <c r="C1739" s="2069"/>
      <c r="D1739" s="2069"/>
      <c r="E1739" s="2069"/>
      <c r="F1739" s="2069"/>
      <c r="G1739" s="2069"/>
      <c r="H1739" s="2069"/>
      <c r="I1739"/>
      <c r="J1739"/>
      <c r="K1739"/>
    </row>
    <row r="1740" spans="2:11" x14ac:dyDescent="0.2">
      <c r="B1740" s="2069"/>
      <c r="C1740" s="2069"/>
      <c r="D1740" s="2069"/>
      <c r="E1740" s="2069"/>
      <c r="F1740" s="2069"/>
      <c r="G1740" s="2069"/>
      <c r="H1740" s="2069"/>
      <c r="I1740"/>
      <c r="J1740"/>
      <c r="K1740"/>
    </row>
    <row r="1741" spans="2:11" x14ac:dyDescent="0.2">
      <c r="B1741" s="2069"/>
      <c r="C1741" s="2069"/>
      <c r="D1741" s="2069"/>
      <c r="E1741" s="2069"/>
      <c r="F1741" s="2069"/>
      <c r="G1741" s="2069"/>
      <c r="H1741" s="2069"/>
      <c r="I1741"/>
      <c r="J1741"/>
      <c r="K1741"/>
    </row>
    <row r="1742" spans="2:11" x14ac:dyDescent="0.2">
      <c r="B1742" s="2069"/>
      <c r="C1742" s="2069"/>
      <c r="D1742" s="2069"/>
      <c r="E1742" s="2069"/>
      <c r="F1742" s="2069"/>
      <c r="G1742" s="2069"/>
      <c r="H1742" s="2069"/>
      <c r="I1742"/>
      <c r="J1742"/>
      <c r="K1742"/>
    </row>
    <row r="1743" spans="2:11" x14ac:dyDescent="0.2">
      <c r="B1743" s="2069"/>
      <c r="C1743" s="2069"/>
      <c r="D1743" s="2069"/>
      <c r="E1743" s="2069"/>
      <c r="F1743" s="2069"/>
      <c r="G1743" s="2069"/>
      <c r="H1743" s="2069"/>
      <c r="I1743"/>
      <c r="J1743"/>
      <c r="K1743"/>
    </row>
    <row r="1744" spans="2:11" x14ac:dyDescent="0.2">
      <c r="B1744" s="2069"/>
      <c r="C1744" s="2069"/>
      <c r="D1744" s="2069"/>
      <c r="E1744" s="2069"/>
      <c r="F1744" s="2069"/>
      <c r="G1744" s="2069"/>
      <c r="H1744" s="2069"/>
      <c r="I1744"/>
      <c r="J1744"/>
      <c r="K1744"/>
    </row>
    <row r="1745" spans="2:11" x14ac:dyDescent="0.2">
      <c r="B1745" s="2069"/>
      <c r="C1745" s="2069"/>
      <c r="D1745" s="2069"/>
      <c r="E1745" s="2069"/>
      <c r="F1745" s="2069"/>
      <c r="G1745" s="2069"/>
      <c r="H1745" s="2069"/>
      <c r="I1745"/>
      <c r="J1745"/>
      <c r="K1745"/>
    </row>
    <row r="1746" spans="2:11" x14ac:dyDescent="0.2">
      <c r="B1746" s="2069"/>
      <c r="C1746" s="2069"/>
      <c r="D1746" s="2069"/>
      <c r="E1746" s="2069"/>
      <c r="F1746" s="2069"/>
      <c r="G1746" s="2069"/>
      <c r="H1746" s="2069"/>
      <c r="I1746"/>
      <c r="J1746"/>
      <c r="K1746"/>
    </row>
    <row r="1747" spans="2:11" x14ac:dyDescent="0.2">
      <c r="B1747" s="2069"/>
      <c r="C1747" s="2069"/>
      <c r="D1747" s="2069"/>
      <c r="E1747" s="2069"/>
      <c r="F1747" s="2069"/>
      <c r="G1747" s="2069"/>
      <c r="H1747" s="2069"/>
      <c r="I1747"/>
      <c r="J1747"/>
      <c r="K1747"/>
    </row>
    <row r="1748" spans="2:11" x14ac:dyDescent="0.2">
      <c r="B1748" s="2069"/>
      <c r="C1748" s="2069"/>
      <c r="D1748" s="2069"/>
      <c r="E1748" s="2069"/>
      <c r="F1748" s="2069"/>
      <c r="G1748" s="2069"/>
      <c r="H1748" s="2069"/>
      <c r="I1748"/>
      <c r="J1748"/>
      <c r="K1748"/>
    </row>
    <row r="1749" spans="2:11" x14ac:dyDescent="0.2">
      <c r="B1749" s="2069"/>
      <c r="C1749" s="2069"/>
      <c r="D1749" s="2069"/>
      <c r="E1749" s="2069"/>
      <c r="F1749" s="2069"/>
      <c r="G1749" s="2069"/>
      <c r="H1749" s="2069"/>
      <c r="I1749"/>
      <c r="J1749"/>
      <c r="K1749"/>
    </row>
    <row r="1750" spans="2:11" x14ac:dyDescent="0.2">
      <c r="B1750" s="2069"/>
      <c r="C1750" s="2069"/>
      <c r="D1750" s="2069"/>
      <c r="E1750" s="2069"/>
      <c r="F1750" s="2069"/>
      <c r="G1750" s="2069"/>
      <c r="H1750" s="2069"/>
      <c r="I1750"/>
      <c r="J1750"/>
      <c r="K1750"/>
    </row>
    <row r="1751" spans="2:11" x14ac:dyDescent="0.2">
      <c r="B1751" s="2069"/>
      <c r="C1751" s="2069"/>
      <c r="D1751" s="2069"/>
      <c r="E1751" s="2069"/>
      <c r="F1751" s="2069"/>
      <c r="G1751" s="2069"/>
      <c r="H1751" s="2069"/>
      <c r="I1751"/>
      <c r="J1751"/>
      <c r="K1751"/>
    </row>
    <row r="1752" spans="2:11" x14ac:dyDescent="0.2">
      <c r="B1752" s="2069"/>
      <c r="C1752" s="2069"/>
      <c r="D1752" s="2069"/>
      <c r="E1752" s="2069"/>
      <c r="F1752" s="2069"/>
      <c r="G1752" s="2069"/>
      <c r="H1752" s="2069"/>
      <c r="I1752"/>
      <c r="J1752"/>
      <c r="K1752"/>
    </row>
    <row r="1753" spans="2:11" x14ac:dyDescent="0.2">
      <c r="B1753" s="2069"/>
      <c r="C1753" s="2069"/>
      <c r="D1753" s="2069"/>
      <c r="E1753" s="2069"/>
      <c r="F1753" s="2069"/>
      <c r="G1753" s="2069"/>
      <c r="H1753" s="2069"/>
      <c r="I1753"/>
      <c r="J1753"/>
      <c r="K1753"/>
    </row>
    <row r="1754" spans="2:11" x14ac:dyDescent="0.2">
      <c r="B1754" s="2069"/>
      <c r="C1754" s="2069"/>
      <c r="D1754" s="2069"/>
      <c r="E1754" s="2069"/>
      <c r="F1754" s="2069"/>
      <c r="G1754" s="2069"/>
      <c r="H1754" s="2069"/>
      <c r="I1754"/>
      <c r="J1754"/>
      <c r="K1754"/>
    </row>
    <row r="1755" spans="2:11" x14ac:dyDescent="0.2">
      <c r="B1755" s="2069"/>
      <c r="C1755" s="2069"/>
      <c r="D1755" s="2069"/>
      <c r="E1755" s="2069"/>
      <c r="F1755" s="2069"/>
      <c r="G1755" s="2069"/>
      <c r="H1755" s="2069"/>
      <c r="I1755"/>
      <c r="J1755"/>
      <c r="K1755"/>
    </row>
    <row r="1756" spans="2:11" x14ac:dyDescent="0.2">
      <c r="B1756" s="2069"/>
      <c r="C1756" s="2069"/>
      <c r="D1756" s="2069"/>
      <c r="E1756" s="2069"/>
      <c r="F1756" s="2069"/>
      <c r="G1756" s="2069"/>
      <c r="H1756" s="2069"/>
      <c r="I1756"/>
      <c r="J1756"/>
      <c r="K1756"/>
    </row>
    <row r="1757" spans="2:11" x14ac:dyDescent="0.2">
      <c r="B1757" s="2069"/>
      <c r="C1757" s="2069"/>
      <c r="D1757" s="2069"/>
      <c r="E1757" s="2069"/>
      <c r="F1757" s="2069"/>
      <c r="G1757" s="2069"/>
      <c r="H1757" s="2069"/>
      <c r="I1757"/>
      <c r="J1757"/>
      <c r="K1757"/>
    </row>
    <row r="1758" spans="2:11" x14ac:dyDescent="0.2">
      <c r="B1758" s="2069"/>
      <c r="C1758" s="2069"/>
      <c r="D1758" s="2069"/>
      <c r="E1758" s="2069"/>
      <c r="F1758" s="2069"/>
      <c r="G1758" s="2069"/>
      <c r="H1758" s="2069"/>
      <c r="I1758"/>
      <c r="J1758"/>
      <c r="K1758"/>
    </row>
    <row r="1759" spans="2:11" x14ac:dyDescent="0.2">
      <c r="B1759" s="2069"/>
      <c r="C1759" s="2069"/>
      <c r="D1759" s="2069"/>
      <c r="E1759" s="2069"/>
      <c r="F1759" s="2069"/>
      <c r="G1759" s="2069"/>
      <c r="H1759" s="2069"/>
      <c r="I1759"/>
      <c r="J1759"/>
      <c r="K1759"/>
    </row>
    <row r="1760" spans="2:11" x14ac:dyDescent="0.2">
      <c r="B1760" s="2069"/>
      <c r="C1760" s="2069"/>
      <c r="D1760" s="2069"/>
      <c r="E1760" s="2069"/>
      <c r="F1760" s="2069"/>
      <c r="G1760" s="2069"/>
      <c r="H1760" s="2069"/>
      <c r="I1760"/>
      <c r="J1760"/>
      <c r="K1760"/>
    </row>
    <row r="1761" spans="2:11" x14ac:dyDescent="0.2">
      <c r="B1761" s="2069"/>
      <c r="C1761" s="2069"/>
      <c r="D1761" s="2069"/>
      <c r="E1761" s="2069"/>
      <c r="F1761" s="2069"/>
      <c r="G1761" s="2069"/>
      <c r="H1761" s="2069"/>
      <c r="I1761"/>
      <c r="J1761"/>
      <c r="K1761"/>
    </row>
    <row r="1762" spans="2:11" x14ac:dyDescent="0.2">
      <c r="B1762" s="2069"/>
      <c r="C1762" s="2069"/>
      <c r="D1762" s="2069"/>
      <c r="E1762" s="2069"/>
      <c r="F1762" s="2069"/>
      <c r="G1762" s="2069"/>
      <c r="H1762" s="2069"/>
      <c r="I1762"/>
      <c r="J1762"/>
      <c r="K1762"/>
    </row>
    <row r="1763" spans="2:11" x14ac:dyDescent="0.2">
      <c r="B1763" s="2069"/>
      <c r="C1763" s="2069"/>
      <c r="D1763" s="2069"/>
      <c r="E1763" s="2069"/>
      <c r="F1763" s="2069"/>
      <c r="G1763" s="2069"/>
      <c r="H1763" s="2069"/>
      <c r="I1763"/>
      <c r="J1763"/>
      <c r="K1763"/>
    </row>
    <row r="1764" spans="2:11" x14ac:dyDescent="0.2">
      <c r="B1764" s="2069"/>
      <c r="C1764" s="2069"/>
      <c r="D1764" s="2069"/>
      <c r="E1764" s="2069"/>
      <c r="F1764" s="2069"/>
      <c r="G1764" s="2069"/>
      <c r="H1764" s="2069"/>
      <c r="I1764"/>
      <c r="J1764"/>
      <c r="K1764"/>
    </row>
    <row r="1765" spans="2:11" x14ac:dyDescent="0.2">
      <c r="B1765" s="2069"/>
      <c r="C1765" s="2069"/>
      <c r="D1765" s="2069"/>
      <c r="E1765" s="2069"/>
      <c r="F1765" s="2069"/>
      <c r="G1765" s="2069"/>
      <c r="H1765" s="2069"/>
      <c r="I1765"/>
      <c r="J1765"/>
      <c r="K1765"/>
    </row>
    <row r="1766" spans="2:11" x14ac:dyDescent="0.2">
      <c r="B1766" s="2069"/>
      <c r="C1766" s="2069"/>
      <c r="D1766" s="2069"/>
      <c r="E1766" s="2069"/>
      <c r="F1766" s="2069"/>
      <c r="G1766" s="2069"/>
      <c r="H1766" s="2069"/>
      <c r="I1766"/>
      <c r="J1766"/>
      <c r="K1766"/>
    </row>
    <row r="1767" spans="2:11" x14ac:dyDescent="0.2">
      <c r="B1767" s="2069"/>
      <c r="C1767" s="2069"/>
      <c r="D1767" s="2069"/>
      <c r="E1767" s="2069"/>
      <c r="F1767" s="2069"/>
      <c r="G1767" s="2069"/>
      <c r="H1767" s="2069"/>
      <c r="I1767"/>
      <c r="J1767"/>
      <c r="K1767"/>
    </row>
    <row r="1768" spans="2:11" x14ac:dyDescent="0.2">
      <c r="B1768" s="2069"/>
      <c r="C1768" s="2069"/>
      <c r="D1768" s="2069"/>
      <c r="E1768" s="2069"/>
      <c r="F1768" s="2069"/>
      <c r="G1768" s="2069"/>
      <c r="H1768" s="2069"/>
      <c r="I1768"/>
      <c r="J1768"/>
      <c r="K1768"/>
    </row>
    <row r="1769" spans="2:11" x14ac:dyDescent="0.2">
      <c r="B1769" s="2069"/>
      <c r="C1769" s="2069"/>
      <c r="D1769" s="2069"/>
      <c r="E1769" s="2069"/>
      <c r="F1769" s="2069"/>
      <c r="G1769" s="2069"/>
      <c r="H1769" s="2069"/>
      <c r="I1769"/>
      <c r="J1769"/>
      <c r="K1769"/>
    </row>
    <row r="1770" spans="2:11" x14ac:dyDescent="0.2">
      <c r="B1770" s="2069"/>
      <c r="C1770" s="2069"/>
      <c r="D1770" s="2069"/>
      <c r="E1770" s="2069"/>
      <c r="F1770" s="2069"/>
      <c r="G1770" s="2069"/>
      <c r="H1770" s="2069"/>
      <c r="I1770"/>
      <c r="J1770"/>
      <c r="K1770"/>
    </row>
    <row r="1771" spans="2:11" x14ac:dyDescent="0.2">
      <c r="B1771" s="2069"/>
      <c r="C1771" s="2069"/>
      <c r="D1771" s="2069"/>
      <c r="E1771" s="2069"/>
      <c r="F1771" s="2069"/>
      <c r="G1771" s="2069"/>
      <c r="H1771" s="2069"/>
      <c r="I1771"/>
      <c r="J1771"/>
      <c r="K1771"/>
    </row>
    <row r="1772" spans="2:11" x14ac:dyDescent="0.2">
      <c r="B1772" s="2069"/>
      <c r="C1772" s="2069"/>
      <c r="D1772" s="2069"/>
      <c r="E1772" s="2069"/>
      <c r="F1772" s="2069"/>
      <c r="G1772" s="2069"/>
      <c r="H1772" s="2069"/>
      <c r="I1772"/>
      <c r="J1772"/>
      <c r="K1772"/>
    </row>
    <row r="1773" spans="2:11" x14ac:dyDescent="0.2">
      <c r="B1773" s="2069"/>
      <c r="C1773" s="2069"/>
      <c r="D1773" s="2069"/>
      <c r="E1773" s="2069"/>
      <c r="F1773" s="2069"/>
      <c r="G1773" s="2069"/>
      <c r="H1773" s="2069"/>
      <c r="I1773"/>
      <c r="J1773"/>
      <c r="K1773"/>
    </row>
    <row r="1774" spans="2:11" x14ac:dyDescent="0.2">
      <c r="B1774" s="2069"/>
      <c r="C1774" s="2069"/>
      <c r="D1774" s="2069"/>
      <c r="E1774" s="2069"/>
      <c r="F1774" s="2069"/>
      <c r="G1774" s="2069"/>
      <c r="H1774" s="2069"/>
      <c r="I1774"/>
      <c r="J1774"/>
      <c r="K1774"/>
    </row>
    <row r="1775" spans="2:11" x14ac:dyDescent="0.2">
      <c r="B1775" s="2069"/>
      <c r="C1775" s="2069"/>
      <c r="D1775" s="2069"/>
      <c r="E1775" s="2069"/>
      <c r="F1775" s="2069"/>
      <c r="G1775" s="2069"/>
      <c r="H1775" s="2069"/>
      <c r="I1775"/>
      <c r="J1775"/>
      <c r="K1775"/>
    </row>
    <row r="1776" spans="2:11" x14ac:dyDescent="0.2">
      <c r="B1776" s="2069"/>
      <c r="C1776" s="2069"/>
      <c r="D1776" s="2069"/>
      <c r="E1776" s="2069"/>
      <c r="F1776" s="2069"/>
      <c r="G1776" s="2069"/>
      <c r="H1776" s="2069"/>
      <c r="I1776"/>
      <c r="J1776"/>
      <c r="K1776"/>
    </row>
    <row r="1777" spans="2:11" x14ac:dyDescent="0.2">
      <c r="B1777" s="2069"/>
      <c r="C1777" s="2069"/>
      <c r="D1777" s="2069"/>
      <c r="E1777" s="2069"/>
      <c r="F1777" s="2069"/>
      <c r="G1777" s="2069"/>
      <c r="H1777" s="2069"/>
      <c r="I1777"/>
      <c r="J1777"/>
      <c r="K1777"/>
    </row>
    <row r="1778" spans="2:11" x14ac:dyDescent="0.2">
      <c r="B1778" s="2069"/>
      <c r="C1778" s="2069"/>
      <c r="D1778" s="2069"/>
      <c r="E1778" s="2069"/>
      <c r="F1778" s="2069"/>
      <c r="G1778" s="2069"/>
      <c r="H1778" s="2069"/>
      <c r="I1778"/>
      <c r="J1778"/>
      <c r="K1778"/>
    </row>
    <row r="1779" spans="2:11" x14ac:dyDescent="0.2">
      <c r="B1779" s="2069"/>
      <c r="C1779" s="2069"/>
      <c r="D1779" s="2069"/>
      <c r="E1779" s="2069"/>
      <c r="F1779" s="2069"/>
      <c r="G1779" s="2069"/>
      <c r="H1779" s="2069"/>
      <c r="I1779"/>
      <c r="J1779"/>
      <c r="K1779"/>
    </row>
    <row r="1780" spans="2:11" x14ac:dyDescent="0.2">
      <c r="B1780" s="2069"/>
      <c r="C1780" s="2069"/>
      <c r="D1780" s="2069"/>
      <c r="E1780" s="2069"/>
      <c r="F1780" s="2069"/>
      <c r="G1780" s="2069"/>
      <c r="H1780" s="2069"/>
      <c r="I1780"/>
      <c r="J1780"/>
      <c r="K1780"/>
    </row>
    <row r="1781" spans="2:11" x14ac:dyDescent="0.2">
      <c r="B1781" s="2069"/>
      <c r="C1781" s="2069"/>
      <c r="D1781" s="2069"/>
      <c r="E1781" s="2069"/>
      <c r="F1781" s="2069"/>
      <c r="G1781" s="2069"/>
      <c r="H1781" s="2069"/>
      <c r="I1781"/>
      <c r="J1781"/>
      <c r="K1781"/>
    </row>
    <row r="1782" spans="2:11" x14ac:dyDescent="0.2">
      <c r="B1782" s="2069"/>
      <c r="C1782" s="2069"/>
      <c r="D1782" s="2069"/>
      <c r="E1782" s="2069"/>
      <c r="F1782" s="2069"/>
      <c r="G1782" s="2069"/>
      <c r="H1782" s="2069"/>
      <c r="I1782"/>
      <c r="J1782"/>
      <c r="K1782"/>
    </row>
    <row r="1783" spans="2:11" x14ac:dyDescent="0.2">
      <c r="B1783" s="2069"/>
      <c r="C1783" s="2069"/>
      <c r="D1783" s="2069"/>
      <c r="E1783" s="2069"/>
      <c r="F1783" s="2069"/>
      <c r="G1783" s="2069"/>
      <c r="H1783" s="2069"/>
      <c r="I1783"/>
      <c r="J1783"/>
      <c r="K1783"/>
    </row>
    <row r="1784" spans="2:11" x14ac:dyDescent="0.2">
      <c r="B1784" s="2069"/>
      <c r="C1784" s="2069"/>
      <c r="D1784" s="2069"/>
      <c r="E1784" s="2069"/>
      <c r="F1784" s="2069"/>
      <c r="G1784" s="2069"/>
      <c r="H1784" s="2069"/>
      <c r="I1784"/>
      <c r="J1784"/>
      <c r="K1784"/>
    </row>
    <row r="1785" spans="2:11" x14ac:dyDescent="0.2">
      <c r="B1785" s="2069"/>
      <c r="C1785" s="2069"/>
      <c r="D1785" s="2069"/>
      <c r="E1785" s="2069"/>
      <c r="F1785" s="2069"/>
      <c r="G1785" s="2069"/>
      <c r="H1785" s="2069"/>
      <c r="I1785"/>
      <c r="J1785"/>
      <c r="K1785"/>
    </row>
    <row r="1786" spans="2:11" x14ac:dyDescent="0.2">
      <c r="B1786" s="2069"/>
      <c r="C1786" s="2069"/>
      <c r="D1786" s="2069"/>
      <c r="E1786" s="2069"/>
      <c r="F1786" s="2069"/>
      <c r="G1786" s="2069"/>
      <c r="H1786" s="2069"/>
      <c r="I1786"/>
      <c r="J1786"/>
      <c r="K1786"/>
    </row>
    <row r="1787" spans="2:11" x14ac:dyDescent="0.2">
      <c r="B1787" s="2069"/>
      <c r="C1787" s="2069"/>
      <c r="D1787" s="2069"/>
      <c r="E1787" s="2069"/>
      <c r="F1787" s="2069"/>
      <c r="G1787" s="2069"/>
      <c r="H1787" s="2069"/>
      <c r="I1787"/>
      <c r="J1787"/>
      <c r="K1787"/>
    </row>
    <row r="1788" spans="2:11" x14ac:dyDescent="0.2">
      <c r="B1788" s="2069"/>
      <c r="C1788" s="2069"/>
      <c r="D1788" s="2069"/>
      <c r="E1788" s="2069"/>
      <c r="F1788" s="2069"/>
      <c r="G1788" s="2069"/>
      <c r="H1788" s="2069"/>
      <c r="I1788"/>
      <c r="J1788"/>
      <c r="K1788"/>
    </row>
    <row r="1789" spans="2:11" x14ac:dyDescent="0.2">
      <c r="B1789" s="2069"/>
      <c r="C1789" s="2069"/>
      <c r="D1789" s="2069"/>
      <c r="E1789" s="2069"/>
      <c r="F1789" s="2069"/>
      <c r="G1789" s="2069"/>
      <c r="H1789" s="2069"/>
      <c r="I1789"/>
      <c r="J1789"/>
      <c r="K1789"/>
    </row>
    <row r="1790" spans="2:11" x14ac:dyDescent="0.2">
      <c r="B1790" s="2069"/>
      <c r="C1790" s="2069"/>
      <c r="D1790" s="2069"/>
      <c r="E1790" s="2069"/>
      <c r="F1790" s="2069"/>
      <c r="G1790" s="2069"/>
      <c r="H1790" s="2069"/>
      <c r="I1790"/>
      <c r="J1790"/>
      <c r="K1790"/>
    </row>
    <row r="1791" spans="2:11" x14ac:dyDescent="0.2">
      <c r="B1791" s="2069"/>
      <c r="C1791" s="2069"/>
      <c r="D1791" s="2069"/>
      <c r="E1791" s="2069"/>
      <c r="F1791" s="2069"/>
      <c r="G1791" s="2069"/>
      <c r="H1791" s="2069"/>
      <c r="I1791"/>
      <c r="J1791"/>
      <c r="K1791"/>
    </row>
    <row r="1792" spans="2:11" x14ac:dyDescent="0.2">
      <c r="B1792" s="2069"/>
      <c r="C1792" s="2069"/>
      <c r="D1792" s="2069"/>
      <c r="E1792" s="2069"/>
      <c r="F1792" s="2069"/>
      <c r="G1792" s="2069"/>
      <c r="H1792" s="2069"/>
      <c r="I1792"/>
      <c r="J1792"/>
      <c r="K1792"/>
    </row>
    <row r="1793" spans="2:11" x14ac:dyDescent="0.2">
      <c r="B1793" s="2069"/>
      <c r="C1793" s="2069"/>
      <c r="D1793" s="2069"/>
      <c r="E1793" s="2069"/>
      <c r="F1793" s="2069"/>
      <c r="G1793" s="2069"/>
      <c r="H1793" s="2069"/>
      <c r="I1793"/>
      <c r="J1793"/>
      <c r="K1793"/>
    </row>
    <row r="1794" spans="2:11" x14ac:dyDescent="0.2">
      <c r="B1794" s="2069"/>
      <c r="C1794" s="2069"/>
      <c r="D1794" s="2069"/>
      <c r="E1794" s="2069"/>
      <c r="F1794" s="2069"/>
      <c r="G1794" s="2069"/>
      <c r="H1794" s="2069"/>
      <c r="I1794"/>
      <c r="J1794"/>
      <c r="K1794"/>
    </row>
    <row r="1795" spans="2:11" x14ac:dyDescent="0.2">
      <c r="B1795" s="2069"/>
      <c r="C1795" s="2069"/>
      <c r="D1795" s="2069"/>
      <c r="E1795" s="2069"/>
      <c r="F1795" s="2069"/>
      <c r="G1795" s="2069"/>
      <c r="H1795" s="2069"/>
      <c r="I1795"/>
      <c r="J1795"/>
      <c r="K1795"/>
    </row>
    <row r="1796" spans="2:11" x14ac:dyDescent="0.2">
      <c r="B1796" s="2069"/>
      <c r="C1796" s="2069"/>
      <c r="D1796" s="2069"/>
      <c r="E1796" s="2069"/>
      <c r="F1796" s="2069"/>
      <c r="G1796" s="2069"/>
      <c r="H1796" s="2069"/>
      <c r="I1796"/>
      <c r="J1796"/>
      <c r="K1796"/>
    </row>
    <row r="1797" spans="2:11" x14ac:dyDescent="0.2">
      <c r="B1797" s="2069"/>
      <c r="C1797" s="2069"/>
      <c r="D1797" s="2069"/>
      <c r="E1797" s="2069"/>
      <c r="F1797" s="2069"/>
      <c r="G1797" s="2069"/>
      <c r="H1797" s="2069"/>
      <c r="I1797"/>
      <c r="J1797"/>
      <c r="K1797"/>
    </row>
    <row r="1798" spans="2:11" x14ac:dyDescent="0.2">
      <c r="B1798" s="2069"/>
      <c r="C1798" s="2069"/>
      <c r="D1798" s="2069"/>
      <c r="E1798" s="2069"/>
      <c r="F1798" s="2069"/>
      <c r="G1798" s="2069"/>
      <c r="H1798" s="2069"/>
      <c r="I1798"/>
      <c r="J1798"/>
      <c r="K1798"/>
    </row>
    <row r="1799" spans="2:11" x14ac:dyDescent="0.2">
      <c r="B1799" s="2069"/>
      <c r="C1799" s="2069"/>
      <c r="D1799" s="2069"/>
      <c r="E1799" s="2069"/>
      <c r="F1799" s="2069"/>
      <c r="G1799" s="2069"/>
      <c r="H1799" s="2069"/>
      <c r="I1799"/>
      <c r="J1799"/>
      <c r="K1799"/>
    </row>
    <row r="1800" spans="2:11" x14ac:dyDescent="0.2">
      <c r="B1800" s="2069"/>
      <c r="C1800" s="2069"/>
      <c r="D1800" s="2069"/>
      <c r="E1800" s="2069"/>
      <c r="F1800" s="2069"/>
      <c r="G1800" s="2069"/>
      <c r="H1800" s="2069"/>
      <c r="I1800"/>
      <c r="J1800"/>
      <c r="K1800"/>
    </row>
    <row r="1801" spans="2:11" x14ac:dyDescent="0.2">
      <c r="B1801" s="2069"/>
      <c r="C1801" s="2069"/>
      <c r="D1801" s="2069"/>
      <c r="E1801" s="2069"/>
      <c r="F1801" s="2069"/>
      <c r="G1801" s="2069"/>
      <c r="H1801" s="2069"/>
      <c r="I1801"/>
      <c r="J1801"/>
      <c r="K1801"/>
    </row>
    <row r="1802" spans="2:11" x14ac:dyDescent="0.2">
      <c r="B1802" s="2069"/>
      <c r="C1802" s="2069"/>
      <c r="D1802" s="2069"/>
      <c r="E1802" s="2069"/>
      <c r="F1802" s="2069"/>
      <c r="G1802" s="2069"/>
      <c r="H1802" s="2069"/>
      <c r="I1802"/>
      <c r="J1802"/>
      <c r="K1802"/>
    </row>
    <row r="1803" spans="2:11" x14ac:dyDescent="0.2">
      <c r="B1803" s="2069"/>
      <c r="C1803" s="2069"/>
      <c r="D1803" s="2069"/>
      <c r="E1803" s="2069"/>
      <c r="F1803" s="2069"/>
      <c r="G1803" s="2069"/>
      <c r="H1803" s="2069"/>
      <c r="I1803"/>
      <c r="J1803"/>
      <c r="K1803"/>
    </row>
    <row r="1804" spans="2:11" x14ac:dyDescent="0.2">
      <c r="B1804" s="2069"/>
      <c r="C1804" s="2069"/>
      <c r="D1804" s="2069"/>
      <c r="E1804" s="2069"/>
      <c r="F1804" s="2069"/>
      <c r="G1804" s="2069"/>
      <c r="H1804" s="2069"/>
      <c r="I1804"/>
      <c r="J1804"/>
      <c r="K1804"/>
    </row>
    <row r="1805" spans="2:11" x14ac:dyDescent="0.2">
      <c r="B1805" s="2069"/>
      <c r="C1805" s="2069"/>
      <c r="D1805" s="2069"/>
      <c r="E1805" s="2069"/>
      <c r="F1805" s="2069"/>
      <c r="G1805" s="2069"/>
      <c r="H1805" s="2069"/>
      <c r="I1805"/>
      <c r="J1805"/>
      <c r="K1805"/>
    </row>
    <row r="1806" spans="2:11" x14ac:dyDescent="0.2">
      <c r="B1806" s="2069"/>
      <c r="C1806" s="2069"/>
      <c r="D1806" s="2069"/>
      <c r="E1806" s="2069"/>
      <c r="F1806" s="2069"/>
      <c r="G1806" s="2069"/>
      <c r="H1806" s="2069"/>
      <c r="I1806"/>
      <c r="J1806"/>
      <c r="K1806"/>
    </row>
    <row r="1807" spans="2:11" x14ac:dyDescent="0.2">
      <c r="B1807" s="2069"/>
      <c r="C1807" s="2069"/>
      <c r="D1807" s="2069"/>
      <c r="E1807" s="2069"/>
      <c r="F1807" s="2069"/>
      <c r="G1807" s="2069"/>
      <c r="H1807" s="2069"/>
      <c r="I1807"/>
      <c r="J1807"/>
      <c r="K1807"/>
    </row>
    <row r="1808" spans="2:11" x14ac:dyDescent="0.2">
      <c r="B1808" s="2069"/>
      <c r="C1808" s="2069"/>
      <c r="D1808" s="2069"/>
      <c r="E1808" s="2069"/>
      <c r="F1808" s="2069"/>
      <c r="G1808" s="2069"/>
      <c r="H1808" s="2069"/>
      <c r="I1808"/>
      <c r="J1808"/>
      <c r="K1808"/>
    </row>
    <row r="1809" spans="2:11" x14ac:dyDescent="0.2">
      <c r="B1809" s="2069"/>
      <c r="C1809" s="2069"/>
      <c r="D1809" s="2069"/>
      <c r="E1809" s="2069"/>
      <c r="F1809" s="2069"/>
      <c r="G1809" s="2069"/>
      <c r="H1809" s="2069"/>
      <c r="I1809"/>
      <c r="J1809"/>
      <c r="K1809"/>
    </row>
    <row r="1810" spans="2:11" x14ac:dyDescent="0.2">
      <c r="B1810" s="2069"/>
      <c r="C1810" s="2069"/>
      <c r="D1810" s="2069"/>
      <c r="E1810" s="2069"/>
      <c r="F1810" s="2069"/>
      <c r="G1810" s="2069"/>
      <c r="H1810" s="2069"/>
      <c r="I1810"/>
      <c r="J1810"/>
      <c r="K1810"/>
    </row>
    <row r="1811" spans="2:11" x14ac:dyDescent="0.2">
      <c r="B1811" s="2069"/>
      <c r="C1811" s="2069"/>
      <c r="D1811" s="2069"/>
      <c r="E1811" s="2069"/>
      <c r="F1811" s="2069"/>
      <c r="G1811" s="2069"/>
      <c r="H1811" s="2069"/>
      <c r="I1811"/>
      <c r="J1811"/>
      <c r="K1811"/>
    </row>
    <row r="1812" spans="2:11" x14ac:dyDescent="0.2">
      <c r="B1812" s="2069"/>
      <c r="C1812" s="2069"/>
      <c r="D1812" s="2069"/>
      <c r="E1812" s="2069"/>
      <c r="F1812" s="2069"/>
      <c r="G1812" s="2069"/>
      <c r="H1812" s="2069"/>
      <c r="I1812"/>
      <c r="J1812"/>
      <c r="K1812"/>
    </row>
    <row r="1813" spans="2:11" x14ac:dyDescent="0.2">
      <c r="B1813" s="2069"/>
      <c r="C1813" s="2069"/>
      <c r="D1813" s="2069"/>
      <c r="E1813" s="2069"/>
      <c r="F1813" s="2069"/>
      <c r="G1813" s="2069"/>
      <c r="H1813" s="2069"/>
      <c r="I1813"/>
      <c r="J1813"/>
      <c r="K1813"/>
    </row>
    <row r="1814" spans="2:11" x14ac:dyDescent="0.2">
      <c r="B1814" s="2069"/>
      <c r="C1814" s="2069"/>
      <c r="D1814" s="2069"/>
      <c r="E1814" s="2069"/>
      <c r="F1814" s="2069"/>
      <c r="G1814" s="2069"/>
      <c r="H1814" s="2069"/>
      <c r="I1814"/>
      <c r="J1814"/>
      <c r="K1814"/>
    </row>
    <row r="1815" spans="2:11" x14ac:dyDescent="0.2">
      <c r="B1815" s="2069"/>
      <c r="C1815" s="2069"/>
      <c r="D1815" s="2069"/>
      <c r="E1815" s="2069"/>
      <c r="F1815" s="2069"/>
      <c r="G1815" s="2069"/>
      <c r="H1815" s="2069"/>
      <c r="I1815"/>
      <c r="J1815"/>
      <c r="K1815"/>
    </row>
    <row r="1816" spans="2:11" x14ac:dyDescent="0.2">
      <c r="B1816" s="2069"/>
      <c r="C1816" s="2069"/>
      <c r="D1816" s="2069"/>
      <c r="E1816" s="2069"/>
      <c r="F1816" s="2069"/>
      <c r="G1816" s="2069"/>
      <c r="H1816" s="2069"/>
      <c r="I1816"/>
      <c r="J1816"/>
      <c r="K1816"/>
    </row>
    <row r="1817" spans="2:11" x14ac:dyDescent="0.2">
      <c r="B1817" s="2069"/>
      <c r="C1817" s="2069"/>
      <c r="D1817" s="2069"/>
      <c r="E1817" s="2069"/>
      <c r="F1817" s="2069"/>
      <c r="G1817" s="2069"/>
      <c r="H1817" s="2069"/>
      <c r="I1817"/>
      <c r="J1817"/>
      <c r="K1817"/>
    </row>
    <row r="1818" spans="2:11" x14ac:dyDescent="0.2">
      <c r="B1818" s="2069"/>
      <c r="C1818" s="2069"/>
      <c r="D1818" s="2069"/>
      <c r="E1818" s="2069"/>
      <c r="F1818" s="2069"/>
      <c r="G1818" s="2069"/>
      <c r="H1818" s="2069"/>
      <c r="I1818"/>
      <c r="J1818"/>
      <c r="K1818"/>
    </row>
    <row r="1819" spans="2:11" x14ac:dyDescent="0.2">
      <c r="B1819" s="2069"/>
      <c r="C1819" s="2069"/>
      <c r="D1819" s="2069"/>
      <c r="E1819" s="2069"/>
      <c r="F1819" s="2069"/>
      <c r="G1819" s="2069"/>
      <c r="H1819" s="2069"/>
      <c r="I1819"/>
      <c r="J1819"/>
      <c r="K1819"/>
    </row>
    <row r="1820" spans="2:11" x14ac:dyDescent="0.2">
      <c r="B1820" s="2069"/>
      <c r="C1820" s="2069"/>
      <c r="D1820" s="2069"/>
      <c r="E1820" s="2069"/>
      <c r="F1820" s="2069"/>
      <c r="G1820" s="2069"/>
      <c r="H1820" s="2069"/>
      <c r="I1820"/>
      <c r="J1820"/>
      <c r="K1820"/>
    </row>
    <row r="1821" spans="2:11" x14ac:dyDescent="0.2">
      <c r="B1821" s="2069"/>
      <c r="C1821" s="2069"/>
      <c r="D1821" s="2069"/>
      <c r="E1821" s="2069"/>
      <c r="F1821" s="2069"/>
      <c r="G1821" s="2069"/>
      <c r="H1821" s="2069"/>
      <c r="I1821"/>
      <c r="J1821"/>
      <c r="K1821"/>
    </row>
    <row r="1822" spans="2:11" x14ac:dyDescent="0.2">
      <c r="B1822" s="2069"/>
      <c r="C1822" s="2069"/>
      <c r="D1822" s="2069"/>
      <c r="E1822" s="2069"/>
      <c r="F1822" s="2069"/>
      <c r="G1822" s="2069"/>
      <c r="H1822" s="2069"/>
      <c r="I1822"/>
      <c r="J1822"/>
      <c r="K1822"/>
    </row>
    <row r="1823" spans="2:11" x14ac:dyDescent="0.2">
      <c r="B1823" s="2069"/>
      <c r="C1823" s="2069"/>
      <c r="D1823" s="2069"/>
      <c r="E1823" s="2069"/>
      <c r="F1823" s="2069"/>
      <c r="G1823" s="2069"/>
      <c r="H1823" s="2069"/>
      <c r="I1823"/>
      <c r="J1823"/>
      <c r="K1823"/>
    </row>
    <row r="1824" spans="2:11" x14ac:dyDescent="0.2">
      <c r="B1824" s="2069"/>
      <c r="C1824" s="2069"/>
      <c r="D1824" s="2069"/>
      <c r="E1824" s="2069"/>
      <c r="F1824" s="2069"/>
      <c r="G1824" s="2069"/>
      <c r="H1824" s="2069"/>
      <c r="I1824"/>
      <c r="J1824"/>
      <c r="K1824"/>
    </row>
    <row r="1825" spans="2:11" x14ac:dyDescent="0.2">
      <c r="B1825" s="2069"/>
      <c r="C1825" s="2069"/>
      <c r="D1825" s="2069"/>
      <c r="E1825" s="2069"/>
      <c r="F1825" s="2069"/>
      <c r="G1825" s="2069"/>
      <c r="H1825" s="2069"/>
      <c r="I1825"/>
      <c r="J1825"/>
      <c r="K1825"/>
    </row>
    <row r="1826" spans="2:11" x14ac:dyDescent="0.2">
      <c r="B1826" s="2069"/>
      <c r="C1826" s="2069"/>
      <c r="D1826" s="2069"/>
      <c r="E1826" s="2069"/>
      <c r="F1826" s="2069"/>
      <c r="G1826" s="2069"/>
      <c r="H1826" s="2069"/>
      <c r="I1826"/>
      <c r="J1826"/>
      <c r="K1826"/>
    </row>
    <row r="1827" spans="2:11" x14ac:dyDescent="0.2">
      <c r="B1827" s="2069"/>
      <c r="C1827" s="2069"/>
      <c r="D1827" s="2069"/>
      <c r="E1827" s="2069"/>
      <c r="F1827" s="2069"/>
      <c r="G1827" s="2069"/>
      <c r="H1827" s="2069"/>
      <c r="I1827"/>
      <c r="J1827"/>
      <c r="K1827"/>
    </row>
    <row r="1828" spans="2:11" x14ac:dyDescent="0.2">
      <c r="B1828" s="2069"/>
      <c r="C1828" s="2069"/>
      <c r="D1828" s="2069"/>
      <c r="E1828" s="2069"/>
      <c r="F1828" s="2069"/>
      <c r="G1828" s="2069"/>
      <c r="H1828" s="2069"/>
      <c r="I1828"/>
      <c r="J1828"/>
      <c r="K1828"/>
    </row>
    <row r="1829" spans="2:11" x14ac:dyDescent="0.2">
      <c r="B1829" s="2069"/>
      <c r="C1829" s="2069"/>
      <c r="D1829" s="2069"/>
      <c r="E1829" s="2069"/>
      <c r="F1829" s="2069"/>
      <c r="G1829" s="2069"/>
      <c r="H1829" s="2069"/>
      <c r="I1829"/>
      <c r="J1829"/>
      <c r="K1829"/>
    </row>
    <row r="1830" spans="2:11" x14ac:dyDescent="0.2">
      <c r="B1830" s="2069"/>
      <c r="C1830" s="2069"/>
      <c r="D1830" s="2069"/>
      <c r="E1830" s="2069"/>
      <c r="F1830" s="2069"/>
      <c r="G1830" s="2069"/>
      <c r="H1830" s="2069"/>
      <c r="I1830"/>
      <c r="J1830"/>
      <c r="K1830"/>
    </row>
    <row r="1831" spans="2:11" x14ac:dyDescent="0.2">
      <c r="B1831" s="2069"/>
      <c r="C1831" s="2069"/>
      <c r="D1831" s="2069"/>
      <c r="E1831" s="2069"/>
      <c r="F1831" s="2069"/>
      <c r="G1831" s="2069"/>
      <c r="H1831" s="2069"/>
      <c r="I1831"/>
      <c r="J1831"/>
      <c r="K1831"/>
    </row>
    <row r="1832" spans="2:11" x14ac:dyDescent="0.2">
      <c r="B1832" s="2069"/>
      <c r="C1832" s="2069"/>
      <c r="D1832" s="2069"/>
      <c r="E1832" s="2069"/>
      <c r="F1832" s="2069"/>
      <c r="G1832" s="2069"/>
      <c r="H1832" s="2069"/>
      <c r="I1832"/>
      <c r="J1832"/>
      <c r="K1832"/>
    </row>
    <row r="1833" spans="2:11" x14ac:dyDescent="0.2">
      <c r="B1833" s="2069"/>
      <c r="C1833" s="2069"/>
      <c r="D1833" s="2069"/>
      <c r="E1833" s="2069"/>
      <c r="F1833" s="2069"/>
      <c r="G1833" s="2069"/>
      <c r="H1833" s="2069"/>
      <c r="I1833"/>
      <c r="J1833"/>
      <c r="K1833"/>
    </row>
    <row r="1834" spans="2:11" x14ac:dyDescent="0.2">
      <c r="B1834" s="2069"/>
      <c r="C1834" s="2069"/>
      <c r="D1834" s="2069"/>
      <c r="E1834" s="2069"/>
      <c r="F1834" s="2069"/>
      <c r="G1834" s="2069"/>
      <c r="H1834" s="2069"/>
      <c r="I1834"/>
      <c r="J1834"/>
      <c r="K1834"/>
    </row>
    <row r="1835" spans="2:11" x14ac:dyDescent="0.2">
      <c r="B1835" s="2069"/>
      <c r="C1835" s="2069"/>
      <c r="D1835" s="2069"/>
      <c r="E1835" s="2069"/>
      <c r="F1835" s="2069"/>
      <c r="G1835" s="2069"/>
      <c r="H1835" s="2069"/>
      <c r="I1835"/>
      <c r="J1835"/>
      <c r="K1835"/>
    </row>
    <row r="1836" spans="2:11" x14ac:dyDescent="0.2">
      <c r="B1836" s="2069"/>
      <c r="C1836" s="2069"/>
      <c r="D1836" s="2069"/>
      <c r="E1836" s="2069"/>
      <c r="F1836" s="2069"/>
      <c r="G1836" s="2069"/>
      <c r="H1836" s="2069"/>
      <c r="I1836"/>
      <c r="J1836"/>
      <c r="K1836"/>
    </row>
    <row r="1837" spans="2:11" x14ac:dyDescent="0.2">
      <c r="B1837" s="2069"/>
      <c r="C1837" s="2069"/>
      <c r="D1837" s="2069"/>
      <c r="E1837" s="2069"/>
      <c r="F1837" s="2069"/>
      <c r="G1837" s="2069"/>
      <c r="H1837" s="2069"/>
      <c r="I1837"/>
      <c r="J1837"/>
      <c r="K1837"/>
    </row>
    <row r="1838" spans="2:11" x14ac:dyDescent="0.2">
      <c r="B1838" s="2069"/>
      <c r="C1838" s="2069"/>
      <c r="D1838" s="2069"/>
      <c r="E1838" s="2069"/>
      <c r="F1838" s="2069"/>
      <c r="G1838" s="2069"/>
      <c r="H1838" s="2069"/>
      <c r="I1838"/>
      <c r="J1838"/>
      <c r="K1838"/>
    </row>
    <row r="1839" spans="2:11" x14ac:dyDescent="0.2">
      <c r="B1839" s="2069"/>
      <c r="C1839" s="2069"/>
      <c r="D1839" s="2069"/>
      <c r="E1839" s="2069"/>
      <c r="F1839" s="2069"/>
      <c r="G1839" s="2069"/>
      <c r="H1839" s="2069"/>
      <c r="I1839"/>
      <c r="J1839"/>
      <c r="K1839"/>
    </row>
    <row r="1840" spans="2:11" x14ac:dyDescent="0.2">
      <c r="B1840" s="2069"/>
      <c r="C1840" s="2069"/>
      <c r="D1840" s="2069"/>
      <c r="E1840" s="2069"/>
      <c r="F1840" s="2069"/>
      <c r="G1840" s="2069"/>
      <c r="H1840" s="2069"/>
      <c r="I1840"/>
      <c r="J1840"/>
      <c r="K1840"/>
    </row>
    <row r="1841" spans="2:11" x14ac:dyDescent="0.2">
      <c r="B1841" s="2069"/>
      <c r="C1841" s="2069"/>
      <c r="D1841" s="2069"/>
      <c r="E1841" s="2069"/>
      <c r="F1841" s="2069"/>
      <c r="G1841" s="2069"/>
      <c r="H1841" s="2069"/>
      <c r="I1841"/>
      <c r="J1841"/>
      <c r="K1841"/>
    </row>
    <row r="1842" spans="2:11" x14ac:dyDescent="0.2">
      <c r="B1842" s="2069"/>
      <c r="C1842" s="2069"/>
      <c r="D1842" s="2069"/>
      <c r="E1842" s="2069"/>
      <c r="F1842" s="2069"/>
      <c r="G1842" s="2069"/>
      <c r="H1842" s="2069"/>
      <c r="I1842"/>
      <c r="J1842"/>
      <c r="K1842"/>
    </row>
    <row r="1843" spans="2:11" x14ac:dyDescent="0.2">
      <c r="B1843" s="2069"/>
      <c r="C1843" s="2069"/>
      <c r="D1843" s="2069"/>
      <c r="E1843" s="2069"/>
      <c r="F1843" s="2069"/>
      <c r="G1843" s="2069"/>
      <c r="H1843" s="2069"/>
      <c r="I1843"/>
      <c r="J1843"/>
      <c r="K1843"/>
    </row>
    <row r="1844" spans="2:11" x14ac:dyDescent="0.2">
      <c r="B1844" s="2069"/>
      <c r="C1844" s="2069"/>
      <c r="D1844" s="2069"/>
      <c r="E1844" s="2069"/>
      <c r="F1844" s="2069"/>
      <c r="G1844" s="2069"/>
      <c r="H1844" s="2069"/>
      <c r="I1844"/>
      <c r="J1844"/>
      <c r="K1844"/>
    </row>
    <row r="1845" spans="2:11" x14ac:dyDescent="0.2">
      <c r="B1845" s="2069"/>
      <c r="C1845" s="2069"/>
      <c r="D1845" s="2069"/>
      <c r="E1845" s="2069"/>
      <c r="F1845" s="2069"/>
      <c r="G1845" s="2069"/>
      <c r="H1845" s="2069"/>
      <c r="I1845"/>
      <c r="J1845"/>
      <c r="K1845"/>
    </row>
    <row r="1846" spans="2:11" x14ac:dyDescent="0.2">
      <c r="B1846" s="2069"/>
      <c r="C1846" s="2069"/>
      <c r="D1846" s="2069"/>
      <c r="E1846" s="2069"/>
      <c r="F1846" s="2069"/>
      <c r="G1846" s="2069"/>
      <c r="H1846" s="2069"/>
      <c r="I1846"/>
      <c r="J1846"/>
      <c r="K1846"/>
    </row>
    <row r="1847" spans="2:11" x14ac:dyDescent="0.2">
      <c r="B1847" s="2069"/>
      <c r="C1847" s="2069"/>
      <c r="D1847" s="2069"/>
      <c r="E1847" s="2069"/>
      <c r="F1847" s="2069"/>
      <c r="G1847" s="2069"/>
      <c r="H1847" s="2069"/>
      <c r="I1847"/>
      <c r="J1847"/>
      <c r="K1847"/>
    </row>
    <row r="1848" spans="2:11" x14ac:dyDescent="0.2">
      <c r="B1848" s="2069"/>
      <c r="C1848" s="2069"/>
      <c r="D1848" s="2069"/>
      <c r="E1848" s="2069"/>
      <c r="F1848" s="2069"/>
      <c r="G1848" s="2069"/>
      <c r="H1848" s="2069"/>
      <c r="I1848"/>
      <c r="J1848"/>
      <c r="K1848"/>
    </row>
    <row r="1849" spans="2:11" x14ac:dyDescent="0.2">
      <c r="B1849" s="2069"/>
      <c r="C1849" s="2069"/>
      <c r="D1849" s="2069"/>
      <c r="E1849" s="2069"/>
      <c r="F1849" s="2069"/>
      <c r="G1849" s="2069"/>
      <c r="H1849" s="2069"/>
      <c r="I1849"/>
      <c r="J1849"/>
      <c r="K1849"/>
    </row>
    <row r="1850" spans="2:11" x14ac:dyDescent="0.2">
      <c r="B1850" s="2069"/>
      <c r="C1850" s="2069"/>
      <c r="D1850" s="2069"/>
      <c r="E1850" s="2069"/>
      <c r="F1850" s="2069"/>
      <c r="G1850" s="2069"/>
      <c r="H1850" s="2069"/>
      <c r="I1850"/>
      <c r="J1850"/>
      <c r="K1850"/>
    </row>
    <row r="1851" spans="2:11" x14ac:dyDescent="0.2">
      <c r="B1851" s="2069"/>
      <c r="C1851" s="2069"/>
      <c r="D1851" s="2069"/>
      <c r="E1851" s="2069"/>
      <c r="F1851" s="2069"/>
      <c r="G1851" s="2069"/>
      <c r="H1851" s="2069"/>
      <c r="I1851"/>
      <c r="J1851"/>
      <c r="K1851"/>
    </row>
    <row r="1852" spans="2:11" x14ac:dyDescent="0.2">
      <c r="B1852" s="2069"/>
      <c r="C1852" s="2069"/>
      <c r="D1852" s="2069"/>
      <c r="E1852" s="2069"/>
      <c r="F1852" s="2069"/>
      <c r="G1852" s="2069"/>
      <c r="H1852" s="2069"/>
      <c r="I1852"/>
      <c r="J1852"/>
      <c r="K1852"/>
    </row>
    <row r="1853" spans="2:11" x14ac:dyDescent="0.2">
      <c r="B1853" s="2069"/>
      <c r="C1853" s="2069"/>
      <c r="D1853" s="2069"/>
      <c r="E1853" s="2069"/>
      <c r="F1853" s="2069"/>
      <c r="G1853" s="2069"/>
      <c r="H1853" s="2069"/>
      <c r="I1853"/>
      <c r="J1853"/>
      <c r="K1853"/>
    </row>
    <row r="1854" spans="2:11" x14ac:dyDescent="0.2">
      <c r="B1854" s="2069"/>
      <c r="C1854" s="2069"/>
      <c r="D1854" s="2069"/>
      <c r="E1854" s="2069"/>
      <c r="F1854" s="2069"/>
      <c r="G1854" s="2069"/>
      <c r="H1854" s="2069"/>
      <c r="I1854"/>
      <c r="J1854"/>
      <c r="K1854"/>
    </row>
    <row r="1855" spans="2:11" x14ac:dyDescent="0.2">
      <c r="B1855" s="2069"/>
      <c r="C1855" s="2069"/>
      <c r="D1855" s="2069"/>
      <c r="E1855" s="2069"/>
      <c r="F1855" s="2069"/>
      <c r="G1855" s="2069"/>
      <c r="H1855" s="2069"/>
      <c r="I1855"/>
      <c r="J1855"/>
      <c r="K1855"/>
    </row>
    <row r="1856" spans="2:11" x14ac:dyDescent="0.2">
      <c r="B1856" s="2069"/>
      <c r="C1856" s="2069"/>
      <c r="D1856" s="2069"/>
      <c r="E1856" s="2069"/>
      <c r="F1856" s="2069"/>
      <c r="G1856" s="2069"/>
      <c r="H1856" s="2069"/>
      <c r="I1856"/>
      <c r="J1856"/>
      <c r="K1856"/>
    </row>
    <row r="1857" spans="2:11" x14ac:dyDescent="0.2">
      <c r="B1857" s="2069"/>
      <c r="C1857" s="2069"/>
      <c r="D1857" s="2069"/>
      <c r="E1857" s="2069"/>
      <c r="F1857" s="2069"/>
      <c r="G1857" s="2069"/>
      <c r="H1857" s="2069"/>
      <c r="I1857"/>
      <c r="J1857"/>
      <c r="K1857"/>
    </row>
    <row r="1858" spans="2:11" x14ac:dyDescent="0.2">
      <c r="B1858" s="2069"/>
      <c r="C1858" s="2069"/>
      <c r="D1858" s="2069"/>
      <c r="E1858" s="2069"/>
      <c r="F1858" s="2069"/>
      <c r="G1858" s="2069"/>
      <c r="H1858" s="2069"/>
      <c r="I1858"/>
      <c r="J1858"/>
      <c r="K1858"/>
    </row>
    <row r="1859" spans="2:11" x14ac:dyDescent="0.2">
      <c r="B1859" s="2069"/>
      <c r="C1859" s="2069"/>
      <c r="D1859" s="2069"/>
      <c r="E1859" s="2069"/>
      <c r="F1859" s="2069"/>
      <c r="G1859" s="2069"/>
      <c r="H1859" s="2069"/>
      <c r="I1859"/>
      <c r="J1859"/>
      <c r="K1859"/>
    </row>
    <row r="1860" spans="2:11" x14ac:dyDescent="0.2">
      <c r="B1860" s="2069"/>
      <c r="C1860" s="2069"/>
      <c r="D1860" s="2069"/>
      <c r="E1860" s="2069"/>
      <c r="F1860" s="2069"/>
      <c r="G1860" s="2069"/>
      <c r="H1860" s="2069"/>
      <c r="I1860"/>
      <c r="J1860"/>
      <c r="K1860"/>
    </row>
    <row r="1861" spans="2:11" x14ac:dyDescent="0.2">
      <c r="B1861" s="2069"/>
      <c r="C1861" s="2069"/>
      <c r="D1861" s="2069"/>
      <c r="E1861" s="2069"/>
      <c r="F1861" s="2069"/>
      <c r="G1861" s="2069"/>
      <c r="H1861" s="2069"/>
      <c r="I1861"/>
      <c r="J1861"/>
      <c r="K1861"/>
    </row>
    <row r="1862" spans="2:11" x14ac:dyDescent="0.2">
      <c r="B1862" s="2069"/>
      <c r="C1862" s="2069"/>
      <c r="D1862" s="2069"/>
      <c r="E1862" s="2069"/>
      <c r="F1862" s="2069"/>
      <c r="G1862" s="2069"/>
      <c r="H1862" s="2069"/>
      <c r="I1862"/>
      <c r="J1862"/>
      <c r="K1862"/>
    </row>
    <row r="1863" spans="2:11" x14ac:dyDescent="0.2">
      <c r="B1863" s="2069"/>
      <c r="C1863" s="2069"/>
      <c r="D1863" s="2069"/>
      <c r="E1863" s="2069"/>
      <c r="F1863" s="2069"/>
      <c r="G1863" s="2069"/>
      <c r="H1863" s="2069"/>
      <c r="I1863"/>
      <c r="J1863"/>
      <c r="K1863"/>
    </row>
    <row r="1864" spans="2:11" x14ac:dyDescent="0.2">
      <c r="B1864" s="2069"/>
      <c r="C1864" s="2069"/>
      <c r="D1864" s="2069"/>
      <c r="E1864" s="2069"/>
      <c r="F1864" s="2069"/>
      <c r="G1864" s="2069"/>
      <c r="H1864" s="2069"/>
      <c r="I1864"/>
      <c r="J1864"/>
      <c r="K1864"/>
    </row>
    <row r="1865" spans="2:11" x14ac:dyDescent="0.2">
      <c r="B1865" s="2069"/>
      <c r="C1865" s="2069"/>
      <c r="D1865" s="2069"/>
      <c r="E1865" s="2069"/>
      <c r="F1865" s="2069"/>
      <c r="G1865" s="2069"/>
      <c r="H1865" s="2069"/>
      <c r="I1865"/>
      <c r="J1865"/>
      <c r="K1865"/>
    </row>
    <row r="1866" spans="2:11" x14ac:dyDescent="0.2">
      <c r="B1866" s="2069"/>
      <c r="C1866" s="2069"/>
      <c r="D1866" s="2069"/>
      <c r="E1866" s="2069"/>
      <c r="F1866" s="2069"/>
      <c r="G1866" s="2069"/>
      <c r="H1866" s="2069"/>
      <c r="I1866"/>
      <c r="J1866"/>
      <c r="K1866"/>
    </row>
    <row r="1867" spans="2:11" x14ac:dyDescent="0.2">
      <c r="B1867" s="2069"/>
      <c r="C1867" s="2069"/>
      <c r="D1867" s="2069"/>
      <c r="E1867" s="2069"/>
      <c r="F1867" s="2069"/>
      <c r="G1867" s="2069"/>
      <c r="H1867" s="2069"/>
      <c r="I1867"/>
      <c r="J1867"/>
      <c r="K1867"/>
    </row>
    <row r="1868" spans="2:11" x14ac:dyDescent="0.2">
      <c r="B1868" s="2069"/>
      <c r="C1868" s="2069"/>
      <c r="D1868" s="2069"/>
      <c r="E1868" s="2069"/>
      <c r="F1868" s="2069"/>
      <c r="G1868" s="2069"/>
      <c r="H1868" s="2069"/>
      <c r="I1868"/>
      <c r="J1868"/>
      <c r="K1868"/>
    </row>
    <row r="1869" spans="2:11" x14ac:dyDescent="0.2">
      <c r="B1869" s="2069"/>
      <c r="C1869" s="2069"/>
      <c r="D1869" s="2069"/>
      <c r="E1869" s="2069"/>
      <c r="F1869" s="2069"/>
      <c r="G1869" s="2069"/>
      <c r="H1869" s="2069"/>
      <c r="I1869"/>
      <c r="J1869"/>
      <c r="K1869"/>
    </row>
    <row r="1870" spans="2:11" x14ac:dyDescent="0.2">
      <c r="B1870" s="2069"/>
      <c r="C1870" s="2069"/>
      <c r="D1870" s="2069"/>
      <c r="E1870" s="2069"/>
      <c r="F1870" s="2069"/>
      <c r="G1870" s="2069"/>
      <c r="H1870" s="2069"/>
      <c r="I1870"/>
      <c r="J1870"/>
      <c r="K1870"/>
    </row>
    <row r="1871" spans="2:11" x14ac:dyDescent="0.2">
      <c r="B1871" s="2069"/>
      <c r="C1871" s="2069"/>
      <c r="D1871" s="2069"/>
      <c r="E1871" s="2069"/>
      <c r="F1871" s="2069"/>
      <c r="G1871" s="2069"/>
      <c r="H1871" s="2069"/>
      <c r="I1871"/>
      <c r="J1871"/>
      <c r="K1871"/>
    </row>
    <row r="1872" spans="2:11" x14ac:dyDescent="0.2">
      <c r="B1872" s="2069"/>
      <c r="C1872" s="2069"/>
      <c r="D1872" s="2069"/>
      <c r="E1872" s="2069"/>
      <c r="F1872" s="2069"/>
      <c r="G1872" s="2069"/>
      <c r="H1872" s="2069"/>
      <c r="I1872"/>
      <c r="J1872"/>
      <c r="K1872"/>
    </row>
    <row r="1873" spans="2:11" x14ac:dyDescent="0.2">
      <c r="B1873" s="2069"/>
      <c r="C1873" s="2069"/>
      <c r="D1873" s="2069"/>
      <c r="E1873" s="2069"/>
      <c r="F1873" s="2069"/>
      <c r="G1873" s="2069"/>
      <c r="H1873" s="2069"/>
      <c r="I1873"/>
      <c r="J1873"/>
      <c r="K1873"/>
    </row>
    <row r="1874" spans="2:11" x14ac:dyDescent="0.2">
      <c r="B1874" s="2069"/>
      <c r="C1874" s="2069"/>
      <c r="D1874" s="2069"/>
      <c r="E1874" s="2069"/>
      <c r="F1874" s="2069"/>
      <c r="G1874" s="2069"/>
      <c r="H1874" s="2069"/>
      <c r="I1874"/>
      <c r="J1874"/>
      <c r="K1874"/>
    </row>
    <row r="1875" spans="2:11" x14ac:dyDescent="0.2">
      <c r="B1875" s="2069"/>
      <c r="C1875" s="2069"/>
      <c r="D1875" s="2069"/>
      <c r="E1875" s="2069"/>
      <c r="F1875" s="2069"/>
      <c r="G1875" s="2069"/>
      <c r="H1875" s="2069"/>
      <c r="I1875"/>
      <c r="J1875"/>
      <c r="K1875"/>
    </row>
    <row r="1876" spans="2:11" x14ac:dyDescent="0.2">
      <c r="B1876" s="2069"/>
      <c r="C1876" s="2069"/>
      <c r="D1876" s="2069"/>
      <c r="E1876" s="2069"/>
      <c r="F1876" s="2069"/>
      <c r="G1876" s="2069"/>
      <c r="H1876" s="2069"/>
      <c r="I1876"/>
      <c r="J1876"/>
      <c r="K1876"/>
    </row>
    <row r="1877" spans="2:11" x14ac:dyDescent="0.2">
      <c r="B1877" s="2069"/>
      <c r="C1877" s="2069"/>
      <c r="D1877" s="2069"/>
      <c r="E1877" s="2069"/>
      <c r="F1877" s="2069"/>
      <c r="G1877" s="2069"/>
      <c r="H1877" s="2069"/>
      <c r="I1877"/>
      <c r="J1877"/>
      <c r="K1877"/>
    </row>
    <row r="1878" spans="2:11" x14ac:dyDescent="0.2">
      <c r="B1878" s="2069"/>
      <c r="C1878" s="2069"/>
      <c r="D1878" s="2069"/>
      <c r="E1878" s="2069"/>
      <c r="F1878" s="2069"/>
      <c r="G1878" s="2069"/>
      <c r="H1878" s="2069"/>
      <c r="I1878"/>
      <c r="J1878"/>
      <c r="K1878"/>
    </row>
    <row r="1879" spans="2:11" x14ac:dyDescent="0.2">
      <c r="B1879" s="2069"/>
      <c r="C1879" s="2069"/>
      <c r="D1879" s="2069"/>
      <c r="E1879" s="2069"/>
      <c r="F1879" s="2069"/>
      <c r="G1879" s="2069"/>
      <c r="H1879" s="2069"/>
      <c r="I1879"/>
      <c r="J1879"/>
      <c r="K1879"/>
    </row>
    <row r="1880" spans="2:11" x14ac:dyDescent="0.2">
      <c r="B1880" s="2069"/>
      <c r="C1880" s="2069"/>
      <c r="D1880" s="2069"/>
      <c r="E1880" s="2069"/>
      <c r="F1880" s="2069"/>
      <c r="G1880" s="2069"/>
      <c r="H1880" s="2069"/>
      <c r="I1880"/>
      <c r="J1880"/>
      <c r="K1880"/>
    </row>
    <row r="1881" spans="2:11" x14ac:dyDescent="0.2">
      <c r="B1881" s="2069"/>
      <c r="C1881" s="2069"/>
      <c r="D1881" s="2069"/>
      <c r="E1881" s="2069"/>
      <c r="F1881" s="2069"/>
      <c r="G1881" s="2069"/>
      <c r="H1881" s="2069"/>
      <c r="I1881"/>
      <c r="J1881"/>
      <c r="K1881"/>
    </row>
    <row r="1882" spans="2:11" x14ac:dyDescent="0.2">
      <c r="B1882" s="2069"/>
      <c r="C1882" s="2069"/>
      <c r="D1882" s="2069"/>
      <c r="E1882" s="2069"/>
      <c r="F1882" s="2069"/>
      <c r="G1882" s="2069"/>
      <c r="H1882" s="2069"/>
      <c r="I1882"/>
      <c r="J1882"/>
      <c r="K1882"/>
    </row>
    <row r="1883" spans="2:11" x14ac:dyDescent="0.2">
      <c r="B1883" s="2069"/>
      <c r="C1883" s="2069"/>
      <c r="D1883" s="2069"/>
      <c r="E1883" s="2069"/>
      <c r="F1883" s="2069"/>
      <c r="G1883" s="2069"/>
      <c r="H1883" s="2069"/>
      <c r="I1883"/>
      <c r="J1883"/>
      <c r="K1883"/>
    </row>
    <row r="1884" spans="2:11" x14ac:dyDescent="0.2">
      <c r="B1884" s="2069"/>
      <c r="C1884" s="2069"/>
      <c r="D1884" s="2069"/>
      <c r="E1884" s="2069"/>
      <c r="F1884" s="2069"/>
      <c r="G1884" s="2069"/>
      <c r="H1884" s="2069"/>
      <c r="I1884"/>
      <c r="J1884"/>
      <c r="K1884"/>
    </row>
    <row r="1885" spans="2:11" x14ac:dyDescent="0.2">
      <c r="B1885" s="2069"/>
      <c r="C1885" s="2069"/>
      <c r="D1885" s="2069"/>
      <c r="E1885" s="2069"/>
      <c r="F1885" s="2069"/>
      <c r="G1885" s="2069"/>
      <c r="H1885" s="2069"/>
      <c r="I1885"/>
      <c r="J1885"/>
      <c r="K1885"/>
    </row>
    <row r="1886" spans="2:11" x14ac:dyDescent="0.2">
      <c r="B1886" s="2069"/>
      <c r="C1886" s="2069"/>
      <c r="D1886" s="2069"/>
      <c r="E1886" s="2069"/>
      <c r="F1886" s="2069"/>
      <c r="G1886" s="2069"/>
      <c r="H1886" s="2069"/>
      <c r="I1886"/>
      <c r="J1886"/>
      <c r="K1886"/>
    </row>
    <row r="1887" spans="2:11" x14ac:dyDescent="0.2">
      <c r="B1887" s="2069"/>
      <c r="C1887" s="2069"/>
      <c r="D1887" s="2069"/>
      <c r="E1887" s="2069"/>
      <c r="F1887" s="2069"/>
      <c r="G1887" s="2069"/>
      <c r="H1887" s="2069"/>
      <c r="I1887"/>
      <c r="J1887"/>
      <c r="K1887"/>
    </row>
    <row r="1888" spans="2:11" x14ac:dyDescent="0.2">
      <c r="B1888" s="2069"/>
      <c r="C1888" s="2069"/>
      <c r="D1888" s="2069"/>
      <c r="E1888" s="2069"/>
      <c r="F1888" s="2069"/>
      <c r="G1888" s="2069"/>
      <c r="H1888" s="2069"/>
      <c r="I1888"/>
      <c r="J1888"/>
      <c r="K1888"/>
    </row>
    <row r="1889" spans="2:11" x14ac:dyDescent="0.2">
      <c r="B1889" s="2069"/>
      <c r="C1889" s="2069"/>
      <c r="D1889" s="2069"/>
      <c r="E1889" s="2069"/>
      <c r="F1889" s="2069"/>
      <c r="G1889" s="2069"/>
      <c r="H1889" s="2069"/>
      <c r="I1889"/>
      <c r="J1889"/>
      <c r="K1889"/>
    </row>
    <row r="1890" spans="2:11" x14ac:dyDescent="0.2">
      <c r="B1890" s="2069"/>
      <c r="C1890" s="2069"/>
      <c r="D1890" s="2069"/>
      <c r="E1890" s="2069"/>
      <c r="F1890" s="2069"/>
      <c r="G1890" s="2069"/>
      <c r="H1890" s="2069"/>
      <c r="I1890"/>
      <c r="J1890"/>
      <c r="K1890"/>
    </row>
    <row r="1891" spans="2:11" x14ac:dyDescent="0.2">
      <c r="B1891" s="2069"/>
      <c r="C1891" s="2069"/>
      <c r="D1891" s="2069"/>
      <c r="E1891" s="2069"/>
      <c r="F1891" s="2069"/>
      <c r="G1891" s="2069"/>
      <c r="H1891" s="2069"/>
      <c r="I1891"/>
      <c r="J1891"/>
      <c r="K1891"/>
    </row>
    <row r="1892" spans="2:11" x14ac:dyDescent="0.2">
      <c r="B1892" s="2069"/>
      <c r="C1892" s="2069"/>
      <c r="D1892" s="2069"/>
      <c r="E1892" s="2069"/>
      <c r="F1892" s="2069"/>
      <c r="G1892" s="2069"/>
      <c r="H1892" s="2069"/>
      <c r="I1892"/>
      <c r="J1892"/>
      <c r="K1892"/>
    </row>
    <row r="1893" spans="2:11" x14ac:dyDescent="0.2">
      <c r="B1893" s="2069"/>
      <c r="C1893" s="2069"/>
      <c r="D1893" s="2069"/>
      <c r="E1893" s="2069"/>
      <c r="F1893" s="2069"/>
      <c r="G1893" s="2069"/>
      <c r="H1893" s="2069"/>
      <c r="I1893"/>
      <c r="J1893"/>
      <c r="K1893"/>
    </row>
    <row r="1894" spans="2:11" x14ac:dyDescent="0.2">
      <c r="B1894" s="2069"/>
      <c r="C1894" s="2069"/>
      <c r="D1894" s="2069"/>
      <c r="E1894" s="2069"/>
      <c r="F1894" s="2069"/>
      <c r="G1894" s="2069"/>
      <c r="H1894" s="2069"/>
      <c r="I1894"/>
      <c r="J1894"/>
      <c r="K1894"/>
    </row>
    <row r="1895" spans="2:11" x14ac:dyDescent="0.2">
      <c r="B1895" s="2069"/>
      <c r="C1895" s="2069"/>
      <c r="D1895" s="2069"/>
      <c r="E1895" s="2069"/>
      <c r="F1895" s="2069"/>
      <c r="G1895" s="2069"/>
      <c r="H1895" s="2069"/>
      <c r="I1895"/>
      <c r="J1895"/>
      <c r="K1895"/>
    </row>
    <row r="1896" spans="2:11" x14ac:dyDescent="0.2">
      <c r="B1896" s="2069"/>
      <c r="C1896" s="2069"/>
      <c r="D1896" s="2069"/>
      <c r="E1896" s="2069"/>
      <c r="F1896" s="2069"/>
      <c r="G1896" s="2069"/>
      <c r="H1896" s="2069"/>
      <c r="I1896"/>
      <c r="J1896"/>
      <c r="K1896"/>
    </row>
    <row r="1897" spans="2:11" x14ac:dyDescent="0.2">
      <c r="B1897" s="2069"/>
      <c r="C1897" s="2069"/>
      <c r="D1897" s="2069"/>
      <c r="E1897" s="2069"/>
      <c r="F1897" s="2069"/>
      <c r="G1897" s="2069"/>
      <c r="H1897" s="2069"/>
      <c r="I1897"/>
      <c r="J1897"/>
      <c r="K1897"/>
    </row>
    <row r="1898" spans="2:11" x14ac:dyDescent="0.2">
      <c r="B1898" s="2069"/>
      <c r="C1898" s="2069"/>
      <c r="D1898" s="2069"/>
      <c r="E1898" s="2069"/>
      <c r="F1898" s="2069"/>
      <c r="G1898" s="2069"/>
      <c r="H1898" s="2069"/>
      <c r="I1898"/>
      <c r="J1898"/>
      <c r="K1898"/>
    </row>
    <row r="1899" spans="2:11" x14ac:dyDescent="0.2">
      <c r="B1899" s="2069"/>
      <c r="C1899" s="2069"/>
      <c r="D1899" s="2069"/>
      <c r="E1899" s="2069"/>
      <c r="F1899" s="2069"/>
      <c r="G1899" s="2069"/>
      <c r="H1899" s="2069"/>
      <c r="I1899"/>
      <c r="J1899"/>
      <c r="K1899"/>
    </row>
    <row r="1900" spans="2:11" x14ac:dyDescent="0.2">
      <c r="B1900" s="2069"/>
      <c r="C1900" s="2069"/>
      <c r="D1900" s="2069"/>
      <c r="E1900" s="2069"/>
      <c r="F1900" s="2069"/>
      <c r="G1900" s="2069"/>
      <c r="H1900" s="2069"/>
      <c r="I1900"/>
      <c r="J1900"/>
      <c r="K1900"/>
    </row>
    <row r="1901" spans="2:11" x14ac:dyDescent="0.2">
      <c r="B1901" s="2069"/>
      <c r="C1901" s="2069"/>
      <c r="D1901" s="2069"/>
      <c r="E1901" s="2069"/>
      <c r="F1901" s="2069"/>
      <c r="G1901" s="2069"/>
      <c r="H1901" s="2069"/>
      <c r="I1901"/>
      <c r="J1901"/>
      <c r="K1901"/>
    </row>
    <row r="1902" spans="2:11" x14ac:dyDescent="0.2">
      <c r="B1902" s="2069"/>
      <c r="C1902" s="2069"/>
      <c r="D1902" s="2069"/>
      <c r="E1902" s="2069"/>
      <c r="F1902" s="2069"/>
      <c r="G1902" s="2069"/>
      <c r="H1902" s="2069"/>
      <c r="I1902"/>
      <c r="J1902"/>
      <c r="K1902"/>
    </row>
    <row r="1903" spans="2:11" x14ac:dyDescent="0.2">
      <c r="B1903" s="2069"/>
      <c r="C1903" s="2069"/>
      <c r="D1903" s="2069"/>
      <c r="E1903" s="2069"/>
      <c r="F1903" s="2069"/>
      <c r="G1903" s="2069"/>
      <c r="H1903" s="2069"/>
      <c r="I1903"/>
      <c r="J1903"/>
      <c r="K1903"/>
    </row>
    <row r="1904" spans="2:11" x14ac:dyDescent="0.2">
      <c r="B1904" s="2069"/>
      <c r="C1904" s="2069"/>
      <c r="D1904" s="2069"/>
      <c r="E1904" s="2069"/>
      <c r="F1904" s="2069"/>
      <c r="G1904" s="2069"/>
      <c r="H1904" s="2069"/>
      <c r="I1904"/>
      <c r="J1904"/>
      <c r="K1904"/>
    </row>
    <row r="1905" spans="2:11" x14ac:dyDescent="0.2">
      <c r="B1905" s="2069"/>
      <c r="C1905" s="2069"/>
      <c r="D1905" s="2069"/>
      <c r="E1905" s="2069"/>
      <c r="F1905" s="2069"/>
      <c r="G1905" s="2069"/>
      <c r="H1905" s="2069"/>
      <c r="I1905"/>
      <c r="J1905"/>
      <c r="K1905"/>
    </row>
    <row r="1906" spans="2:11" x14ac:dyDescent="0.2">
      <c r="B1906" s="2069"/>
      <c r="C1906" s="2069"/>
      <c r="D1906" s="2069"/>
      <c r="E1906" s="2069"/>
      <c r="F1906" s="2069"/>
      <c r="G1906" s="2069"/>
      <c r="H1906" s="2069"/>
      <c r="I1906"/>
      <c r="J1906"/>
      <c r="K1906"/>
    </row>
    <row r="1907" spans="2:11" x14ac:dyDescent="0.2">
      <c r="B1907" s="2069"/>
      <c r="C1907" s="2069"/>
      <c r="D1907" s="2069"/>
      <c r="E1907" s="2069"/>
      <c r="F1907" s="2069"/>
      <c r="G1907" s="2069"/>
      <c r="H1907" s="2069"/>
      <c r="I1907"/>
      <c r="J1907"/>
      <c r="K1907"/>
    </row>
    <row r="1908" spans="2:11" x14ac:dyDescent="0.2">
      <c r="B1908" s="2069"/>
      <c r="C1908" s="2069"/>
      <c r="D1908" s="2069"/>
      <c r="E1908" s="2069"/>
      <c r="F1908" s="2069"/>
      <c r="G1908" s="2069"/>
      <c r="H1908" s="2069"/>
      <c r="I1908"/>
      <c r="J1908"/>
      <c r="K1908"/>
    </row>
    <row r="1909" spans="2:11" x14ac:dyDescent="0.2">
      <c r="B1909" s="2069"/>
      <c r="C1909" s="2069"/>
      <c r="D1909" s="2069"/>
      <c r="E1909" s="2069"/>
      <c r="F1909" s="2069"/>
      <c r="G1909" s="2069"/>
      <c r="H1909" s="2069"/>
      <c r="I1909"/>
      <c r="J1909"/>
      <c r="K1909"/>
    </row>
    <row r="1910" spans="2:11" x14ac:dyDescent="0.2">
      <c r="B1910" s="2069"/>
      <c r="C1910" s="2069"/>
      <c r="D1910" s="2069"/>
      <c r="E1910" s="2069"/>
      <c r="F1910" s="2069"/>
      <c r="G1910" s="2069"/>
      <c r="H1910" s="2069"/>
      <c r="I1910"/>
      <c r="J1910"/>
      <c r="K1910"/>
    </row>
    <row r="1911" spans="2:11" x14ac:dyDescent="0.2">
      <c r="B1911" s="2069"/>
      <c r="C1911" s="2069"/>
      <c r="D1911" s="2069"/>
      <c r="E1911" s="2069"/>
      <c r="F1911" s="2069"/>
      <c r="G1911" s="2069"/>
      <c r="H1911" s="2069"/>
      <c r="I1911"/>
      <c r="J1911"/>
      <c r="K1911"/>
    </row>
    <row r="1912" spans="2:11" x14ac:dyDescent="0.2">
      <c r="B1912" s="2069"/>
      <c r="C1912" s="2069"/>
      <c r="D1912" s="2069"/>
      <c r="E1912" s="2069"/>
      <c r="F1912" s="2069"/>
      <c r="G1912" s="2069"/>
      <c r="H1912" s="2069"/>
      <c r="I1912"/>
      <c r="J1912"/>
      <c r="K1912"/>
    </row>
    <row r="1913" spans="2:11" x14ac:dyDescent="0.2">
      <c r="B1913" s="2069"/>
      <c r="C1913" s="2069"/>
      <c r="D1913" s="2069"/>
      <c r="E1913" s="2069"/>
      <c r="F1913" s="2069"/>
      <c r="G1913" s="2069"/>
      <c r="H1913" s="2069"/>
      <c r="I1913"/>
      <c r="J1913"/>
      <c r="K1913"/>
    </row>
    <row r="1914" spans="2:11" x14ac:dyDescent="0.2">
      <c r="B1914" s="2069"/>
      <c r="C1914" s="2069"/>
      <c r="D1914" s="2069"/>
      <c r="E1914" s="2069"/>
      <c r="F1914" s="2069"/>
      <c r="G1914" s="2069"/>
      <c r="H1914" s="2069"/>
      <c r="I1914"/>
      <c r="J1914"/>
      <c r="K1914"/>
    </row>
    <row r="1915" spans="2:11" x14ac:dyDescent="0.2">
      <c r="B1915" s="2069"/>
      <c r="C1915" s="2069"/>
      <c r="D1915" s="2069"/>
      <c r="E1915" s="2069"/>
      <c r="F1915" s="2069"/>
      <c r="G1915" s="2069"/>
      <c r="H1915" s="2069"/>
      <c r="I1915"/>
      <c r="J1915"/>
      <c r="K1915"/>
    </row>
    <row r="1916" spans="2:11" x14ac:dyDescent="0.2">
      <c r="B1916" s="2069"/>
      <c r="C1916" s="2069"/>
      <c r="D1916" s="2069"/>
      <c r="E1916" s="2069"/>
      <c r="F1916" s="2069"/>
      <c r="G1916" s="2069"/>
      <c r="H1916" s="2069"/>
      <c r="I1916"/>
      <c r="J1916"/>
      <c r="K1916"/>
    </row>
    <row r="1917" spans="2:11" x14ac:dyDescent="0.2">
      <c r="B1917" s="2069"/>
      <c r="C1917" s="2069"/>
      <c r="D1917" s="2069"/>
      <c r="E1917" s="2069"/>
      <c r="F1917" s="2069"/>
      <c r="G1917" s="2069"/>
      <c r="H1917" s="2069"/>
      <c r="I1917"/>
      <c r="J1917"/>
      <c r="K1917"/>
    </row>
    <row r="1918" spans="2:11" x14ac:dyDescent="0.2">
      <c r="B1918" s="2069"/>
      <c r="C1918" s="2069"/>
      <c r="D1918" s="2069"/>
      <c r="E1918" s="2069"/>
      <c r="F1918" s="2069"/>
      <c r="G1918" s="2069"/>
      <c r="H1918" s="2069"/>
      <c r="I1918"/>
      <c r="J1918"/>
      <c r="K1918"/>
    </row>
    <row r="1919" spans="2:11" x14ac:dyDescent="0.2">
      <c r="B1919" s="2069"/>
      <c r="C1919" s="2069"/>
      <c r="D1919" s="2069"/>
      <c r="E1919" s="2069"/>
      <c r="F1919" s="2069"/>
      <c r="G1919" s="2069"/>
      <c r="H1919" s="2069"/>
      <c r="I1919"/>
      <c r="J1919"/>
      <c r="K1919"/>
    </row>
    <row r="1920" spans="2:11" x14ac:dyDescent="0.2">
      <c r="B1920" s="2069"/>
      <c r="C1920" s="2069"/>
      <c r="D1920" s="2069"/>
      <c r="E1920" s="2069"/>
      <c r="F1920" s="2069"/>
      <c r="G1920" s="2069"/>
      <c r="H1920" s="2069"/>
      <c r="I1920"/>
      <c r="J1920"/>
      <c r="K1920"/>
    </row>
    <row r="1921" spans="2:11" x14ac:dyDescent="0.2">
      <c r="B1921" s="2069"/>
      <c r="C1921" s="2069"/>
      <c r="D1921" s="2069"/>
      <c r="E1921" s="2069"/>
      <c r="F1921" s="2069"/>
      <c r="G1921" s="2069"/>
      <c r="H1921" s="2069"/>
      <c r="I1921"/>
      <c r="J1921"/>
      <c r="K1921"/>
    </row>
    <row r="1922" spans="2:11" x14ac:dyDescent="0.2">
      <c r="B1922" s="2069"/>
      <c r="C1922" s="2069"/>
      <c r="D1922" s="2069"/>
      <c r="E1922" s="2069"/>
      <c r="F1922" s="2069"/>
      <c r="G1922" s="2069"/>
      <c r="H1922" s="2069"/>
      <c r="I1922"/>
      <c r="J1922"/>
      <c r="K1922"/>
    </row>
    <row r="1923" spans="2:11" x14ac:dyDescent="0.2">
      <c r="B1923" s="2069"/>
      <c r="C1923" s="2069"/>
      <c r="D1923" s="2069"/>
      <c r="E1923" s="2069"/>
      <c r="F1923" s="2069"/>
      <c r="G1923" s="2069"/>
      <c r="H1923" s="2069"/>
      <c r="I1923"/>
      <c r="J1923"/>
      <c r="K1923"/>
    </row>
    <row r="1924" spans="2:11" x14ac:dyDescent="0.2">
      <c r="B1924" s="2069"/>
      <c r="C1924" s="2069"/>
      <c r="D1924" s="2069"/>
      <c r="E1924" s="2069"/>
      <c r="F1924" s="2069"/>
      <c r="G1924" s="2069"/>
      <c r="H1924" s="2069"/>
      <c r="I1924"/>
      <c r="J1924"/>
      <c r="K1924"/>
    </row>
    <row r="1925" spans="2:11" x14ac:dyDescent="0.2">
      <c r="B1925" s="2069"/>
      <c r="C1925" s="2069"/>
      <c r="D1925" s="2069"/>
      <c r="E1925" s="2069"/>
      <c r="F1925" s="2069"/>
      <c r="G1925" s="2069"/>
      <c r="H1925" s="2069"/>
      <c r="I1925"/>
      <c r="J1925"/>
      <c r="K1925"/>
    </row>
    <row r="1926" spans="2:11" x14ac:dyDescent="0.2">
      <c r="B1926" s="2069"/>
      <c r="C1926" s="2069"/>
      <c r="D1926" s="2069"/>
      <c r="E1926" s="2069"/>
      <c r="F1926" s="2069"/>
      <c r="G1926" s="2069"/>
      <c r="H1926" s="2069"/>
      <c r="I1926"/>
      <c r="J1926"/>
      <c r="K1926"/>
    </row>
    <row r="1927" spans="2:11" x14ac:dyDescent="0.2">
      <c r="B1927" s="2069"/>
      <c r="C1927" s="2069"/>
      <c r="D1927" s="2069"/>
      <c r="E1927" s="2069"/>
      <c r="F1927" s="2069"/>
      <c r="G1927" s="2069"/>
      <c r="H1927" s="2069"/>
      <c r="I1927"/>
      <c r="J1927"/>
      <c r="K1927"/>
    </row>
    <row r="1928" spans="2:11" x14ac:dyDescent="0.2">
      <c r="B1928" s="2069"/>
      <c r="C1928" s="2069"/>
      <c r="D1928" s="2069"/>
      <c r="E1928" s="2069"/>
      <c r="F1928" s="2069"/>
      <c r="G1928" s="2069"/>
      <c r="H1928" s="2069"/>
      <c r="I1928"/>
      <c r="J1928"/>
      <c r="K1928"/>
    </row>
    <row r="1929" spans="2:11" x14ac:dyDescent="0.2">
      <c r="B1929" s="2069"/>
      <c r="C1929" s="2069"/>
      <c r="D1929" s="2069"/>
      <c r="E1929" s="2069"/>
      <c r="F1929" s="2069"/>
      <c r="G1929" s="2069"/>
      <c r="H1929" s="2069"/>
      <c r="I1929"/>
      <c r="J1929"/>
      <c r="K1929"/>
    </row>
    <row r="1930" spans="2:11" x14ac:dyDescent="0.2">
      <c r="B1930" s="2069"/>
      <c r="C1930" s="2069"/>
      <c r="D1930" s="2069"/>
      <c r="E1930" s="2069"/>
      <c r="F1930" s="2069"/>
      <c r="G1930" s="2069"/>
      <c r="H1930" s="2069"/>
      <c r="I1930"/>
      <c r="J1930"/>
      <c r="K1930"/>
    </row>
    <row r="1931" spans="2:11" x14ac:dyDescent="0.2">
      <c r="B1931" s="2069"/>
      <c r="C1931" s="2069"/>
      <c r="D1931" s="2069"/>
      <c r="E1931" s="2069"/>
      <c r="F1931" s="2069"/>
      <c r="G1931" s="2069"/>
      <c r="H1931" s="2069"/>
      <c r="I1931"/>
      <c r="J1931"/>
      <c r="K1931"/>
    </row>
    <row r="1932" spans="2:11" x14ac:dyDescent="0.2">
      <c r="B1932" s="2069"/>
      <c r="C1932" s="2069"/>
      <c r="D1932" s="2069"/>
      <c r="E1932" s="2069"/>
      <c r="F1932" s="2069"/>
      <c r="G1932" s="2069"/>
      <c r="H1932" s="2069"/>
      <c r="I1932"/>
      <c r="J1932"/>
      <c r="K1932"/>
    </row>
    <row r="1933" spans="2:11" x14ac:dyDescent="0.2">
      <c r="B1933" s="2069"/>
      <c r="C1933" s="2069"/>
      <c r="D1933" s="2069"/>
      <c r="E1933" s="2069"/>
      <c r="F1933" s="2069"/>
      <c r="G1933" s="2069"/>
      <c r="H1933" s="2069"/>
      <c r="I1933"/>
      <c r="J1933"/>
      <c r="K1933"/>
    </row>
    <row r="1934" spans="2:11" x14ac:dyDescent="0.2">
      <c r="B1934" s="2069"/>
      <c r="C1934" s="2069"/>
      <c r="D1934" s="2069"/>
      <c r="E1934" s="2069"/>
      <c r="F1934" s="2069"/>
      <c r="G1934" s="2069"/>
      <c r="H1934" s="2069"/>
      <c r="I1934"/>
      <c r="J1934"/>
      <c r="K1934"/>
    </row>
    <row r="1935" spans="2:11" x14ac:dyDescent="0.2">
      <c r="B1935" s="2069"/>
      <c r="C1935" s="2069"/>
      <c r="D1935" s="2069"/>
      <c r="E1935" s="2069"/>
      <c r="F1935" s="2069"/>
      <c r="G1935" s="2069"/>
      <c r="H1935" s="2069"/>
      <c r="I1935"/>
      <c r="J1935"/>
      <c r="K1935"/>
    </row>
    <row r="1936" spans="2:11" x14ac:dyDescent="0.2">
      <c r="B1936" s="2069"/>
      <c r="C1936" s="2069"/>
      <c r="D1936" s="2069"/>
      <c r="E1936" s="2069"/>
      <c r="F1936" s="2069"/>
      <c r="G1936" s="2069"/>
      <c r="H1936" s="2069"/>
      <c r="I1936"/>
      <c r="J1936"/>
      <c r="K1936"/>
    </row>
    <row r="1937" spans="2:11" x14ac:dyDescent="0.2">
      <c r="B1937" s="2069"/>
      <c r="C1937" s="2069"/>
      <c r="D1937" s="2069"/>
      <c r="E1937" s="2069"/>
      <c r="F1937" s="2069"/>
      <c r="G1937" s="2069"/>
      <c r="H1937" s="2069"/>
      <c r="I1937"/>
      <c r="J1937"/>
      <c r="K1937"/>
    </row>
    <row r="1938" spans="2:11" x14ac:dyDescent="0.2">
      <c r="B1938" s="2069"/>
      <c r="C1938" s="2069"/>
      <c r="D1938" s="2069"/>
      <c r="E1938" s="2069"/>
      <c r="F1938" s="2069"/>
      <c r="G1938" s="2069"/>
      <c r="H1938" s="2069"/>
      <c r="I1938"/>
      <c r="J1938"/>
      <c r="K1938"/>
    </row>
    <row r="1939" spans="2:11" x14ac:dyDescent="0.2">
      <c r="B1939" s="2069"/>
      <c r="C1939" s="2069"/>
      <c r="D1939" s="2069"/>
      <c r="E1939" s="2069"/>
      <c r="F1939" s="2069"/>
      <c r="G1939" s="2069"/>
      <c r="H1939" s="2069"/>
      <c r="I1939"/>
      <c r="J1939"/>
      <c r="K1939"/>
    </row>
    <row r="1940" spans="2:11" x14ac:dyDescent="0.2">
      <c r="B1940" s="2069"/>
      <c r="C1940" s="2069"/>
      <c r="D1940" s="2069"/>
      <c r="E1940" s="2069"/>
      <c r="F1940" s="2069"/>
      <c r="G1940" s="2069"/>
      <c r="H1940" s="2069"/>
      <c r="I1940"/>
      <c r="J1940"/>
      <c r="K1940"/>
    </row>
    <row r="1941" spans="2:11" x14ac:dyDescent="0.2">
      <c r="B1941" s="2069"/>
      <c r="C1941" s="2069"/>
      <c r="D1941" s="2069"/>
      <c r="E1941" s="2069"/>
      <c r="F1941" s="2069"/>
      <c r="G1941" s="2069"/>
      <c r="H1941" s="2069"/>
      <c r="I1941"/>
      <c r="J1941"/>
      <c r="K1941"/>
    </row>
    <row r="1942" spans="2:11" x14ac:dyDescent="0.2">
      <c r="B1942" s="2069"/>
      <c r="C1942" s="2069"/>
      <c r="D1942" s="2069"/>
      <c r="E1942" s="2069"/>
      <c r="F1942" s="2069"/>
      <c r="G1942" s="2069"/>
      <c r="H1942" s="2069"/>
      <c r="I1942"/>
      <c r="J1942"/>
      <c r="K1942"/>
    </row>
    <row r="1943" spans="2:11" x14ac:dyDescent="0.2">
      <c r="B1943" s="2069"/>
      <c r="C1943" s="2069"/>
      <c r="D1943" s="2069"/>
      <c r="E1943" s="2069"/>
      <c r="F1943" s="2069"/>
      <c r="G1943" s="2069"/>
      <c r="H1943" s="2069"/>
      <c r="I1943"/>
      <c r="J1943"/>
      <c r="K1943"/>
    </row>
    <row r="1944" spans="2:11" x14ac:dyDescent="0.2">
      <c r="B1944" s="2069"/>
      <c r="C1944" s="2069"/>
      <c r="D1944" s="2069"/>
      <c r="E1944" s="2069"/>
      <c r="F1944" s="2069"/>
      <c r="G1944" s="2069"/>
      <c r="H1944" s="2069"/>
      <c r="I1944"/>
      <c r="J1944"/>
      <c r="K1944"/>
    </row>
    <row r="1945" spans="2:11" x14ac:dyDescent="0.2">
      <c r="B1945" s="2069"/>
      <c r="C1945" s="2069"/>
      <c r="D1945" s="2069"/>
      <c r="E1945" s="2069"/>
      <c r="F1945" s="2069"/>
      <c r="G1945" s="2069"/>
      <c r="H1945" s="2069"/>
      <c r="I1945"/>
      <c r="J1945"/>
      <c r="K1945"/>
    </row>
    <row r="1946" spans="2:11" x14ac:dyDescent="0.2">
      <c r="B1946" s="2069"/>
      <c r="C1946" s="2069"/>
      <c r="D1946" s="2069"/>
      <c r="E1946" s="2069"/>
      <c r="F1946" s="2069"/>
      <c r="G1946" s="2069"/>
      <c r="H1946" s="2069"/>
      <c r="I1946"/>
      <c r="J1946"/>
      <c r="K1946"/>
    </row>
    <row r="1947" spans="2:11" x14ac:dyDescent="0.2">
      <c r="B1947" s="2069"/>
      <c r="C1947" s="2069"/>
      <c r="D1947" s="2069"/>
      <c r="E1947" s="2069"/>
      <c r="F1947" s="2069"/>
      <c r="G1947" s="2069"/>
      <c r="H1947" s="2069"/>
      <c r="I1947"/>
      <c r="J1947"/>
      <c r="K1947"/>
    </row>
    <row r="1948" spans="2:11" x14ac:dyDescent="0.2">
      <c r="B1948" s="2069"/>
      <c r="C1948" s="2069"/>
      <c r="D1948" s="2069"/>
      <c r="E1948" s="2069"/>
      <c r="F1948" s="2069"/>
      <c r="G1948" s="2069"/>
      <c r="H1948" s="2069"/>
      <c r="I1948"/>
      <c r="J1948"/>
      <c r="K1948"/>
    </row>
    <row r="1949" spans="2:11" x14ac:dyDescent="0.2">
      <c r="B1949" s="2069"/>
      <c r="C1949" s="2069"/>
      <c r="D1949" s="2069"/>
      <c r="E1949" s="2069"/>
      <c r="F1949" s="2069"/>
      <c r="G1949" s="2069"/>
      <c r="H1949" s="2069"/>
      <c r="I1949"/>
      <c r="J1949"/>
      <c r="K1949"/>
    </row>
    <row r="1950" spans="2:11" x14ac:dyDescent="0.2">
      <c r="B1950" s="2069"/>
      <c r="C1950" s="2069"/>
      <c r="D1950" s="2069"/>
      <c r="E1950" s="2069"/>
      <c r="F1950" s="2069"/>
      <c r="G1950" s="2069"/>
      <c r="H1950" s="2069"/>
      <c r="I1950"/>
      <c r="J1950"/>
      <c r="K1950"/>
    </row>
    <row r="1951" spans="2:11" x14ac:dyDescent="0.2">
      <c r="B1951" s="2069"/>
      <c r="C1951" s="2069"/>
      <c r="D1951" s="2069"/>
      <c r="E1951" s="2069"/>
      <c r="F1951" s="2069"/>
      <c r="G1951" s="2069"/>
      <c r="H1951" s="2069"/>
      <c r="I1951"/>
      <c r="J1951"/>
      <c r="K1951"/>
    </row>
    <row r="1952" spans="2:11" x14ac:dyDescent="0.2">
      <c r="B1952" s="2069"/>
      <c r="C1952" s="2069"/>
      <c r="D1952" s="2069"/>
      <c r="E1952" s="2069"/>
      <c r="F1952" s="2069"/>
      <c r="G1952" s="2069"/>
      <c r="H1952" s="2069"/>
      <c r="I1952"/>
      <c r="J1952"/>
      <c r="K1952"/>
    </row>
    <row r="1953" spans="2:11" x14ac:dyDescent="0.2">
      <c r="B1953" s="2069"/>
      <c r="C1953" s="2069"/>
      <c r="D1953" s="2069"/>
      <c r="E1953" s="2069"/>
      <c r="F1953" s="2069"/>
      <c r="G1953" s="2069"/>
      <c r="H1953" s="2069"/>
      <c r="I1953"/>
      <c r="J1953"/>
      <c r="K1953"/>
    </row>
    <row r="1954" spans="2:11" x14ac:dyDescent="0.2">
      <c r="B1954" s="2069"/>
      <c r="C1954" s="2069"/>
      <c r="D1954" s="2069"/>
      <c r="E1954" s="2069"/>
      <c r="F1954" s="2069"/>
      <c r="G1954" s="2069"/>
      <c r="H1954" s="2069"/>
      <c r="I1954"/>
      <c r="J1954"/>
      <c r="K1954"/>
    </row>
    <row r="1955" spans="2:11" x14ac:dyDescent="0.2">
      <c r="B1955" s="2069"/>
      <c r="C1955" s="2069"/>
      <c r="D1955" s="2069"/>
      <c r="E1955" s="2069"/>
      <c r="F1955" s="2069"/>
      <c r="G1955" s="2069"/>
      <c r="H1955" s="2069"/>
      <c r="I1955"/>
      <c r="J1955"/>
      <c r="K1955"/>
    </row>
    <row r="1956" spans="2:11" x14ac:dyDescent="0.2">
      <c r="B1956" s="2069"/>
      <c r="C1956" s="2069"/>
      <c r="D1956" s="2069"/>
      <c r="E1956" s="2069"/>
      <c r="F1956" s="2069"/>
      <c r="G1956" s="2069"/>
      <c r="H1956" s="2069"/>
      <c r="I1956"/>
      <c r="J1956"/>
      <c r="K1956"/>
    </row>
    <row r="1957" spans="2:11" x14ac:dyDescent="0.2">
      <c r="B1957" s="2069"/>
      <c r="C1957" s="2069"/>
      <c r="D1957" s="2069"/>
      <c r="E1957" s="2069"/>
      <c r="F1957" s="2069"/>
      <c r="G1957" s="2069"/>
      <c r="H1957" s="2069"/>
      <c r="I1957"/>
      <c r="J1957"/>
      <c r="K1957"/>
    </row>
    <row r="1958" spans="2:11" x14ac:dyDescent="0.2">
      <c r="B1958" s="2069"/>
      <c r="C1958" s="2069"/>
      <c r="D1958" s="2069"/>
      <c r="E1958" s="2069"/>
      <c r="F1958" s="2069"/>
      <c r="G1958" s="2069"/>
      <c r="H1958" s="2069"/>
      <c r="I1958"/>
      <c r="J1958"/>
      <c r="K1958"/>
    </row>
    <row r="1959" spans="2:11" x14ac:dyDescent="0.2">
      <c r="B1959" s="2069"/>
      <c r="C1959" s="2069"/>
      <c r="D1959" s="2069"/>
      <c r="E1959" s="2069"/>
      <c r="F1959" s="2069"/>
      <c r="G1959" s="2069"/>
      <c r="H1959" s="2069"/>
      <c r="I1959"/>
      <c r="J1959"/>
      <c r="K1959"/>
    </row>
    <row r="1960" spans="2:11" x14ac:dyDescent="0.2">
      <c r="B1960" s="2069"/>
      <c r="C1960" s="2069"/>
      <c r="D1960" s="2069"/>
      <c r="E1960" s="2069"/>
      <c r="F1960" s="2069"/>
      <c r="G1960" s="2069"/>
      <c r="H1960" s="2069"/>
      <c r="I1960"/>
      <c r="J1960"/>
      <c r="K1960"/>
    </row>
    <row r="1961" spans="2:11" x14ac:dyDescent="0.2">
      <c r="B1961" s="2069"/>
      <c r="C1961" s="2069"/>
      <c r="D1961" s="2069"/>
      <c r="E1961" s="2069"/>
      <c r="F1961" s="2069"/>
      <c r="G1961" s="2069"/>
      <c r="H1961" s="2069"/>
      <c r="I1961"/>
      <c r="J1961"/>
      <c r="K1961"/>
    </row>
    <row r="1962" spans="2:11" x14ac:dyDescent="0.2">
      <c r="B1962" s="2069"/>
      <c r="C1962" s="2069"/>
      <c r="D1962" s="2069"/>
      <c r="E1962" s="2069"/>
      <c r="F1962" s="2069"/>
      <c r="G1962" s="2069"/>
      <c r="H1962" s="2069"/>
      <c r="I1962"/>
      <c r="J1962"/>
      <c r="K1962"/>
    </row>
    <row r="1963" spans="2:11" x14ac:dyDescent="0.2">
      <c r="B1963" s="2069"/>
      <c r="C1963" s="2069"/>
      <c r="D1963" s="2069"/>
      <c r="E1963" s="2069"/>
      <c r="F1963" s="2069"/>
      <c r="G1963" s="2069"/>
      <c r="H1963" s="2069"/>
      <c r="I1963"/>
      <c r="J1963"/>
      <c r="K1963"/>
    </row>
    <row r="1964" spans="2:11" x14ac:dyDescent="0.2">
      <c r="B1964" s="2069"/>
      <c r="C1964" s="2069"/>
      <c r="D1964" s="2069"/>
      <c r="E1964" s="2069"/>
      <c r="F1964" s="2069"/>
      <c r="G1964" s="2069"/>
      <c r="H1964" s="2069"/>
      <c r="I1964"/>
      <c r="J1964"/>
      <c r="K1964"/>
    </row>
    <row r="1965" spans="2:11" x14ac:dyDescent="0.2">
      <c r="B1965" s="2069"/>
      <c r="C1965" s="2069"/>
      <c r="D1965" s="2069"/>
      <c r="E1965" s="2069"/>
      <c r="F1965" s="2069"/>
      <c r="G1965" s="2069"/>
      <c r="H1965" s="2069"/>
      <c r="I1965"/>
      <c r="J1965"/>
      <c r="K1965"/>
    </row>
    <row r="1966" spans="2:11" x14ac:dyDescent="0.2">
      <c r="B1966" s="2069"/>
      <c r="C1966" s="2069"/>
      <c r="D1966" s="2069"/>
      <c r="E1966" s="2069"/>
      <c r="F1966" s="2069"/>
      <c r="G1966" s="2069"/>
      <c r="H1966" s="2069"/>
      <c r="I1966"/>
      <c r="J1966"/>
      <c r="K1966"/>
    </row>
    <row r="1967" spans="2:11" x14ac:dyDescent="0.2">
      <c r="B1967" s="2069"/>
      <c r="C1967" s="2069"/>
      <c r="D1967" s="2069"/>
      <c r="E1967" s="2069"/>
      <c r="F1967" s="2069"/>
      <c r="G1967" s="2069"/>
      <c r="H1967" s="2069"/>
      <c r="I1967"/>
      <c r="J1967"/>
      <c r="K1967"/>
    </row>
    <row r="1968" spans="2:11" x14ac:dyDescent="0.2">
      <c r="B1968" s="2069"/>
      <c r="C1968" s="2069"/>
      <c r="D1968" s="2069"/>
      <c r="E1968" s="2069"/>
      <c r="F1968" s="2069"/>
      <c r="G1968" s="2069"/>
      <c r="H1968" s="2069"/>
      <c r="I1968"/>
      <c r="J1968"/>
      <c r="K1968"/>
    </row>
    <row r="1969" spans="2:11" x14ac:dyDescent="0.2">
      <c r="B1969" s="2069"/>
      <c r="C1969" s="2069"/>
      <c r="D1969" s="2069"/>
      <c r="E1969" s="2069"/>
      <c r="F1969" s="2069"/>
      <c r="G1969" s="2069"/>
      <c r="H1969" s="2069"/>
      <c r="I1969"/>
      <c r="J1969"/>
      <c r="K1969"/>
    </row>
    <row r="1970" spans="2:11" x14ac:dyDescent="0.2">
      <c r="B1970" s="2069"/>
      <c r="C1970" s="2069"/>
      <c r="D1970" s="2069"/>
      <c r="E1970" s="2069"/>
      <c r="F1970" s="2069"/>
      <c r="G1970" s="2069"/>
      <c r="H1970" s="2069"/>
      <c r="I1970"/>
      <c r="J1970"/>
      <c r="K1970"/>
    </row>
    <row r="1971" spans="2:11" x14ac:dyDescent="0.2">
      <c r="B1971" s="2069"/>
      <c r="C1971" s="2069"/>
      <c r="D1971" s="2069"/>
      <c r="E1971" s="2069"/>
      <c r="F1971" s="2069"/>
      <c r="G1971" s="2069"/>
      <c r="H1971" s="2069"/>
      <c r="I1971"/>
      <c r="J1971"/>
      <c r="K1971"/>
    </row>
    <row r="1972" spans="2:11" x14ac:dyDescent="0.2">
      <c r="B1972" s="2069"/>
      <c r="C1972" s="2069"/>
      <c r="D1972" s="2069"/>
      <c r="E1972" s="2069"/>
      <c r="F1972" s="2069"/>
      <c r="G1972" s="2069"/>
      <c r="H1972" s="2069"/>
      <c r="I1972"/>
      <c r="J1972"/>
      <c r="K1972"/>
    </row>
    <row r="1973" spans="2:11" x14ac:dyDescent="0.2">
      <c r="B1973" s="2069"/>
      <c r="C1973" s="2069"/>
      <c r="D1973" s="2069"/>
      <c r="E1973" s="2069"/>
      <c r="F1973" s="2069"/>
      <c r="G1973" s="2069"/>
      <c r="H1973" s="2069"/>
      <c r="I1973"/>
      <c r="J1973"/>
      <c r="K1973"/>
    </row>
    <row r="1974" spans="2:11" x14ac:dyDescent="0.2">
      <c r="B1974" s="2069"/>
      <c r="C1974" s="2069"/>
      <c r="D1974" s="2069"/>
      <c r="E1974" s="2069"/>
      <c r="F1974" s="2069"/>
      <c r="G1974" s="2069"/>
      <c r="H1974" s="2069"/>
      <c r="I1974"/>
      <c r="J1974"/>
      <c r="K1974"/>
    </row>
    <row r="1975" spans="2:11" x14ac:dyDescent="0.2">
      <c r="B1975" s="2069"/>
      <c r="C1975" s="2069"/>
      <c r="D1975" s="2069"/>
      <c r="E1975" s="2069"/>
      <c r="F1975" s="2069"/>
      <c r="G1975" s="2069"/>
      <c r="H1975" s="2069"/>
      <c r="I1975"/>
      <c r="J1975"/>
      <c r="K1975"/>
    </row>
    <row r="1976" spans="2:11" x14ac:dyDescent="0.2">
      <c r="B1976" s="2069"/>
      <c r="C1976" s="2069"/>
      <c r="D1976" s="2069"/>
      <c r="E1976" s="2069"/>
      <c r="F1976" s="2069"/>
      <c r="G1976" s="2069"/>
      <c r="H1976" s="2069"/>
      <c r="I1976"/>
      <c r="J1976"/>
      <c r="K1976"/>
    </row>
    <row r="1977" spans="2:11" x14ac:dyDescent="0.2">
      <c r="B1977" s="2069"/>
      <c r="C1977" s="2069"/>
      <c r="D1977" s="2069"/>
      <c r="E1977" s="2069"/>
      <c r="F1977" s="2069"/>
      <c r="G1977" s="2069"/>
      <c r="H1977" s="2069"/>
      <c r="I1977"/>
      <c r="J1977"/>
      <c r="K1977"/>
    </row>
    <row r="1978" spans="2:11" x14ac:dyDescent="0.2">
      <c r="B1978" s="2069"/>
      <c r="C1978" s="2069"/>
      <c r="D1978" s="2069"/>
      <c r="E1978" s="2069"/>
      <c r="F1978" s="2069"/>
      <c r="G1978" s="2069"/>
      <c r="H1978" s="2069"/>
      <c r="I1978"/>
      <c r="J1978"/>
      <c r="K1978"/>
    </row>
    <row r="1979" spans="2:11" x14ac:dyDescent="0.2">
      <c r="B1979" s="2069"/>
      <c r="C1979" s="2069"/>
      <c r="D1979" s="2069"/>
      <c r="E1979" s="2069"/>
      <c r="F1979" s="2069"/>
      <c r="G1979" s="2069"/>
      <c r="H1979" s="2069"/>
      <c r="I1979"/>
      <c r="J1979"/>
      <c r="K1979"/>
    </row>
    <row r="1980" spans="2:11" x14ac:dyDescent="0.2">
      <c r="B1980" s="2069"/>
      <c r="C1980" s="2069"/>
      <c r="D1980" s="2069"/>
      <c r="E1980" s="2069"/>
      <c r="F1980" s="2069"/>
      <c r="G1980" s="2069"/>
      <c r="H1980" s="2069"/>
      <c r="I1980"/>
      <c r="J1980"/>
      <c r="K1980"/>
    </row>
    <row r="1981" spans="2:11" x14ac:dyDescent="0.2">
      <c r="B1981" s="2069"/>
      <c r="C1981" s="2069"/>
      <c r="D1981" s="2069"/>
      <c r="E1981" s="2069"/>
      <c r="F1981" s="2069"/>
      <c r="G1981" s="2069"/>
      <c r="H1981" s="2069"/>
      <c r="I1981"/>
      <c r="J1981"/>
      <c r="K1981"/>
    </row>
    <row r="1982" spans="2:11" x14ac:dyDescent="0.2">
      <c r="B1982" s="2069"/>
      <c r="C1982" s="2069"/>
      <c r="D1982" s="2069"/>
      <c r="E1982" s="2069"/>
      <c r="F1982" s="2069"/>
      <c r="G1982" s="2069"/>
      <c r="H1982" s="2069"/>
      <c r="I1982"/>
      <c r="J1982"/>
      <c r="K1982"/>
    </row>
    <row r="1983" spans="2:11" x14ac:dyDescent="0.2">
      <c r="B1983" s="2069"/>
      <c r="C1983" s="2069"/>
      <c r="D1983" s="2069"/>
      <c r="E1983" s="2069"/>
      <c r="F1983" s="2069"/>
      <c r="G1983" s="2069"/>
      <c r="H1983" s="2069"/>
      <c r="I1983"/>
      <c r="J1983"/>
      <c r="K1983"/>
    </row>
    <row r="1984" spans="2:11" x14ac:dyDescent="0.2">
      <c r="B1984" s="2069"/>
      <c r="C1984" s="2069"/>
      <c r="D1984" s="2069"/>
      <c r="E1984" s="2069"/>
      <c r="F1984" s="2069"/>
      <c r="G1984" s="2069"/>
      <c r="H1984" s="2069"/>
      <c r="I1984"/>
      <c r="J1984"/>
      <c r="K1984"/>
    </row>
    <row r="1985" spans="2:11" x14ac:dyDescent="0.2">
      <c r="B1985" s="2069"/>
      <c r="C1985" s="2069"/>
      <c r="D1985" s="2069"/>
      <c r="E1985" s="2069"/>
      <c r="F1985" s="2069"/>
      <c r="G1985" s="2069"/>
      <c r="H1985" s="2069"/>
      <c r="I1985"/>
      <c r="J1985"/>
      <c r="K1985"/>
    </row>
    <row r="1986" spans="2:11" x14ac:dyDescent="0.2">
      <c r="B1986" s="2069"/>
      <c r="C1986" s="2069"/>
      <c r="D1986" s="2069"/>
      <c r="E1986" s="2069"/>
      <c r="F1986" s="2069"/>
      <c r="G1986" s="2069"/>
      <c r="H1986" s="2069"/>
      <c r="I1986"/>
      <c r="J1986"/>
      <c r="K1986"/>
    </row>
    <row r="1987" spans="2:11" x14ac:dyDescent="0.2">
      <c r="B1987" s="2069"/>
      <c r="C1987" s="2069"/>
      <c r="D1987" s="2069"/>
      <c r="E1987" s="2069"/>
      <c r="F1987" s="2069"/>
      <c r="G1987" s="2069"/>
      <c r="H1987" s="2069"/>
      <c r="I1987"/>
      <c r="J1987"/>
      <c r="K1987"/>
    </row>
    <row r="1988" spans="2:11" x14ac:dyDescent="0.2">
      <c r="B1988" s="2069"/>
      <c r="C1988" s="2069"/>
      <c r="D1988" s="2069"/>
      <c r="E1988" s="2069"/>
      <c r="F1988" s="2069"/>
      <c r="G1988" s="2069"/>
      <c r="H1988" s="2069"/>
      <c r="I1988"/>
      <c r="J1988"/>
      <c r="K1988"/>
    </row>
    <row r="1989" spans="2:11" x14ac:dyDescent="0.2">
      <c r="B1989" s="2069"/>
      <c r="C1989" s="2069"/>
      <c r="D1989" s="2069"/>
      <c r="E1989" s="2069"/>
      <c r="F1989" s="2069"/>
      <c r="G1989" s="2069"/>
      <c r="H1989" s="2069"/>
      <c r="I1989"/>
      <c r="J1989"/>
      <c r="K1989"/>
    </row>
    <row r="1990" spans="2:11" x14ac:dyDescent="0.2">
      <c r="B1990" s="2069"/>
      <c r="C1990" s="2069"/>
      <c r="D1990" s="2069"/>
      <c r="E1990" s="2069"/>
      <c r="F1990" s="2069"/>
      <c r="G1990" s="2069"/>
      <c r="H1990" s="2069"/>
      <c r="I1990"/>
      <c r="J1990"/>
      <c r="K1990"/>
    </row>
    <row r="1991" spans="2:11" x14ac:dyDescent="0.2">
      <c r="B1991" s="2069"/>
      <c r="C1991" s="2069"/>
      <c r="D1991" s="2069"/>
      <c r="E1991" s="2069"/>
      <c r="F1991" s="2069"/>
      <c r="G1991" s="2069"/>
      <c r="H1991" s="2069"/>
      <c r="I1991"/>
      <c r="J1991"/>
      <c r="K1991"/>
    </row>
    <row r="1992" spans="2:11" x14ac:dyDescent="0.2">
      <c r="B1992" s="2069"/>
      <c r="C1992" s="2069"/>
      <c r="D1992" s="2069"/>
      <c r="E1992" s="2069"/>
      <c r="F1992" s="2069"/>
      <c r="G1992" s="2069"/>
      <c r="H1992" s="2069"/>
      <c r="I1992"/>
      <c r="J1992"/>
      <c r="K1992"/>
    </row>
    <row r="1993" spans="2:11" x14ac:dyDescent="0.2">
      <c r="B1993" s="2069"/>
      <c r="C1993" s="2069"/>
      <c r="D1993" s="2069"/>
      <c r="E1993" s="2069"/>
      <c r="F1993" s="2069"/>
      <c r="G1993" s="2069"/>
      <c r="H1993" s="2069"/>
      <c r="I1993"/>
      <c r="J1993"/>
      <c r="K1993"/>
    </row>
    <row r="1994" spans="2:11" x14ac:dyDescent="0.2">
      <c r="B1994" s="2069"/>
      <c r="C1994" s="2069"/>
      <c r="D1994" s="2069"/>
      <c r="E1994" s="2069"/>
      <c r="F1994" s="2069"/>
      <c r="G1994" s="2069"/>
      <c r="H1994" s="2069"/>
      <c r="I1994"/>
      <c r="J1994"/>
      <c r="K1994"/>
    </row>
    <row r="1995" spans="2:11" x14ac:dyDescent="0.2">
      <c r="B1995" s="2069"/>
      <c r="C1995" s="2069"/>
      <c r="D1995" s="2069"/>
      <c r="E1995" s="2069"/>
      <c r="F1995" s="2069"/>
      <c r="G1995" s="2069"/>
      <c r="H1995" s="2069"/>
      <c r="I1995"/>
      <c r="J1995"/>
      <c r="K1995"/>
    </row>
    <row r="1996" spans="2:11" x14ac:dyDescent="0.2">
      <c r="B1996" s="2069"/>
      <c r="C1996" s="2069"/>
      <c r="D1996" s="2069"/>
      <c r="E1996" s="2069"/>
      <c r="F1996" s="2069"/>
      <c r="G1996" s="2069"/>
      <c r="H1996" s="2069"/>
      <c r="I1996"/>
      <c r="J1996"/>
      <c r="K1996"/>
    </row>
    <row r="1997" spans="2:11" x14ac:dyDescent="0.2">
      <c r="B1997" s="2069"/>
      <c r="C1997" s="2069"/>
      <c r="D1997" s="2069"/>
      <c r="E1997" s="2069"/>
      <c r="F1997" s="2069"/>
      <c r="G1997" s="2069"/>
      <c r="H1997" s="2069"/>
      <c r="I1997"/>
      <c r="J1997"/>
      <c r="K1997"/>
    </row>
    <row r="1998" spans="2:11" x14ac:dyDescent="0.2">
      <c r="B1998" s="2069"/>
      <c r="C1998" s="2069"/>
      <c r="D1998" s="2069"/>
      <c r="E1998" s="2069"/>
      <c r="F1998" s="2069"/>
      <c r="G1998" s="2069"/>
      <c r="H1998" s="2069"/>
      <c r="I1998"/>
      <c r="J1998"/>
      <c r="K1998"/>
    </row>
    <row r="1999" spans="2:11" x14ac:dyDescent="0.2">
      <c r="B1999" s="2069"/>
      <c r="C1999" s="2069"/>
      <c r="D1999" s="2069"/>
      <c r="E1999" s="2069"/>
      <c r="F1999" s="2069"/>
      <c r="G1999" s="2069"/>
      <c r="H1999" s="2069"/>
      <c r="I1999"/>
      <c r="J1999"/>
      <c r="K1999"/>
    </row>
    <row r="2000" spans="2:11" x14ac:dyDescent="0.2">
      <c r="B2000" s="2069"/>
      <c r="C2000" s="2069"/>
      <c r="D2000" s="2069"/>
      <c r="E2000" s="2069"/>
      <c r="F2000" s="2069"/>
      <c r="G2000" s="2069"/>
      <c r="H2000" s="2069"/>
      <c r="I2000"/>
      <c r="J2000"/>
      <c r="K2000"/>
    </row>
    <row r="2001" spans="2:11" x14ac:dyDescent="0.2">
      <c r="B2001" s="2069"/>
      <c r="C2001" s="2069"/>
      <c r="D2001" s="2069"/>
      <c r="E2001" s="2069"/>
      <c r="F2001" s="2069"/>
      <c r="G2001" s="2069"/>
      <c r="H2001" s="2069"/>
      <c r="I2001"/>
      <c r="J2001"/>
      <c r="K2001"/>
    </row>
    <row r="2002" spans="2:11" x14ac:dyDescent="0.2">
      <c r="B2002" s="2069"/>
      <c r="C2002" s="2069"/>
      <c r="D2002" s="2069"/>
      <c r="E2002" s="2069"/>
      <c r="F2002" s="2069"/>
      <c r="G2002" s="2069"/>
      <c r="H2002" s="2069"/>
      <c r="I2002"/>
      <c r="J2002"/>
      <c r="K2002"/>
    </row>
    <row r="2003" spans="2:11" x14ac:dyDescent="0.2">
      <c r="B2003" s="2069"/>
      <c r="C2003" s="2069"/>
      <c r="D2003" s="2069"/>
      <c r="E2003" s="2069"/>
      <c r="F2003" s="2069"/>
      <c r="G2003" s="2069"/>
      <c r="H2003" s="2069"/>
      <c r="I2003"/>
      <c r="J2003"/>
      <c r="K2003"/>
    </row>
    <row r="2004" spans="2:11" x14ac:dyDescent="0.2">
      <c r="B2004" s="2069"/>
      <c r="C2004" s="2069"/>
      <c r="D2004" s="2069"/>
      <c r="E2004" s="2069"/>
      <c r="F2004" s="2069"/>
      <c r="G2004" s="2069"/>
      <c r="H2004" s="2069"/>
      <c r="I2004"/>
      <c r="J2004"/>
      <c r="K2004"/>
    </row>
    <row r="2005" spans="2:11" x14ac:dyDescent="0.2">
      <c r="B2005" s="2069"/>
      <c r="C2005" s="2069"/>
      <c r="D2005" s="2069"/>
      <c r="E2005" s="2069"/>
      <c r="F2005" s="2069"/>
      <c r="G2005" s="2069"/>
      <c r="H2005" s="2069"/>
      <c r="I2005"/>
      <c r="J2005"/>
      <c r="K2005"/>
    </row>
    <row r="2006" spans="2:11" x14ac:dyDescent="0.2">
      <c r="B2006" s="2069"/>
      <c r="C2006" s="2069"/>
      <c r="D2006" s="2069"/>
      <c r="E2006" s="2069"/>
      <c r="F2006" s="2069"/>
      <c r="G2006" s="2069"/>
      <c r="H2006" s="2069"/>
      <c r="I2006"/>
      <c r="J2006"/>
      <c r="K2006"/>
    </row>
    <row r="2007" spans="2:11" x14ac:dyDescent="0.2">
      <c r="B2007" s="2069"/>
      <c r="C2007" s="2069"/>
      <c r="D2007" s="2069"/>
      <c r="E2007" s="2069"/>
      <c r="F2007" s="2069"/>
      <c r="G2007" s="2069"/>
      <c r="H2007" s="2069"/>
      <c r="I2007"/>
      <c r="J2007"/>
      <c r="K2007"/>
    </row>
    <row r="2008" spans="2:11" x14ac:dyDescent="0.2">
      <c r="B2008" s="2069"/>
      <c r="C2008" s="2069"/>
      <c r="D2008" s="2069"/>
      <c r="E2008" s="2069"/>
      <c r="F2008" s="2069"/>
      <c r="G2008" s="2069"/>
      <c r="H2008" s="2069"/>
      <c r="I2008"/>
      <c r="J2008"/>
      <c r="K2008"/>
    </row>
    <row r="2009" spans="2:11" x14ac:dyDescent="0.2">
      <c r="B2009" s="2069"/>
      <c r="C2009" s="2069"/>
      <c r="D2009" s="2069"/>
      <c r="E2009" s="2069"/>
      <c r="F2009" s="2069"/>
      <c r="G2009" s="2069"/>
      <c r="H2009" s="2069"/>
      <c r="I2009"/>
      <c r="J2009"/>
      <c r="K2009"/>
    </row>
    <row r="2010" spans="2:11" x14ac:dyDescent="0.2">
      <c r="B2010" s="2069"/>
      <c r="C2010" s="2069"/>
      <c r="D2010" s="2069"/>
      <c r="E2010" s="2069"/>
      <c r="F2010" s="2069"/>
      <c r="G2010" s="2069"/>
      <c r="H2010" s="2069"/>
      <c r="I2010"/>
      <c r="J2010"/>
      <c r="K2010"/>
    </row>
    <row r="2011" spans="2:11" x14ac:dyDescent="0.2">
      <c r="B2011" s="2069"/>
      <c r="C2011" s="2069"/>
      <c r="D2011" s="2069"/>
      <c r="E2011" s="2069"/>
      <c r="F2011" s="2069"/>
      <c r="G2011" s="2069"/>
      <c r="H2011" s="2069"/>
      <c r="I2011"/>
      <c r="J2011"/>
      <c r="K2011"/>
    </row>
    <row r="2012" spans="2:11" x14ac:dyDescent="0.2">
      <c r="B2012" s="2069"/>
      <c r="C2012" s="2069"/>
      <c r="D2012" s="2069"/>
      <c r="E2012" s="2069"/>
      <c r="F2012" s="2069"/>
      <c r="G2012" s="2069"/>
      <c r="H2012" s="2069"/>
      <c r="I2012"/>
      <c r="J2012"/>
      <c r="K2012"/>
    </row>
    <row r="2013" spans="2:11" x14ac:dyDescent="0.2">
      <c r="B2013" s="2069"/>
      <c r="C2013" s="2069"/>
      <c r="D2013" s="2069"/>
      <c r="E2013" s="2069"/>
      <c r="F2013" s="2069"/>
      <c r="G2013" s="2069"/>
      <c r="H2013" s="2069"/>
      <c r="I2013"/>
      <c r="J2013"/>
      <c r="K2013"/>
    </row>
    <row r="2014" spans="2:11" x14ac:dyDescent="0.2">
      <c r="B2014" s="2069"/>
      <c r="C2014" s="2069"/>
      <c r="D2014" s="2069"/>
      <c r="E2014" s="2069"/>
      <c r="F2014" s="2069"/>
      <c r="G2014" s="2069"/>
      <c r="H2014" s="2069"/>
      <c r="I2014"/>
      <c r="J2014"/>
      <c r="K2014"/>
    </row>
    <row r="2015" spans="2:11" x14ac:dyDescent="0.2">
      <c r="B2015" s="2069"/>
      <c r="C2015" s="2069"/>
      <c r="D2015" s="2069"/>
      <c r="E2015" s="2069"/>
      <c r="F2015" s="2069"/>
      <c r="G2015" s="2069"/>
      <c r="H2015" s="2069"/>
      <c r="I2015"/>
      <c r="J2015"/>
      <c r="K2015"/>
    </row>
    <row r="2016" spans="2:11" x14ac:dyDescent="0.2">
      <c r="B2016" s="2069"/>
      <c r="C2016" s="2069"/>
      <c r="D2016" s="2069"/>
      <c r="E2016" s="2069"/>
      <c r="F2016" s="2069"/>
      <c r="G2016" s="2069"/>
      <c r="H2016" s="2069"/>
      <c r="I2016"/>
      <c r="J2016"/>
      <c r="K2016"/>
    </row>
    <row r="2017" spans="2:11" x14ac:dyDescent="0.2">
      <c r="B2017" s="2069"/>
      <c r="C2017" s="2069"/>
      <c r="D2017" s="2069"/>
      <c r="E2017" s="2069"/>
      <c r="F2017" s="2069"/>
      <c r="G2017" s="2069"/>
      <c r="H2017" s="2069"/>
      <c r="I2017"/>
      <c r="J2017"/>
      <c r="K2017"/>
    </row>
    <row r="2018" spans="2:11" x14ac:dyDescent="0.2">
      <c r="B2018" s="2069"/>
      <c r="C2018" s="2069"/>
      <c r="D2018" s="2069"/>
      <c r="E2018" s="2069"/>
      <c r="F2018" s="2069"/>
      <c r="G2018" s="2069"/>
      <c r="H2018" s="2069"/>
      <c r="I2018"/>
      <c r="J2018"/>
      <c r="K2018"/>
    </row>
    <row r="2019" spans="2:11" x14ac:dyDescent="0.2">
      <c r="B2019" s="2069"/>
      <c r="C2019" s="2069"/>
      <c r="D2019" s="2069"/>
      <c r="E2019" s="2069"/>
      <c r="F2019" s="2069"/>
      <c r="G2019" s="2069"/>
      <c r="H2019" s="2069"/>
      <c r="I2019"/>
      <c r="J2019"/>
      <c r="K2019"/>
    </row>
    <row r="2020" spans="2:11" x14ac:dyDescent="0.2">
      <c r="B2020" s="2069"/>
      <c r="C2020" s="2069"/>
      <c r="D2020" s="2069"/>
      <c r="E2020" s="2069"/>
      <c r="F2020" s="2069"/>
      <c r="G2020" s="2069"/>
      <c r="H2020" s="2069"/>
      <c r="I2020"/>
      <c r="J2020"/>
      <c r="K2020"/>
    </row>
    <row r="2021" spans="2:11" x14ac:dyDescent="0.2">
      <c r="B2021" s="2069"/>
      <c r="C2021" s="2069"/>
      <c r="D2021" s="2069"/>
      <c r="E2021" s="2069"/>
      <c r="F2021" s="2069"/>
      <c r="G2021" s="2069"/>
      <c r="H2021" s="2069"/>
      <c r="I2021"/>
      <c r="J2021"/>
      <c r="K2021"/>
    </row>
    <row r="2022" spans="2:11" x14ac:dyDescent="0.2">
      <c r="B2022" s="2069"/>
      <c r="C2022" s="2069"/>
      <c r="D2022" s="2069"/>
      <c r="E2022" s="2069"/>
      <c r="F2022" s="2069"/>
      <c r="G2022" s="2069"/>
      <c r="H2022" s="2069"/>
      <c r="I2022"/>
      <c r="J2022"/>
      <c r="K2022"/>
    </row>
    <row r="2023" spans="2:11" x14ac:dyDescent="0.2">
      <c r="B2023" s="2069"/>
      <c r="C2023" s="2069"/>
      <c r="D2023" s="2069"/>
      <c r="E2023" s="2069"/>
      <c r="F2023" s="2069"/>
      <c r="G2023" s="2069"/>
      <c r="H2023" s="2069"/>
      <c r="I2023"/>
      <c r="J2023"/>
      <c r="K2023"/>
    </row>
    <row r="2024" spans="2:11" x14ac:dyDescent="0.2">
      <c r="B2024" s="2069"/>
      <c r="C2024" s="2069"/>
      <c r="D2024" s="2069"/>
      <c r="E2024" s="2069"/>
      <c r="F2024" s="2069"/>
      <c r="G2024" s="2069"/>
      <c r="H2024" s="2069"/>
      <c r="I2024"/>
      <c r="J2024"/>
      <c r="K2024"/>
    </row>
    <row r="2025" spans="2:11" x14ac:dyDescent="0.2">
      <c r="B2025" s="2069"/>
      <c r="C2025" s="2069"/>
      <c r="D2025" s="2069"/>
      <c r="E2025" s="2069"/>
      <c r="F2025" s="2069"/>
      <c r="G2025" s="2069"/>
      <c r="H2025" s="2069"/>
      <c r="I2025"/>
      <c r="J2025"/>
      <c r="K2025"/>
    </row>
    <row r="2026" spans="2:11" x14ac:dyDescent="0.2">
      <c r="B2026" s="2069"/>
      <c r="C2026" s="2069"/>
      <c r="D2026" s="2069"/>
      <c r="E2026" s="2069"/>
      <c r="F2026" s="2069"/>
      <c r="G2026" s="2069"/>
      <c r="H2026" s="2069"/>
      <c r="I2026"/>
      <c r="J2026"/>
      <c r="K2026"/>
    </row>
    <row r="2027" spans="2:11" x14ac:dyDescent="0.2">
      <c r="B2027" s="2069"/>
      <c r="C2027" s="2069"/>
      <c r="D2027" s="2069"/>
      <c r="E2027" s="2069"/>
      <c r="F2027" s="2069"/>
      <c r="G2027" s="2069"/>
      <c r="H2027" s="2069"/>
      <c r="I2027"/>
      <c r="J2027"/>
      <c r="K2027"/>
    </row>
    <row r="2028" spans="2:11" x14ac:dyDescent="0.2">
      <c r="B2028" s="2069"/>
      <c r="C2028" s="2069"/>
      <c r="D2028" s="2069"/>
      <c r="E2028" s="2069"/>
      <c r="F2028" s="2069"/>
      <c r="G2028" s="2069"/>
      <c r="H2028" s="2069"/>
      <c r="I2028"/>
      <c r="J2028"/>
      <c r="K2028"/>
    </row>
    <row r="2029" spans="2:11" x14ac:dyDescent="0.2">
      <c r="B2029" s="2069"/>
      <c r="C2029" s="2069"/>
      <c r="D2029" s="2069"/>
      <c r="E2029" s="2069"/>
      <c r="F2029" s="2069"/>
      <c r="G2029" s="2069"/>
      <c r="H2029" s="2069"/>
      <c r="I2029"/>
      <c r="J2029"/>
      <c r="K2029"/>
    </row>
    <row r="2030" spans="2:11" x14ac:dyDescent="0.2">
      <c r="B2030" s="2069"/>
      <c r="C2030" s="2069"/>
      <c r="D2030" s="2069"/>
      <c r="E2030" s="2069"/>
      <c r="F2030" s="2069"/>
      <c r="G2030" s="2069"/>
      <c r="H2030" s="2069"/>
      <c r="I2030"/>
      <c r="J2030"/>
      <c r="K2030"/>
    </row>
    <row r="2031" spans="2:11" x14ac:dyDescent="0.2">
      <c r="B2031" s="2069"/>
      <c r="C2031" s="2069"/>
      <c r="D2031" s="2069"/>
      <c r="E2031" s="2069"/>
      <c r="F2031" s="2069"/>
      <c r="G2031" s="2069"/>
      <c r="H2031" s="2069"/>
      <c r="I2031"/>
      <c r="J2031"/>
      <c r="K2031"/>
    </row>
    <row r="2032" spans="2:11" x14ac:dyDescent="0.2">
      <c r="B2032" s="2069"/>
      <c r="C2032" s="2069"/>
      <c r="D2032" s="2069"/>
      <c r="E2032" s="2069"/>
      <c r="F2032" s="2069"/>
      <c r="G2032" s="2069"/>
      <c r="H2032" s="2069"/>
      <c r="I2032"/>
      <c r="J2032"/>
      <c r="K2032"/>
    </row>
    <row r="2033" spans="2:11" x14ac:dyDescent="0.2">
      <c r="B2033" s="2069"/>
      <c r="C2033" s="2069"/>
      <c r="D2033" s="2069"/>
      <c r="E2033" s="2069"/>
      <c r="F2033" s="2069"/>
      <c r="G2033" s="2069"/>
      <c r="H2033" s="2069"/>
      <c r="I2033"/>
      <c r="J2033"/>
      <c r="K2033"/>
    </row>
    <row r="2034" spans="2:11" x14ac:dyDescent="0.2">
      <c r="B2034" s="2069"/>
      <c r="C2034" s="2069"/>
      <c r="D2034" s="2069"/>
      <c r="E2034" s="2069"/>
      <c r="F2034" s="2069"/>
      <c r="G2034" s="2069"/>
      <c r="H2034" s="2069"/>
      <c r="I2034"/>
      <c r="J2034"/>
      <c r="K2034"/>
    </row>
    <row r="2035" spans="2:11" x14ac:dyDescent="0.2">
      <c r="B2035" s="2069"/>
      <c r="C2035" s="2069"/>
      <c r="D2035" s="2069"/>
      <c r="E2035" s="2069"/>
      <c r="F2035" s="2069"/>
      <c r="G2035" s="2069"/>
      <c r="H2035" s="2069"/>
      <c r="I2035"/>
      <c r="J2035"/>
      <c r="K2035"/>
    </row>
    <row r="2036" spans="2:11" x14ac:dyDescent="0.2">
      <c r="B2036" s="2069"/>
      <c r="C2036" s="2069"/>
      <c r="D2036" s="2069"/>
      <c r="E2036" s="2069"/>
      <c r="F2036" s="2069"/>
      <c r="G2036" s="2069"/>
      <c r="H2036" s="2069"/>
      <c r="I2036"/>
      <c r="J2036"/>
      <c r="K2036"/>
    </row>
    <row r="2037" spans="2:11" x14ac:dyDescent="0.2">
      <c r="B2037" s="2069"/>
      <c r="C2037" s="2069"/>
      <c r="D2037" s="2069"/>
      <c r="E2037" s="2069"/>
      <c r="F2037" s="2069"/>
      <c r="G2037" s="2069"/>
      <c r="H2037" s="2069"/>
      <c r="I2037"/>
      <c r="J2037"/>
      <c r="K2037"/>
    </row>
    <row r="2038" spans="2:11" x14ac:dyDescent="0.2">
      <c r="B2038" s="2069"/>
      <c r="C2038" s="2069"/>
      <c r="D2038" s="2069"/>
      <c r="E2038" s="2069"/>
      <c r="F2038" s="2069"/>
      <c r="G2038" s="2069"/>
      <c r="H2038" s="2069"/>
      <c r="I2038"/>
      <c r="J2038"/>
      <c r="K2038"/>
    </row>
    <row r="2039" spans="2:11" x14ac:dyDescent="0.2">
      <c r="B2039" s="2069"/>
      <c r="C2039" s="2069"/>
      <c r="D2039" s="2069"/>
      <c r="E2039" s="2069"/>
      <c r="F2039" s="2069"/>
      <c r="G2039" s="2069"/>
      <c r="H2039" s="2069"/>
      <c r="I2039"/>
      <c r="J2039"/>
      <c r="K2039"/>
    </row>
    <row r="2040" spans="2:11" x14ac:dyDescent="0.2">
      <c r="B2040" s="2069"/>
      <c r="C2040" s="2069"/>
      <c r="D2040" s="2069"/>
      <c r="E2040" s="2069"/>
      <c r="F2040" s="2069"/>
      <c r="G2040" s="2069"/>
      <c r="H2040" s="2069"/>
      <c r="I2040"/>
      <c r="J2040"/>
      <c r="K2040"/>
    </row>
    <row r="2041" spans="2:11" x14ac:dyDescent="0.2">
      <c r="B2041" s="2069"/>
      <c r="C2041" s="2069"/>
      <c r="D2041" s="2069"/>
      <c r="E2041" s="2069"/>
      <c r="F2041" s="2069"/>
      <c r="G2041" s="2069"/>
      <c r="H2041" s="2069"/>
      <c r="I2041"/>
      <c r="J2041"/>
      <c r="K2041"/>
    </row>
    <row r="2042" spans="2:11" x14ac:dyDescent="0.2">
      <c r="B2042" s="2069"/>
      <c r="C2042" s="2069"/>
      <c r="D2042" s="2069"/>
      <c r="E2042" s="2069"/>
      <c r="F2042" s="2069"/>
      <c r="G2042" s="2069"/>
      <c r="H2042" s="2069"/>
      <c r="I2042"/>
      <c r="J2042"/>
      <c r="K2042"/>
    </row>
    <row r="2043" spans="2:11" x14ac:dyDescent="0.2">
      <c r="B2043" s="2069"/>
      <c r="C2043" s="2069"/>
      <c r="D2043" s="2069"/>
      <c r="E2043" s="2069"/>
      <c r="F2043" s="2069"/>
      <c r="G2043" s="2069"/>
      <c r="H2043" s="2069"/>
      <c r="I2043"/>
      <c r="J2043"/>
      <c r="K2043"/>
    </row>
    <row r="2044" spans="2:11" x14ac:dyDescent="0.2">
      <c r="B2044" s="2069"/>
      <c r="C2044" s="2069"/>
      <c r="D2044" s="2069"/>
      <c r="E2044" s="2069"/>
      <c r="F2044" s="2069"/>
      <c r="G2044" s="2069"/>
      <c r="H2044" s="2069"/>
      <c r="I2044"/>
      <c r="J2044"/>
      <c r="K2044"/>
    </row>
    <row r="2045" spans="2:11" x14ac:dyDescent="0.2">
      <c r="B2045" s="2069"/>
      <c r="C2045" s="2069"/>
      <c r="D2045" s="2069"/>
      <c r="E2045" s="2069"/>
      <c r="F2045" s="2069"/>
      <c r="G2045" s="2069"/>
      <c r="H2045" s="2069"/>
      <c r="I2045"/>
      <c r="J2045"/>
      <c r="K2045"/>
    </row>
    <row r="2046" spans="2:11" x14ac:dyDescent="0.2">
      <c r="B2046" s="2069"/>
      <c r="C2046" s="2069"/>
      <c r="D2046" s="2069"/>
      <c r="E2046" s="2069"/>
      <c r="F2046" s="2069"/>
      <c r="G2046" s="2069"/>
      <c r="H2046" s="2069"/>
      <c r="I2046"/>
      <c r="J2046"/>
      <c r="K2046"/>
    </row>
    <row r="2047" spans="2:11" x14ac:dyDescent="0.2">
      <c r="B2047" s="2069"/>
      <c r="C2047" s="2069"/>
      <c r="D2047" s="2069"/>
      <c r="E2047" s="2069"/>
      <c r="F2047" s="2069"/>
      <c r="G2047" s="2069"/>
      <c r="H2047" s="2069"/>
      <c r="I2047"/>
      <c r="J2047"/>
      <c r="K2047"/>
    </row>
    <row r="2048" spans="2:11" x14ac:dyDescent="0.2">
      <c r="B2048" s="2069"/>
      <c r="C2048" s="2069"/>
      <c r="D2048" s="2069"/>
      <c r="E2048" s="2069"/>
      <c r="F2048" s="2069"/>
      <c r="G2048" s="2069"/>
      <c r="H2048" s="2069"/>
      <c r="I2048"/>
      <c r="J2048"/>
      <c r="K2048"/>
    </row>
    <row r="2049" spans="2:11" x14ac:dyDescent="0.2">
      <c r="B2049" s="2069"/>
      <c r="C2049" s="2069"/>
      <c r="D2049" s="2069"/>
      <c r="E2049" s="2069"/>
      <c r="F2049" s="2069"/>
      <c r="G2049" s="2069"/>
      <c r="H2049" s="2069"/>
      <c r="I2049"/>
      <c r="J2049"/>
      <c r="K2049"/>
    </row>
    <row r="2050" spans="2:11" x14ac:dyDescent="0.2">
      <c r="B2050" s="2069"/>
      <c r="C2050" s="2069"/>
      <c r="D2050" s="2069"/>
      <c r="E2050" s="2069"/>
      <c r="F2050" s="2069"/>
      <c r="G2050" s="2069"/>
      <c r="H2050" s="2069"/>
      <c r="I2050"/>
      <c r="J2050"/>
      <c r="K2050"/>
    </row>
    <row r="2051" spans="2:11" x14ac:dyDescent="0.2">
      <c r="B2051" s="2069"/>
      <c r="C2051" s="2069"/>
      <c r="D2051" s="2069"/>
      <c r="E2051" s="2069"/>
      <c r="F2051" s="2069"/>
      <c r="G2051" s="2069"/>
      <c r="H2051" s="2069"/>
      <c r="I2051"/>
      <c r="J2051"/>
      <c r="K2051"/>
    </row>
    <row r="2052" spans="2:11" x14ac:dyDescent="0.2">
      <c r="B2052" s="2069"/>
      <c r="C2052" s="2069"/>
      <c r="D2052" s="2069"/>
      <c r="E2052" s="2069"/>
      <c r="F2052" s="2069"/>
      <c r="G2052" s="2069"/>
      <c r="H2052" s="2069"/>
      <c r="I2052"/>
      <c r="J2052"/>
      <c r="K2052"/>
    </row>
    <row r="2053" spans="2:11" x14ac:dyDescent="0.2">
      <c r="B2053" s="2069"/>
      <c r="C2053" s="2069"/>
      <c r="D2053" s="2069"/>
      <c r="E2053" s="2069"/>
      <c r="F2053" s="2069"/>
      <c r="G2053" s="2069"/>
      <c r="H2053" s="2069"/>
      <c r="I2053"/>
      <c r="J2053"/>
      <c r="K2053"/>
    </row>
    <row r="2054" spans="2:11" x14ac:dyDescent="0.2">
      <c r="B2054" s="2069"/>
      <c r="C2054" s="2069"/>
      <c r="D2054" s="2069"/>
      <c r="E2054" s="2069"/>
      <c r="F2054" s="2069"/>
      <c r="G2054" s="2069"/>
      <c r="H2054" s="2069"/>
      <c r="I2054"/>
      <c r="J2054"/>
      <c r="K2054"/>
    </row>
    <row r="2055" spans="2:11" x14ac:dyDescent="0.2">
      <c r="B2055" s="2069"/>
      <c r="C2055" s="2069"/>
      <c r="D2055" s="2069"/>
      <c r="E2055" s="2069"/>
      <c r="F2055" s="2069"/>
      <c r="G2055" s="2069"/>
      <c r="H2055" s="2069"/>
      <c r="I2055"/>
      <c r="J2055"/>
      <c r="K2055"/>
    </row>
    <row r="2056" spans="2:11" x14ac:dyDescent="0.2">
      <c r="B2056" s="2069"/>
      <c r="C2056" s="2069"/>
      <c r="D2056" s="2069"/>
      <c r="E2056" s="2069"/>
      <c r="F2056" s="2069"/>
      <c r="G2056" s="2069"/>
      <c r="H2056" s="2069"/>
      <c r="I2056"/>
      <c r="J2056"/>
      <c r="K2056"/>
    </row>
    <row r="2057" spans="2:11" x14ac:dyDescent="0.2">
      <c r="B2057" s="2069"/>
      <c r="C2057" s="2069"/>
      <c r="D2057" s="2069"/>
      <c r="E2057" s="2069"/>
      <c r="F2057" s="2069"/>
      <c r="G2057" s="2069"/>
      <c r="H2057" s="2069"/>
      <c r="I2057"/>
      <c r="J2057"/>
      <c r="K2057"/>
    </row>
    <row r="2058" spans="2:11" x14ac:dyDescent="0.2">
      <c r="B2058" s="2069"/>
      <c r="C2058" s="2069"/>
      <c r="D2058" s="2069"/>
      <c r="E2058" s="2069"/>
      <c r="F2058" s="2069"/>
      <c r="G2058" s="2069"/>
      <c r="H2058" s="2069"/>
      <c r="I2058"/>
      <c r="J2058"/>
      <c r="K2058"/>
    </row>
    <row r="2059" spans="2:11" x14ac:dyDescent="0.2">
      <c r="B2059" s="2069"/>
      <c r="C2059" s="2069"/>
      <c r="D2059" s="2069"/>
      <c r="E2059" s="2069"/>
      <c r="F2059" s="2069"/>
      <c r="G2059" s="2069"/>
      <c r="H2059" s="2069"/>
      <c r="I2059"/>
      <c r="J2059"/>
      <c r="K2059"/>
    </row>
    <row r="2060" spans="2:11" x14ac:dyDescent="0.2">
      <c r="B2060" s="2069"/>
      <c r="C2060" s="2069"/>
      <c r="D2060" s="2069"/>
      <c r="E2060" s="2069"/>
      <c r="F2060" s="2069"/>
      <c r="G2060" s="2069"/>
      <c r="H2060" s="2069"/>
      <c r="I2060"/>
      <c r="J2060"/>
      <c r="K2060"/>
    </row>
    <row r="2061" spans="2:11" x14ac:dyDescent="0.2">
      <c r="B2061" s="2069"/>
      <c r="C2061" s="2069"/>
      <c r="D2061" s="2069"/>
      <c r="E2061" s="2069"/>
      <c r="F2061" s="2069"/>
      <c r="G2061" s="2069"/>
      <c r="H2061" s="2069"/>
      <c r="I2061"/>
      <c r="J2061"/>
      <c r="K2061"/>
    </row>
    <row r="2062" spans="2:11" x14ac:dyDescent="0.2">
      <c r="B2062" s="2069"/>
      <c r="C2062" s="2069"/>
      <c r="D2062" s="2069"/>
      <c r="E2062" s="2069"/>
      <c r="F2062" s="2069"/>
      <c r="G2062" s="2069"/>
      <c r="H2062" s="2069"/>
      <c r="I2062"/>
      <c r="J2062"/>
      <c r="K2062"/>
    </row>
    <row r="2063" spans="2:11" x14ac:dyDescent="0.2">
      <c r="B2063" s="2069"/>
      <c r="C2063" s="2069"/>
      <c r="D2063" s="2069"/>
      <c r="E2063" s="2069"/>
      <c r="F2063" s="2069"/>
      <c r="G2063" s="2069"/>
      <c r="H2063" s="2069"/>
      <c r="I2063"/>
      <c r="J2063"/>
      <c r="K2063"/>
    </row>
    <row r="2064" spans="2:11" x14ac:dyDescent="0.2">
      <c r="B2064" s="2069"/>
      <c r="C2064" s="2069"/>
      <c r="D2064" s="2069"/>
      <c r="E2064" s="2069"/>
      <c r="F2064" s="2069"/>
      <c r="G2064" s="2069"/>
      <c r="H2064" s="2069"/>
      <c r="I2064"/>
      <c r="J2064"/>
      <c r="K2064"/>
    </row>
    <row r="2065" spans="2:11" x14ac:dyDescent="0.2">
      <c r="B2065" s="2069"/>
      <c r="C2065" s="2069"/>
      <c r="D2065" s="2069"/>
      <c r="E2065" s="2069"/>
      <c r="F2065" s="2069"/>
      <c r="G2065" s="2069"/>
      <c r="H2065" s="2069"/>
      <c r="I2065"/>
      <c r="J2065"/>
      <c r="K2065"/>
    </row>
    <row r="2066" spans="2:11" x14ac:dyDescent="0.2">
      <c r="B2066" s="2069"/>
      <c r="C2066" s="2069"/>
      <c r="D2066" s="2069"/>
      <c r="E2066" s="2069"/>
      <c r="F2066" s="2069"/>
      <c r="G2066" s="2069"/>
      <c r="H2066" s="2069"/>
      <c r="I2066"/>
      <c r="J2066"/>
      <c r="K2066"/>
    </row>
    <row r="2067" spans="2:11" x14ac:dyDescent="0.2">
      <c r="B2067" s="2069"/>
      <c r="C2067" s="2069"/>
      <c r="D2067" s="2069"/>
      <c r="E2067" s="2069"/>
      <c r="F2067" s="2069"/>
      <c r="G2067" s="2069"/>
      <c r="H2067" s="2069"/>
      <c r="I2067"/>
      <c r="J2067"/>
      <c r="K2067"/>
    </row>
    <row r="2068" spans="2:11" x14ac:dyDescent="0.2">
      <c r="B2068" s="2069"/>
      <c r="C2068" s="2069"/>
      <c r="D2068" s="2069"/>
      <c r="E2068" s="2069"/>
      <c r="F2068" s="2069"/>
      <c r="G2068" s="2069"/>
      <c r="H2068" s="2069"/>
      <c r="I2068"/>
      <c r="J2068"/>
      <c r="K2068"/>
    </row>
    <row r="2069" spans="2:11" x14ac:dyDescent="0.2">
      <c r="B2069" s="2069"/>
      <c r="C2069" s="2069"/>
      <c r="D2069" s="2069"/>
      <c r="E2069" s="2069"/>
      <c r="F2069" s="2069"/>
      <c r="G2069" s="2069"/>
      <c r="H2069" s="2069"/>
      <c r="I2069"/>
      <c r="J2069"/>
      <c r="K2069"/>
    </row>
    <row r="2070" spans="2:11" x14ac:dyDescent="0.2">
      <c r="B2070" s="2069"/>
      <c r="C2070" s="2069"/>
      <c r="D2070" s="2069"/>
      <c r="E2070" s="2069"/>
      <c r="F2070" s="2069"/>
      <c r="G2070" s="2069"/>
      <c r="H2070" s="2069"/>
      <c r="I2070"/>
      <c r="J2070"/>
      <c r="K2070"/>
    </row>
    <row r="2071" spans="2:11" x14ac:dyDescent="0.2">
      <c r="B2071" s="2069"/>
      <c r="C2071" s="2069"/>
      <c r="D2071" s="2069"/>
      <c r="E2071" s="2069"/>
      <c r="F2071" s="2069"/>
      <c r="G2071" s="2069"/>
      <c r="H2071" s="2069"/>
      <c r="I2071"/>
      <c r="J2071"/>
      <c r="K2071"/>
    </row>
    <row r="2072" spans="2:11" x14ac:dyDescent="0.2">
      <c r="B2072" s="2069"/>
      <c r="C2072" s="2069"/>
      <c r="D2072" s="2069"/>
      <c r="E2072" s="2069"/>
      <c r="F2072" s="2069"/>
      <c r="G2072" s="2069"/>
      <c r="H2072" s="2069"/>
      <c r="I2072"/>
      <c r="J2072"/>
      <c r="K2072"/>
    </row>
    <row r="2073" spans="2:11" x14ac:dyDescent="0.2">
      <c r="B2073" s="2069"/>
      <c r="C2073" s="2069"/>
      <c r="D2073" s="2069"/>
      <c r="E2073" s="2069"/>
      <c r="F2073" s="2069"/>
      <c r="G2073" s="2069"/>
      <c r="H2073" s="2069"/>
      <c r="I2073"/>
      <c r="J2073"/>
      <c r="K2073"/>
    </row>
    <row r="2074" spans="2:11" x14ac:dyDescent="0.2">
      <c r="B2074" s="2069"/>
      <c r="C2074" s="2069"/>
      <c r="D2074" s="2069"/>
      <c r="E2074" s="2069"/>
      <c r="F2074" s="2069"/>
      <c r="G2074" s="2069"/>
      <c r="H2074" s="2069"/>
      <c r="I2074"/>
      <c r="J2074"/>
      <c r="K2074"/>
    </row>
    <row r="2075" spans="2:11" x14ac:dyDescent="0.2">
      <c r="B2075" s="2069"/>
      <c r="C2075" s="2069"/>
      <c r="D2075" s="2069"/>
      <c r="E2075" s="2069"/>
      <c r="F2075" s="2069"/>
      <c r="G2075" s="2069"/>
      <c r="H2075" s="2069"/>
      <c r="I2075"/>
      <c r="J2075"/>
      <c r="K2075"/>
    </row>
    <row r="2076" spans="2:11" x14ac:dyDescent="0.2">
      <c r="B2076" s="2069"/>
      <c r="C2076" s="2069"/>
      <c r="D2076" s="2069"/>
      <c r="E2076" s="2069"/>
      <c r="F2076" s="2069"/>
      <c r="G2076" s="2069"/>
      <c r="H2076" s="2069"/>
      <c r="I2076"/>
      <c r="J2076"/>
      <c r="K2076"/>
    </row>
    <row r="2077" spans="2:11" x14ac:dyDescent="0.2">
      <c r="B2077" s="2069"/>
      <c r="C2077" s="2069"/>
      <c r="D2077" s="2069"/>
      <c r="E2077" s="2069"/>
      <c r="F2077" s="2069"/>
      <c r="G2077" s="2069"/>
      <c r="H2077" s="2069"/>
      <c r="I2077"/>
      <c r="J2077"/>
      <c r="K2077"/>
    </row>
    <row r="2078" spans="2:11" x14ac:dyDescent="0.2">
      <c r="B2078" s="2069"/>
      <c r="C2078" s="2069"/>
      <c r="D2078" s="2069"/>
      <c r="E2078" s="2069"/>
      <c r="F2078" s="2069"/>
      <c r="G2078" s="2069"/>
      <c r="H2078" s="2069"/>
      <c r="I2078"/>
      <c r="J2078"/>
      <c r="K2078"/>
    </row>
    <row r="2079" spans="2:11" x14ac:dyDescent="0.2">
      <c r="B2079" s="2069"/>
      <c r="C2079" s="2069"/>
      <c r="D2079" s="2069"/>
      <c r="E2079" s="2069"/>
      <c r="F2079" s="2069"/>
      <c r="G2079" s="2069"/>
      <c r="H2079" s="2069"/>
      <c r="I2079"/>
      <c r="J2079"/>
      <c r="K2079"/>
    </row>
    <row r="2080" spans="2:11" x14ac:dyDescent="0.2">
      <c r="B2080" s="2069"/>
      <c r="C2080" s="2069"/>
      <c r="D2080" s="2069"/>
      <c r="E2080" s="2069"/>
      <c r="F2080" s="2069"/>
      <c r="G2080" s="2069"/>
      <c r="H2080" s="2069"/>
      <c r="I2080"/>
      <c r="J2080"/>
      <c r="K2080"/>
    </row>
    <row r="2081" spans="2:11" x14ac:dyDescent="0.2">
      <c r="B2081" s="2069"/>
      <c r="C2081" s="2069"/>
      <c r="D2081" s="2069"/>
      <c r="E2081" s="2069"/>
      <c r="F2081" s="2069"/>
      <c r="G2081" s="2069"/>
      <c r="H2081" s="2069"/>
      <c r="I2081"/>
      <c r="J2081"/>
      <c r="K2081"/>
    </row>
    <row r="2082" spans="2:11" x14ac:dyDescent="0.2">
      <c r="B2082" s="2069"/>
      <c r="C2082" s="2069"/>
      <c r="D2082" s="2069"/>
      <c r="E2082" s="2069"/>
      <c r="F2082" s="2069"/>
      <c r="G2082" s="2069"/>
      <c r="H2082" s="2069"/>
      <c r="I2082"/>
      <c r="J2082"/>
      <c r="K2082"/>
    </row>
    <row r="2083" spans="2:11" x14ac:dyDescent="0.2">
      <c r="B2083" s="2069"/>
      <c r="C2083" s="2069"/>
      <c r="D2083" s="2069"/>
      <c r="E2083" s="2069"/>
      <c r="F2083" s="2069"/>
      <c r="G2083" s="2069"/>
      <c r="H2083" s="2069"/>
      <c r="I2083"/>
      <c r="J2083"/>
      <c r="K2083"/>
    </row>
    <row r="2084" spans="2:11" x14ac:dyDescent="0.2">
      <c r="B2084" s="2069"/>
      <c r="C2084" s="2069"/>
      <c r="D2084" s="2069"/>
      <c r="E2084" s="2069"/>
      <c r="F2084" s="2069"/>
      <c r="G2084" s="2069"/>
      <c r="H2084" s="2069"/>
      <c r="I2084"/>
      <c r="J2084"/>
      <c r="K2084"/>
    </row>
    <row r="2085" spans="2:11" x14ac:dyDescent="0.2">
      <c r="B2085" s="2069"/>
      <c r="C2085" s="2069"/>
      <c r="D2085" s="2069"/>
      <c r="E2085" s="2069"/>
      <c r="F2085" s="2069"/>
      <c r="G2085" s="2069"/>
      <c r="H2085" s="2069"/>
      <c r="I2085"/>
      <c r="J2085"/>
      <c r="K2085"/>
    </row>
    <row r="2086" spans="2:11" x14ac:dyDescent="0.2">
      <c r="B2086" s="2069"/>
      <c r="C2086" s="2069"/>
      <c r="D2086" s="2069"/>
      <c r="E2086" s="2069"/>
      <c r="F2086" s="2069"/>
      <c r="G2086" s="2069"/>
      <c r="H2086" s="2069"/>
      <c r="I2086"/>
      <c r="J2086"/>
      <c r="K2086"/>
    </row>
    <row r="2087" spans="2:11" x14ac:dyDescent="0.2">
      <c r="B2087" s="2069"/>
      <c r="C2087" s="2069"/>
      <c r="D2087" s="2069"/>
      <c r="E2087" s="2069"/>
      <c r="F2087" s="2069"/>
      <c r="G2087" s="2069"/>
      <c r="H2087" s="2069"/>
      <c r="I2087"/>
      <c r="J2087"/>
      <c r="K2087"/>
    </row>
    <row r="2088" spans="2:11" x14ac:dyDescent="0.2">
      <c r="B2088" s="2069"/>
      <c r="C2088" s="2069"/>
      <c r="D2088" s="2069"/>
      <c r="E2088" s="2069"/>
      <c r="F2088" s="2069"/>
      <c r="G2088" s="2069"/>
      <c r="H2088" s="2069"/>
      <c r="I2088"/>
      <c r="J2088"/>
      <c r="K2088"/>
    </row>
    <row r="2089" spans="2:11" x14ac:dyDescent="0.2">
      <c r="B2089" s="2069"/>
      <c r="C2089" s="2069"/>
      <c r="D2089" s="2069"/>
      <c r="E2089" s="2069"/>
      <c r="F2089" s="2069"/>
      <c r="G2089" s="2069"/>
      <c r="H2089" s="2069"/>
      <c r="I2089"/>
      <c r="J2089"/>
      <c r="K2089"/>
    </row>
    <row r="2090" spans="2:11" x14ac:dyDescent="0.2">
      <c r="B2090" s="2069"/>
      <c r="C2090" s="2069"/>
      <c r="D2090" s="2069"/>
      <c r="E2090" s="2069"/>
      <c r="F2090" s="2069"/>
      <c r="G2090" s="2069"/>
      <c r="H2090" s="2069"/>
      <c r="I2090"/>
      <c r="J2090"/>
      <c r="K2090"/>
    </row>
    <row r="2091" spans="2:11" x14ac:dyDescent="0.2">
      <c r="B2091" s="2069"/>
      <c r="C2091" s="2069"/>
      <c r="D2091" s="2069"/>
      <c r="E2091" s="2069"/>
      <c r="F2091" s="2069"/>
      <c r="G2091" s="2069"/>
      <c r="H2091" s="2069"/>
      <c r="I2091"/>
      <c r="J2091"/>
      <c r="K2091"/>
    </row>
    <row r="2092" spans="2:11" x14ac:dyDescent="0.2">
      <c r="B2092" s="2069"/>
      <c r="C2092" s="2069"/>
      <c r="D2092" s="2069"/>
      <c r="E2092" s="2069"/>
      <c r="F2092" s="2069"/>
      <c r="G2092" s="2069"/>
      <c r="H2092" s="2069"/>
      <c r="I2092"/>
      <c r="J2092"/>
      <c r="K2092"/>
    </row>
    <row r="2093" spans="2:11" x14ac:dyDescent="0.2">
      <c r="B2093" s="2069"/>
      <c r="C2093" s="2069"/>
      <c r="D2093" s="2069"/>
      <c r="E2093" s="2069"/>
      <c r="F2093" s="2069"/>
      <c r="G2093" s="2069"/>
      <c r="H2093" s="2069"/>
      <c r="I2093"/>
      <c r="J2093"/>
      <c r="K2093"/>
    </row>
    <row r="2094" spans="2:11" x14ac:dyDescent="0.2">
      <c r="B2094" s="2069"/>
      <c r="C2094" s="2069"/>
      <c r="D2094" s="2069"/>
      <c r="E2094" s="2069"/>
      <c r="F2094" s="2069"/>
      <c r="G2094" s="2069"/>
      <c r="H2094" s="2069"/>
      <c r="I2094"/>
      <c r="J2094"/>
      <c r="K2094"/>
    </row>
    <row r="2095" spans="2:11" x14ac:dyDescent="0.2">
      <c r="B2095" s="2069"/>
      <c r="C2095" s="2069"/>
      <c r="D2095" s="2069"/>
      <c r="E2095" s="2069"/>
      <c r="F2095" s="2069"/>
      <c r="G2095" s="2069"/>
      <c r="H2095" s="2069"/>
      <c r="I2095"/>
      <c r="J2095"/>
      <c r="K2095"/>
    </row>
    <row r="2096" spans="2:11" x14ac:dyDescent="0.2">
      <c r="B2096" s="2069"/>
      <c r="C2096" s="2069"/>
      <c r="D2096" s="2069"/>
      <c r="E2096" s="2069"/>
      <c r="F2096" s="2069"/>
      <c r="G2096" s="2069"/>
      <c r="H2096" s="2069"/>
      <c r="I2096"/>
      <c r="J2096"/>
      <c r="K2096"/>
    </row>
    <row r="2097" spans="2:11" x14ac:dyDescent="0.2">
      <c r="B2097" s="2069"/>
      <c r="C2097" s="2069"/>
      <c r="D2097" s="2069"/>
      <c r="E2097" s="2069"/>
      <c r="F2097" s="2069"/>
      <c r="G2097" s="2069"/>
      <c r="H2097" s="2069"/>
      <c r="I2097"/>
      <c r="J2097"/>
      <c r="K2097"/>
    </row>
    <row r="2098" spans="2:11" x14ac:dyDescent="0.2">
      <c r="B2098" s="2069"/>
      <c r="C2098" s="2069"/>
      <c r="D2098" s="2069"/>
      <c r="E2098" s="2069"/>
      <c r="F2098" s="2069"/>
      <c r="G2098" s="2069"/>
      <c r="H2098" s="2069"/>
      <c r="I2098"/>
      <c r="J2098"/>
      <c r="K2098"/>
    </row>
    <row r="2099" spans="2:11" x14ac:dyDescent="0.2">
      <c r="B2099" s="2069"/>
      <c r="C2099" s="2069"/>
      <c r="D2099" s="2069"/>
      <c r="E2099" s="2069"/>
      <c r="F2099" s="2069"/>
      <c r="G2099" s="2069"/>
      <c r="H2099" s="2069"/>
      <c r="I2099"/>
      <c r="J2099"/>
      <c r="K2099"/>
    </row>
    <row r="2100" spans="2:11" x14ac:dyDescent="0.2">
      <c r="B2100" s="2069"/>
      <c r="C2100" s="2069"/>
      <c r="D2100" s="2069"/>
      <c r="E2100" s="2069"/>
      <c r="F2100" s="2069"/>
      <c r="G2100" s="2069"/>
      <c r="H2100" s="2069"/>
      <c r="I2100"/>
      <c r="J2100"/>
      <c r="K2100"/>
    </row>
    <row r="2101" spans="2:11" x14ac:dyDescent="0.2">
      <c r="B2101" s="2069"/>
      <c r="C2101" s="2069"/>
      <c r="D2101" s="2069"/>
      <c r="E2101" s="2069"/>
      <c r="F2101" s="2069"/>
      <c r="G2101" s="2069"/>
      <c r="H2101" s="2069"/>
      <c r="I2101"/>
      <c r="J2101"/>
      <c r="K2101"/>
    </row>
  </sheetData>
  <sheetProtection selectLockedCells="1"/>
  <protectedRanges>
    <protectedRange sqref="K1:M9 K52:M1048576" name="Range1"/>
  </protectedRanges>
  <pageMargins left="0.7" right="0.7" top="0.75" bottom="0.75" header="0.3" footer="0.3"/>
  <pageSetup paperSize="9" scale="93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567"/>
  <sheetViews>
    <sheetView workbookViewId="0">
      <selection activeCell="C18" sqref="C18"/>
    </sheetView>
  </sheetViews>
  <sheetFormatPr defaultRowHeight="12.75" x14ac:dyDescent="0.2"/>
  <cols>
    <col min="2" max="2" width="39.7109375" style="1945" customWidth="1"/>
    <col min="3" max="3" width="14.42578125" style="1998" customWidth="1"/>
    <col min="4" max="4" width="16.140625" style="1869" customWidth="1"/>
    <col min="5" max="6" width="12.7109375" style="733" customWidth="1"/>
    <col min="7" max="9" width="12.5703125" style="733" customWidth="1"/>
  </cols>
  <sheetData>
    <row r="1" spans="2:10" x14ac:dyDescent="0.2">
      <c r="B1" s="1944"/>
      <c r="C1" s="1813"/>
      <c r="D1" s="1813"/>
      <c r="E1" s="720"/>
      <c r="F1" s="720"/>
      <c r="G1" s="720"/>
      <c r="H1" s="720"/>
      <c r="I1" s="720"/>
    </row>
    <row r="2" spans="2:10" x14ac:dyDescent="0.2">
      <c r="C2" s="1814"/>
      <c r="D2" s="1814"/>
      <c r="E2" s="728"/>
      <c r="F2" s="728"/>
      <c r="G2" s="728"/>
      <c r="H2" s="728"/>
      <c r="I2" s="728"/>
    </row>
    <row r="3" spans="2:10" x14ac:dyDescent="0.2">
      <c r="C3" s="1814"/>
      <c r="D3" s="1814"/>
      <c r="E3" s="728"/>
      <c r="F3" s="728"/>
      <c r="G3" s="728"/>
      <c r="H3" s="728"/>
      <c r="I3" s="728"/>
    </row>
    <row r="4" spans="2:10" x14ac:dyDescent="0.2">
      <c r="C4" s="1814"/>
      <c r="D4" s="1814"/>
      <c r="E4" s="728"/>
      <c r="F4" s="728"/>
      <c r="G4" s="728"/>
      <c r="H4" s="728"/>
      <c r="I4" s="728"/>
    </row>
    <row r="5" spans="2:10" x14ac:dyDescent="0.2">
      <c r="C5" s="1814"/>
      <c r="D5" s="1814"/>
      <c r="E5" s="728"/>
      <c r="F5" s="728"/>
      <c r="G5" s="728"/>
      <c r="H5" s="728"/>
      <c r="I5" s="728"/>
    </row>
    <row r="6" spans="2:10" ht="13.5" thickBot="1" x14ac:dyDescent="0.25">
      <c r="C6" s="1815"/>
      <c r="D6" s="1815"/>
      <c r="E6" s="741"/>
      <c r="F6" s="741"/>
      <c r="G6" s="741"/>
      <c r="H6" s="741"/>
      <c r="I6" s="741"/>
    </row>
    <row r="7" spans="2:10" x14ac:dyDescent="0.2">
      <c r="B7" s="1946"/>
      <c r="C7" s="1946"/>
      <c r="D7" s="1816"/>
      <c r="E7" s="748"/>
      <c r="F7" s="748"/>
      <c r="G7" s="1765"/>
      <c r="H7" s="748"/>
      <c r="I7" s="1870"/>
    </row>
    <row r="8" spans="2:10" ht="16.5" thickBot="1" x14ac:dyDescent="0.3">
      <c r="B8" s="1947"/>
      <c r="C8" s="1947"/>
      <c r="D8" s="1817"/>
      <c r="E8" s="1812" t="s">
        <v>1086</v>
      </c>
      <c r="F8" s="759"/>
      <c r="G8" s="1766"/>
      <c r="H8" s="1812" t="s">
        <v>1087</v>
      </c>
      <c r="I8" s="1871"/>
    </row>
    <row r="9" spans="2:10" x14ac:dyDescent="0.2">
      <c r="B9" s="1948"/>
      <c r="C9" s="1949"/>
      <c r="D9" s="1930"/>
      <c r="E9" s="1931"/>
      <c r="F9" s="1932"/>
      <c r="G9" s="1933"/>
      <c r="H9" s="1931"/>
      <c r="I9" s="1934"/>
    </row>
    <row r="10" spans="2:10" x14ac:dyDescent="0.2">
      <c r="B10" s="1950"/>
      <c r="C10" s="1949" t="s">
        <v>1088</v>
      </c>
      <c r="D10" s="1935" t="s">
        <v>954</v>
      </c>
      <c r="E10" s="1935" t="s">
        <v>1084</v>
      </c>
      <c r="F10" s="1936" t="s">
        <v>1085</v>
      </c>
      <c r="G10" s="1937" t="s">
        <v>180</v>
      </c>
      <c r="H10" s="1935" t="s">
        <v>1084</v>
      </c>
      <c r="I10" s="1938" t="s">
        <v>1085</v>
      </c>
      <c r="J10" s="1936" t="s">
        <v>1097</v>
      </c>
    </row>
    <row r="11" spans="2:10" x14ac:dyDescent="0.2">
      <c r="B11" s="1951" t="str">
        <f>BUDGET!A11</f>
        <v>OPERATING  BUDGET</v>
      </c>
      <c r="C11" s="1952"/>
      <c r="D11" s="1939" t="s">
        <v>1089</v>
      </c>
      <c r="E11" s="1940"/>
      <c r="F11" s="1941"/>
      <c r="G11" s="1942"/>
      <c r="H11" s="1940"/>
      <c r="I11" s="1943"/>
      <c r="J11" s="1936"/>
    </row>
    <row r="12" spans="2:10" x14ac:dyDescent="0.2">
      <c r="B12" s="1953" t="str">
        <f>BUDGET!A12</f>
        <v>GENERAL GOVERNMENT</v>
      </c>
      <c r="C12" s="1954" t="str">
        <f>IF(BUDGET!AP12=0,"",BUDGET!AP12)</f>
        <v/>
      </c>
      <c r="D12" s="1818"/>
      <c r="E12" s="800"/>
      <c r="F12" s="1031"/>
      <c r="G12" s="1767"/>
      <c r="H12" s="800"/>
      <c r="I12" s="1872"/>
    </row>
    <row r="13" spans="2:10" x14ac:dyDescent="0.2">
      <c r="B13" s="1955" t="str">
        <f>BUDGET!A13</f>
        <v xml:space="preserve"> MODERATOR</v>
      </c>
      <c r="C13" s="1954" t="str">
        <f>IF(BUDGET!AP13=0,"",BUDGET!AP13)</f>
        <v/>
      </c>
      <c r="D13" s="1818"/>
      <c r="E13" s="800"/>
      <c r="F13" s="1031"/>
      <c r="G13" s="1767"/>
      <c r="H13" s="800"/>
      <c r="I13" s="1872"/>
    </row>
    <row r="14" spans="2:10" x14ac:dyDescent="0.2">
      <c r="B14" s="1953" t="str">
        <f>BUDGET!A14</f>
        <v xml:space="preserve">    SALARY</v>
      </c>
      <c r="C14" s="1819">
        <f>IF(BUDGET!AP14=0,"",BUDGET!AP14)</f>
        <v>50</v>
      </c>
      <c r="D14" s="1819"/>
      <c r="E14" s="817"/>
      <c r="F14" s="877"/>
      <c r="G14" s="1768"/>
      <c r="H14" s="817"/>
      <c r="I14" s="1873"/>
    </row>
    <row r="15" spans="2:10" x14ac:dyDescent="0.2">
      <c r="B15" s="1956" t="str">
        <f>BUDGET!A15</f>
        <v xml:space="preserve">    TOTAL</v>
      </c>
      <c r="C15" s="1836">
        <f>IF(BUDGET!AP15=0,"",BUDGET!AP15)</f>
        <v>50</v>
      </c>
      <c r="D15" s="1820"/>
      <c r="E15" s="831"/>
      <c r="F15" s="1733"/>
      <c r="G15" s="1769"/>
      <c r="H15" s="831"/>
      <c r="I15" s="1874"/>
    </row>
    <row r="16" spans="2:10" x14ac:dyDescent="0.2">
      <c r="B16" s="1955" t="str">
        <f>BUDGET!A16</f>
        <v>SELECTMEN</v>
      </c>
      <c r="C16" s="1954" t="str">
        <f>IF(BUDGET!AP16=0,"",BUDGET!AP16)</f>
        <v/>
      </c>
      <c r="D16" s="1818"/>
      <c r="E16" s="800"/>
      <c r="F16" s="1031"/>
      <c r="G16" s="1767"/>
      <c r="H16" s="800"/>
      <c r="I16" s="1872"/>
    </row>
    <row r="17" spans="2:10" x14ac:dyDescent="0.2">
      <c r="B17" s="1955" t="str">
        <f>BUDGET!A17</f>
        <v xml:space="preserve">    SALARIES</v>
      </c>
      <c r="C17" s="1845">
        <f>IF(BUDGET!AP17=0,"",BUDGET!AP17)</f>
        <v>227735</v>
      </c>
      <c r="D17" s="1821"/>
      <c r="E17" s="843"/>
      <c r="F17" s="1513"/>
      <c r="G17" s="1770"/>
      <c r="H17" s="843"/>
      <c r="I17" s="1875"/>
    </row>
    <row r="18" spans="2:10" x14ac:dyDescent="0.2">
      <c r="B18" s="1955" t="str">
        <f>BUDGET!A18</f>
        <v xml:space="preserve">    WAGES</v>
      </c>
      <c r="C18" s="1845">
        <f>IF(BUDGET!AP18=0,"",BUDGET!AP18)</f>
        <v>81402</v>
      </c>
      <c r="D18" s="1821"/>
      <c r="E18" s="843"/>
      <c r="F18" s="1513"/>
      <c r="G18" s="1770"/>
      <c r="H18" s="843"/>
      <c r="I18" s="1875"/>
    </row>
    <row r="19" spans="2:10" x14ac:dyDescent="0.2">
      <c r="B19" s="1955" t="str">
        <f>BUDGET!A19</f>
        <v xml:space="preserve">   OTHER</v>
      </c>
      <c r="C19" s="1845">
        <f>IF(BUDGET!AP19=0,"",BUDGET!AP19)</f>
        <v>14111</v>
      </c>
      <c r="D19" s="1821"/>
      <c r="E19" s="843"/>
      <c r="F19" s="1513"/>
      <c r="G19" s="1770"/>
      <c r="H19" s="843"/>
      <c r="I19" s="1875"/>
    </row>
    <row r="20" spans="2:10" x14ac:dyDescent="0.2">
      <c r="B20" s="1953" t="str">
        <f>BUDGET!A20</f>
        <v xml:space="preserve">   TOTAL</v>
      </c>
      <c r="C20" s="1822">
        <f>IF(BUDGET!AP20=0,"",BUDGET!AP20)</f>
        <v>323248</v>
      </c>
      <c r="D20" s="1822"/>
      <c r="E20" s="814"/>
      <c r="F20" s="853"/>
      <c r="G20" s="1771"/>
      <c r="H20" s="814"/>
      <c r="I20" s="1876"/>
    </row>
    <row r="21" spans="2:10" x14ac:dyDescent="0.2">
      <c r="B21" s="1957" t="str">
        <f>IF(BUDGET!A21=0,"",BUDGET!A21)</f>
        <v/>
      </c>
      <c r="C21" s="1857" t="str">
        <f>IF(BUDGET!AP21=0,"",BUDGET!AP21)</f>
        <v/>
      </c>
      <c r="D21" s="1823"/>
      <c r="E21" s="856"/>
      <c r="F21" s="1237"/>
      <c r="G21" s="1772"/>
      <c r="H21" s="856"/>
      <c r="I21" s="1877"/>
    </row>
    <row r="22" spans="2:10" x14ac:dyDescent="0.2">
      <c r="B22" s="1955" t="str">
        <f>IF(BUDGET!A22=0,"",BUDGET!A22)</f>
        <v>SELECTMEN'S SPECIAL</v>
      </c>
      <c r="C22" s="1819" t="str">
        <f>IF(BUDGET!AP22=0,"",BUDGET!AP22)</f>
        <v/>
      </c>
      <c r="D22" s="1824"/>
      <c r="E22" s="859"/>
      <c r="F22" s="1178"/>
      <c r="G22" s="1773"/>
      <c r="H22" s="859"/>
      <c r="I22" s="1878"/>
    </row>
    <row r="23" spans="2:10" x14ac:dyDescent="0.2">
      <c r="B23" s="1955" t="str">
        <f>IF(BUDGET!A23=0,"",BUDGET!A23)</f>
        <v xml:space="preserve">   SERVICES</v>
      </c>
      <c r="C23" s="1819" t="str">
        <f>IF(BUDGET!AP23=0,"",BUDGET!AP23)</f>
        <v/>
      </c>
      <c r="D23" s="1819"/>
      <c r="E23" s="817"/>
      <c r="F23" s="877"/>
      <c r="G23" s="1768"/>
      <c r="H23" s="817"/>
      <c r="I23" s="1873"/>
    </row>
    <row r="24" spans="2:10" x14ac:dyDescent="0.2">
      <c r="B24" s="1955" t="str">
        <f>IF(BUDGET!A24=0,"",BUDGET!A24)</f>
        <v xml:space="preserve">   OTHER</v>
      </c>
      <c r="C24" s="1845">
        <f>IF(BUDGET!AP24=0,"",BUDGET!AP24)</f>
        <v>77300</v>
      </c>
      <c r="D24" s="1821"/>
      <c r="E24" s="843"/>
      <c r="F24" s="1513"/>
      <c r="G24" s="1770"/>
      <c r="H24" s="843"/>
      <c r="I24" s="1875"/>
    </row>
    <row r="25" spans="2:10" x14ac:dyDescent="0.2">
      <c r="B25" s="1953" t="str">
        <f>IF(BUDGET!A25=0,"",BUDGET!A25)</f>
        <v xml:space="preserve">   TOTAL </v>
      </c>
      <c r="C25" s="1822">
        <f>IF(BUDGET!AP25=0,"",BUDGET!AP25)</f>
        <v>77300</v>
      </c>
      <c r="D25" s="1822"/>
      <c r="E25" s="814"/>
      <c r="F25" s="853"/>
      <c r="G25" s="1771"/>
      <c r="H25" s="814"/>
      <c r="I25" s="1876"/>
    </row>
    <row r="26" spans="2:10" x14ac:dyDescent="0.2">
      <c r="B26" s="1957" t="str">
        <f>IF(BUDGET!A26=0,"",BUDGET!A26)</f>
        <v/>
      </c>
      <c r="C26" s="1857" t="str">
        <f>IF(BUDGET!AP26=0,"",BUDGET!AP26)</f>
        <v/>
      </c>
      <c r="D26" s="1823"/>
      <c r="E26" s="856"/>
      <c r="F26" s="1237"/>
      <c r="G26" s="1772"/>
      <c r="H26" s="856"/>
      <c r="I26" s="1877"/>
    </row>
    <row r="27" spans="2:10" x14ac:dyDescent="0.2">
      <c r="B27" s="1955" t="str">
        <f>IF(BUDGET!A27=0,"",BUDGET!A27)</f>
        <v>PARKING CLERK</v>
      </c>
      <c r="C27" s="1826" t="str">
        <f>IF(BUDGET!AP27=0,"",BUDGET!AP27)</f>
        <v/>
      </c>
      <c r="D27" s="1825"/>
      <c r="E27" s="1532"/>
      <c r="F27" s="1734"/>
      <c r="G27" s="1774"/>
      <c r="H27" s="1532"/>
      <c r="I27" s="1879"/>
      <c r="J27">
        <v>1</v>
      </c>
    </row>
    <row r="28" spans="2:10" x14ac:dyDescent="0.2">
      <c r="B28" s="1955" t="str">
        <f>IF(BUDGET!A28=0,"",BUDGET!A28)</f>
        <v xml:space="preserve">   OTHER</v>
      </c>
      <c r="C28" s="1826" t="str">
        <f>IF(BUDGET!AP28=0,"",BUDGET!AP28)</f>
        <v/>
      </c>
      <c r="D28" s="1826"/>
      <c r="E28" s="1087"/>
      <c r="F28" s="1523"/>
      <c r="G28" s="1775"/>
      <c r="H28" s="1087"/>
      <c r="I28" s="1880"/>
      <c r="J28">
        <v>1</v>
      </c>
    </row>
    <row r="29" spans="2:10" x14ac:dyDescent="0.2">
      <c r="B29" s="1953" t="str">
        <f>IF(BUDGET!A29=0,"",BUDGET!A29)</f>
        <v xml:space="preserve">   TOTAL</v>
      </c>
      <c r="C29" s="1958" t="str">
        <f>IF(BUDGET!AP29=0,"",BUDGET!AP29)</f>
        <v/>
      </c>
      <c r="D29" s="1827"/>
      <c r="E29" s="1558"/>
      <c r="F29" s="1735"/>
      <c r="G29" s="1776"/>
      <c r="H29" s="1558"/>
      <c r="I29" s="1881"/>
      <c r="J29">
        <v>1</v>
      </c>
    </row>
    <row r="30" spans="2:10" x14ac:dyDescent="0.2">
      <c r="B30" s="1957" t="str">
        <f>IF(BUDGET!A30=0,"",BUDGET!A30)</f>
        <v/>
      </c>
      <c r="C30" s="1959" t="str">
        <f>IF(BUDGET!AP30=0,"",BUDGET!AP30)</f>
        <v/>
      </c>
      <c r="D30" s="1828"/>
      <c r="E30" s="1092"/>
      <c r="F30" s="1736"/>
      <c r="G30" s="1777"/>
      <c r="H30" s="1092"/>
      <c r="I30" s="1882"/>
      <c r="J30">
        <v>1</v>
      </c>
    </row>
    <row r="31" spans="2:10" x14ac:dyDescent="0.2">
      <c r="B31" s="1955" t="str">
        <f>IF(BUDGET!A31=0,"",BUDGET!A31)</f>
        <v>FINANCE COMMITTEE</v>
      </c>
      <c r="C31" s="1819" t="str">
        <f>IF(BUDGET!AP31=0,"",BUDGET!AP31)</f>
        <v/>
      </c>
      <c r="D31" s="1824"/>
      <c r="E31" s="859"/>
      <c r="F31" s="1178"/>
      <c r="G31" s="1773"/>
      <c r="H31" s="859"/>
      <c r="I31" s="1878"/>
    </row>
    <row r="32" spans="2:10" x14ac:dyDescent="0.2">
      <c r="B32" s="1955" t="str">
        <f>IF(BUDGET!A32=0,"",BUDGET!A32)</f>
        <v xml:space="preserve">   WAGES</v>
      </c>
      <c r="C32" s="1845">
        <f>IF(BUDGET!AP32=0,"",BUDGET!AP32)</f>
        <v>1610</v>
      </c>
      <c r="D32" s="1821"/>
      <c r="E32" s="843"/>
      <c r="F32" s="1513"/>
      <c r="G32" s="1770"/>
      <c r="H32" s="843"/>
      <c r="I32" s="1875"/>
    </row>
    <row r="33" spans="2:10" x14ac:dyDescent="0.2">
      <c r="B33" s="1955" t="str">
        <f>IF(BUDGET!A33=0,"",BUDGET!A33)</f>
        <v xml:space="preserve">   OTHER</v>
      </c>
      <c r="C33" s="1845">
        <f>IF(BUDGET!AP33=0,"",BUDGET!AP33)</f>
        <v>350</v>
      </c>
      <c r="D33" s="1821"/>
      <c r="E33" s="843"/>
      <c r="F33" s="1513"/>
      <c r="G33" s="1770"/>
      <c r="H33" s="843"/>
      <c r="I33" s="1875"/>
    </row>
    <row r="34" spans="2:10" x14ac:dyDescent="0.2">
      <c r="B34" s="1955" t="str">
        <f>IF(BUDGET!A34=0,"",BUDGET!A34)</f>
        <v>RESERVE</v>
      </c>
      <c r="C34" s="1845">
        <f>IF(BUDGET!AP34=0,"",BUDGET!AP34)</f>
        <v>100000</v>
      </c>
      <c r="D34" s="1821"/>
      <c r="E34" s="843"/>
      <c r="F34" s="1513"/>
      <c r="G34" s="1770"/>
      <c r="H34" s="843"/>
      <c r="I34" s="1875"/>
    </row>
    <row r="35" spans="2:10" x14ac:dyDescent="0.2">
      <c r="B35" s="1953" t="str">
        <f>IF(BUDGET!A35=0,"",BUDGET!A35)</f>
        <v xml:space="preserve">   TOTAL</v>
      </c>
      <c r="C35" s="1822">
        <f>IF(BUDGET!AP35=0,"",BUDGET!AP35)</f>
        <v>101960</v>
      </c>
      <c r="D35" s="1822"/>
      <c r="E35" s="814"/>
      <c r="F35" s="853"/>
      <c r="G35" s="1771"/>
      <c r="H35" s="814"/>
      <c r="I35" s="1876"/>
    </row>
    <row r="36" spans="2:10" x14ac:dyDescent="0.2">
      <c r="B36" s="1957" t="str">
        <f>IF(BUDGET!A36=0,"",BUDGET!A36)</f>
        <v/>
      </c>
      <c r="C36" s="1857" t="str">
        <f>IF(BUDGET!AP36=0,"",BUDGET!AP36)</f>
        <v/>
      </c>
      <c r="D36" s="1823"/>
      <c r="E36" s="856"/>
      <c r="F36" s="1237"/>
      <c r="G36" s="1772"/>
      <c r="H36" s="856"/>
      <c r="I36" s="1877"/>
    </row>
    <row r="37" spans="2:10" x14ac:dyDescent="0.2">
      <c r="B37" s="1955" t="str">
        <f>IF(BUDGET!A37=0,"",BUDGET!A37)</f>
        <v>TOWN WEBSITE/CABLE ADVISORY</v>
      </c>
      <c r="C37" s="1819" t="str">
        <f>IF(BUDGET!AP37=0,"",BUDGET!AP37)</f>
        <v/>
      </c>
      <c r="D37" s="1824"/>
      <c r="E37" s="859"/>
      <c r="F37" s="1178"/>
      <c r="G37" s="1773"/>
      <c r="H37" s="859"/>
      <c r="I37" s="1878"/>
    </row>
    <row r="38" spans="2:10" x14ac:dyDescent="0.2">
      <c r="B38" s="1955" t="str">
        <f>IF(BUDGET!A38=0,"",BUDGET!A38)</f>
        <v xml:space="preserve">   WAGES</v>
      </c>
      <c r="C38" s="1845">
        <f>IF(BUDGET!AP38=0,"",BUDGET!AP38)</f>
        <v>5048</v>
      </c>
      <c r="D38" s="1821"/>
      <c r="E38" s="843"/>
      <c r="F38" s="1513"/>
      <c r="G38" s="1770"/>
      <c r="H38" s="843"/>
      <c r="I38" s="1875"/>
    </row>
    <row r="39" spans="2:10" x14ac:dyDescent="0.2">
      <c r="B39" s="1955" t="str">
        <f>IF(BUDGET!A39=0,"",BUDGET!A39)</f>
        <v xml:space="preserve">   OTHER</v>
      </c>
      <c r="C39" s="1819">
        <f>IF(BUDGET!AP39=0,"",BUDGET!AP39)</f>
        <v>49850</v>
      </c>
      <c r="D39" s="1819"/>
      <c r="E39" s="817"/>
      <c r="F39" s="877"/>
      <c r="G39" s="1768"/>
      <c r="H39" s="817"/>
      <c r="I39" s="1873"/>
    </row>
    <row r="40" spans="2:10" x14ac:dyDescent="0.2">
      <c r="B40" s="1953" t="str">
        <f>IF(BUDGET!A40=0,"",BUDGET!A40)</f>
        <v xml:space="preserve">   TOTAL</v>
      </c>
      <c r="C40" s="1822">
        <f>IF(BUDGET!AP40=0,"",BUDGET!AP40)</f>
        <v>54898</v>
      </c>
      <c r="D40" s="1822"/>
      <c r="E40" s="814"/>
      <c r="F40" s="853"/>
      <c r="G40" s="1771"/>
      <c r="H40" s="814"/>
      <c r="I40" s="1876"/>
    </row>
    <row r="41" spans="2:10" x14ac:dyDescent="0.2">
      <c r="B41" s="1957" t="str">
        <f>IF(BUDGET!A41=0,"",BUDGET!A41)</f>
        <v/>
      </c>
      <c r="C41" s="1857" t="str">
        <f>IF(BUDGET!AP41=0,"",BUDGET!AP41)</f>
        <v/>
      </c>
      <c r="D41" s="1823"/>
      <c r="E41" s="856"/>
      <c r="F41" s="1237"/>
      <c r="G41" s="1772"/>
      <c r="H41" s="856"/>
      <c r="I41" s="1877"/>
    </row>
    <row r="42" spans="2:10" x14ac:dyDescent="0.2">
      <c r="B42" s="1955" t="str">
        <f>IF(BUDGET!A42=0,"",BUDGET!A42)</f>
        <v xml:space="preserve">CABLE ADVISORY </v>
      </c>
      <c r="C42" s="2081" t="str">
        <f>IF(BUDGET!AP42=0,"",BUDGET!AP42)</f>
        <v/>
      </c>
      <c r="D42" s="2082"/>
      <c r="E42" s="2083"/>
      <c r="F42" s="2084"/>
      <c r="G42" s="2085"/>
      <c r="H42" s="2083"/>
      <c r="I42" s="2086"/>
      <c r="J42">
        <v>1</v>
      </c>
    </row>
    <row r="43" spans="2:10" x14ac:dyDescent="0.2">
      <c r="B43" s="1955" t="str">
        <f>IF(BUDGET!A43=0,"",BUDGET!A43)</f>
        <v xml:space="preserve">    WAGES</v>
      </c>
      <c r="C43" s="2081" t="str">
        <f>IF(BUDGET!AP43=0,"",BUDGET!AP43)</f>
        <v/>
      </c>
      <c r="D43" s="2081"/>
      <c r="E43" s="2087"/>
      <c r="F43" s="2088"/>
      <c r="G43" s="2089"/>
      <c r="H43" s="2087"/>
      <c r="I43" s="2090"/>
      <c r="J43">
        <v>1</v>
      </c>
    </row>
    <row r="44" spans="2:10" x14ac:dyDescent="0.2">
      <c r="B44" s="1955" t="str">
        <f>IF(BUDGET!A44=0,"",BUDGET!A44)</f>
        <v xml:space="preserve">    OTHER</v>
      </c>
      <c r="C44" s="2081" t="str">
        <f>IF(BUDGET!AP44=0,"",BUDGET!AP44)</f>
        <v/>
      </c>
      <c r="D44" s="2081"/>
      <c r="E44" s="2087"/>
      <c r="F44" s="2088"/>
      <c r="G44" s="2089"/>
      <c r="H44" s="2087"/>
      <c r="I44" s="2090"/>
      <c r="J44">
        <v>1</v>
      </c>
    </row>
    <row r="45" spans="2:10" x14ac:dyDescent="0.2">
      <c r="B45" s="1960" t="str">
        <f>IF(BUDGET!A45=0,"",BUDGET!A45)</f>
        <v xml:space="preserve">    TOTAL</v>
      </c>
      <c r="C45" s="2091" t="str">
        <f>IF(BUDGET!AP45=0,"",BUDGET!AP45)</f>
        <v/>
      </c>
      <c r="D45" s="2091"/>
      <c r="E45" s="2092"/>
      <c r="F45" s="2093"/>
      <c r="G45" s="2094"/>
      <c r="H45" s="2092"/>
      <c r="I45" s="2095"/>
      <c r="J45">
        <v>1</v>
      </c>
    </row>
    <row r="46" spans="2:10" x14ac:dyDescent="0.2">
      <c r="B46" s="1957" t="str">
        <f>IF(BUDGET!A46=0,"",BUDGET!A46)</f>
        <v/>
      </c>
      <c r="C46" s="2096" t="str">
        <f>IF(BUDGET!AP46=0,"",BUDGET!AP46)</f>
        <v/>
      </c>
      <c r="D46" s="2097"/>
      <c r="E46" s="2098"/>
      <c r="F46" s="2099"/>
      <c r="G46" s="2100"/>
      <c r="H46" s="2098"/>
      <c r="I46" s="2101"/>
      <c r="J46">
        <v>1</v>
      </c>
    </row>
    <row r="47" spans="2:10" x14ac:dyDescent="0.2">
      <c r="B47" s="1955" t="str">
        <f>IF(BUDGET!A47=0,"",BUDGET!A47)</f>
        <v>ACCOUNTANT</v>
      </c>
      <c r="C47" s="1819" t="str">
        <f>IF(BUDGET!AP47=0,"",BUDGET!AP47)</f>
        <v/>
      </c>
      <c r="D47" s="1824"/>
      <c r="E47" s="859"/>
      <c r="F47" s="1178"/>
      <c r="G47" s="1773"/>
      <c r="H47" s="859"/>
      <c r="I47" s="1878"/>
    </row>
    <row r="48" spans="2:10" x14ac:dyDescent="0.2">
      <c r="B48" s="1955" t="str">
        <f>IF(BUDGET!A48=0,"",BUDGET!A48)</f>
        <v xml:space="preserve">   SALARIES</v>
      </c>
      <c r="C48" s="1845">
        <f>IF(BUDGET!AP48=0,"",BUDGET!AP48)</f>
        <v>110664</v>
      </c>
      <c r="D48" s="1821"/>
      <c r="E48" s="843"/>
      <c r="F48" s="1513"/>
      <c r="G48" s="1770"/>
      <c r="H48" s="843"/>
      <c r="I48" s="1875"/>
    </row>
    <row r="49" spans="2:9" x14ac:dyDescent="0.2">
      <c r="B49" s="1955" t="str">
        <f>IF(BUDGET!A49=0,"",BUDGET!A49)</f>
        <v xml:space="preserve">   WAGES</v>
      </c>
      <c r="C49" s="1845">
        <f>IF(BUDGET!AP49=0,"",BUDGET!AP49)</f>
        <v>63793</v>
      </c>
      <c r="D49" s="1821"/>
      <c r="E49" s="843"/>
      <c r="F49" s="1513"/>
      <c r="G49" s="1770"/>
      <c r="H49" s="843"/>
      <c r="I49" s="1875"/>
    </row>
    <row r="50" spans="2:9" x14ac:dyDescent="0.2">
      <c r="B50" s="1955" t="str">
        <f>IF(BUDGET!A50=0,"",BUDGET!A50)</f>
        <v xml:space="preserve">   OTHER</v>
      </c>
      <c r="C50" s="1845">
        <f>IF(BUDGET!AP50=0,"",BUDGET!AP50)</f>
        <v>37026</v>
      </c>
      <c r="D50" s="1821"/>
      <c r="E50" s="843"/>
      <c r="F50" s="1513"/>
      <c r="G50" s="1770"/>
      <c r="H50" s="843"/>
      <c r="I50" s="1875"/>
    </row>
    <row r="51" spans="2:9" x14ac:dyDescent="0.2">
      <c r="B51" s="1953" t="str">
        <f>IF(BUDGET!A51=0,"",BUDGET!A51)</f>
        <v xml:space="preserve">   TOTAL </v>
      </c>
      <c r="C51" s="1822">
        <f>IF(BUDGET!AP51=0,"",BUDGET!AP51)</f>
        <v>211483</v>
      </c>
      <c r="D51" s="1822"/>
      <c r="E51" s="814"/>
      <c r="F51" s="853"/>
      <c r="G51" s="1771"/>
      <c r="H51" s="814"/>
      <c r="I51" s="1876"/>
    </row>
    <row r="52" spans="2:9" x14ac:dyDescent="0.2">
      <c r="B52" s="1957" t="str">
        <f>IF(BUDGET!A52=0,"",BUDGET!A52)</f>
        <v/>
      </c>
      <c r="C52" s="1857" t="str">
        <f>IF(BUDGET!AP52=0,"",BUDGET!AP52)</f>
        <v/>
      </c>
      <c r="D52" s="1823"/>
      <c r="E52" s="856"/>
      <c r="F52" s="1237"/>
      <c r="G52" s="1772"/>
      <c r="H52" s="856"/>
      <c r="I52" s="1877"/>
    </row>
    <row r="53" spans="2:9" x14ac:dyDescent="0.2">
      <c r="B53" s="1955" t="str">
        <f>IF(BUDGET!A53=0,"",BUDGET!A53)</f>
        <v>ASSESSORS</v>
      </c>
      <c r="C53" s="1819" t="str">
        <f>IF(BUDGET!AP53=0,"",BUDGET!AP53)</f>
        <v/>
      </c>
      <c r="D53" s="1824"/>
      <c r="E53" s="859"/>
      <c r="F53" s="1178"/>
      <c r="G53" s="1773"/>
      <c r="H53" s="859"/>
      <c r="I53" s="1878"/>
    </row>
    <row r="54" spans="2:9" x14ac:dyDescent="0.2">
      <c r="B54" s="1955" t="str">
        <f>IF(BUDGET!A54=0,"",BUDGET!A54)</f>
        <v xml:space="preserve">   SALARIES </v>
      </c>
      <c r="C54" s="1845">
        <f>IF(BUDGET!AP54=0,"",BUDGET!AP54)</f>
        <v>96435</v>
      </c>
      <c r="D54" s="1821"/>
      <c r="E54" s="843"/>
      <c r="F54" s="1513"/>
      <c r="G54" s="1770"/>
      <c r="H54" s="843"/>
      <c r="I54" s="1875"/>
    </row>
    <row r="55" spans="2:9" x14ac:dyDescent="0.2">
      <c r="B55" s="1955" t="str">
        <f>IF(BUDGET!A55=0,"",BUDGET!A55)</f>
        <v xml:space="preserve">   WAGES </v>
      </c>
      <c r="C55" s="1845">
        <f>IF(BUDGET!AP55=0,"",BUDGET!AP55)</f>
        <v>51131</v>
      </c>
      <c r="D55" s="1821"/>
      <c r="E55" s="843"/>
      <c r="F55" s="1513"/>
      <c r="G55" s="1770"/>
      <c r="H55" s="843"/>
      <c r="I55" s="1875"/>
    </row>
    <row r="56" spans="2:9" x14ac:dyDescent="0.2">
      <c r="B56" s="1955" t="str">
        <f>IF(BUDGET!A56=0,"",BUDGET!A56)</f>
        <v xml:space="preserve">   OTHER</v>
      </c>
      <c r="C56" s="1845">
        <f>IF(BUDGET!AP56=0,"",BUDGET!AP56)</f>
        <v>55295</v>
      </c>
      <c r="D56" s="1821"/>
      <c r="E56" s="843"/>
      <c r="F56" s="1513"/>
      <c r="G56" s="1770"/>
      <c r="H56" s="843"/>
      <c r="I56" s="1875"/>
    </row>
    <row r="57" spans="2:9" x14ac:dyDescent="0.2">
      <c r="B57" s="1961" t="str">
        <f>IF(BUDGET!A57=0,"",BUDGET!A57)</f>
        <v xml:space="preserve">   TOTAL</v>
      </c>
      <c r="C57" s="1822">
        <f>IF(BUDGET!AP57=0,"",BUDGET!AP57)</f>
        <v>202861</v>
      </c>
      <c r="D57" s="1822"/>
      <c r="E57" s="814"/>
      <c r="F57" s="853"/>
      <c r="G57" s="1771"/>
      <c r="H57" s="814"/>
      <c r="I57" s="1876"/>
    </row>
    <row r="58" spans="2:9" x14ac:dyDescent="0.2">
      <c r="B58" s="1956" t="str">
        <f>IF(BUDGET!A58=0,"",BUDGET!A58)</f>
        <v/>
      </c>
      <c r="C58" s="1836" t="str">
        <f>IF(BUDGET!AP58=0,"",BUDGET!AP58)</f>
        <v/>
      </c>
      <c r="D58" s="1820"/>
      <c r="E58" s="831"/>
      <c r="F58" s="1733"/>
      <c r="G58" s="1769"/>
      <c r="H58" s="831"/>
      <c r="I58" s="1874"/>
    </row>
    <row r="59" spans="2:9" x14ac:dyDescent="0.2">
      <c r="B59" s="1955" t="str">
        <f>IF(BUDGET!A59=0,"",BUDGET!A59)</f>
        <v>TREASURER/COLLECTOR</v>
      </c>
      <c r="C59" s="1822" t="str">
        <f>IF(BUDGET!AP59=0,"",BUDGET!AP59)</f>
        <v/>
      </c>
      <c r="D59" s="1829"/>
      <c r="E59" s="861"/>
      <c r="F59" s="1200"/>
      <c r="G59" s="1778"/>
      <c r="H59" s="861"/>
      <c r="I59" s="1883"/>
    </row>
    <row r="60" spans="2:9" x14ac:dyDescent="0.2">
      <c r="B60" s="1955" t="str">
        <f>IF(BUDGET!A60=0,"",BUDGET!A60)</f>
        <v xml:space="preserve">   SALARIES</v>
      </c>
      <c r="C60" s="1845">
        <f>IF(BUDGET!AP60=0,"",BUDGET!AP60)</f>
        <v>110664</v>
      </c>
      <c r="D60" s="1821"/>
      <c r="E60" s="843"/>
      <c r="F60" s="1513"/>
      <c r="G60" s="1770"/>
      <c r="H60" s="843"/>
      <c r="I60" s="1875"/>
    </row>
    <row r="61" spans="2:9" x14ac:dyDescent="0.2">
      <c r="B61" s="1955" t="str">
        <f>IF(BUDGET!A61=0,"",BUDGET!A61)</f>
        <v xml:space="preserve">   WAGES</v>
      </c>
      <c r="C61" s="1845">
        <f>IF(BUDGET!AP61=0,"",BUDGET!AP61)</f>
        <v>112839</v>
      </c>
      <c r="D61" s="1821"/>
      <c r="E61" s="843"/>
      <c r="F61" s="1513"/>
      <c r="G61" s="1770"/>
      <c r="H61" s="843"/>
      <c r="I61" s="1875"/>
    </row>
    <row r="62" spans="2:9" x14ac:dyDescent="0.2">
      <c r="B62" s="1955" t="str">
        <f>IF(BUDGET!A62=0,"",BUDGET!A62)</f>
        <v xml:space="preserve">   OTHER</v>
      </c>
      <c r="C62" s="1845">
        <f>IF(BUDGET!AP62=0,"",BUDGET!AP62)</f>
        <v>52068</v>
      </c>
      <c r="D62" s="1821"/>
      <c r="E62" s="843"/>
      <c r="F62" s="1513"/>
      <c r="G62" s="1770"/>
      <c r="H62" s="843"/>
      <c r="I62" s="1875"/>
    </row>
    <row r="63" spans="2:9" x14ac:dyDescent="0.2">
      <c r="B63" s="1953" t="str">
        <f>IF(BUDGET!A63=0,"",BUDGET!A63)</f>
        <v xml:space="preserve">  GASB-45</v>
      </c>
      <c r="C63" s="1845">
        <f>IF(BUDGET!AP63=0,"",BUDGET!AP63)</f>
        <v>8100</v>
      </c>
      <c r="D63" s="1821"/>
      <c r="E63" s="843"/>
      <c r="F63" s="1513"/>
      <c r="G63" s="1770"/>
      <c r="H63" s="843"/>
      <c r="I63" s="1875"/>
    </row>
    <row r="64" spans="2:9" x14ac:dyDescent="0.2">
      <c r="B64" s="1953" t="str">
        <f>IF(BUDGET!A64=0,"",BUDGET!A64)</f>
        <v xml:space="preserve"> TOTAL-GASB-45</v>
      </c>
      <c r="C64" s="1822">
        <f>IF(BUDGET!AP64=0,"",BUDGET!AP64)</f>
        <v>283671</v>
      </c>
      <c r="D64" s="1822"/>
      <c r="E64" s="814"/>
      <c r="F64" s="853"/>
      <c r="G64" s="1771"/>
      <c r="H64" s="814"/>
      <c r="I64" s="1876"/>
    </row>
    <row r="65" spans="2:10" x14ac:dyDescent="0.2">
      <c r="B65" s="1962" t="str">
        <f>IF(BUDGET!A65=0,"",BUDGET!A65)</f>
        <v/>
      </c>
      <c r="C65" s="1857" t="str">
        <f>IF(BUDGET!AP65=0,"",BUDGET!AP65)</f>
        <v/>
      </c>
      <c r="D65" s="1823"/>
      <c r="E65" s="856"/>
      <c r="F65" s="1237"/>
      <c r="G65" s="1772"/>
      <c r="H65" s="856"/>
      <c r="I65" s="1877"/>
    </row>
    <row r="66" spans="2:10" x14ac:dyDescent="0.2">
      <c r="B66" s="1955" t="str">
        <f>IF(BUDGET!A66=0,"",BUDGET!A66)</f>
        <v>TOWN HALL</v>
      </c>
      <c r="C66" s="1819" t="str">
        <f>IF(BUDGET!AP66=0,"",BUDGET!AP66)</f>
        <v/>
      </c>
      <c r="D66" s="1824"/>
      <c r="E66" s="859"/>
      <c r="F66" s="1178"/>
      <c r="G66" s="1773"/>
      <c r="H66" s="859"/>
      <c r="I66" s="1878"/>
    </row>
    <row r="67" spans="2:10" x14ac:dyDescent="0.2">
      <c r="B67" s="1955" t="str">
        <f>IF(BUDGET!A67=0,"",BUDGET!A67)</f>
        <v xml:space="preserve">   WAGES</v>
      </c>
      <c r="C67" s="1819" t="str">
        <f>IF(BUDGET!AP67=0,"",BUDGET!AP67)</f>
        <v/>
      </c>
      <c r="D67" s="1819"/>
      <c r="E67" s="817"/>
      <c r="F67" s="877"/>
      <c r="G67" s="2075"/>
      <c r="H67" s="817"/>
      <c r="I67" s="1873"/>
    </row>
    <row r="68" spans="2:10" x14ac:dyDescent="0.2">
      <c r="B68" s="1955" t="str">
        <f>IF(BUDGET!A68=0,"",BUDGET!A68)</f>
        <v xml:space="preserve">   OTHER</v>
      </c>
      <c r="C68" s="1845">
        <f>IF(BUDGET!AP68=0,"",BUDGET!AP68)</f>
        <v>261841</v>
      </c>
      <c r="D68" s="1821"/>
      <c r="E68" s="843"/>
      <c r="F68" s="1513"/>
      <c r="G68" s="2073"/>
      <c r="H68" s="2072"/>
      <c r="I68" s="2076"/>
    </row>
    <row r="69" spans="2:10" x14ac:dyDescent="0.2">
      <c r="B69" s="1953" t="str">
        <f>IF(BUDGET!A69=0,"",BUDGET!A69)</f>
        <v xml:space="preserve">   TOTAL </v>
      </c>
      <c r="C69" s="1830">
        <f>IF(BUDGET!AP69=0,"",BUDGET!AP69)</f>
        <v>261841</v>
      </c>
      <c r="D69" s="1830"/>
      <c r="E69" s="852"/>
      <c r="F69" s="1117"/>
      <c r="G69" s="2074"/>
      <c r="H69" s="852"/>
      <c r="I69" s="1884"/>
    </row>
    <row r="70" spans="2:10" x14ac:dyDescent="0.2">
      <c r="B70" s="1956" t="str">
        <f>IF(BUDGET!A70=0,"",BUDGET!A70)</f>
        <v/>
      </c>
      <c r="C70" s="1836" t="str">
        <f>IF(BUDGET!AP70=0,"",BUDGET!AP70)</f>
        <v/>
      </c>
      <c r="D70" s="1820"/>
      <c r="E70" s="831"/>
      <c r="F70" s="1733"/>
      <c r="G70" s="1769"/>
      <c r="H70" s="831"/>
      <c r="I70" s="1874"/>
    </row>
    <row r="71" spans="2:10" x14ac:dyDescent="0.2">
      <c r="B71" s="1955" t="str">
        <f>IF(BUDGET!A71=0,"",BUDGET!A71)</f>
        <v>SCHOOL STREET BUILDING</v>
      </c>
      <c r="C71" s="1822" t="str">
        <f>IF(BUDGET!AP71=0,"",BUDGET!AP71)</f>
        <v/>
      </c>
      <c r="D71" s="1829"/>
      <c r="E71" s="861"/>
      <c r="F71" s="1200"/>
      <c r="G71" s="1778"/>
      <c r="H71" s="861"/>
      <c r="I71" s="1883"/>
    </row>
    <row r="72" spans="2:10" x14ac:dyDescent="0.2">
      <c r="B72" s="1955" t="str">
        <f>IF(BUDGET!A72=0,"",BUDGET!A72)</f>
        <v xml:space="preserve">   OTHER</v>
      </c>
      <c r="C72" s="1845">
        <f>IF(BUDGET!AP72=0,"",BUDGET!AP72)</f>
        <v>625</v>
      </c>
      <c r="D72" s="1821"/>
      <c r="E72" s="843"/>
      <c r="F72" s="1513"/>
      <c r="G72" s="1770"/>
      <c r="H72" s="941"/>
      <c r="I72" s="2076"/>
    </row>
    <row r="73" spans="2:10" x14ac:dyDescent="0.2">
      <c r="B73" s="1953" t="str">
        <f>IF(BUDGET!A73=0,"",BUDGET!A73)</f>
        <v xml:space="preserve">  TOTAL</v>
      </c>
      <c r="C73" s="1822">
        <f>IF(BUDGET!AP73=0,"",BUDGET!AP73)</f>
        <v>625</v>
      </c>
      <c r="D73" s="1822"/>
      <c r="E73" s="814"/>
      <c r="F73" s="853"/>
      <c r="G73" s="1771"/>
      <c r="H73" s="814"/>
      <c r="I73" s="1876"/>
    </row>
    <row r="74" spans="2:10" x14ac:dyDescent="0.2">
      <c r="B74" s="1957" t="str">
        <f>IF(BUDGET!A74=0,"",BUDGET!A74)</f>
        <v/>
      </c>
      <c r="C74" s="1857" t="str">
        <f>IF(BUDGET!AP74=0,"",BUDGET!AP74)</f>
        <v/>
      </c>
      <c r="D74" s="1823"/>
      <c r="E74" s="856"/>
      <c r="F74" s="1237"/>
      <c r="G74" s="1772"/>
      <c r="H74" s="856"/>
      <c r="I74" s="1877"/>
    </row>
    <row r="75" spans="2:10" x14ac:dyDescent="0.2">
      <c r="B75" s="1955" t="str">
        <f>IF(BUDGET!A75=0,"",BUDGET!A75)</f>
        <v>PERSONNEL BOARD</v>
      </c>
      <c r="C75" s="2081" t="str">
        <f>IF(BUDGET!AP75=0,"",BUDGET!AP75)</f>
        <v/>
      </c>
      <c r="D75" s="2082"/>
      <c r="E75" s="2083"/>
      <c r="F75" s="2084"/>
      <c r="G75" s="2085"/>
      <c r="H75" s="2083"/>
      <c r="I75" s="2086"/>
      <c r="J75">
        <v>1</v>
      </c>
    </row>
    <row r="76" spans="2:10" x14ac:dyDescent="0.2">
      <c r="B76" s="1955" t="str">
        <f>IF(BUDGET!A76=0,"",BUDGET!A76)</f>
        <v xml:space="preserve">   WAGES</v>
      </c>
      <c r="C76" s="2081" t="str">
        <f>IF(BUDGET!AP76=0,"",BUDGET!AP76)</f>
        <v/>
      </c>
      <c r="D76" s="2081"/>
      <c r="E76" s="2087"/>
      <c r="F76" s="2088"/>
      <c r="G76" s="2089"/>
      <c r="H76" s="2087"/>
      <c r="I76" s="2090"/>
      <c r="J76">
        <v>1</v>
      </c>
    </row>
    <row r="77" spans="2:10" x14ac:dyDescent="0.2">
      <c r="B77" s="1955" t="str">
        <f>IF(BUDGET!A77=0,"",BUDGET!A77)</f>
        <v xml:space="preserve">   OTHER</v>
      </c>
      <c r="C77" s="2091" t="str">
        <f>IF(BUDGET!AP77=0,"",BUDGET!AP77)</f>
        <v/>
      </c>
      <c r="D77" s="2091"/>
      <c r="E77" s="2092"/>
      <c r="F77" s="2093"/>
      <c r="G77" s="2094"/>
      <c r="H77" s="2092"/>
      <c r="I77" s="2095"/>
      <c r="J77">
        <v>1</v>
      </c>
    </row>
    <row r="78" spans="2:10" x14ac:dyDescent="0.2">
      <c r="B78" s="1953" t="str">
        <f>IF(BUDGET!A78=0,"",BUDGET!A78)</f>
        <v xml:space="preserve">   TOTAL</v>
      </c>
      <c r="C78" s="2091" t="str">
        <f>IF(BUDGET!AP78=0,"",BUDGET!AP78)</f>
        <v/>
      </c>
      <c r="D78" s="2091"/>
      <c r="E78" s="2092"/>
      <c r="F78" s="2093"/>
      <c r="G78" s="2094"/>
      <c r="H78" s="2092"/>
      <c r="I78" s="2095"/>
      <c r="J78">
        <v>1</v>
      </c>
    </row>
    <row r="79" spans="2:10" x14ac:dyDescent="0.2">
      <c r="B79" s="1963" t="str">
        <f>IF(BUDGET!A79=0,"",BUDGET!A79)</f>
        <v/>
      </c>
      <c r="C79" s="2096" t="str">
        <f>IF(BUDGET!AP79=0,"",BUDGET!AP79)</f>
        <v/>
      </c>
      <c r="D79" s="2097"/>
      <c r="E79" s="2098"/>
      <c r="F79" s="2099"/>
      <c r="G79" s="2100"/>
      <c r="H79" s="2098"/>
      <c r="I79" s="2101"/>
      <c r="J79">
        <v>1</v>
      </c>
    </row>
    <row r="80" spans="2:10" x14ac:dyDescent="0.2">
      <c r="B80" s="1955" t="str">
        <f>IF(BUDGET!A80=0,"",BUDGET!A80)</f>
        <v>TOWN CLERK</v>
      </c>
      <c r="C80" s="1819" t="str">
        <f>IF(BUDGET!AP80=0,"",BUDGET!AP80)</f>
        <v/>
      </c>
      <c r="D80" s="1824"/>
      <c r="E80" s="859"/>
      <c r="F80" s="1178"/>
      <c r="G80" s="1773"/>
      <c r="H80" s="859"/>
      <c r="I80" s="1878"/>
    </row>
    <row r="81" spans="2:10" x14ac:dyDescent="0.2">
      <c r="B81" s="1955" t="str">
        <f>IF(BUDGET!A81=0,"",BUDGET!A81)</f>
        <v xml:space="preserve">   SALARIES</v>
      </c>
      <c r="C81" s="1845">
        <f>IF(BUDGET!AP81=0,"",BUDGET!AP81)</f>
        <v>78509</v>
      </c>
      <c r="D81" s="1821"/>
      <c r="E81" s="843"/>
      <c r="F81" s="1513"/>
      <c r="G81" s="1770"/>
      <c r="H81" s="843"/>
      <c r="I81" s="1875"/>
    </row>
    <row r="82" spans="2:10" x14ac:dyDescent="0.2">
      <c r="B82" s="1955" t="str">
        <f>IF(BUDGET!A82=0,"",BUDGET!A82)</f>
        <v xml:space="preserve">   WAGES</v>
      </c>
      <c r="C82" s="1845">
        <f>IF(BUDGET!AP82=0,"",BUDGET!AP82)</f>
        <v>38307</v>
      </c>
      <c r="D82" s="1821"/>
      <c r="E82" s="843"/>
      <c r="F82" s="1513"/>
      <c r="G82" s="1770"/>
      <c r="H82" s="843"/>
      <c r="I82" s="1875"/>
    </row>
    <row r="83" spans="2:10" x14ac:dyDescent="0.2">
      <c r="B83" s="1955" t="str">
        <f>IF(BUDGET!A83=0,"",BUDGET!A83)</f>
        <v xml:space="preserve">   OTHER</v>
      </c>
      <c r="C83" s="1845">
        <f>IF(BUDGET!AP83=0,"",BUDGET!AP83)</f>
        <v>23277</v>
      </c>
      <c r="D83" s="1821"/>
      <c r="E83" s="843"/>
      <c r="F83" s="1513"/>
      <c r="G83" s="1770"/>
      <c r="H83" s="2072"/>
      <c r="I83" s="2076"/>
    </row>
    <row r="84" spans="2:10" x14ac:dyDescent="0.2">
      <c r="B84" s="1953" t="str">
        <f>IF(BUDGET!A84=0,"",BUDGET!A84)</f>
        <v xml:space="preserve">   TOTAL</v>
      </c>
      <c r="C84" s="1822">
        <f>IF(BUDGET!AP84=0,"",BUDGET!AP84)</f>
        <v>140093</v>
      </c>
      <c r="D84" s="1822"/>
      <c r="E84" s="814"/>
      <c r="F84" s="853"/>
      <c r="G84" s="1771"/>
      <c r="H84" s="814"/>
      <c r="I84" s="1876"/>
    </row>
    <row r="85" spans="2:10" x14ac:dyDescent="0.2">
      <c r="B85" s="1957" t="str">
        <f>IF(BUDGET!A85=0,"",BUDGET!A85)</f>
        <v/>
      </c>
      <c r="C85" s="1857" t="str">
        <f>IF(BUDGET!AP85=0,"",BUDGET!AP85)</f>
        <v/>
      </c>
      <c r="D85" s="1823"/>
      <c r="E85" s="856"/>
      <c r="F85" s="1237"/>
      <c r="G85" s="1772"/>
      <c r="H85" s="856"/>
      <c r="I85" s="1877"/>
    </row>
    <row r="86" spans="2:10" x14ac:dyDescent="0.2">
      <c r="B86" s="1955" t="str">
        <f>IF(BUDGET!A86=0,"",BUDGET!A86)</f>
        <v>TRUST FUND CLERK</v>
      </c>
      <c r="C86" s="2081" t="str">
        <f>IF(BUDGET!AP86=0,"",BUDGET!AP86)</f>
        <v/>
      </c>
      <c r="D86" s="2082"/>
      <c r="E86" s="2083"/>
      <c r="F86" s="2084"/>
      <c r="G86" s="2085"/>
      <c r="H86" s="2083"/>
      <c r="I86" s="2086"/>
      <c r="J86">
        <v>1</v>
      </c>
    </row>
    <row r="87" spans="2:10" x14ac:dyDescent="0.2">
      <c r="B87" s="1955" t="str">
        <f>IF(BUDGET!A87=0,"",BUDGET!A87)</f>
        <v xml:space="preserve">   SALARY</v>
      </c>
      <c r="C87" s="2081" t="str">
        <f>IF(BUDGET!AP87=0,"",BUDGET!AP87)</f>
        <v/>
      </c>
      <c r="D87" s="2081"/>
      <c r="E87" s="2087"/>
      <c r="F87" s="2088"/>
      <c r="G87" s="2089"/>
      <c r="H87" s="2087"/>
      <c r="I87" s="2090"/>
      <c r="J87">
        <v>1</v>
      </c>
    </row>
    <row r="88" spans="2:10" x14ac:dyDescent="0.2">
      <c r="B88" s="1955" t="str">
        <f>IF(BUDGET!A88=0,"",BUDGET!A88)</f>
        <v xml:space="preserve">   WAGES</v>
      </c>
      <c r="C88" s="2081" t="str">
        <f>IF(BUDGET!AP88=0,"",BUDGET!AP88)</f>
        <v/>
      </c>
      <c r="D88" s="2081"/>
      <c r="E88" s="2087"/>
      <c r="F88" s="2088"/>
      <c r="G88" s="2089"/>
      <c r="H88" s="2087"/>
      <c r="I88" s="2090"/>
      <c r="J88">
        <v>1</v>
      </c>
    </row>
    <row r="89" spans="2:10" x14ac:dyDescent="0.2">
      <c r="B89" s="1955" t="str">
        <f>IF(BUDGET!A89=0,"",BUDGET!A89)</f>
        <v xml:space="preserve">   OTHER</v>
      </c>
      <c r="C89" s="2102" t="str">
        <f>IF(BUDGET!AP89=0,"",BUDGET!AP89)</f>
        <v/>
      </c>
      <c r="D89" s="2103"/>
      <c r="E89" s="2104"/>
      <c r="F89" s="2105"/>
      <c r="G89" s="2106"/>
      <c r="H89" s="2104"/>
      <c r="I89" s="2107"/>
      <c r="J89">
        <v>1</v>
      </c>
    </row>
    <row r="90" spans="2:10" x14ac:dyDescent="0.2">
      <c r="B90" s="1953" t="str">
        <f>IF(BUDGET!A90=0,"",BUDGET!A90)</f>
        <v xml:space="preserve">   TOTAL</v>
      </c>
      <c r="C90" s="2091" t="str">
        <f>IF(BUDGET!AP90=0,"",BUDGET!AP90)</f>
        <v/>
      </c>
      <c r="D90" s="2091"/>
      <c r="E90" s="2092"/>
      <c r="F90" s="2093"/>
      <c r="G90" s="2094"/>
      <c r="H90" s="2092"/>
      <c r="I90" s="2095"/>
      <c r="J90">
        <v>1</v>
      </c>
    </row>
    <row r="91" spans="2:10" x14ac:dyDescent="0.2">
      <c r="B91" s="1957" t="str">
        <f>IF(BUDGET!A91=0,"",BUDGET!A91)</f>
        <v/>
      </c>
      <c r="C91" s="1857" t="str">
        <f>IF(BUDGET!AP91=0,"",BUDGET!AP91)</f>
        <v/>
      </c>
      <c r="D91" s="1823"/>
      <c r="E91" s="856"/>
      <c r="F91" s="1237"/>
      <c r="G91" s="1772"/>
      <c r="H91" s="856"/>
      <c r="I91" s="1877"/>
    </row>
    <row r="92" spans="2:10" x14ac:dyDescent="0.2">
      <c r="B92" s="1955" t="str">
        <f>IF(BUDGET!A92=0,"",BUDGET!A92)</f>
        <v>CONSERVATION COMMISSION</v>
      </c>
      <c r="C92" s="1819" t="str">
        <f>IF(BUDGET!AP92=0,"",BUDGET!AP92)</f>
        <v/>
      </c>
      <c r="D92" s="1824"/>
      <c r="E92" s="859"/>
      <c r="F92" s="1178"/>
      <c r="G92" s="1773"/>
      <c r="H92" s="859"/>
      <c r="I92" s="1878"/>
    </row>
    <row r="93" spans="2:10" x14ac:dyDescent="0.2">
      <c r="B93" s="1955" t="str">
        <f>IF(BUDGET!A93=0,"",BUDGET!A93)</f>
        <v xml:space="preserve">   SALARIES</v>
      </c>
      <c r="C93" s="1845">
        <f>IF(BUDGET!AP93=0,"",BUDGET!AP93)</f>
        <v>72726</v>
      </c>
      <c r="D93" s="1821"/>
      <c r="E93" s="843"/>
      <c r="F93" s="1513"/>
      <c r="G93" s="1770"/>
      <c r="H93" s="843"/>
      <c r="I93" s="1875"/>
    </row>
    <row r="94" spans="2:10" x14ac:dyDescent="0.2">
      <c r="B94" s="1955" t="str">
        <f>IF(BUDGET!A94=0,"",BUDGET!A94)</f>
        <v xml:space="preserve">   WAGES</v>
      </c>
      <c r="C94" s="1845">
        <f>IF(BUDGET!AP94=0,"",BUDGET!AP94)</f>
        <v>25681</v>
      </c>
      <c r="D94" s="1821"/>
      <c r="E94" s="843"/>
      <c r="F94" s="1513"/>
      <c r="G94" s="1770"/>
      <c r="H94" s="843"/>
      <c r="I94" s="1875"/>
    </row>
    <row r="95" spans="2:10" x14ac:dyDescent="0.2">
      <c r="B95" s="1955" t="str">
        <f>IF(BUDGET!A95=0,"",BUDGET!A95)</f>
        <v xml:space="preserve">   OTHER</v>
      </c>
      <c r="C95" s="1819" t="str">
        <f>IF(BUDGET!AP95=0,"",BUDGET!AP95)</f>
        <v/>
      </c>
      <c r="D95" s="1819"/>
      <c r="E95" s="817"/>
      <c r="F95" s="877"/>
      <c r="G95" s="1768"/>
      <c r="H95" s="817"/>
      <c r="I95" s="1873"/>
    </row>
    <row r="96" spans="2:10" x14ac:dyDescent="0.2">
      <c r="B96" s="1953" t="str">
        <f>IF(BUDGET!A96=0,"",BUDGET!A96)</f>
        <v xml:space="preserve">   TOTAL</v>
      </c>
      <c r="C96" s="1822">
        <f>IF(BUDGET!AP96=0,"",BUDGET!AP96)</f>
        <v>98407</v>
      </c>
      <c r="D96" s="1822"/>
      <c r="E96" s="814"/>
      <c r="F96" s="853"/>
      <c r="G96" s="1771"/>
      <c r="H96" s="814"/>
      <c r="I96" s="1876"/>
    </row>
    <row r="97" spans="2:10" x14ac:dyDescent="0.2">
      <c r="B97" s="1957" t="str">
        <f>IF(BUDGET!A97=0,"",BUDGET!A97)</f>
        <v/>
      </c>
      <c r="C97" s="1857" t="str">
        <f>IF(BUDGET!AP97=0,"",BUDGET!AP97)</f>
        <v/>
      </c>
      <c r="D97" s="1823"/>
      <c r="E97" s="856"/>
      <c r="F97" s="1237"/>
      <c r="G97" s="1772"/>
      <c r="H97" s="856"/>
      <c r="I97" s="1877"/>
    </row>
    <row r="98" spans="2:10" x14ac:dyDescent="0.2">
      <c r="B98" s="1955" t="str">
        <f>IF(BUDGET!A98=0,"",BUDGET!A98)</f>
        <v>OPEN SPACE COMMITTEE</v>
      </c>
      <c r="C98" s="2081" t="str">
        <f>IF(BUDGET!AP98=0,"",BUDGET!AP98)</f>
        <v/>
      </c>
      <c r="D98" s="2082"/>
      <c r="E98" s="2083"/>
      <c r="F98" s="2084"/>
      <c r="G98" s="2085"/>
      <c r="H98" s="2083"/>
      <c r="I98" s="2086"/>
      <c r="J98">
        <v>1</v>
      </c>
    </row>
    <row r="99" spans="2:10" x14ac:dyDescent="0.2">
      <c r="B99" s="1955" t="str">
        <f>IF(BUDGET!A99=0,"",BUDGET!A99)</f>
        <v xml:space="preserve">   OTHER </v>
      </c>
      <c r="C99" s="2081" t="str">
        <f>IF(BUDGET!AP99=0,"",BUDGET!AP99)</f>
        <v/>
      </c>
      <c r="D99" s="2081"/>
      <c r="E99" s="2087"/>
      <c r="F99" s="2088"/>
      <c r="G99" s="2089"/>
      <c r="H99" s="2087"/>
      <c r="I99" s="2090"/>
      <c r="J99">
        <v>1</v>
      </c>
    </row>
    <row r="100" spans="2:10" x14ac:dyDescent="0.2">
      <c r="B100" s="1953" t="str">
        <f>IF(BUDGET!A100=0,"",BUDGET!A100)</f>
        <v xml:space="preserve">   TOTAL</v>
      </c>
      <c r="C100" s="2091" t="str">
        <f>IF(BUDGET!AP100=0,"",BUDGET!AP100)</f>
        <v/>
      </c>
      <c r="D100" s="2091"/>
      <c r="E100" s="2092"/>
      <c r="F100" s="2093"/>
      <c r="G100" s="2094"/>
      <c r="H100" s="2092"/>
      <c r="I100" s="2095"/>
      <c r="J100">
        <v>1</v>
      </c>
    </row>
    <row r="101" spans="2:10" x14ac:dyDescent="0.2">
      <c r="B101" s="1957" t="str">
        <f>IF(BUDGET!A101=0,"",BUDGET!A101)</f>
        <v/>
      </c>
      <c r="C101" s="2096" t="str">
        <f>IF(BUDGET!AP101=0,"",BUDGET!AP101)</f>
        <v/>
      </c>
      <c r="D101" s="2097"/>
      <c r="E101" s="2098"/>
      <c r="F101" s="2099"/>
      <c r="G101" s="2100"/>
      <c r="H101" s="2098"/>
      <c r="I101" s="2101"/>
      <c r="J101">
        <v>1</v>
      </c>
    </row>
    <row r="102" spans="2:10" x14ac:dyDescent="0.2">
      <c r="B102" s="1955" t="str">
        <f>IF(BUDGET!A102=0,"",BUDGET!A102)</f>
        <v>PLANNING BOARD</v>
      </c>
      <c r="C102" s="1819" t="str">
        <f>IF(BUDGET!AP102=0,"",BUDGET!AP102)</f>
        <v/>
      </c>
      <c r="D102" s="1824"/>
      <c r="E102" s="859"/>
      <c r="F102" s="1178"/>
      <c r="G102" s="1773"/>
      <c r="H102" s="859"/>
      <c r="I102" s="1878"/>
    </row>
    <row r="103" spans="2:10" x14ac:dyDescent="0.2">
      <c r="B103" s="1955" t="str">
        <f>IF(BUDGET!A103=0,"",BUDGET!A103)</f>
        <v xml:space="preserve">   SALARIES</v>
      </c>
      <c r="C103" s="1819">
        <f>IF(BUDGET!AP103=0,"",BUDGET!AP103)</f>
        <v>5</v>
      </c>
      <c r="D103" s="1819"/>
      <c r="E103" s="817"/>
      <c r="F103" s="877"/>
      <c r="G103" s="1768"/>
      <c r="H103" s="817"/>
      <c r="I103" s="1873"/>
    </row>
    <row r="104" spans="2:10" x14ac:dyDescent="0.2">
      <c r="B104" s="1955" t="str">
        <f>IF(BUDGET!A104=0,"",BUDGET!A104)</f>
        <v xml:space="preserve">   WAGES</v>
      </c>
      <c r="C104" s="1964" t="str">
        <f>IF(BUDGET!AP104=0,"",BUDGET!AP104)</f>
        <v/>
      </c>
      <c r="D104" s="1831"/>
      <c r="E104" s="941"/>
      <c r="F104" s="1737"/>
      <c r="G104" s="1779"/>
      <c r="H104" s="941"/>
      <c r="I104" s="1885"/>
    </row>
    <row r="105" spans="2:10" x14ac:dyDescent="0.2">
      <c r="B105" s="1955" t="str">
        <f>IF(BUDGET!A105=0,"",BUDGET!A105)</f>
        <v xml:space="preserve">   OTHER</v>
      </c>
      <c r="C105" s="1845">
        <f>IF(BUDGET!AP105=0,"",BUDGET!AP105)</f>
        <v>1750</v>
      </c>
      <c r="D105" s="1821"/>
      <c r="E105" s="843"/>
      <c r="F105" s="1513"/>
      <c r="G105" s="1770"/>
      <c r="H105" s="843"/>
      <c r="I105" s="1875"/>
    </row>
    <row r="106" spans="2:10" x14ac:dyDescent="0.2">
      <c r="B106" s="1953" t="str">
        <f>IF(BUDGET!A106=0,"",BUDGET!A106)</f>
        <v xml:space="preserve">   TOTAL</v>
      </c>
      <c r="C106" s="1822">
        <f>IF(BUDGET!AP106=0,"",BUDGET!AP106)</f>
        <v>1755</v>
      </c>
      <c r="D106" s="1822"/>
      <c r="E106" s="814"/>
      <c r="F106" s="853"/>
      <c r="G106" s="1771"/>
      <c r="H106" s="814"/>
      <c r="I106" s="1876"/>
    </row>
    <row r="107" spans="2:10" x14ac:dyDescent="0.2">
      <c r="B107" s="1956" t="str">
        <f>IF(BUDGET!A107=0,"",BUDGET!A107)</f>
        <v/>
      </c>
      <c r="C107" s="1857" t="str">
        <f>IF(BUDGET!AP107=0,"",BUDGET!AP107)</f>
        <v/>
      </c>
      <c r="D107" s="1823"/>
      <c r="E107" s="856"/>
      <c r="F107" s="1237"/>
      <c r="G107" s="1772"/>
      <c r="H107" s="856"/>
      <c r="I107" s="1877"/>
    </row>
    <row r="108" spans="2:10" x14ac:dyDescent="0.2">
      <c r="B108" s="1965" t="str">
        <f>IF(BUDGET!A108=0,"",BUDGET!A108)</f>
        <v>ZONING BOARD OF APPEALS</v>
      </c>
      <c r="C108" s="1966" t="str">
        <f>IF(BUDGET!AP108=0,"",BUDGET!AP108)</f>
        <v/>
      </c>
      <c r="D108" s="1920"/>
      <c r="E108" s="1921"/>
      <c r="F108" s="1922"/>
      <c r="G108" s="1923"/>
      <c r="H108" s="1921"/>
      <c r="I108" s="1924"/>
    </row>
    <row r="109" spans="2:10" x14ac:dyDescent="0.2">
      <c r="B109" s="1955" t="str">
        <f>IF(BUDGET!A109=0,"",BUDGET!A109)</f>
        <v xml:space="preserve">   SALARIES</v>
      </c>
      <c r="C109" s="1819" t="str">
        <f>IF(BUDGET!AP109=0,"",BUDGET!AP109)</f>
        <v/>
      </c>
      <c r="D109" s="1824"/>
      <c r="E109" s="859"/>
      <c r="F109" s="1178"/>
      <c r="G109" s="1773"/>
      <c r="H109" s="859"/>
      <c r="I109" s="1878"/>
    </row>
    <row r="110" spans="2:10" x14ac:dyDescent="0.2">
      <c r="B110" s="1955" t="str">
        <f>IF(BUDGET!A110=0,"",BUDGET!A110)</f>
        <v xml:space="preserve">   WAGES</v>
      </c>
      <c r="C110" s="1819" t="str">
        <f>IF(BUDGET!AP110=0,"",BUDGET!AP110)</f>
        <v/>
      </c>
      <c r="D110" s="1824"/>
      <c r="E110" s="859"/>
      <c r="F110" s="1178"/>
      <c r="G110" s="1773"/>
      <c r="H110" s="859"/>
      <c r="I110" s="1878"/>
    </row>
    <row r="111" spans="2:10" x14ac:dyDescent="0.2">
      <c r="B111" s="1955" t="str">
        <f>IF(BUDGET!A111=0,"",BUDGET!A111)</f>
        <v xml:space="preserve">   OTHER</v>
      </c>
      <c r="C111" s="1845">
        <f>IF(BUDGET!AP111=0,"",BUDGET!AP111)</f>
        <v>750</v>
      </c>
      <c r="D111" s="1821"/>
      <c r="E111" s="843"/>
      <c r="F111" s="1513"/>
      <c r="G111" s="1770"/>
      <c r="H111" s="843"/>
      <c r="I111" s="1875"/>
    </row>
    <row r="112" spans="2:10" x14ac:dyDescent="0.2">
      <c r="B112" s="1953" t="str">
        <f>IF(BUDGET!A112=0,"",BUDGET!A112)</f>
        <v xml:space="preserve">   TOTAL</v>
      </c>
      <c r="C112" s="1822">
        <f>IF(BUDGET!AP112=0,"",BUDGET!AP112)</f>
        <v>750</v>
      </c>
      <c r="D112" s="1822"/>
      <c r="E112" s="814"/>
      <c r="F112" s="853"/>
      <c r="G112" s="1771"/>
      <c r="H112" s="814"/>
      <c r="I112" s="1876"/>
    </row>
    <row r="113" spans="2:9" x14ac:dyDescent="0.2">
      <c r="B113" s="1957" t="str">
        <f>IF(BUDGET!A113=0,"",BUDGET!A113)</f>
        <v/>
      </c>
      <c r="C113" s="1857" t="str">
        <f>IF(BUDGET!AP113=0,"",BUDGET!AP113)</f>
        <v/>
      </c>
      <c r="D113" s="1823"/>
      <c r="E113" s="856"/>
      <c r="F113" s="1237"/>
      <c r="G113" s="1772"/>
      <c r="H113" s="856"/>
      <c r="I113" s="1877"/>
    </row>
    <row r="114" spans="2:9" x14ac:dyDescent="0.2">
      <c r="B114" s="1953" t="str">
        <f>IF(BUDGET!A114=0,"",BUDGET!A114)</f>
        <v>GENERAL GOV'T:  SUB-TOTAL</v>
      </c>
      <c r="C114" s="1822" t="str">
        <f>IF(BUDGET!AP114=0,"",BUDGET!AP114)</f>
        <v/>
      </c>
      <c r="D114" s="1829"/>
      <c r="E114" s="861"/>
      <c r="F114" s="1200"/>
      <c r="G114" s="1778"/>
      <c r="H114" s="861"/>
      <c r="I114" s="1883"/>
    </row>
    <row r="115" spans="2:9" x14ac:dyDescent="0.2">
      <c r="B115" s="1953" t="str">
        <f>IF(BUDGET!A115=0,"",BUDGET!A115)</f>
        <v xml:space="preserve">   SALARIES</v>
      </c>
      <c r="C115" s="1832">
        <f>IF(BUDGET!AP115=0,"",BUDGET!AP115)</f>
        <v>696788</v>
      </c>
      <c r="D115" s="1832"/>
      <c r="E115" s="928"/>
      <c r="F115" s="1738"/>
      <c r="G115" s="1780"/>
      <c r="H115" s="928"/>
      <c r="I115" s="1886"/>
    </row>
    <row r="116" spans="2:9" x14ac:dyDescent="0.2">
      <c r="B116" s="1953" t="str">
        <f>IF(BUDGET!A116=0,"",BUDGET!A116)</f>
        <v xml:space="preserve">   WAGES </v>
      </c>
      <c r="C116" s="1832">
        <f>IF(BUDGET!AP116=0,"",BUDGET!AP116)</f>
        <v>379811</v>
      </c>
      <c r="D116" s="1832"/>
      <c r="E116" s="928"/>
      <c r="F116" s="1738"/>
      <c r="G116" s="1780"/>
      <c r="H116" s="928"/>
      <c r="I116" s="1886"/>
    </row>
    <row r="117" spans="2:9" x14ac:dyDescent="0.2">
      <c r="B117" s="1953" t="str">
        <f>IF(BUDGET!A117=0,"",BUDGET!A117)</f>
        <v xml:space="preserve">   OTHER</v>
      </c>
      <c r="C117" s="1832">
        <f>IF(BUDGET!AP117=0,"",BUDGET!AP117)</f>
        <v>582343</v>
      </c>
      <c r="D117" s="1832"/>
      <c r="E117" s="928"/>
      <c r="F117" s="1738"/>
      <c r="G117" s="1780"/>
      <c r="H117" s="928"/>
      <c r="I117" s="1886"/>
    </row>
    <row r="118" spans="2:9" x14ac:dyDescent="0.2">
      <c r="B118" s="1953" t="str">
        <f>IF(BUDGET!A118=0,"",BUDGET!A118)</f>
        <v>RESERVE FUNDS</v>
      </c>
      <c r="C118" s="1832">
        <f>IF(BUDGET!AP118=0,"",BUDGET!AP118)</f>
        <v>100000</v>
      </c>
      <c r="D118" s="1832"/>
      <c r="E118" s="928"/>
      <c r="F118" s="1738"/>
      <c r="G118" s="1780"/>
      <c r="H118" s="928"/>
      <c r="I118" s="1886"/>
    </row>
    <row r="119" spans="2:9" x14ac:dyDescent="0.2">
      <c r="B119" s="1953" t="str">
        <f>IF(BUDGET!A119=0,"",BUDGET!A119)</f>
        <v xml:space="preserve">   GASB-45</v>
      </c>
      <c r="C119" s="1832" t="str">
        <f>IF(BUDGET!AP119=0,"",BUDGET!AP119)</f>
        <v/>
      </c>
      <c r="D119" s="1832"/>
      <c r="E119" s="928"/>
      <c r="F119" s="1738"/>
      <c r="G119" s="1780"/>
      <c r="H119" s="928"/>
      <c r="I119" s="1886"/>
    </row>
    <row r="120" spans="2:9" ht="13.5" thickBot="1" x14ac:dyDescent="0.25">
      <c r="B120" s="1967" t="str">
        <f>IF(BUDGET!A120=0,"",BUDGET!A120)</f>
        <v>GENERAL GOVERN. :  SUB-TOTAL</v>
      </c>
      <c r="C120" s="1833">
        <f>IF(BUDGET!AP120=0,"",BUDGET!AP120)</f>
        <v>1758942</v>
      </c>
      <c r="D120" s="1833"/>
      <c r="E120" s="953"/>
      <c r="F120" s="1739"/>
      <c r="G120" s="1781"/>
      <c r="H120" s="953"/>
      <c r="I120" s="1887"/>
    </row>
    <row r="121" spans="2:9" ht="13.5" thickTop="1" x14ac:dyDescent="0.2">
      <c r="B121" s="1953" t="str">
        <f>IF(BUDGET!A121=0,"",BUDGET!A121)</f>
        <v>PUBLIC SAFETY</v>
      </c>
      <c r="C121" s="1819" t="str">
        <f>IF(BUDGET!AP121=0,"",BUDGET!AP121)</f>
        <v/>
      </c>
      <c r="D121" s="1824"/>
      <c r="E121" s="859"/>
      <c r="F121" s="1178"/>
      <c r="G121" s="1773"/>
      <c r="H121" s="859"/>
      <c r="I121" s="1878"/>
    </row>
    <row r="122" spans="2:9" x14ac:dyDescent="0.2">
      <c r="B122" s="1955" t="str">
        <f>IF(BUDGET!A122=0,"",BUDGET!A122)</f>
        <v>POLICE DEPARTMENT</v>
      </c>
      <c r="C122" s="1819" t="str">
        <f>IF(BUDGET!AP122=0,"",BUDGET!AP122)</f>
        <v/>
      </c>
      <c r="D122" s="1824"/>
      <c r="E122" s="859"/>
      <c r="F122" s="1178"/>
      <c r="G122" s="1773"/>
      <c r="H122" s="859"/>
      <c r="I122" s="1878"/>
    </row>
    <row r="123" spans="2:9" x14ac:dyDescent="0.2">
      <c r="B123" s="1955" t="str">
        <f>IF(BUDGET!A123=0,"",BUDGET!A123)</f>
        <v xml:space="preserve">   SALARIES </v>
      </c>
      <c r="C123" s="1845">
        <f>IF(BUDGET!AP123=0,"",BUDGET!AP123)</f>
        <v>247150</v>
      </c>
      <c r="D123" s="1821"/>
      <c r="E123" s="843"/>
      <c r="F123" s="1513"/>
      <c r="G123" s="1770"/>
      <c r="H123" s="843"/>
      <c r="I123" s="1875"/>
    </row>
    <row r="124" spans="2:9" x14ac:dyDescent="0.2">
      <c r="B124" s="1955" t="str">
        <f>IF(BUDGET!A124=0,"",BUDGET!A124)</f>
        <v xml:space="preserve">   WAGES</v>
      </c>
      <c r="C124" s="1845">
        <f>IF(BUDGET!AP124=0,"",BUDGET!AP124)</f>
        <v>1297492</v>
      </c>
      <c r="D124" s="1821"/>
      <c r="E124" s="843"/>
      <c r="F124" s="1513"/>
      <c r="G124" s="1770"/>
      <c r="H124" s="843"/>
      <c r="I124" s="1875"/>
    </row>
    <row r="125" spans="2:9" x14ac:dyDescent="0.2">
      <c r="B125" s="1955" t="str">
        <f>IF(BUDGET!A125=0,"",BUDGET!A125)</f>
        <v xml:space="preserve">   CAPITAL (LEASES)</v>
      </c>
      <c r="C125" s="1845" t="str">
        <f>IF(BUDGET!AP125=0,"",BUDGET!AP125)</f>
        <v/>
      </c>
      <c r="D125" s="1821"/>
      <c r="E125" s="843"/>
      <c r="F125" s="1513"/>
      <c r="G125" s="1770"/>
      <c r="H125" s="843"/>
      <c r="I125" s="1875"/>
    </row>
    <row r="126" spans="2:9" x14ac:dyDescent="0.2">
      <c r="B126" s="1955" t="str">
        <f>IF(BUDGET!A126=0,"",BUDGET!A126)</f>
        <v xml:space="preserve">   OTHER</v>
      </c>
      <c r="C126" s="1845">
        <f>IF(BUDGET!AP126=0,"",BUDGET!AP126)</f>
        <v>122188</v>
      </c>
      <c r="D126" s="1821"/>
      <c r="E126" s="843"/>
      <c r="F126" s="1513"/>
      <c r="G126" s="1770"/>
      <c r="H126" s="843"/>
      <c r="I126" s="1875"/>
    </row>
    <row r="127" spans="2:9" x14ac:dyDescent="0.2">
      <c r="B127" s="1953" t="str">
        <f>IF(BUDGET!A127=0,"",BUDGET!A127)</f>
        <v xml:space="preserve">   TOTAL</v>
      </c>
      <c r="C127" s="1822">
        <f>IF(BUDGET!AP127=0,"",BUDGET!AP127)</f>
        <v>1666830</v>
      </c>
      <c r="D127" s="1822"/>
      <c r="E127" s="814"/>
      <c r="F127" s="853"/>
      <c r="G127" s="1771"/>
      <c r="H127" s="814"/>
      <c r="I127" s="1876"/>
    </row>
    <row r="128" spans="2:9" x14ac:dyDescent="0.2">
      <c r="B128" s="1956" t="str">
        <f>IF(BUDGET!A128=0,"",BUDGET!A128)</f>
        <v/>
      </c>
      <c r="C128" s="1836" t="str">
        <f>IF(BUDGET!AP128=0,"",BUDGET!AP128)</f>
        <v/>
      </c>
      <c r="D128" s="1820"/>
      <c r="E128" s="831"/>
      <c r="F128" s="1733"/>
      <c r="G128" s="1769"/>
      <c r="H128" s="831"/>
      <c r="I128" s="1874"/>
    </row>
    <row r="129" spans="2:10" x14ac:dyDescent="0.2">
      <c r="B129" s="1955" t="str">
        <f>IF(BUDGET!A129=0,"",BUDGET!A129)</f>
        <v>FIRE DEPARTMENT</v>
      </c>
      <c r="C129" s="1819" t="str">
        <f>IF(BUDGET!AP129=0,"",BUDGET!AP129)</f>
        <v/>
      </c>
      <c r="D129" s="1824"/>
      <c r="E129" s="859"/>
      <c r="F129" s="1178"/>
      <c r="G129" s="1773"/>
      <c r="H129" s="859"/>
      <c r="I129" s="1878"/>
    </row>
    <row r="130" spans="2:10" x14ac:dyDescent="0.2">
      <c r="B130" s="1955" t="str">
        <f>IF(BUDGET!A130=0,"",BUDGET!A130)</f>
        <v xml:space="preserve">   SALARIES</v>
      </c>
      <c r="C130" s="1845">
        <f>IF(BUDGET!AP130=0,"",BUDGET!AP130)</f>
        <v>130305</v>
      </c>
      <c r="D130" s="1821"/>
      <c r="E130" s="843"/>
      <c r="F130" s="1513"/>
      <c r="G130" s="1770"/>
      <c r="H130" s="843"/>
      <c r="I130" s="1875"/>
    </row>
    <row r="131" spans="2:10" x14ac:dyDescent="0.2">
      <c r="B131" s="1955" t="str">
        <f>IF(BUDGET!A131=0,"",BUDGET!A131)</f>
        <v xml:space="preserve">   WAGES</v>
      </c>
      <c r="C131" s="1845">
        <f>IF(BUDGET!AP131=0,"",BUDGET!AP131)</f>
        <v>919989</v>
      </c>
      <c r="D131" s="1821"/>
      <c r="E131" s="843"/>
      <c r="F131" s="1513"/>
      <c r="G131" s="1770"/>
      <c r="H131" s="843"/>
      <c r="I131" s="1875"/>
    </row>
    <row r="132" spans="2:10" x14ac:dyDescent="0.2">
      <c r="B132" s="1955" t="str">
        <f>IF(BUDGET!A132=0,"",BUDGET!A132)</f>
        <v xml:space="preserve">   OTHER</v>
      </c>
      <c r="C132" s="1845">
        <f>IF(BUDGET!AP132=0,"",BUDGET!AP132)</f>
        <v>156283</v>
      </c>
      <c r="D132" s="1821"/>
      <c r="E132" s="843"/>
      <c r="F132" s="1513"/>
      <c r="G132" s="1770"/>
      <c r="H132" s="941"/>
      <c r="I132" s="2076"/>
    </row>
    <row r="133" spans="2:10" x14ac:dyDescent="0.2">
      <c r="B133" s="1953" t="str">
        <f>IF(BUDGET!A133=0,"",BUDGET!A133)</f>
        <v xml:space="preserve">   TOTAL</v>
      </c>
      <c r="C133" s="1822">
        <f>IF(BUDGET!AP133=0,"",BUDGET!AP133)</f>
        <v>1206577</v>
      </c>
      <c r="D133" s="1822"/>
      <c r="E133" s="814"/>
      <c r="F133" s="853"/>
      <c r="G133" s="1771"/>
      <c r="H133" s="814"/>
      <c r="I133" s="1876"/>
    </row>
    <row r="134" spans="2:10" x14ac:dyDescent="0.2">
      <c r="B134" s="1956" t="str">
        <f>IF(BUDGET!A134=0,"",BUDGET!A134)</f>
        <v/>
      </c>
      <c r="C134" s="1968" t="str">
        <f>IF(BUDGET!AP134=0,"",BUDGET!AP134)</f>
        <v/>
      </c>
      <c r="D134" s="1834"/>
      <c r="E134" s="970"/>
      <c r="F134" s="1740"/>
      <c r="G134" s="1769"/>
      <c r="H134" s="970"/>
      <c r="I134" s="1888"/>
    </row>
    <row r="135" spans="2:10" x14ac:dyDescent="0.2">
      <c r="B135" s="1955" t="str">
        <f>IF(BUDGET!A135=0,"",BUDGET!A135)</f>
        <v>AMBULANCE SERVICE</v>
      </c>
      <c r="C135" s="2081" t="str">
        <f>IF(BUDGET!AP135=0,"",BUDGET!AP135)</f>
        <v/>
      </c>
      <c r="D135" s="2082"/>
      <c r="E135" s="2083"/>
      <c r="F135" s="2084"/>
      <c r="G135" s="2085"/>
      <c r="H135" s="2083"/>
      <c r="I135" s="2086"/>
      <c r="J135">
        <v>1</v>
      </c>
    </row>
    <row r="136" spans="2:10" x14ac:dyDescent="0.2">
      <c r="B136" s="1955" t="str">
        <f>IF(BUDGET!A136=0,"",BUDGET!A136)</f>
        <v xml:space="preserve">   OTHER </v>
      </c>
      <c r="C136" s="2081" t="str">
        <f>IF(BUDGET!AP136=0,"",BUDGET!AP136)</f>
        <v/>
      </c>
      <c r="D136" s="2081"/>
      <c r="E136" s="2087"/>
      <c r="F136" s="2088"/>
      <c r="G136" s="2089"/>
      <c r="H136" s="2087"/>
      <c r="I136" s="2090"/>
      <c r="J136">
        <v>1</v>
      </c>
    </row>
    <row r="137" spans="2:10" x14ac:dyDescent="0.2">
      <c r="B137" s="1953" t="str">
        <f>IF(BUDGET!A137=0,"",BUDGET!A137)</f>
        <v xml:space="preserve">   TOTAL</v>
      </c>
      <c r="C137" s="2091" t="str">
        <f>IF(BUDGET!AP137=0,"",BUDGET!AP137)</f>
        <v/>
      </c>
      <c r="D137" s="2108"/>
      <c r="E137" s="2109"/>
      <c r="F137" s="2110"/>
      <c r="G137" s="2111"/>
      <c r="H137" s="2109"/>
      <c r="I137" s="2112"/>
      <c r="J137">
        <v>1</v>
      </c>
    </row>
    <row r="138" spans="2:10" x14ac:dyDescent="0.2">
      <c r="B138" s="1957" t="str">
        <f>IF(BUDGET!A138=0,"",BUDGET!A138)</f>
        <v/>
      </c>
      <c r="C138" s="2113" t="str">
        <f>IF(BUDGET!AP138=0,"",BUDGET!AP138)</f>
        <v/>
      </c>
      <c r="D138" s="2114"/>
      <c r="E138" s="2115"/>
      <c r="F138" s="2116"/>
      <c r="G138" s="2100"/>
      <c r="H138" s="2115"/>
      <c r="I138" s="2117"/>
      <c r="J138">
        <v>1</v>
      </c>
    </row>
    <row r="139" spans="2:10" x14ac:dyDescent="0.2">
      <c r="B139" s="1955" t="str">
        <f>IF(BUDGET!A139=0,"",BUDGET!A139)</f>
        <v>INSPECTIONAL SERVICES</v>
      </c>
      <c r="C139" s="1819" t="str">
        <f>IF(BUDGET!AP139=0,"",BUDGET!AP139)</f>
        <v/>
      </c>
      <c r="D139" s="1824"/>
      <c r="E139" s="859"/>
      <c r="F139" s="1178"/>
      <c r="G139" s="1773"/>
      <c r="H139" s="859"/>
      <c r="I139" s="1878"/>
    </row>
    <row r="140" spans="2:10" x14ac:dyDescent="0.2">
      <c r="B140" s="1955" t="str">
        <f>IF(BUDGET!A140=0,"",BUDGET!A140)</f>
        <v xml:space="preserve">    SALARIES</v>
      </c>
      <c r="C140" s="1845">
        <f>IF(BUDGET!AP140=0,"",BUDGET!AP140)</f>
        <v>121150</v>
      </c>
      <c r="D140" s="1821"/>
      <c r="E140" s="843"/>
      <c r="F140" s="1513"/>
      <c r="G140" s="1770"/>
      <c r="H140" s="941"/>
      <c r="I140" s="2076"/>
    </row>
    <row r="141" spans="2:10" x14ac:dyDescent="0.2">
      <c r="B141" s="1955" t="str">
        <f>IF(BUDGET!A141=0,"",BUDGET!A141)</f>
        <v xml:space="preserve">   WAGES</v>
      </c>
      <c r="C141" s="1845">
        <f>IF(BUDGET!AP141=0,"",BUDGET!AP141)</f>
        <v>36897</v>
      </c>
      <c r="D141" s="1821"/>
      <c r="E141" s="843"/>
      <c r="F141" s="1513"/>
      <c r="G141" s="1770"/>
      <c r="H141" s="941"/>
      <c r="I141" s="2076"/>
    </row>
    <row r="142" spans="2:10" x14ac:dyDescent="0.2">
      <c r="B142" s="1955" t="str">
        <f>IF(BUDGET!A142=0,"",BUDGET!A142)</f>
        <v xml:space="preserve">   OTHER</v>
      </c>
      <c r="C142" s="1845">
        <f>IF(BUDGET!AP142=0,"",BUDGET!AP142)</f>
        <v>13465</v>
      </c>
      <c r="D142" s="1821"/>
      <c r="E142" s="843"/>
      <c r="F142" s="1513"/>
      <c r="G142" s="1770"/>
      <c r="H142" s="843"/>
      <c r="I142" s="1875"/>
    </row>
    <row r="143" spans="2:10" x14ac:dyDescent="0.2">
      <c r="B143" s="1953" t="str">
        <f>IF(BUDGET!A143=0,"",BUDGET!A143)</f>
        <v xml:space="preserve">   TOTAL</v>
      </c>
      <c r="C143" s="1822">
        <f>IF(BUDGET!AP143=0,"",BUDGET!AP143)</f>
        <v>171512</v>
      </c>
      <c r="D143" s="1822"/>
      <c r="E143" s="814"/>
      <c r="F143" s="853"/>
      <c r="G143" s="1771"/>
      <c r="H143" s="814"/>
      <c r="I143" s="1876"/>
    </row>
    <row r="144" spans="2:10" x14ac:dyDescent="0.2">
      <c r="B144" s="1956" t="str">
        <f>IF(BUDGET!A144=0,"",BUDGET!A144)</f>
        <v/>
      </c>
      <c r="C144" s="1836" t="str">
        <f>IF(BUDGET!AP144=0,"",BUDGET!AP144)</f>
        <v/>
      </c>
      <c r="D144" s="1836"/>
      <c r="E144" s="991"/>
      <c r="F144" s="988"/>
      <c r="G144" s="1782"/>
      <c r="H144" s="991"/>
      <c r="I144" s="1890"/>
    </row>
    <row r="145" spans="2:9" x14ac:dyDescent="0.2">
      <c r="B145" s="1955" t="str">
        <f>IF(BUDGET!A145=0,"",BUDGET!A145)</f>
        <v>TREE DEPARTMENT</v>
      </c>
      <c r="C145" s="1822" t="str">
        <f>IF(BUDGET!AP145=0,"",BUDGET!AP145)</f>
        <v/>
      </c>
      <c r="D145" s="1822"/>
      <c r="E145" s="814"/>
      <c r="F145" s="853"/>
      <c r="G145" s="1771"/>
      <c r="H145" s="814"/>
      <c r="I145" s="1876"/>
    </row>
    <row r="146" spans="2:9" x14ac:dyDescent="0.2">
      <c r="B146" s="1955" t="str">
        <f>IF(BUDGET!A146=0,"",BUDGET!A146)</f>
        <v xml:space="preserve">   SALARIES</v>
      </c>
      <c r="C146" s="1845">
        <f>IF(BUDGET!AP146=0,"",BUDGET!AP146)</f>
        <v>3352</v>
      </c>
      <c r="D146" s="1821"/>
      <c r="E146" s="843"/>
      <c r="F146" s="1513"/>
      <c r="G146" s="1770"/>
      <c r="H146" s="843"/>
      <c r="I146" s="1875"/>
    </row>
    <row r="147" spans="2:9" x14ac:dyDescent="0.2">
      <c r="B147" s="1955" t="str">
        <f>IF(BUDGET!A147=0,"",BUDGET!A147)</f>
        <v xml:space="preserve">   WAGES</v>
      </c>
      <c r="C147" s="1845">
        <f>IF(BUDGET!AP147=0,"",BUDGET!AP147)</f>
        <v>3530</v>
      </c>
      <c r="D147" s="1821"/>
      <c r="E147" s="843"/>
      <c r="F147" s="1513"/>
      <c r="G147" s="1770"/>
      <c r="H147" s="843"/>
      <c r="I147" s="1875"/>
    </row>
    <row r="148" spans="2:9" x14ac:dyDescent="0.2">
      <c r="B148" s="1955" t="str">
        <f>IF(BUDGET!A148=0,"",BUDGET!A148)</f>
        <v xml:space="preserve">   OTHER</v>
      </c>
      <c r="C148" s="1845">
        <f>IF(BUDGET!AP148=0,"",BUDGET!AP148)</f>
        <v>8880</v>
      </c>
      <c r="D148" s="1821"/>
      <c r="E148" s="843"/>
      <c r="F148" s="1513"/>
      <c r="G148" s="1770"/>
      <c r="H148" s="843"/>
      <c r="I148" s="1875"/>
    </row>
    <row r="149" spans="2:9" x14ac:dyDescent="0.2">
      <c r="B149" s="1953" t="str">
        <f>IF(BUDGET!A149=0,"",BUDGET!A149)</f>
        <v xml:space="preserve">   TOTAL</v>
      </c>
      <c r="C149" s="1822">
        <f>IF(BUDGET!AP149=0,"",BUDGET!AP149)</f>
        <v>15762</v>
      </c>
      <c r="D149" s="1822"/>
      <c r="E149" s="814"/>
      <c r="F149" s="853"/>
      <c r="G149" s="1771"/>
      <c r="H149" s="814"/>
      <c r="I149" s="1876"/>
    </row>
    <row r="150" spans="2:9" x14ac:dyDescent="0.2">
      <c r="B150" s="1970" t="str">
        <f>IF(BUDGET!A150=0,"",BUDGET!A150)</f>
        <v/>
      </c>
      <c r="C150" s="1857" t="str">
        <f>IF(BUDGET!AP150=0,"",BUDGET!AP150)</f>
        <v/>
      </c>
      <c r="D150" s="1823"/>
      <c r="E150" s="856"/>
      <c r="F150" s="1237"/>
      <c r="G150" s="1772"/>
      <c r="H150" s="856"/>
      <c r="I150" s="1877"/>
    </row>
    <row r="151" spans="2:9" x14ac:dyDescent="0.2">
      <c r="B151" s="1955" t="str">
        <f>IF(BUDGET!A151=0,"",BUDGET!A151)</f>
        <v>SEALER WEIGHTS &amp; MEASURE:</v>
      </c>
      <c r="C151" s="1819" t="str">
        <f>IF(BUDGET!AP151=0,"",BUDGET!AP151)</f>
        <v/>
      </c>
      <c r="D151" s="1824"/>
      <c r="E151" s="859"/>
      <c r="F151" s="1178"/>
      <c r="G151" s="1773"/>
      <c r="H151" s="859"/>
      <c r="I151" s="1878"/>
    </row>
    <row r="152" spans="2:9" x14ac:dyDescent="0.2">
      <c r="B152" s="1955" t="str">
        <f>IF(BUDGET!A152=0,"",BUDGET!A152)</f>
        <v xml:space="preserve">   SALARY</v>
      </c>
      <c r="C152" s="1845">
        <f>IF(BUDGET!AP152=0,"",BUDGET!AP152)</f>
        <v>1726</v>
      </c>
      <c r="D152" s="1821"/>
      <c r="E152" s="843"/>
      <c r="F152" s="1513"/>
      <c r="G152" s="1770"/>
      <c r="H152" s="843"/>
      <c r="I152" s="1875"/>
    </row>
    <row r="153" spans="2:9" x14ac:dyDescent="0.2">
      <c r="B153" s="1955" t="str">
        <f>IF(BUDGET!A153=0,"",BUDGET!A153)</f>
        <v xml:space="preserve">   OTHER</v>
      </c>
      <c r="C153" s="1819" t="str">
        <f>IF(BUDGET!AP153=0,"",BUDGET!AP153)</f>
        <v/>
      </c>
      <c r="D153" s="1819"/>
      <c r="E153" s="817"/>
      <c r="F153" s="877"/>
      <c r="G153" s="1768"/>
      <c r="H153" s="817"/>
      <c r="I153" s="1873"/>
    </row>
    <row r="154" spans="2:9" x14ac:dyDescent="0.2">
      <c r="B154" s="1955" t="str">
        <f>IF(BUDGET!A154=0,"",BUDGET!A154)</f>
        <v xml:space="preserve">   TOTAL</v>
      </c>
      <c r="C154" s="1837">
        <f>IF(BUDGET!AP154=0,"",BUDGET!AP154)</f>
        <v>1726</v>
      </c>
      <c r="D154" s="1837"/>
      <c r="E154" s="1166"/>
      <c r="F154" s="1742"/>
      <c r="G154" s="1783"/>
      <c r="H154" s="1166"/>
      <c r="I154" s="1891"/>
    </row>
    <row r="155" spans="2:9" x14ac:dyDescent="0.2">
      <c r="B155" s="1957" t="str">
        <f>IF(BUDGET!A155=0,"",BUDGET!A155)</f>
        <v/>
      </c>
      <c r="C155" s="1969" t="str">
        <f>IF(BUDGET!AP155=0,"",BUDGET!AP155)</f>
        <v/>
      </c>
      <c r="D155" s="1835"/>
      <c r="E155" s="857"/>
      <c r="F155" s="1741"/>
      <c r="G155" s="1772"/>
      <c r="H155" s="857"/>
      <c r="I155" s="1889"/>
    </row>
    <row r="156" spans="2:9" x14ac:dyDescent="0.2">
      <c r="B156" s="1955" t="str">
        <f>IF(BUDGET!A156=0,"",BUDGET!A156)</f>
        <v>ANIMAL CONTROL OFFICER</v>
      </c>
      <c r="C156" s="1819" t="str">
        <f>IF(BUDGET!AP156=0,"",BUDGET!AP156)</f>
        <v/>
      </c>
      <c r="D156" s="1824"/>
      <c r="E156" s="859"/>
      <c r="F156" s="1178"/>
      <c r="G156" s="1773"/>
      <c r="H156" s="859"/>
      <c r="I156" s="1878"/>
    </row>
    <row r="157" spans="2:9" x14ac:dyDescent="0.2">
      <c r="B157" s="1955" t="str">
        <f>IF(BUDGET!A157=0,"",BUDGET!A157)</f>
        <v xml:space="preserve">   SALARY</v>
      </c>
      <c r="C157" s="1845">
        <f>IF(BUDGET!AP157=0,"",BUDGET!AP157)</f>
        <v>10229</v>
      </c>
      <c r="D157" s="1821"/>
      <c r="E157" s="843"/>
      <c r="F157" s="1513"/>
      <c r="G157" s="1770"/>
      <c r="H157" s="843"/>
      <c r="I157" s="1875"/>
    </row>
    <row r="158" spans="2:9" x14ac:dyDescent="0.2">
      <c r="B158" s="1955" t="str">
        <f>IF(BUDGET!A158=0,"",BUDGET!A158)</f>
        <v xml:space="preserve">   OTHER</v>
      </c>
      <c r="C158" s="1845">
        <f>IF(BUDGET!AP158=0,"",BUDGET!AP158)</f>
        <v>571</v>
      </c>
      <c r="D158" s="1821"/>
      <c r="E158" s="843"/>
      <c r="F158" s="1513"/>
      <c r="G158" s="1770"/>
      <c r="H158" s="843"/>
      <c r="I158" s="1875"/>
    </row>
    <row r="159" spans="2:9" x14ac:dyDescent="0.2">
      <c r="B159" s="1953" t="str">
        <f>IF(BUDGET!A159=0,"",BUDGET!A159)</f>
        <v xml:space="preserve">   TOTAL</v>
      </c>
      <c r="C159" s="1822">
        <f>IF(BUDGET!AP159=0,"",BUDGET!AP159)</f>
        <v>10800</v>
      </c>
      <c r="D159" s="1822"/>
      <c r="E159" s="814"/>
      <c r="F159" s="853"/>
      <c r="G159" s="1771"/>
      <c r="H159" s="814"/>
      <c r="I159" s="1876"/>
    </row>
    <row r="160" spans="2:9" x14ac:dyDescent="0.2">
      <c r="B160" s="1957" t="str">
        <f>IF(BUDGET!A160=0,"",BUDGET!A160)</f>
        <v/>
      </c>
      <c r="C160" s="1969" t="str">
        <f>IF(BUDGET!AP160=0,"",BUDGET!AP160)</f>
        <v/>
      </c>
      <c r="D160" s="1835"/>
      <c r="E160" s="857"/>
      <c r="F160" s="1741"/>
      <c r="G160" s="1772"/>
      <c r="H160" s="857"/>
      <c r="I160" s="1889"/>
    </row>
    <row r="161" spans="2:9" x14ac:dyDescent="0.2">
      <c r="B161" s="1955" t="str">
        <f>IF(BUDGET!A161=0,"",BUDGET!A161)</f>
        <v>ANIMAL INSPECTOR</v>
      </c>
      <c r="C161" s="1819" t="str">
        <f>IF(BUDGET!AP161=0,"",BUDGET!AP161)</f>
        <v/>
      </c>
      <c r="D161" s="1824"/>
      <c r="E161" s="859"/>
      <c r="F161" s="1178"/>
      <c r="G161" s="1773"/>
      <c r="H161" s="859"/>
      <c r="I161" s="1878"/>
    </row>
    <row r="162" spans="2:9" x14ac:dyDescent="0.2">
      <c r="B162" s="1955" t="str">
        <f>IF(BUDGET!A162=0,"",BUDGET!A162)</f>
        <v xml:space="preserve">   SALARY</v>
      </c>
      <c r="C162" s="1845">
        <f>IF(BUDGET!AP162=0,"",BUDGET!AP162)</f>
        <v>7750</v>
      </c>
      <c r="D162" s="1821"/>
      <c r="E162" s="843"/>
      <c r="F162" s="1513"/>
      <c r="G162" s="1770"/>
      <c r="H162" s="843"/>
      <c r="I162" s="1875"/>
    </row>
    <row r="163" spans="2:9" x14ac:dyDescent="0.2">
      <c r="B163" s="1955" t="str">
        <f>IF(BUDGET!A163=0,"",BUDGET!A163)</f>
        <v xml:space="preserve">   OTHER</v>
      </c>
      <c r="C163" s="1845">
        <f>IF(BUDGET!AP163=0,"",BUDGET!AP163)</f>
        <v>1840</v>
      </c>
      <c r="D163" s="1821"/>
      <c r="E163" s="843"/>
      <c r="F163" s="1513"/>
      <c r="G163" s="1770"/>
      <c r="H163" s="843"/>
      <c r="I163" s="1875"/>
    </row>
    <row r="164" spans="2:9" x14ac:dyDescent="0.2">
      <c r="B164" s="1953" t="str">
        <f>IF(BUDGET!A164=0,"",BUDGET!A164)</f>
        <v xml:space="preserve">   TOTAL</v>
      </c>
      <c r="C164" s="1822">
        <f>IF(BUDGET!AP164=0,"",BUDGET!AP164)</f>
        <v>9590</v>
      </c>
      <c r="D164" s="1822"/>
      <c r="E164" s="814"/>
      <c r="F164" s="853"/>
      <c r="G164" s="1771"/>
      <c r="H164" s="814"/>
      <c r="I164" s="1876"/>
    </row>
    <row r="165" spans="2:9" x14ac:dyDescent="0.2">
      <c r="B165" s="1957" t="str">
        <f>IF(BUDGET!A165=0,"",BUDGET!A165)</f>
        <v/>
      </c>
      <c r="C165" s="1857" t="str">
        <f>IF(BUDGET!AP165=0,"",BUDGET!AP165)</f>
        <v/>
      </c>
      <c r="D165" s="1823"/>
      <c r="E165" s="856"/>
      <c r="F165" s="1237"/>
      <c r="G165" s="1772"/>
      <c r="H165" s="856"/>
      <c r="I165" s="1877"/>
    </row>
    <row r="166" spans="2:9" x14ac:dyDescent="0.2">
      <c r="B166" s="1953" t="str">
        <f>IF(BUDGET!A166=0,"",BUDGET!A166)</f>
        <v>PUBLIC SAFETY:  SUB-TOTAL</v>
      </c>
      <c r="C166" s="1819" t="str">
        <f>IF(BUDGET!AP166=0,"",BUDGET!AP166)</f>
        <v/>
      </c>
      <c r="D166" s="1824"/>
      <c r="E166" s="859"/>
      <c r="F166" s="1178"/>
      <c r="G166" s="1773"/>
      <c r="H166" s="859"/>
      <c r="I166" s="1878"/>
    </row>
    <row r="167" spans="2:9" x14ac:dyDescent="0.2">
      <c r="B167" s="1953" t="str">
        <f>IF(BUDGET!A167=0,"",BUDGET!A167)</f>
        <v xml:space="preserve">   SALARIES</v>
      </c>
      <c r="C167" s="1838">
        <f>IF(BUDGET!AP167=0,"",BUDGET!AP167)</f>
        <v>521662</v>
      </c>
      <c r="D167" s="1838"/>
      <c r="E167" s="919"/>
      <c r="F167" s="1743"/>
      <c r="G167" s="1784"/>
      <c r="H167" s="919"/>
      <c r="I167" s="1892"/>
    </row>
    <row r="168" spans="2:9" x14ac:dyDescent="0.2">
      <c r="B168" s="1953" t="str">
        <f>IF(BUDGET!A168=0,"",BUDGET!A168)</f>
        <v xml:space="preserve">   WAGES</v>
      </c>
      <c r="C168" s="1838">
        <f>IF(BUDGET!AP168=0,"",BUDGET!AP168)</f>
        <v>2257908</v>
      </c>
      <c r="D168" s="1838"/>
      <c r="E168" s="919"/>
      <c r="F168" s="1743"/>
      <c r="G168" s="1784"/>
      <c r="H168" s="919"/>
      <c r="I168" s="1892"/>
    </row>
    <row r="169" spans="2:9" x14ac:dyDescent="0.2">
      <c r="B169" s="1953" t="str">
        <f>IF(BUDGET!A169=0,"",BUDGET!A169)</f>
        <v xml:space="preserve">   OTHER</v>
      </c>
      <c r="C169" s="1838">
        <f>IF(BUDGET!AP169=0,"",BUDGET!AP169)</f>
        <v>303227</v>
      </c>
      <c r="D169" s="1838"/>
      <c r="E169" s="919"/>
      <c r="F169" s="1743"/>
      <c r="G169" s="1784"/>
      <c r="H169" s="919"/>
      <c r="I169" s="1892"/>
    </row>
    <row r="170" spans="2:9" ht="13.5" thickBot="1" x14ac:dyDescent="0.25">
      <c r="B170" s="1967" t="str">
        <f>IF(BUDGET!A170=0,"",BUDGET!A170)</f>
        <v>PUBLIC SAFETY:  SUB-TOTAL</v>
      </c>
      <c r="C170" s="1839">
        <f>IF(BUDGET!AP170=0,"",BUDGET!AP170)</f>
        <v>3082797</v>
      </c>
      <c r="D170" s="1839"/>
      <c r="E170" s="1004"/>
      <c r="F170" s="1744"/>
      <c r="G170" s="1785"/>
      <c r="H170" s="1004"/>
      <c r="I170" s="1893"/>
    </row>
    <row r="171" spans="2:9" ht="13.5" thickTop="1" x14ac:dyDescent="0.2">
      <c r="B171" s="1955" t="str">
        <f>IF(BUDGET!A171=0,"",BUDGET!A171)</f>
        <v/>
      </c>
      <c r="C171" s="1819" t="str">
        <f>IF(BUDGET!AP171=0,"",BUDGET!AP171)</f>
        <v/>
      </c>
      <c r="D171" s="1824"/>
      <c r="E171" s="859"/>
      <c r="F171" s="1178"/>
      <c r="G171" s="1773"/>
      <c r="H171" s="859"/>
      <c r="I171" s="1878"/>
    </row>
    <row r="172" spans="2:9" x14ac:dyDescent="0.2">
      <c r="B172" s="1953" t="str">
        <f>IF(BUDGET!A172=0,"",BUDGET!A172)</f>
        <v>EDUCATION:   ELEMENTARY SCHS</v>
      </c>
      <c r="C172" s="1819" t="str">
        <f>IF(BUDGET!AP172=0,"",BUDGET!AP172)</f>
        <v/>
      </c>
      <c r="D172" s="1819"/>
      <c r="E172" s="817"/>
      <c r="F172" s="877"/>
      <c r="G172" s="1768"/>
      <c r="H172" s="817"/>
      <c r="I172" s="1873"/>
    </row>
    <row r="173" spans="2:9" x14ac:dyDescent="0.2">
      <c r="B173" s="1955" t="str">
        <f>IF(BUDGET!A173=0,"",BUDGET!A173)</f>
        <v xml:space="preserve">  .GENERAL ADMINISTRATION</v>
      </c>
      <c r="C173" s="1819" t="str">
        <f>IF(BUDGET!AP173=0,"",BUDGET!AP173)</f>
        <v/>
      </c>
      <c r="D173" s="1819"/>
      <c r="E173" s="817"/>
      <c r="F173" s="877"/>
      <c r="G173" s="1768"/>
      <c r="H173" s="817"/>
      <c r="I173" s="1873"/>
    </row>
    <row r="174" spans="2:9" x14ac:dyDescent="0.2">
      <c r="B174" s="1955" t="str">
        <f>IF(BUDGET!A174=0,"",BUDGET!A174)</f>
        <v xml:space="preserve">  .INSTRUCTIONAL SALARIES</v>
      </c>
      <c r="C174" s="1819" t="str">
        <f>IF(BUDGET!AP174=0,"",BUDGET!AP174)</f>
        <v/>
      </c>
      <c r="D174" s="1819"/>
      <c r="E174" s="817"/>
      <c r="F174" s="877"/>
      <c r="G174" s="1768"/>
      <c r="H174" s="817"/>
      <c r="I174" s="1873"/>
    </row>
    <row r="175" spans="2:9" x14ac:dyDescent="0.2">
      <c r="B175" s="1955" t="str">
        <f>IF(BUDGET!A175=0,"",BUDGET!A175)</f>
        <v xml:space="preserve">  .INSTRUCTIONAL MATERIALS</v>
      </c>
      <c r="C175" s="1819" t="str">
        <f>IF(BUDGET!AP175=0,"",BUDGET!AP175)</f>
        <v/>
      </c>
      <c r="D175" s="1819"/>
      <c r="E175" s="817"/>
      <c r="F175" s="877"/>
      <c r="G175" s="1768"/>
      <c r="H175" s="817"/>
      <c r="I175" s="1873"/>
    </row>
    <row r="176" spans="2:9" x14ac:dyDescent="0.2">
      <c r="B176" s="1955" t="str">
        <f>IF(BUDGET!A176=0,"",BUDGET!A176)</f>
        <v xml:space="preserve"> ADMIN. EXPENDITURES</v>
      </c>
      <c r="C176" s="1822" t="str">
        <f>IF(BUDGET!AP176=0,"",BUDGET!AP176)</f>
        <v/>
      </c>
      <c r="D176" s="1822"/>
      <c r="E176" s="814"/>
      <c r="F176" s="853"/>
      <c r="G176" s="1771"/>
      <c r="H176" s="814"/>
      <c r="I176" s="1876"/>
    </row>
    <row r="177" spans="2:10" x14ac:dyDescent="0.2">
      <c r="B177" s="1953" t="str">
        <f>IF(BUDGET!A177=0,"",BUDGET!A177)</f>
        <v xml:space="preserve"> .TRANSPORTATION REGULAR</v>
      </c>
      <c r="C177" s="1822" t="str">
        <f>IF(BUDGET!AP177=0,"",BUDGET!AP177)</f>
        <v/>
      </c>
      <c r="D177" s="1822"/>
      <c r="E177" s="814"/>
      <c r="F177" s="853"/>
      <c r="G177" s="1771"/>
      <c r="H177" s="814"/>
      <c r="I177" s="1876"/>
    </row>
    <row r="178" spans="2:10" x14ac:dyDescent="0.2">
      <c r="B178" s="1955" t="str">
        <f>IF(BUDGET!A178=0,"",BUDGET!A178)</f>
        <v xml:space="preserve">  .FUEL AND POWER</v>
      </c>
      <c r="C178" s="1822" t="str">
        <f>IF(BUDGET!AP178=0,"",BUDGET!AP178)</f>
        <v/>
      </c>
      <c r="D178" s="1822"/>
      <c r="E178" s="814"/>
      <c r="F178" s="853"/>
      <c r="G178" s="1771"/>
      <c r="H178" s="814"/>
      <c r="I178" s="1876"/>
    </row>
    <row r="179" spans="2:10" x14ac:dyDescent="0.2">
      <c r="B179" s="1955" t="str">
        <f>IF(BUDGET!A179=0,"",BUDGET!A179)</f>
        <v xml:space="preserve">  .BLDG OPER. &amp; MAINTENANCE</v>
      </c>
      <c r="C179" s="1822" t="str">
        <f>IF(BUDGET!AP179=0,"",BUDGET!AP179)</f>
        <v/>
      </c>
      <c r="D179" s="1822"/>
      <c r="E179" s="814"/>
      <c r="F179" s="853"/>
      <c r="G179" s="1771"/>
      <c r="H179" s="814"/>
      <c r="I179" s="1876"/>
    </row>
    <row r="180" spans="2:10" x14ac:dyDescent="0.2">
      <c r="B180" s="1955" t="str">
        <f>IF(BUDGET!A180=0,"",BUDGET!A180)</f>
        <v xml:space="preserve">  .SPECIAL NEEDS</v>
      </c>
      <c r="C180" s="1822" t="str">
        <f>IF(BUDGET!AP180=0,"",BUDGET!AP180)</f>
        <v/>
      </c>
      <c r="D180" s="1822"/>
      <c r="E180" s="814"/>
      <c r="F180" s="853"/>
      <c r="G180" s="1771"/>
      <c r="H180" s="814"/>
      <c r="I180" s="1876"/>
    </row>
    <row r="181" spans="2:10" x14ac:dyDescent="0.2">
      <c r="B181" s="1955" t="str">
        <f>IF(BUDGET!A181=0,"",BUDGET!A181)</f>
        <v xml:space="preserve"> CONTRACT SERVICES</v>
      </c>
      <c r="C181" s="1822" t="str">
        <f>IF(BUDGET!AP181=0,"",BUDGET!AP181)</f>
        <v/>
      </c>
      <c r="D181" s="1822"/>
      <c r="E181" s="814"/>
      <c r="F181" s="853"/>
      <c r="G181" s="1771"/>
      <c r="H181" s="814"/>
      <c r="I181" s="1876"/>
    </row>
    <row r="182" spans="2:10" x14ac:dyDescent="0.2">
      <c r="B182" s="1971" t="str">
        <f>IF(BUDGET!A182=0,"",BUDGET!A182)</f>
        <v/>
      </c>
      <c r="C182" s="1819" t="str">
        <f>IF(BUDGET!AP182=0,"",BUDGET!AP182)</f>
        <v/>
      </c>
      <c r="D182" s="1824"/>
      <c r="E182" s="859"/>
      <c r="F182" s="1178"/>
      <c r="G182" s="1773"/>
      <c r="H182" s="859"/>
      <c r="I182" s="1878"/>
    </row>
    <row r="183" spans="2:10" ht="13.5" thickBot="1" x14ac:dyDescent="0.25">
      <c r="B183" s="1967" t="str">
        <f>IF(BUDGET!A183=0,"",BUDGET!A183)</f>
        <v>ELEM. SCHOOLS: SUB-TOTAL</v>
      </c>
      <c r="C183" s="1972">
        <f>IF(BUDGET!AP183=0,"",BUDGET!AP183)</f>
        <v>9735522.6341500022</v>
      </c>
      <c r="D183" s="1840"/>
      <c r="E183" s="1028"/>
      <c r="F183" s="1745"/>
      <c r="G183" s="1786"/>
      <c r="H183" s="1028"/>
      <c r="I183" s="1894"/>
    </row>
    <row r="184" spans="2:10" ht="13.5" thickTop="1" x14ac:dyDescent="0.2">
      <c r="B184" s="1953" t="str">
        <f>IF(BUDGET!A184=0,"",BUDGET!A184)</f>
        <v>PUBLIC WORKS &amp; FACILITIES</v>
      </c>
      <c r="C184" s="1973" t="str">
        <f>IF(BUDGET!AP184=0,"",BUDGET!AP184)</f>
        <v/>
      </c>
      <c r="D184" s="1841"/>
      <c r="E184" s="1730"/>
      <c r="F184" s="1746"/>
      <c r="G184" s="1787"/>
      <c r="H184" s="1730"/>
      <c r="I184" s="1895"/>
    </row>
    <row r="185" spans="2:10" x14ac:dyDescent="0.2">
      <c r="B185" s="1955" t="str">
        <f>IF(BUDGET!A185=0,"",BUDGET!A185)</f>
        <v>TOWN ENGINEER</v>
      </c>
      <c r="C185" s="2081" t="str">
        <f>IF(BUDGET!AP185=0,"",BUDGET!AP185)</f>
        <v/>
      </c>
      <c r="D185" s="2082"/>
      <c r="E185" s="2083"/>
      <c r="F185" s="2084"/>
      <c r="G185" s="2085"/>
      <c r="H185" s="2083"/>
      <c r="I185" s="2086"/>
      <c r="J185">
        <v>1</v>
      </c>
    </row>
    <row r="186" spans="2:10" x14ac:dyDescent="0.2">
      <c r="B186" s="1955" t="str">
        <f>IF(BUDGET!A186=0,"",BUDGET!A186)</f>
        <v xml:space="preserve">   SALARY</v>
      </c>
      <c r="C186" s="2081" t="str">
        <f>IF(BUDGET!AP186=0,"",BUDGET!AP186)</f>
        <v/>
      </c>
      <c r="D186" s="2081"/>
      <c r="E186" s="2087"/>
      <c r="F186" s="2088"/>
      <c r="G186" s="2089"/>
      <c r="H186" s="2087"/>
      <c r="I186" s="2090"/>
      <c r="J186">
        <v>1</v>
      </c>
    </row>
    <row r="187" spans="2:10" x14ac:dyDescent="0.2">
      <c r="B187" s="1955" t="str">
        <f>IF(BUDGET!A187=0,"",BUDGET!A187)</f>
        <v xml:space="preserve">   WAGES</v>
      </c>
      <c r="C187" s="2081" t="str">
        <f>IF(BUDGET!AP187=0,"",BUDGET!AP187)</f>
        <v/>
      </c>
      <c r="D187" s="2081"/>
      <c r="E187" s="2087"/>
      <c r="F187" s="2088"/>
      <c r="G187" s="2089"/>
      <c r="H187" s="2087"/>
      <c r="I187" s="2090"/>
      <c r="J187">
        <v>1</v>
      </c>
    </row>
    <row r="188" spans="2:10" x14ac:dyDescent="0.2">
      <c r="B188" s="1955" t="str">
        <f>IF(BUDGET!A188=0,"",BUDGET!A188)</f>
        <v xml:space="preserve">   OTHER</v>
      </c>
      <c r="C188" s="2081" t="str">
        <f>IF(BUDGET!AP188=0,"",BUDGET!AP188)</f>
        <v/>
      </c>
      <c r="D188" s="2081"/>
      <c r="E188" s="2087"/>
      <c r="F188" s="2088"/>
      <c r="G188" s="2089"/>
      <c r="H188" s="2087"/>
      <c r="I188" s="2090"/>
      <c r="J188">
        <v>1</v>
      </c>
    </row>
    <row r="189" spans="2:10" x14ac:dyDescent="0.2">
      <c r="B189" s="1953" t="str">
        <f>IF(BUDGET!A189=0,"",BUDGET!A189)</f>
        <v xml:space="preserve">   TOTAL</v>
      </c>
      <c r="C189" s="2091" t="str">
        <f>IF(BUDGET!AP189=0,"",BUDGET!AP189)</f>
        <v/>
      </c>
      <c r="D189" s="2091"/>
      <c r="E189" s="2092"/>
      <c r="F189" s="2093"/>
      <c r="G189" s="2094"/>
      <c r="H189" s="2092"/>
      <c r="I189" s="2095"/>
      <c r="J189">
        <v>1</v>
      </c>
    </row>
    <row r="190" spans="2:10" x14ac:dyDescent="0.2">
      <c r="B190" s="1956" t="str">
        <f>IF(BUDGET!A190=0,"",BUDGET!A190)</f>
        <v/>
      </c>
      <c r="C190" s="2118" t="str">
        <f>IF(BUDGET!AP190=0,"",BUDGET!AP190)</f>
        <v/>
      </c>
      <c r="D190" s="2118"/>
      <c r="E190" s="2119"/>
      <c r="F190" s="2120"/>
      <c r="G190" s="2121"/>
      <c r="H190" s="2119"/>
      <c r="I190" s="2122"/>
      <c r="J190">
        <v>1</v>
      </c>
    </row>
    <row r="191" spans="2:10" x14ac:dyDescent="0.2">
      <c r="B191" s="1955" t="str">
        <f>IF(BUDGET!A191=0,"",BUDGET!A191)</f>
        <v xml:space="preserve">STORM WATER </v>
      </c>
      <c r="C191" s="1822" t="str">
        <f>IF(BUDGET!AP191=0,"",BUDGET!AP191)</f>
        <v/>
      </c>
      <c r="D191" s="1822"/>
      <c r="E191" s="814"/>
      <c r="F191" s="853"/>
      <c r="G191" s="1771"/>
      <c r="H191" s="814"/>
      <c r="I191" s="1876"/>
    </row>
    <row r="192" spans="2:10" x14ac:dyDescent="0.2">
      <c r="B192" s="1955" t="str">
        <f>IF(BUDGET!A192=0,"",BUDGET!A192)</f>
        <v xml:space="preserve">   SALARY</v>
      </c>
      <c r="C192" s="1822" t="str">
        <f>IF(BUDGET!AP192=0,"",BUDGET!AP192)</f>
        <v/>
      </c>
      <c r="D192" s="1822"/>
      <c r="E192" s="814"/>
      <c r="F192" s="853"/>
      <c r="G192" s="1771"/>
      <c r="H192" s="814"/>
      <c r="I192" s="1876"/>
    </row>
    <row r="193" spans="2:9" x14ac:dyDescent="0.2">
      <c r="B193" s="1955" t="str">
        <f>IF(BUDGET!A193=0,"",BUDGET!A193)</f>
        <v xml:space="preserve">   WAGES</v>
      </c>
      <c r="C193" s="1845">
        <f>IF(BUDGET!AP193=0,"",BUDGET!AP193)</f>
        <v>5413</v>
      </c>
      <c r="D193" s="1821"/>
      <c r="E193" s="843"/>
      <c r="F193" s="1513"/>
      <c r="G193" s="1770"/>
      <c r="H193" s="843"/>
      <c r="I193" s="1875"/>
    </row>
    <row r="194" spans="2:9" x14ac:dyDescent="0.2">
      <c r="B194" s="1955" t="str">
        <f>IF(BUDGET!A194=0,"",BUDGET!A194)</f>
        <v xml:space="preserve">   OTHER</v>
      </c>
      <c r="C194" s="1845">
        <f>IF(BUDGET!AP194=0,"",BUDGET!AP194)</f>
        <v>10000</v>
      </c>
      <c r="D194" s="1821"/>
      <c r="E194" s="843"/>
      <c r="F194" s="1513"/>
      <c r="G194" s="1770"/>
      <c r="H194" s="843"/>
      <c r="I194" s="1875"/>
    </row>
    <row r="195" spans="2:9" x14ac:dyDescent="0.2">
      <c r="B195" s="1953" t="str">
        <f>IF(BUDGET!A195=0,"",BUDGET!A195)</f>
        <v xml:space="preserve">   TOTAL</v>
      </c>
      <c r="C195" s="1822">
        <f>IF(BUDGET!AP195=0,"",BUDGET!AP195)</f>
        <v>15413</v>
      </c>
      <c r="D195" s="1822"/>
      <c r="E195" s="814"/>
      <c r="F195" s="853"/>
      <c r="G195" s="1771"/>
      <c r="H195" s="814"/>
      <c r="I195" s="1876"/>
    </row>
    <row r="196" spans="2:9" x14ac:dyDescent="0.2">
      <c r="B196" s="1956" t="str">
        <f>IF(BUDGET!A196=0,"",BUDGET!A196)</f>
        <v/>
      </c>
      <c r="C196" s="1836" t="str">
        <f>IF(BUDGET!AP196=0,"",BUDGET!AP196)</f>
        <v/>
      </c>
      <c r="D196" s="1836"/>
      <c r="E196" s="991"/>
      <c r="F196" s="988"/>
      <c r="G196" s="1782"/>
      <c r="H196" s="991"/>
      <c r="I196" s="1890"/>
    </row>
    <row r="197" spans="2:9" x14ac:dyDescent="0.2">
      <c r="B197" s="1955" t="str">
        <f>IF(BUDGET!A197=0,"",BUDGET!A197)</f>
        <v xml:space="preserve">MSW COLLECTION,HHW &amp; RECYCLING </v>
      </c>
      <c r="C197" s="1822" t="str">
        <f>IF(BUDGET!AP197=0,"",BUDGET!AP197)</f>
        <v/>
      </c>
      <c r="D197" s="1822"/>
      <c r="E197" s="814"/>
      <c r="F197" s="853"/>
      <c r="G197" s="1771"/>
      <c r="H197" s="814"/>
      <c r="I197" s="1876"/>
    </row>
    <row r="198" spans="2:9" x14ac:dyDescent="0.2">
      <c r="B198" s="1955" t="str">
        <f>IF(BUDGET!A198=0,"",BUDGET!A198)</f>
        <v xml:space="preserve">   SERVICES</v>
      </c>
      <c r="C198" s="1845">
        <f>IF(BUDGET!AP198=0,"",BUDGET!AP198)</f>
        <v>428915</v>
      </c>
      <c r="D198" s="1821"/>
      <c r="E198" s="843"/>
      <c r="F198" s="1513"/>
      <c r="G198" s="1770"/>
      <c r="H198" s="843"/>
      <c r="I198" s="1875"/>
    </row>
    <row r="199" spans="2:9" x14ac:dyDescent="0.2">
      <c r="B199" s="1953" t="str">
        <f>IF(BUDGET!A199=0,"",BUDGET!A199)</f>
        <v xml:space="preserve">   TOTAL</v>
      </c>
      <c r="C199" s="1822">
        <f>IF(BUDGET!AP199=0,"",BUDGET!AP199)</f>
        <v>428915</v>
      </c>
      <c r="D199" s="1822"/>
      <c r="E199" s="814"/>
      <c r="F199" s="853"/>
      <c r="G199" s="1771"/>
      <c r="H199" s="814"/>
      <c r="I199" s="1876"/>
    </row>
    <row r="200" spans="2:9" x14ac:dyDescent="0.2">
      <c r="B200" s="1956" t="str">
        <f>IF(BUDGET!A200=0,"",BUDGET!A200)</f>
        <v/>
      </c>
      <c r="C200" s="1836" t="str">
        <f>IF(BUDGET!AP200=0,"",BUDGET!AP200)</f>
        <v/>
      </c>
      <c r="D200" s="1836"/>
      <c r="E200" s="991"/>
      <c r="F200" s="988"/>
      <c r="G200" s="1782"/>
      <c r="H200" s="991"/>
      <c r="I200" s="1890"/>
    </row>
    <row r="201" spans="2:9" x14ac:dyDescent="0.2">
      <c r="B201" s="1965" t="str">
        <f>IF(BUDGET!A201=0,"",BUDGET!A201)</f>
        <v>RECYCLING</v>
      </c>
      <c r="C201" s="1822" t="str">
        <f>IF(BUDGET!AP201=0,"",BUDGET!AP201)</f>
        <v/>
      </c>
      <c r="D201" s="1822"/>
      <c r="E201" s="814"/>
      <c r="F201" s="853"/>
      <c r="G201" s="1771"/>
      <c r="H201" s="814"/>
      <c r="I201" s="1876"/>
    </row>
    <row r="202" spans="2:9" x14ac:dyDescent="0.2">
      <c r="B202" s="1955" t="str">
        <f>IF(BUDGET!A202=0,"",BUDGET!A202)</f>
        <v xml:space="preserve">   WAGES</v>
      </c>
      <c r="C202" s="1819" t="str">
        <f>IF(BUDGET!AP202=0,"",BUDGET!AP202)</f>
        <v/>
      </c>
      <c r="D202" s="1819"/>
      <c r="E202" s="817"/>
      <c r="F202" s="877"/>
      <c r="G202" s="1768"/>
      <c r="H202" s="817"/>
      <c r="I202" s="1873"/>
    </row>
    <row r="203" spans="2:9" x14ac:dyDescent="0.2">
      <c r="B203" s="1955" t="str">
        <f>IF(BUDGET!A203=0,"",BUDGET!A203)</f>
        <v xml:space="preserve">   OTHER</v>
      </c>
      <c r="C203" s="1845">
        <f>IF(BUDGET!AP203=0,"",BUDGET!AP203)</f>
        <v>1650</v>
      </c>
      <c r="D203" s="1821"/>
      <c r="E203" s="843"/>
      <c r="F203" s="1513"/>
      <c r="G203" s="1770"/>
      <c r="H203" s="843"/>
      <c r="I203" s="1875"/>
    </row>
    <row r="204" spans="2:9" x14ac:dyDescent="0.2">
      <c r="B204" s="1953" t="str">
        <f>IF(BUDGET!A204=0,"",BUDGET!A204)</f>
        <v xml:space="preserve">   TOTAL</v>
      </c>
      <c r="C204" s="1822">
        <f>IF(BUDGET!AP204=0,"",BUDGET!AP204)</f>
        <v>1650</v>
      </c>
      <c r="D204" s="1822"/>
      <c r="E204" s="814"/>
      <c r="F204" s="853"/>
      <c r="G204" s="1771"/>
      <c r="H204" s="814"/>
      <c r="I204" s="1876"/>
    </row>
    <row r="205" spans="2:9" x14ac:dyDescent="0.2">
      <c r="B205" s="1957" t="str">
        <f>IF(BUDGET!A205=0,"",BUDGET!A205)</f>
        <v/>
      </c>
      <c r="C205" s="1836" t="str">
        <f>IF(BUDGET!AP205=0,"",BUDGET!AP205)</f>
        <v/>
      </c>
      <c r="D205" s="1836"/>
      <c r="E205" s="991"/>
      <c r="F205" s="988"/>
      <c r="G205" s="1782"/>
      <c r="H205" s="991"/>
      <c r="I205" s="1890"/>
    </row>
    <row r="206" spans="2:9" x14ac:dyDescent="0.2">
      <c r="B206" s="1955" t="str">
        <f>IF(BUDGET!A211=0,"",BUDGET!A211)</f>
        <v>PARK AND CEMETERY</v>
      </c>
      <c r="C206" s="1822" t="str">
        <f>IF(BUDGET!AP211=0,"",BUDGET!AP211)</f>
        <v/>
      </c>
      <c r="D206" s="1822"/>
      <c r="E206" s="814"/>
      <c r="F206" s="853"/>
      <c r="G206" s="1771"/>
      <c r="H206" s="814"/>
      <c r="I206" s="1876"/>
    </row>
    <row r="207" spans="2:9" x14ac:dyDescent="0.2">
      <c r="B207" s="1955" t="str">
        <f>IF(BUDGET!A212=0,"",BUDGET!A212)</f>
        <v xml:space="preserve">   SALARY</v>
      </c>
      <c r="C207" s="1845">
        <f>IF(BUDGET!AP212=0,"",BUDGET!AP212)</f>
        <v>44708</v>
      </c>
      <c r="D207" s="1821"/>
      <c r="E207" s="843"/>
      <c r="F207" s="1513"/>
      <c r="G207" s="1770"/>
      <c r="H207" s="843"/>
      <c r="I207" s="1875"/>
    </row>
    <row r="208" spans="2:9" x14ac:dyDescent="0.2">
      <c r="B208" s="1955" t="str">
        <f>IF(BUDGET!A213=0,"",BUDGET!A213)</f>
        <v xml:space="preserve">   WAGES</v>
      </c>
      <c r="C208" s="1845">
        <f>IF(BUDGET!AP213=0,"",BUDGET!AP213)</f>
        <v>190277</v>
      </c>
      <c r="D208" s="1821"/>
      <c r="E208" s="843"/>
      <c r="F208" s="1513"/>
      <c r="G208" s="1770"/>
      <c r="H208" s="843"/>
      <c r="I208" s="1875"/>
    </row>
    <row r="209" spans="2:9" x14ac:dyDescent="0.2">
      <c r="B209" s="1955" t="str">
        <f>IF(BUDGET!A214=0,"",BUDGET!A214)</f>
        <v xml:space="preserve">   OTHER</v>
      </c>
      <c r="C209" s="1845">
        <f>IF(BUDGET!AP214=0,"",BUDGET!AP214)</f>
        <v>103670</v>
      </c>
      <c r="D209" s="1821"/>
      <c r="E209" s="843"/>
      <c r="F209" s="1513"/>
      <c r="G209" s="1770"/>
      <c r="H209" s="941"/>
      <c r="I209" s="2076"/>
    </row>
    <row r="210" spans="2:9" x14ac:dyDescent="0.2">
      <c r="B210" s="1955" t="str">
        <f>IF(BUDGET!A215=0,"",BUDGET!A215)</f>
        <v xml:space="preserve">   SALE OF LOTS</v>
      </c>
      <c r="C210" s="1819" t="str">
        <f>IF(BUDGET!AP215=0,"",BUDGET!AP215)</f>
        <v/>
      </c>
      <c r="D210" s="1819"/>
      <c r="E210" s="817"/>
      <c r="F210" s="877"/>
      <c r="G210" s="1768"/>
      <c r="H210" s="817"/>
      <c r="I210" s="1873"/>
    </row>
    <row r="211" spans="2:9" x14ac:dyDescent="0.2">
      <c r="B211" s="1955" t="str">
        <f>IF(BUDGET!A216=0,"",BUDGET!A216)</f>
        <v xml:space="preserve">   PERPETUAL CARE TRUST FUND</v>
      </c>
      <c r="C211" s="1822" t="str">
        <f>IF(BUDGET!AP216=0,"",BUDGET!AP216)</f>
        <v/>
      </c>
      <c r="D211" s="1829"/>
      <c r="E211" s="861"/>
      <c r="F211" s="1200"/>
      <c r="G211" s="1778"/>
      <c r="H211" s="861"/>
      <c r="I211" s="1883"/>
    </row>
    <row r="212" spans="2:9" x14ac:dyDescent="0.2">
      <c r="B212" s="1953" t="str">
        <f>IF(BUDGET!A217=0,"",BUDGET!A217)</f>
        <v xml:space="preserve">   TOTAL</v>
      </c>
      <c r="C212" s="1822">
        <f>IF(BUDGET!AP217=0,"",BUDGET!AP217)</f>
        <v>338655</v>
      </c>
      <c r="D212" s="1822"/>
      <c r="E212" s="814"/>
      <c r="F212" s="853"/>
      <c r="G212" s="1771"/>
      <c r="H212" s="814"/>
      <c r="I212" s="1876"/>
    </row>
    <row r="213" spans="2:9" x14ac:dyDescent="0.2">
      <c r="B213" s="1953" t="str">
        <f>IF(BUDGET!A218=0,"",BUDGET!A218)</f>
        <v/>
      </c>
      <c r="C213" s="1822" t="str">
        <f>IF(BUDGET!AP218=0,"",BUDGET!AP218)</f>
        <v/>
      </c>
      <c r="D213" s="1822"/>
      <c r="E213" s="814"/>
      <c r="F213" s="853"/>
      <c r="G213" s="1771"/>
      <c r="H213" s="814"/>
      <c r="I213" s="1876"/>
    </row>
    <row r="214" spans="2:9" x14ac:dyDescent="0.2">
      <c r="B214" s="1965" t="str">
        <f>IF(BUDGET!A219=0,"",BUDGET!A219)</f>
        <v>LANDFILL</v>
      </c>
      <c r="C214" s="1842" t="str">
        <f>IF(BUDGET!AP219=0,"",BUDGET!AP219)</f>
        <v/>
      </c>
      <c r="D214" s="1842"/>
      <c r="E214" s="1536"/>
      <c r="F214" s="1747"/>
      <c r="G214" s="1788"/>
      <c r="H214" s="1536"/>
      <c r="I214" s="1896"/>
    </row>
    <row r="215" spans="2:9" x14ac:dyDescent="0.2">
      <c r="B215" s="1955" t="str">
        <f>IF(BUDGET!A220=0,"",BUDGET!A220)</f>
        <v xml:space="preserve">   OTHER</v>
      </c>
      <c r="C215" s="1819">
        <f>IF(BUDGET!AP220=0,"",BUDGET!AP220)</f>
        <v>29600</v>
      </c>
      <c r="D215" s="1819"/>
      <c r="E215" s="817"/>
      <c r="F215" s="877"/>
      <c r="G215" s="1768"/>
      <c r="H215" s="817"/>
      <c r="I215" s="1873"/>
    </row>
    <row r="216" spans="2:9" x14ac:dyDescent="0.2">
      <c r="B216" s="1953" t="str">
        <f>IF(BUDGET!A221=0,"",BUDGET!A221)</f>
        <v xml:space="preserve">   TOTAL</v>
      </c>
      <c r="C216" s="1822">
        <f>IF(BUDGET!AP221=0,"",BUDGET!AP221)</f>
        <v>29600</v>
      </c>
      <c r="D216" s="1822"/>
      <c r="E216" s="814"/>
      <c r="F216" s="853"/>
      <c r="G216" s="1771"/>
      <c r="H216" s="814"/>
      <c r="I216" s="1876"/>
    </row>
    <row r="217" spans="2:9" x14ac:dyDescent="0.2">
      <c r="B217" s="1956" t="str">
        <f>IF(BUDGET!A222=0,"",BUDGET!A222)</f>
        <v/>
      </c>
      <c r="C217" s="1857" t="str">
        <f>IF(BUDGET!AP222=0,"",BUDGET!AP222)</f>
        <v/>
      </c>
      <c r="D217" s="1823"/>
      <c r="E217" s="856"/>
      <c r="F217" s="1237"/>
      <c r="G217" s="1772"/>
      <c r="H217" s="856"/>
      <c r="I217" s="1877"/>
    </row>
    <row r="218" spans="2:9" x14ac:dyDescent="0.2">
      <c r="B218" s="1955" t="str">
        <f>IF(BUDGET!A223=0,"",BUDGET!A223)</f>
        <v>GENERAL HIGHWAY</v>
      </c>
      <c r="C218" s="1819" t="str">
        <f>IF(BUDGET!AP223=0,"",BUDGET!AP223)</f>
        <v/>
      </c>
      <c r="D218" s="1824"/>
      <c r="E218" s="859"/>
      <c r="F218" s="1178"/>
      <c r="G218" s="1773"/>
      <c r="H218" s="859"/>
      <c r="I218" s="1878"/>
    </row>
    <row r="219" spans="2:9" x14ac:dyDescent="0.2">
      <c r="B219" s="1955" t="str">
        <f>IF(BUDGET!A224=0,"",BUDGET!A224)</f>
        <v xml:space="preserve">   SALARY</v>
      </c>
      <c r="C219" s="1845">
        <f>IF(BUDGET!AP224=0,"",BUDGET!AP224)</f>
        <v>66956</v>
      </c>
      <c r="D219" s="1821"/>
      <c r="E219" s="843"/>
      <c r="F219" s="1513"/>
      <c r="G219" s="1770"/>
      <c r="H219" s="843"/>
      <c r="I219" s="1875"/>
    </row>
    <row r="220" spans="2:9" x14ac:dyDescent="0.2">
      <c r="B220" s="1955" t="str">
        <f>IF(BUDGET!A225=0,"",BUDGET!A225)</f>
        <v xml:space="preserve">   WAGES</v>
      </c>
      <c r="C220" s="1845">
        <f>IF(BUDGET!AP225=0,"",BUDGET!AP225)</f>
        <v>344790</v>
      </c>
      <c r="D220" s="1821"/>
      <c r="E220" s="843"/>
      <c r="F220" s="1513"/>
      <c r="G220" s="1770"/>
      <c r="H220" s="843"/>
      <c r="I220" s="1875"/>
    </row>
    <row r="221" spans="2:9" x14ac:dyDescent="0.2">
      <c r="B221" s="1955" t="str">
        <f>IF(BUDGET!A226=0,"",BUDGET!A226)</f>
        <v xml:space="preserve">   CAPITAL  (LEASES)</v>
      </c>
      <c r="C221" s="1845" t="str">
        <f>IF(BUDGET!AP226=0,"",BUDGET!AP226)</f>
        <v/>
      </c>
      <c r="D221" s="1821"/>
      <c r="E221" s="843"/>
      <c r="F221" s="1513"/>
      <c r="G221" s="1770"/>
      <c r="H221" s="843"/>
      <c r="I221" s="1875"/>
    </row>
    <row r="222" spans="2:9" x14ac:dyDescent="0.2">
      <c r="B222" s="1955" t="str">
        <f>IF(BUDGET!A227=0,"",BUDGET!A227)</f>
        <v xml:space="preserve">   ROADS &amp; BRIDGES</v>
      </c>
      <c r="C222" s="1845">
        <f>IF(BUDGET!AP227=0,"",BUDGET!AP227)</f>
        <v>74067</v>
      </c>
      <c r="D222" s="1821"/>
      <c r="E222" s="843"/>
      <c r="F222" s="1513"/>
      <c r="G222" s="1770"/>
      <c r="H222" s="843"/>
      <c r="I222" s="1875"/>
    </row>
    <row r="223" spans="2:9" x14ac:dyDescent="0.2">
      <c r="B223" s="1955" t="str">
        <f>IF(BUDGET!A228=0,"",BUDGET!A228)</f>
        <v xml:space="preserve">   SUPPLIES, SERVICES</v>
      </c>
      <c r="C223" s="1845">
        <f>IF(BUDGET!AP228=0,"",BUDGET!AP228)</f>
        <v>118491</v>
      </c>
      <c r="D223" s="1821"/>
      <c r="E223" s="843"/>
      <c r="F223" s="1513"/>
      <c r="G223" s="1770"/>
      <c r="H223" s="843"/>
      <c r="I223" s="1875"/>
    </row>
    <row r="224" spans="2:9" x14ac:dyDescent="0.2">
      <c r="B224" s="1955" t="str">
        <f>IF(BUDGET!A229=0,"",BUDGET!A229)</f>
        <v xml:space="preserve"> DIESEL &amp; GASOLINE</v>
      </c>
      <c r="C224" s="1845">
        <f>IF(BUDGET!AP229=0,"",BUDGET!AP229)</f>
        <v>54000</v>
      </c>
      <c r="D224" s="1821"/>
      <c r="E224" s="843"/>
      <c r="F224" s="1513"/>
      <c r="G224" s="1770"/>
      <c r="H224" s="843"/>
      <c r="I224" s="1875"/>
    </row>
    <row r="225" spans="2:9" x14ac:dyDescent="0.2">
      <c r="B225" s="1953" t="str">
        <f>IF(BUDGET!A230=0,"",BUDGET!A230)</f>
        <v xml:space="preserve">   TOTAL</v>
      </c>
      <c r="C225" s="1822">
        <f>IF(BUDGET!AP230=0,"",BUDGET!AP230)</f>
        <v>658304</v>
      </c>
      <c r="D225" s="1822"/>
      <c r="E225" s="814"/>
      <c r="F225" s="853"/>
      <c r="G225" s="1771"/>
      <c r="H225" s="814"/>
      <c r="I225" s="1876"/>
    </row>
    <row r="226" spans="2:9" x14ac:dyDescent="0.2">
      <c r="B226" s="1957" t="str">
        <f>IF(BUDGET!A231=0,"",BUDGET!A231)</f>
        <v xml:space="preserve"> </v>
      </c>
      <c r="C226" s="1974" t="str">
        <f>IF(BUDGET!AP231=0,"",BUDGET!AP231)</f>
        <v/>
      </c>
      <c r="D226" s="1843"/>
      <c r="E226" s="828"/>
      <c r="F226" s="1748"/>
      <c r="G226" s="1789"/>
      <c r="H226" s="828"/>
      <c r="I226" s="1897"/>
    </row>
    <row r="227" spans="2:9" x14ac:dyDescent="0.2">
      <c r="B227" s="1955" t="str">
        <f>IF(BUDGET!A232=0,"",BUDGET!A232)</f>
        <v>SNOW AND ICE</v>
      </c>
      <c r="C227" s="1819" t="str">
        <f>IF(BUDGET!AP232=0,"",BUDGET!AP232)</f>
        <v/>
      </c>
      <c r="D227" s="1824"/>
      <c r="E227" s="859"/>
      <c r="F227" s="1178"/>
      <c r="G227" s="1773"/>
      <c r="H227" s="859"/>
      <c r="I227" s="1878"/>
    </row>
    <row r="228" spans="2:9" x14ac:dyDescent="0.2">
      <c r="B228" s="1975" t="str">
        <f>IF(BUDGET!A233=0,"",BUDGET!A233)</f>
        <v xml:space="preserve">   WAGES</v>
      </c>
      <c r="C228" s="1845">
        <f>IF(BUDGET!AP233=0,"",BUDGET!AP233)</f>
        <v>38870</v>
      </c>
      <c r="D228" s="1821"/>
      <c r="E228" s="843"/>
      <c r="F228" s="1513"/>
      <c r="G228" s="1770"/>
      <c r="H228" s="843"/>
      <c r="I228" s="1875"/>
    </row>
    <row r="229" spans="2:9" x14ac:dyDescent="0.2">
      <c r="B229" s="1955" t="str">
        <f>IF(BUDGET!A234=0,"",BUDGET!A234)</f>
        <v xml:space="preserve">   OTHER</v>
      </c>
      <c r="C229" s="1845">
        <f>IF(BUDGET!AP234=0,"",BUDGET!AP234)</f>
        <v>176845</v>
      </c>
      <c r="D229" s="1821"/>
      <c r="E229" s="843"/>
      <c r="F229" s="1513"/>
      <c r="G229" s="1770"/>
      <c r="H229" s="843"/>
      <c r="I229" s="1875"/>
    </row>
    <row r="230" spans="2:9" x14ac:dyDescent="0.2">
      <c r="B230" s="1953" t="str">
        <f>IF(BUDGET!A235=0,"",BUDGET!A235)</f>
        <v xml:space="preserve">   TOTAL</v>
      </c>
      <c r="C230" s="1822">
        <f>IF(BUDGET!AP235=0,"",BUDGET!AP235)</f>
        <v>215715</v>
      </c>
      <c r="D230" s="1822"/>
      <c r="E230" s="814"/>
      <c r="F230" s="853"/>
      <c r="G230" s="1771"/>
      <c r="H230" s="814"/>
      <c r="I230" s="1876"/>
    </row>
    <row r="231" spans="2:9" x14ac:dyDescent="0.2">
      <c r="B231" s="1956" t="str">
        <f>IF(BUDGET!A236=0,"",BUDGET!A236)</f>
        <v>5-YR ROLLING AVG</v>
      </c>
      <c r="C231" s="1974" t="str">
        <f>IF(BUDGET!AP236=0,"",BUDGET!AP236)</f>
        <v/>
      </c>
      <c r="D231" s="1843"/>
      <c r="E231" s="828"/>
      <c r="F231" s="1748"/>
      <c r="G231" s="1789"/>
      <c r="H231" s="828"/>
      <c r="I231" s="1897"/>
    </row>
    <row r="232" spans="2:9" x14ac:dyDescent="0.2">
      <c r="B232" s="1955" t="str">
        <f>IF(BUDGET!A237=0,"",BUDGET!A237)</f>
        <v>STREET LIGHTS</v>
      </c>
      <c r="C232" s="1819" t="str">
        <f>IF(BUDGET!AP237=0,"",BUDGET!AP237)</f>
        <v/>
      </c>
      <c r="D232" s="1824"/>
      <c r="E232" s="859"/>
      <c r="F232" s="1178"/>
      <c r="G232" s="1773"/>
      <c r="H232" s="859"/>
      <c r="I232" s="1878"/>
    </row>
    <row r="233" spans="2:9" x14ac:dyDescent="0.2">
      <c r="B233" s="1955" t="str">
        <f>IF(BUDGET!A238=0,"",BUDGET!A238)</f>
        <v xml:space="preserve">   SERVICES</v>
      </c>
      <c r="C233" s="1819" t="str">
        <f>IF(BUDGET!AP238=0,"",BUDGET!AP238)</f>
        <v/>
      </c>
      <c r="D233" s="1819"/>
      <c r="E233" s="817"/>
      <c r="F233" s="877"/>
      <c r="G233" s="1768"/>
      <c r="H233" s="817"/>
      <c r="I233" s="1873"/>
    </row>
    <row r="234" spans="2:9" x14ac:dyDescent="0.2">
      <c r="B234" s="1955" t="str">
        <f>IF(BUDGET!A239=0,"",BUDGET!A239)</f>
        <v xml:space="preserve">   OTHER</v>
      </c>
      <c r="C234" s="1845">
        <f>IF(BUDGET!AP239=0,"",BUDGET!AP239)</f>
        <v>30000</v>
      </c>
      <c r="D234" s="1821"/>
      <c r="E234" s="843"/>
      <c r="F234" s="1513"/>
      <c r="G234" s="1770"/>
      <c r="H234" s="843"/>
      <c r="I234" s="1875"/>
    </row>
    <row r="235" spans="2:9" x14ac:dyDescent="0.2">
      <c r="B235" s="1961" t="str">
        <f>IF(BUDGET!A240=0,"",BUDGET!A240)</f>
        <v xml:space="preserve">   TOTAL</v>
      </c>
      <c r="C235" s="1822">
        <f>IF(BUDGET!AP240=0,"",BUDGET!AP240)</f>
        <v>30000</v>
      </c>
      <c r="D235" s="1822"/>
      <c r="E235" s="814"/>
      <c r="F235" s="853"/>
      <c r="G235" s="1771"/>
      <c r="H235" s="814"/>
      <c r="I235" s="1876"/>
    </row>
    <row r="236" spans="2:9" x14ac:dyDescent="0.2">
      <c r="B236" s="1956" t="str">
        <f>IF(BUDGET!A241=0,"",BUDGET!A241)</f>
        <v/>
      </c>
      <c r="C236" s="1974" t="str">
        <f>IF(BUDGET!AP241=0,"",BUDGET!AP241)</f>
        <v/>
      </c>
      <c r="D236" s="1843"/>
      <c r="E236" s="828"/>
      <c r="F236" s="1748"/>
      <c r="G236" s="1789"/>
      <c r="H236" s="828"/>
      <c r="I236" s="1897"/>
    </row>
    <row r="237" spans="2:9" x14ac:dyDescent="0.2">
      <c r="B237" s="1953" t="str">
        <f>IF(BUDGET!A242=0,"",BUDGET!A242)</f>
        <v>PUBLIC WKS &amp; FACIL.:  SUB-TOTAL</v>
      </c>
      <c r="C237" s="1819" t="str">
        <f>IF(BUDGET!AP242=0,"",BUDGET!AP242)</f>
        <v/>
      </c>
      <c r="D237" s="1824"/>
      <c r="E237" s="859"/>
      <c r="F237" s="1178"/>
      <c r="G237" s="1773"/>
      <c r="H237" s="859"/>
      <c r="I237" s="1878"/>
    </row>
    <row r="238" spans="2:9" x14ac:dyDescent="0.2">
      <c r="B238" s="1953" t="str">
        <f>IF(BUDGET!A243=0,"",BUDGET!A243)</f>
        <v xml:space="preserve">   SALARIES</v>
      </c>
      <c r="C238" s="1832">
        <f>IF(BUDGET!AP243=0,"",BUDGET!AP243)</f>
        <v>111664</v>
      </c>
      <c r="D238" s="1832"/>
      <c r="E238" s="928"/>
      <c r="F238" s="1738"/>
      <c r="G238" s="1780"/>
      <c r="H238" s="928"/>
      <c r="I238" s="1886"/>
    </row>
    <row r="239" spans="2:9" x14ac:dyDescent="0.2">
      <c r="B239" s="1953" t="str">
        <f>IF(BUDGET!A244=0,"",BUDGET!A244)</f>
        <v xml:space="preserve">   WAGES</v>
      </c>
      <c r="C239" s="1832">
        <f>IF(BUDGET!AP244=0,"",BUDGET!AP244)</f>
        <v>579350</v>
      </c>
      <c r="D239" s="1832"/>
      <c r="E239" s="928"/>
      <c r="F239" s="1738"/>
      <c r="G239" s="1780"/>
      <c r="H239" s="928"/>
      <c r="I239" s="1886"/>
    </row>
    <row r="240" spans="2:9" x14ac:dyDescent="0.2">
      <c r="B240" s="1953" t="str">
        <f>IF(BUDGET!A245=0,"",BUDGET!A245)</f>
        <v xml:space="preserve">   OTHER</v>
      </c>
      <c r="C240" s="1844">
        <f>IF(BUDGET!AP245=0,"",BUDGET!AP245)</f>
        <v>1027238</v>
      </c>
      <c r="D240" s="1844"/>
      <c r="E240" s="881"/>
      <c r="F240" s="1139"/>
      <c r="G240" s="1780"/>
      <c r="H240" s="881"/>
      <c r="I240" s="1898"/>
    </row>
    <row r="241" spans="2:10" x14ac:dyDescent="0.2">
      <c r="B241" s="1953" t="str">
        <f>IF(BUDGET!A246=0,"",BUDGET!A246)</f>
        <v>CAPITAL EQUIP.</v>
      </c>
      <c r="C241" s="1845" t="str">
        <f>IF(BUDGET!AP246=0,"",BUDGET!AP246)</f>
        <v/>
      </c>
      <c r="D241" s="1845"/>
      <c r="E241" s="1559"/>
      <c r="F241" s="1749"/>
      <c r="G241" s="1790"/>
      <c r="H241" s="1559"/>
      <c r="I241" s="1899"/>
    </row>
    <row r="242" spans="2:10" ht="13.5" thickBot="1" x14ac:dyDescent="0.25">
      <c r="B242" s="1967" t="str">
        <f>IF(BUDGET!A247=0,"",BUDGET!A247)</f>
        <v>PUBLIC WKS &amp; FACIL: SUB-TOTAL</v>
      </c>
      <c r="C242" s="1846">
        <f>IF(BUDGET!AP247=0,"",BUDGET!AP247)</f>
        <v>1718252</v>
      </c>
      <c r="D242" s="1846"/>
      <c r="E242" s="1071"/>
      <c r="F242" s="1750"/>
      <c r="G242" s="1781"/>
      <c r="H242" s="1071"/>
      <c r="I242" s="1900"/>
    </row>
    <row r="243" spans="2:10" ht="13.5" thickTop="1" x14ac:dyDescent="0.2">
      <c r="B243" s="1953" t="str">
        <f>IF(BUDGET!A248=0,"",BUDGET!A248)</f>
        <v>HUMAN SERVICES</v>
      </c>
      <c r="C243" s="1819" t="str">
        <f>IF(BUDGET!AP248=0,"",BUDGET!AP248)</f>
        <v/>
      </c>
      <c r="D243" s="1824"/>
      <c r="E243" s="859"/>
      <c r="F243" s="1178"/>
      <c r="G243" s="1773"/>
      <c r="H243" s="859"/>
      <c r="I243" s="1878"/>
    </row>
    <row r="244" spans="2:10" x14ac:dyDescent="0.2">
      <c r="B244" s="1955" t="str">
        <f>IF(BUDGET!A249=0,"",BUDGET!A249)</f>
        <v>BOARD OF HEALTH</v>
      </c>
      <c r="C244" s="1819" t="str">
        <f>IF(BUDGET!AP249=0,"",BUDGET!AP249)</f>
        <v/>
      </c>
      <c r="D244" s="1819"/>
      <c r="E244" s="817"/>
      <c r="F244" s="877"/>
      <c r="G244" s="1768"/>
      <c r="H244" s="817"/>
      <c r="I244" s="1873"/>
    </row>
    <row r="245" spans="2:10" x14ac:dyDescent="0.2">
      <c r="B245" s="1955" t="str">
        <f>IF(BUDGET!A250=0,"",BUDGET!A250)</f>
        <v xml:space="preserve">   SALARIES</v>
      </c>
      <c r="C245" s="1845">
        <f>IF(BUDGET!AP250=0,"",BUDGET!AP250)</f>
        <v>70763</v>
      </c>
      <c r="D245" s="1821"/>
      <c r="E245" s="843"/>
      <c r="F245" s="1513"/>
      <c r="G245" s="1770"/>
      <c r="H245" s="843"/>
      <c r="I245" s="1875"/>
    </row>
    <row r="246" spans="2:10" x14ac:dyDescent="0.2">
      <c r="B246" s="1955" t="str">
        <f>IF(BUDGET!A251=0,"",BUDGET!A251)</f>
        <v xml:space="preserve">   WAGES</v>
      </c>
      <c r="C246" s="1845">
        <f>IF(BUDGET!AP251=0,"",BUDGET!AP251)</f>
        <v>29743</v>
      </c>
      <c r="D246" s="1821"/>
      <c r="E246" s="843"/>
      <c r="F246" s="1513"/>
      <c r="G246" s="1770"/>
      <c r="H246" s="843"/>
      <c r="I246" s="1875"/>
    </row>
    <row r="247" spans="2:10" x14ac:dyDescent="0.2">
      <c r="B247" s="1955" t="str">
        <f>IF(BUDGET!A252=0,"",BUDGET!A252)</f>
        <v xml:space="preserve">   OTHER</v>
      </c>
      <c r="C247" s="1845">
        <f>IF(BUDGET!AP252=0,"",BUDGET!AP252)</f>
        <v>36576</v>
      </c>
      <c r="D247" s="1821"/>
      <c r="E247" s="843"/>
      <c r="F247" s="1513"/>
      <c r="G247" s="1770"/>
      <c r="H247" s="843"/>
      <c r="I247" s="1875"/>
    </row>
    <row r="248" spans="2:10" x14ac:dyDescent="0.2">
      <c r="B248" s="1953" t="str">
        <f>IF(BUDGET!A253=0,"",BUDGET!A253)</f>
        <v xml:space="preserve">   TOTAL</v>
      </c>
      <c r="C248" s="1822">
        <f>IF(BUDGET!AP253=0,"",BUDGET!AP253)</f>
        <v>137082</v>
      </c>
      <c r="D248" s="1822"/>
      <c r="E248" s="814"/>
      <c r="F248" s="853"/>
      <c r="G248" s="1771"/>
      <c r="H248" s="814"/>
      <c r="I248" s="1876"/>
    </row>
    <row r="249" spans="2:10" x14ac:dyDescent="0.2">
      <c r="B249" s="1956" t="str">
        <f>IF(BUDGET!A254=0,"",BUDGET!A254)</f>
        <v/>
      </c>
      <c r="C249" s="1857" t="str">
        <f>IF(BUDGET!AP254=0,"",BUDGET!AP254)</f>
        <v/>
      </c>
      <c r="D249" s="1823"/>
      <c r="E249" s="856"/>
      <c r="F249" s="1237"/>
      <c r="G249" s="1772"/>
      <c r="H249" s="856"/>
      <c r="I249" s="1877"/>
    </row>
    <row r="250" spans="2:10" x14ac:dyDescent="0.2">
      <c r="B250" s="1955" t="str">
        <f>IF(BUDGET!A255=0,"",BUDGET!A255)</f>
        <v>MOSQUITO CONTROL</v>
      </c>
      <c r="C250" s="2081" t="str">
        <f>IF(BUDGET!AP255=0,"",BUDGET!AP255)</f>
        <v/>
      </c>
      <c r="D250" s="2082"/>
      <c r="E250" s="2083"/>
      <c r="F250" s="2084"/>
      <c r="G250" s="2085"/>
      <c r="H250" s="2083"/>
      <c r="I250" s="2086"/>
      <c r="J250">
        <v>1</v>
      </c>
    </row>
    <row r="251" spans="2:10" x14ac:dyDescent="0.2">
      <c r="B251" s="1955" t="str">
        <f>IF(BUDGET!A256=0,"",BUDGET!A256)</f>
        <v>WAGES</v>
      </c>
      <c r="C251" s="2081" t="str">
        <f>IF(BUDGET!AP256=0,"",BUDGET!AP256)</f>
        <v/>
      </c>
      <c r="D251" s="2082"/>
      <c r="E251" s="2083"/>
      <c r="F251" s="2084"/>
      <c r="G251" s="2085"/>
      <c r="H251" s="2083"/>
      <c r="I251" s="2086"/>
      <c r="J251">
        <v>1</v>
      </c>
    </row>
    <row r="252" spans="2:10" x14ac:dyDescent="0.2">
      <c r="B252" s="1955" t="str">
        <f>IF(BUDGET!A257=0,"",BUDGET!A257)</f>
        <v xml:space="preserve">OTHER </v>
      </c>
      <c r="C252" s="2081" t="str">
        <f>IF(BUDGET!AP257=0,"",BUDGET!AP257)</f>
        <v/>
      </c>
      <c r="D252" s="2082"/>
      <c r="E252" s="2083"/>
      <c r="F252" s="2084"/>
      <c r="G252" s="2085"/>
      <c r="H252" s="2083"/>
      <c r="I252" s="2086"/>
      <c r="J252">
        <v>1</v>
      </c>
    </row>
    <row r="253" spans="2:10" x14ac:dyDescent="0.2">
      <c r="B253" s="1953" t="str">
        <f>IF(BUDGET!A258=0,"",BUDGET!A258)</f>
        <v>TOTAL</v>
      </c>
      <c r="C253" s="2091" t="str">
        <f>IF(BUDGET!AP258=0,"",BUDGET!AP258)</f>
        <v/>
      </c>
      <c r="D253" s="2091"/>
      <c r="E253" s="2092"/>
      <c r="F253" s="2093"/>
      <c r="G253" s="2094"/>
      <c r="H253" s="2092"/>
      <c r="I253" s="2095"/>
      <c r="J253">
        <v>1</v>
      </c>
    </row>
    <row r="254" spans="2:10" x14ac:dyDescent="0.2">
      <c r="B254" s="1956" t="str">
        <f>IF(BUDGET!A259=0,"",BUDGET!A259)</f>
        <v/>
      </c>
      <c r="C254" s="2096" t="str">
        <f>IF(BUDGET!AP259=0,"",BUDGET!AP259)</f>
        <v/>
      </c>
      <c r="D254" s="2097"/>
      <c r="E254" s="2098"/>
      <c r="F254" s="2099"/>
      <c r="G254" s="2100"/>
      <c r="H254" s="2098"/>
      <c r="I254" s="2101"/>
      <c r="J254">
        <v>1</v>
      </c>
    </row>
    <row r="255" spans="2:10" x14ac:dyDescent="0.2">
      <c r="B255" s="1955" t="str">
        <f>IF(BUDGET!A260=0,"",BUDGET!A260)</f>
        <v xml:space="preserve">MSW COLLECTION,HHW &amp; RECYCLING </v>
      </c>
      <c r="C255" s="1826" t="str">
        <f>IF(BUDGET!AP260=0,"",BUDGET!AP260)</f>
        <v/>
      </c>
      <c r="D255" s="1826"/>
      <c r="E255" s="1087"/>
      <c r="F255" s="1523"/>
      <c r="G255" s="1775"/>
      <c r="H255" s="1087"/>
      <c r="I255" s="1880"/>
      <c r="J255">
        <v>1</v>
      </c>
    </row>
    <row r="256" spans="2:10" x14ac:dyDescent="0.2">
      <c r="B256" s="1955" t="str">
        <f>IF(BUDGET!A261=0,"",BUDGET!A261)</f>
        <v xml:space="preserve">   SERVICES</v>
      </c>
      <c r="C256" s="1847" t="str">
        <f>IF(BUDGET!AP261=0,"",BUDGET!AP261)</f>
        <v/>
      </c>
      <c r="D256" s="1847"/>
      <c r="E256" s="1088"/>
      <c r="F256" s="1088"/>
      <c r="G256" s="1791"/>
      <c r="H256" s="1088"/>
      <c r="I256" s="1901"/>
      <c r="J256">
        <v>1</v>
      </c>
    </row>
    <row r="257" spans="2:10" x14ac:dyDescent="0.2">
      <c r="B257" s="1953" t="str">
        <f>IF(BUDGET!A262=0,"",BUDGET!A262)</f>
        <v xml:space="preserve">   TOTAL</v>
      </c>
      <c r="C257" s="1976" t="str">
        <f>IF(BUDGET!AP262=0,"",BUDGET!AP262)</f>
        <v/>
      </c>
      <c r="D257" s="1848"/>
      <c r="E257" s="1090"/>
      <c r="F257" s="1090"/>
      <c r="G257" s="1792"/>
      <c r="H257" s="1090"/>
      <c r="I257" s="1902"/>
      <c r="J257">
        <v>1</v>
      </c>
    </row>
    <row r="258" spans="2:10" x14ac:dyDescent="0.2">
      <c r="B258" s="1957" t="str">
        <f>IF(BUDGET!A263=0,"",BUDGET!A263)</f>
        <v/>
      </c>
      <c r="C258" s="1959" t="str">
        <f>IF(BUDGET!AP263=0,"",BUDGET!AP263)</f>
        <v/>
      </c>
      <c r="D258" s="1828"/>
      <c r="E258" s="1092"/>
      <c r="F258" s="1736"/>
      <c r="G258" s="1777"/>
      <c r="H258" s="1092"/>
      <c r="I258" s="1882"/>
      <c r="J258">
        <v>1</v>
      </c>
    </row>
    <row r="259" spans="2:10" x14ac:dyDescent="0.2">
      <c r="B259" s="1965" t="str">
        <f>IF(BUDGET!A264=0,"",BUDGET!A264)</f>
        <v>RECYCLING</v>
      </c>
      <c r="C259" s="1826" t="str">
        <f>IF(BUDGET!AP264=0,"",BUDGET!AP264)</f>
        <v/>
      </c>
      <c r="D259" s="1826"/>
      <c r="E259" s="1087"/>
      <c r="F259" s="1523"/>
      <c r="G259" s="1775"/>
      <c r="H259" s="1087"/>
      <c r="I259" s="1880"/>
      <c r="J259">
        <v>1</v>
      </c>
    </row>
    <row r="260" spans="2:10" x14ac:dyDescent="0.2">
      <c r="B260" s="1955" t="str">
        <f>IF(BUDGET!A265=0,"",BUDGET!A265)</f>
        <v xml:space="preserve">   WAGES</v>
      </c>
      <c r="C260" s="1976" t="str">
        <f>IF(BUDGET!AP265=0,"",BUDGET!AP265)</f>
        <v/>
      </c>
      <c r="D260" s="1848"/>
      <c r="E260" s="1090"/>
      <c r="F260" s="1090"/>
      <c r="G260" s="1792"/>
      <c r="H260" s="1090"/>
      <c r="I260" s="1902"/>
      <c r="J260">
        <v>1</v>
      </c>
    </row>
    <row r="261" spans="2:10" x14ac:dyDescent="0.2">
      <c r="B261" s="1955" t="str">
        <f>IF(BUDGET!A266=0,"",BUDGET!A266)</f>
        <v xml:space="preserve">   OTHER</v>
      </c>
      <c r="C261" s="1976" t="str">
        <f>IF(BUDGET!AP266=0,"",BUDGET!AP266)</f>
        <v/>
      </c>
      <c r="D261" s="1848"/>
      <c r="E261" s="1090"/>
      <c r="F261" s="1090"/>
      <c r="G261" s="1792"/>
      <c r="H261" s="1090"/>
      <c r="I261" s="1902"/>
      <c r="J261">
        <v>1</v>
      </c>
    </row>
    <row r="262" spans="2:10" x14ac:dyDescent="0.2">
      <c r="B262" s="1953" t="str">
        <f>IF(BUDGET!A267=0,"",BUDGET!A267)</f>
        <v xml:space="preserve">   TOTAL</v>
      </c>
      <c r="C262" s="1976" t="str">
        <f>IF(BUDGET!AP267=0,"",BUDGET!AP267)</f>
        <v/>
      </c>
      <c r="D262" s="1848"/>
      <c r="E262" s="1090"/>
      <c r="F262" s="1090"/>
      <c r="G262" s="1792"/>
      <c r="H262" s="1090"/>
      <c r="I262" s="1902"/>
      <c r="J262">
        <v>1</v>
      </c>
    </row>
    <row r="263" spans="2:10" x14ac:dyDescent="0.2">
      <c r="B263" s="1957" t="str">
        <f>IF(BUDGET!A268=0,"",BUDGET!A268)</f>
        <v/>
      </c>
      <c r="C263" s="1959" t="str">
        <f>IF(BUDGET!AP268=0,"",BUDGET!AP268)</f>
        <v/>
      </c>
      <c r="D263" s="1828"/>
      <c r="E263" s="1092"/>
      <c r="F263" s="1736"/>
      <c r="G263" s="1777"/>
      <c r="H263" s="1092"/>
      <c r="I263" s="1882"/>
      <c r="J263">
        <v>1</v>
      </c>
    </row>
    <row r="264" spans="2:10" x14ac:dyDescent="0.2">
      <c r="B264" s="1955" t="str">
        <f>IF(BUDGET!A269=0,"",BUDGET!A269)</f>
        <v>COUNCIL ON AGING</v>
      </c>
      <c r="C264" s="1819" t="str">
        <f>IF(BUDGET!AP269=0,"",BUDGET!AP269)</f>
        <v/>
      </c>
      <c r="D264" s="1819"/>
      <c r="E264" s="817"/>
      <c r="F264" s="877"/>
      <c r="G264" s="1768"/>
      <c r="H264" s="817"/>
      <c r="I264" s="1873"/>
    </row>
    <row r="265" spans="2:10" x14ac:dyDescent="0.2">
      <c r="B265" s="1955" t="str">
        <f>IF(BUDGET!A270=0,"",BUDGET!A270)</f>
        <v xml:space="preserve">   SALARIES </v>
      </c>
      <c r="C265" s="1845">
        <f>IF(BUDGET!AP270=0,"",BUDGET!AP270)</f>
        <v>70763</v>
      </c>
      <c r="D265" s="1821"/>
      <c r="E265" s="843"/>
      <c r="F265" s="1513"/>
      <c r="G265" s="1770"/>
      <c r="H265" s="843"/>
      <c r="I265" s="1875"/>
    </row>
    <row r="266" spans="2:10" x14ac:dyDescent="0.2">
      <c r="B266" s="1955" t="str">
        <f>IF(BUDGET!A271=0,"",BUDGET!A271)</f>
        <v xml:space="preserve">   WAGES</v>
      </c>
      <c r="C266" s="1845">
        <f>IF(BUDGET!AP271=0,"",BUDGET!AP271)</f>
        <v>64076</v>
      </c>
      <c r="D266" s="1821"/>
      <c r="E266" s="843"/>
      <c r="F266" s="1513"/>
      <c r="G266" s="1770"/>
      <c r="H266" s="843"/>
      <c r="I266" s="1875"/>
    </row>
    <row r="267" spans="2:10" x14ac:dyDescent="0.2">
      <c r="B267" s="1955" t="str">
        <f>IF(BUDGET!A272=0,"",BUDGET!A272)</f>
        <v xml:space="preserve">   OTHER</v>
      </c>
      <c r="C267" s="1845">
        <f>IF(BUDGET!AP272=0,"",BUDGET!AP272)</f>
        <v>5561</v>
      </c>
      <c r="D267" s="1821"/>
      <c r="E267" s="843"/>
      <c r="F267" s="1513"/>
      <c r="G267" s="1770"/>
      <c r="H267" s="843"/>
      <c r="I267" s="1875"/>
    </row>
    <row r="268" spans="2:10" x14ac:dyDescent="0.2">
      <c r="B268" s="1953" t="str">
        <f>IF(BUDGET!A273=0,"",BUDGET!A273)</f>
        <v xml:space="preserve">   TOTAL</v>
      </c>
      <c r="C268" s="1822">
        <f>IF(BUDGET!AP273=0,"",BUDGET!AP273)</f>
        <v>140400</v>
      </c>
      <c r="D268" s="1822"/>
      <c r="E268" s="814"/>
      <c r="F268" s="853"/>
      <c r="G268" s="1771"/>
      <c r="H268" s="814"/>
      <c r="I268" s="1876"/>
    </row>
    <row r="269" spans="2:10" x14ac:dyDescent="0.2">
      <c r="B269" s="1957" t="str">
        <f>IF(BUDGET!A274=0,"",BUDGET!A274)</f>
        <v/>
      </c>
      <c r="C269" s="1857" t="str">
        <f>IF(BUDGET!AP274=0,"",BUDGET!AP274)</f>
        <v/>
      </c>
      <c r="D269" s="1823"/>
      <c r="E269" s="856"/>
      <c r="F269" s="1237"/>
      <c r="G269" s="1772"/>
      <c r="H269" s="856"/>
      <c r="I269" s="1877"/>
    </row>
    <row r="270" spans="2:10" x14ac:dyDescent="0.2">
      <c r="B270" s="1955" t="str">
        <f>IF(BUDGET!A275=0,"",BUDGET!A275)</f>
        <v>TRI-TOWN COUNCIL</v>
      </c>
      <c r="C270" s="2081" t="str">
        <f>IF(BUDGET!AP275=0,"",BUDGET!AP275)</f>
        <v/>
      </c>
      <c r="D270" s="2081"/>
      <c r="E270" s="2087"/>
      <c r="F270" s="2088"/>
      <c r="G270" s="2089"/>
      <c r="H270" s="2087"/>
      <c r="I270" s="2090"/>
      <c r="J270">
        <v>1</v>
      </c>
    </row>
    <row r="271" spans="2:10" x14ac:dyDescent="0.2">
      <c r="B271" s="1955" t="str">
        <f>IF(BUDGET!A276=0,"",BUDGET!A276)</f>
        <v xml:space="preserve">   SERVICES</v>
      </c>
      <c r="C271" s="2081" t="str">
        <f>IF(BUDGET!AP276=0,"",BUDGET!AP276)</f>
        <v/>
      </c>
      <c r="D271" s="2082"/>
      <c r="E271" s="2083"/>
      <c r="F271" s="2084"/>
      <c r="G271" s="2085"/>
      <c r="H271" s="2083"/>
      <c r="I271" s="2086"/>
      <c r="J271">
        <v>1</v>
      </c>
    </row>
    <row r="272" spans="2:10" x14ac:dyDescent="0.2">
      <c r="B272" s="1953" t="str">
        <f>IF(BUDGET!A277=0,"",BUDGET!A277)</f>
        <v xml:space="preserve">   TOTAL</v>
      </c>
      <c r="C272" s="2091" t="str">
        <f>IF(BUDGET!AP277=0,"",BUDGET!AP277)</f>
        <v/>
      </c>
      <c r="D272" s="2091"/>
      <c r="E272" s="2092"/>
      <c r="F272" s="2093"/>
      <c r="G272" s="2094"/>
      <c r="H272" s="2092"/>
      <c r="I272" s="2095"/>
      <c r="J272">
        <v>1</v>
      </c>
    </row>
    <row r="273" spans="2:10" x14ac:dyDescent="0.2">
      <c r="B273" s="1956" t="str">
        <f>IF(BUDGET!A278=0,"",BUDGET!A278)</f>
        <v/>
      </c>
      <c r="C273" s="2118" t="str">
        <f>IF(BUDGET!AP278=0,"",BUDGET!AP278)</f>
        <v/>
      </c>
      <c r="D273" s="2123"/>
      <c r="E273" s="2124"/>
      <c r="F273" s="2125"/>
      <c r="G273" s="2126"/>
      <c r="H273" s="2124"/>
      <c r="I273" s="2127"/>
      <c r="J273">
        <v>1</v>
      </c>
    </row>
    <row r="274" spans="2:10" x14ac:dyDescent="0.2">
      <c r="B274" s="1955" t="str">
        <f>IF(BUDGET!A279=0,"",BUDGET!A279)</f>
        <v>HAWC</v>
      </c>
      <c r="C274" s="2081" t="str">
        <f>IF(BUDGET!AP279=0,"",BUDGET!AP279)</f>
        <v/>
      </c>
      <c r="D274" s="2081"/>
      <c r="E274" s="2087"/>
      <c r="F274" s="2088"/>
      <c r="G274" s="2089"/>
      <c r="H274" s="2087"/>
      <c r="I274" s="2090"/>
      <c r="J274">
        <v>1</v>
      </c>
    </row>
    <row r="275" spans="2:10" x14ac:dyDescent="0.2">
      <c r="B275" s="1955" t="str">
        <f>IF(BUDGET!A280=0,"",BUDGET!A280)</f>
        <v xml:space="preserve">  OTHER</v>
      </c>
      <c r="C275" s="2081" t="str">
        <f>IF(BUDGET!AP280=0,"",BUDGET!AP280)</f>
        <v/>
      </c>
      <c r="D275" s="2082"/>
      <c r="E275" s="2083"/>
      <c r="F275" s="2084"/>
      <c r="G275" s="2085"/>
      <c r="H275" s="2083"/>
      <c r="I275" s="2086"/>
      <c r="J275">
        <v>1</v>
      </c>
    </row>
    <row r="276" spans="2:10" x14ac:dyDescent="0.2">
      <c r="B276" s="1956" t="str">
        <f>IF(BUDGET!A281=0,"",BUDGET!A281)</f>
        <v xml:space="preserve">  TOTAL</v>
      </c>
      <c r="C276" s="2091" t="str">
        <f>IF(BUDGET!AP281=0,"",BUDGET!AP281)</f>
        <v/>
      </c>
      <c r="D276" s="2108"/>
      <c r="E276" s="2109"/>
      <c r="F276" s="2110"/>
      <c r="G276" s="2111"/>
      <c r="H276" s="2109"/>
      <c r="I276" s="2112"/>
      <c r="J276">
        <v>1</v>
      </c>
    </row>
    <row r="277" spans="2:10" x14ac:dyDescent="0.2">
      <c r="B277" s="1955" t="str">
        <f>IF(BUDGET!A282=0,"",BUDGET!A282)</f>
        <v>VETERANS BENEFITS</v>
      </c>
      <c r="C277" s="1819" t="str">
        <f>IF(BUDGET!AP282=0,"",BUDGET!AP282)</f>
        <v/>
      </c>
      <c r="D277" s="1819"/>
      <c r="E277" s="817"/>
      <c r="F277" s="877"/>
      <c r="G277" s="1768"/>
      <c r="H277" s="817"/>
      <c r="I277" s="1873"/>
    </row>
    <row r="278" spans="2:10" x14ac:dyDescent="0.2">
      <c r="B278" s="1955" t="str">
        <f>IF(BUDGET!A283=0,"",BUDGET!A283)</f>
        <v xml:space="preserve">   VET. BNFTS</v>
      </c>
      <c r="C278" s="1845">
        <f>IF(BUDGET!AP283=0,"",BUDGET!AP283)</f>
        <v>20960</v>
      </c>
      <c r="D278" s="1821"/>
      <c r="E278" s="843"/>
      <c r="F278" s="1513"/>
      <c r="G278" s="1770"/>
      <c r="H278" s="843"/>
      <c r="I278" s="1875"/>
    </row>
    <row r="279" spans="2:10" x14ac:dyDescent="0.2">
      <c r="B279" s="1953" t="str">
        <f>IF(BUDGET!A284=0,"",BUDGET!A284)</f>
        <v xml:space="preserve">   TOTAL</v>
      </c>
      <c r="C279" s="1822">
        <f>IF(BUDGET!AP284=0,"",BUDGET!AP284)</f>
        <v>20960</v>
      </c>
      <c r="D279" s="1822"/>
      <c r="E279" s="814"/>
      <c r="F279" s="853"/>
      <c r="G279" s="1771"/>
      <c r="H279" s="814"/>
      <c r="I279" s="1876"/>
    </row>
    <row r="280" spans="2:10" x14ac:dyDescent="0.2">
      <c r="B280" s="1957" t="str">
        <f>IF(BUDGET!A285=0,"",BUDGET!A285)</f>
        <v/>
      </c>
      <c r="C280" s="1857" t="str">
        <f>IF(BUDGET!AP285=0,"",BUDGET!AP285)</f>
        <v/>
      </c>
      <c r="D280" s="1823"/>
      <c r="E280" s="856"/>
      <c r="F280" s="1237"/>
      <c r="G280" s="1772"/>
      <c r="H280" s="856"/>
      <c r="I280" s="1877"/>
    </row>
    <row r="281" spans="2:10" x14ac:dyDescent="0.2">
      <c r="B281" s="1955" t="str">
        <f>IF(BUDGET!A286=0,"",BUDGET!A286)</f>
        <v>SOLDIERS &amp; SAILORS GRAVES</v>
      </c>
      <c r="C281" s="1819" t="str">
        <f>IF(BUDGET!AP286=0,"",BUDGET!AP286)</f>
        <v/>
      </c>
      <c r="D281" s="1819"/>
      <c r="E281" s="817"/>
      <c r="F281" s="877"/>
      <c r="G281" s="1768"/>
      <c r="H281" s="817"/>
      <c r="I281" s="1873"/>
    </row>
    <row r="282" spans="2:10" x14ac:dyDescent="0.2">
      <c r="B282" s="1955" t="str">
        <f>IF(BUDGET!A287=0,"",BUDGET!A287)</f>
        <v xml:space="preserve">   OTHER</v>
      </c>
      <c r="C282" s="1845">
        <f>IF(BUDGET!AP287=0,"",BUDGET!AP287)</f>
        <v>1000</v>
      </c>
      <c r="D282" s="1821"/>
      <c r="E282" s="843"/>
      <c r="F282" s="1513"/>
      <c r="G282" s="1770"/>
      <c r="H282" s="843"/>
      <c r="I282" s="1875"/>
    </row>
    <row r="283" spans="2:10" x14ac:dyDescent="0.2">
      <c r="B283" s="1953" t="str">
        <f>IF(BUDGET!A288=0,"",BUDGET!A288)</f>
        <v xml:space="preserve">   TOTAL</v>
      </c>
      <c r="C283" s="1822">
        <f>IF(BUDGET!AP288=0,"",BUDGET!AP288)</f>
        <v>1000</v>
      </c>
      <c r="D283" s="1822"/>
      <c r="E283" s="814"/>
      <c r="F283" s="853"/>
      <c r="G283" s="1771"/>
      <c r="H283" s="814"/>
      <c r="I283" s="1876"/>
    </row>
    <row r="284" spans="2:10" x14ac:dyDescent="0.2">
      <c r="B284" s="1957" t="str">
        <f>IF(BUDGET!A289=0,"",BUDGET!A289)</f>
        <v/>
      </c>
      <c r="C284" s="1857" t="str">
        <f>IF(BUDGET!AP289=0,"",BUDGET!AP289)</f>
        <v/>
      </c>
      <c r="D284" s="1823"/>
      <c r="E284" s="856"/>
      <c r="F284" s="1237"/>
      <c r="G284" s="1772"/>
      <c r="H284" s="856"/>
      <c r="I284" s="1877"/>
    </row>
    <row r="285" spans="2:10" x14ac:dyDescent="0.2">
      <c r="B285" s="1953" t="str">
        <f>IF(BUDGET!A290=0,"",BUDGET!A290)</f>
        <v>SUBTOTAL:    HUMAN SERVICES</v>
      </c>
      <c r="C285" s="1822" t="str">
        <f>IF(BUDGET!AP290=0,"",BUDGET!AP290)</f>
        <v/>
      </c>
      <c r="D285" s="1829"/>
      <c r="E285" s="861"/>
      <c r="F285" s="1200"/>
      <c r="G285" s="1778"/>
      <c r="H285" s="861"/>
      <c r="I285" s="1883"/>
    </row>
    <row r="286" spans="2:10" x14ac:dyDescent="0.2">
      <c r="B286" s="1953" t="str">
        <f>IF(BUDGET!A291=0,"",BUDGET!A291)</f>
        <v xml:space="preserve">   SALARIES</v>
      </c>
      <c r="C286" s="1832">
        <f>IF(BUDGET!AP291=0,"",BUDGET!AP291)</f>
        <v>141526</v>
      </c>
      <c r="D286" s="1832"/>
      <c r="E286" s="928"/>
      <c r="F286" s="1738"/>
      <c r="G286" s="1780"/>
      <c r="H286" s="928"/>
      <c r="I286" s="1886"/>
    </row>
    <row r="287" spans="2:10" x14ac:dyDescent="0.2">
      <c r="B287" s="1953" t="str">
        <f>IF(BUDGET!A292=0,"",BUDGET!A292)</f>
        <v xml:space="preserve">   WAGES</v>
      </c>
      <c r="C287" s="1832">
        <f>IF(BUDGET!AP292=0,"",BUDGET!AP292)</f>
        <v>93819</v>
      </c>
      <c r="D287" s="1832"/>
      <c r="E287" s="928"/>
      <c r="F287" s="1738"/>
      <c r="G287" s="1780"/>
      <c r="H287" s="928"/>
      <c r="I287" s="1886"/>
    </row>
    <row r="288" spans="2:10" x14ac:dyDescent="0.2">
      <c r="B288" s="1953" t="str">
        <f>IF(BUDGET!A293=0,"",BUDGET!A293)</f>
        <v xml:space="preserve">   SERVICES</v>
      </c>
      <c r="C288" s="1832" t="str">
        <f>IF(BUDGET!AP293=0,"",BUDGET!AP293)</f>
        <v/>
      </c>
      <c r="D288" s="1832"/>
      <c r="E288" s="928"/>
      <c r="F288" s="1738"/>
      <c r="G288" s="1780"/>
      <c r="H288" s="928"/>
      <c r="I288" s="1886"/>
    </row>
    <row r="289" spans="2:9" x14ac:dyDescent="0.2">
      <c r="B289" s="1953" t="str">
        <f>IF(BUDGET!A294=0,"",BUDGET!A294)</f>
        <v xml:space="preserve">   OTHER</v>
      </c>
      <c r="C289" s="1832">
        <f>IF(BUDGET!AP294=0,"",BUDGET!AP294)</f>
        <v>43137</v>
      </c>
      <c r="D289" s="1832"/>
      <c r="E289" s="928"/>
      <c r="F289" s="1738"/>
      <c r="G289" s="1780"/>
      <c r="H289" s="928"/>
      <c r="I289" s="1886"/>
    </row>
    <row r="290" spans="2:9" x14ac:dyDescent="0.2">
      <c r="B290" s="1953" t="str">
        <f>IF(BUDGET!A295=0,"",BUDGET!A295)</f>
        <v>VET'S BENEFITS</v>
      </c>
      <c r="C290" s="1832">
        <f>IF(BUDGET!AP295=0,"",BUDGET!AP295)</f>
        <v>20960</v>
      </c>
      <c r="D290" s="1832"/>
      <c r="E290" s="928"/>
      <c r="F290" s="1738"/>
      <c r="G290" s="1780"/>
      <c r="H290" s="928"/>
      <c r="I290" s="1886"/>
    </row>
    <row r="291" spans="2:9" ht="13.5" thickBot="1" x14ac:dyDescent="0.25">
      <c r="B291" s="1967" t="str">
        <f>IF(BUDGET!A296=0,"",BUDGET!A296)</f>
        <v>HUMAN SERVICES:  SUB-TOTAL</v>
      </c>
      <c r="C291" s="1846">
        <f>IF(BUDGET!AP296=0,"",BUDGET!AP296)</f>
        <v>299442</v>
      </c>
      <c r="D291" s="1846"/>
      <c r="E291" s="1071"/>
      <c r="F291" s="1750"/>
      <c r="G291" s="1781"/>
      <c r="H291" s="1071"/>
      <c r="I291" s="1900"/>
    </row>
    <row r="292" spans="2:9" ht="13.5" thickTop="1" x14ac:dyDescent="0.2">
      <c r="B292" s="1953" t="str">
        <f>IF(BUDGET!A297=0,"",BUDGET!A297)</f>
        <v>CULTURE AND RECREATION</v>
      </c>
      <c r="C292" s="1819" t="str">
        <f>IF(BUDGET!AP297=0,"",BUDGET!AP297)</f>
        <v/>
      </c>
      <c r="D292" s="1824"/>
      <c r="E292" s="859"/>
      <c r="F292" s="1178"/>
      <c r="G292" s="1773"/>
      <c r="H292" s="859"/>
      <c r="I292" s="1878"/>
    </row>
    <row r="293" spans="2:9" x14ac:dyDescent="0.2">
      <c r="B293" s="1955" t="str">
        <f>IF(BUDGET!A298=0,"",BUDGET!A298)</f>
        <v>LIBRARY</v>
      </c>
      <c r="C293" s="1819" t="str">
        <f>IF(BUDGET!AP298=0,"",BUDGET!AP298)</f>
        <v/>
      </c>
      <c r="D293" s="1819"/>
      <c r="E293" s="817"/>
      <c r="F293" s="877"/>
      <c r="G293" s="1768"/>
      <c r="H293" s="817"/>
      <c r="I293" s="1873"/>
    </row>
    <row r="294" spans="2:9" x14ac:dyDescent="0.2">
      <c r="B294" s="1955" t="str">
        <f>IF(BUDGET!A299=0,"",BUDGET!A299)</f>
        <v xml:space="preserve">   SALARIES</v>
      </c>
      <c r="C294" s="1845">
        <f>IF(BUDGET!AP299=0,"",BUDGET!AP299)</f>
        <v>269364</v>
      </c>
      <c r="D294" s="1821"/>
      <c r="E294" s="843"/>
      <c r="F294" s="1513"/>
      <c r="G294" s="1770"/>
      <c r="H294" s="843"/>
      <c r="I294" s="1875"/>
    </row>
    <row r="295" spans="2:9" x14ac:dyDescent="0.2">
      <c r="B295" s="1955" t="str">
        <f>IF(BUDGET!A300=0,"",BUDGET!A300)</f>
        <v xml:space="preserve">   WAGES</v>
      </c>
      <c r="C295" s="1845">
        <f>IF(BUDGET!AP300=0,"",BUDGET!AP300)</f>
        <v>220889</v>
      </c>
      <c r="D295" s="1821"/>
      <c r="E295" s="843"/>
      <c r="F295" s="1513"/>
      <c r="G295" s="1770"/>
      <c r="H295" s="843"/>
      <c r="I295" s="1875"/>
    </row>
    <row r="296" spans="2:9" x14ac:dyDescent="0.2">
      <c r="B296" s="1955" t="str">
        <f>IF(BUDGET!A301=0,"",BUDGET!A301)</f>
        <v xml:space="preserve">   OTHER</v>
      </c>
      <c r="C296" s="1845">
        <f>IF(BUDGET!AP301=0,"",BUDGET!AP301)</f>
        <v>176656</v>
      </c>
      <c r="D296" s="1821"/>
      <c r="E296" s="843"/>
      <c r="F296" s="1513"/>
      <c r="G296" s="1770"/>
      <c r="H296" s="941"/>
      <c r="I296" s="2076"/>
    </row>
    <row r="297" spans="2:9" x14ac:dyDescent="0.2">
      <c r="B297" s="1955" t="str">
        <f>IF(BUDGET!A302=0,"",BUDGET!A302)</f>
        <v xml:space="preserve">   MISC.</v>
      </c>
      <c r="C297" s="1819" t="str">
        <f>IF(BUDGET!AP302=0,"",BUDGET!AP302)</f>
        <v/>
      </c>
      <c r="D297" s="1819"/>
      <c r="E297" s="817"/>
      <c r="F297" s="877"/>
      <c r="G297" s="1768"/>
      <c r="H297" s="817"/>
      <c r="I297" s="1873"/>
    </row>
    <row r="298" spans="2:9" x14ac:dyDescent="0.2">
      <c r="B298" s="1955" t="str">
        <f>IF(BUDGET!A303=0,"",BUDGET!A303)</f>
        <v xml:space="preserve">   SUB-TOTAL</v>
      </c>
      <c r="C298" s="1849">
        <f>IF(BUDGET!AP303=0,"",BUDGET!AP303)</f>
        <v>666909</v>
      </c>
      <c r="D298" s="1849"/>
      <c r="E298" s="1560"/>
      <c r="F298" s="1751"/>
      <c r="G298" s="1793"/>
      <c r="H298" s="1560"/>
      <c r="I298" s="1903"/>
    </row>
    <row r="299" spans="2:9" x14ac:dyDescent="0.2">
      <c r="B299" s="1955" t="str">
        <f>IF(BUDGET!A304=0,"",BUDGET!A304)</f>
        <v xml:space="preserve">   TRUST FUNDS</v>
      </c>
      <c r="C299" s="1977" t="str">
        <f>IF(BUDGET!AP304=0,"",BUDGET!AP304)</f>
        <v/>
      </c>
      <c r="D299" s="1850"/>
      <c r="E299" s="901"/>
      <c r="F299" s="1201"/>
      <c r="G299" s="1794"/>
      <c r="H299" s="901"/>
      <c r="I299" s="1904"/>
    </row>
    <row r="300" spans="2:9" x14ac:dyDescent="0.2">
      <c r="B300" s="1953" t="str">
        <f>IF(BUDGET!A305=0,"",BUDGET!A305)</f>
        <v xml:space="preserve">   TOTAL</v>
      </c>
      <c r="C300" s="1822">
        <f>IF(BUDGET!AP305=0,"",BUDGET!AP305)</f>
        <v>666909</v>
      </c>
      <c r="D300" s="1822"/>
      <c r="E300" s="814"/>
      <c r="F300" s="853"/>
      <c r="G300" s="1771"/>
      <c r="H300" s="814"/>
      <c r="I300" s="1876"/>
    </row>
    <row r="301" spans="2:9" x14ac:dyDescent="0.2">
      <c r="B301" s="1957" t="str">
        <f>IF(BUDGET!A306=0,"",BUDGET!A306)</f>
        <v/>
      </c>
      <c r="C301" s="1857" t="str">
        <f>IF(BUDGET!AP306=0,"",BUDGET!AP306)</f>
        <v/>
      </c>
      <c r="D301" s="1823"/>
      <c r="E301" s="856"/>
      <c r="F301" s="1237"/>
      <c r="G301" s="1772"/>
      <c r="H301" s="856"/>
      <c r="I301" s="1877"/>
    </row>
    <row r="302" spans="2:9" x14ac:dyDescent="0.2">
      <c r="B302" s="1955" t="str">
        <f>IF(BUDGET!A307=0,"",BUDGET!A307)</f>
        <v>RECREATION</v>
      </c>
      <c r="C302" s="1819" t="str">
        <f>IF(BUDGET!AP307=0,"",BUDGET!AP307)</f>
        <v/>
      </c>
      <c r="D302" s="1824"/>
      <c r="E302" s="859"/>
      <c r="F302" s="1178"/>
      <c r="G302" s="1773"/>
      <c r="H302" s="859"/>
      <c r="I302" s="1878"/>
    </row>
    <row r="303" spans="2:9" x14ac:dyDescent="0.2">
      <c r="B303" s="1955" t="str">
        <f>IF(BUDGET!A308=0,"",BUDGET!A308)</f>
        <v xml:space="preserve">   SALARY</v>
      </c>
      <c r="C303" s="1819" t="str">
        <f>IF(BUDGET!AP308=0,"",BUDGET!AP308)</f>
        <v/>
      </c>
      <c r="D303" s="1824"/>
      <c r="E303" s="859"/>
      <c r="F303" s="1178"/>
      <c r="G303" s="1773"/>
      <c r="H303" s="859"/>
      <c r="I303" s="1878"/>
    </row>
    <row r="304" spans="2:9" x14ac:dyDescent="0.2">
      <c r="B304" s="1955" t="str">
        <f>IF(BUDGET!A309=0,"",BUDGET!A309)</f>
        <v xml:space="preserve">   WAGES</v>
      </c>
      <c r="C304" s="1819">
        <f>IF(BUDGET!AP309=0,"",BUDGET!AP309)</f>
        <v>31708</v>
      </c>
      <c r="D304" s="1824"/>
      <c r="E304" s="859"/>
      <c r="F304" s="1178"/>
      <c r="G304" s="1773"/>
      <c r="H304" s="859"/>
      <c r="I304" s="1878"/>
    </row>
    <row r="305" spans="2:10" x14ac:dyDescent="0.2">
      <c r="B305" s="1955" t="str">
        <f>IF(BUDGET!A310=0,"",BUDGET!A310)</f>
        <v xml:space="preserve">   OTHER</v>
      </c>
      <c r="C305" s="1819">
        <f>IF(BUDGET!AP310=0,"",BUDGET!AP310)</f>
        <v>2000</v>
      </c>
      <c r="D305" s="1824"/>
      <c r="E305" s="859"/>
      <c r="F305" s="1178"/>
      <c r="G305" s="1773"/>
      <c r="H305" s="859"/>
      <c r="I305" s="1878"/>
    </row>
    <row r="306" spans="2:10" x14ac:dyDescent="0.2">
      <c r="B306" s="1953" t="str">
        <f>IF(BUDGET!A311=0,"",BUDGET!A311)</f>
        <v xml:space="preserve">   TOTAL</v>
      </c>
      <c r="C306" s="1822">
        <f>IF(BUDGET!AP311=0,"",BUDGET!AP311)</f>
        <v>33708</v>
      </c>
      <c r="D306" s="1829"/>
      <c r="E306" s="861"/>
      <c r="F306" s="1200"/>
      <c r="G306" s="1778"/>
      <c r="H306" s="861"/>
      <c r="I306" s="1883"/>
    </row>
    <row r="307" spans="2:10" x14ac:dyDescent="0.2">
      <c r="B307" s="1957" t="str">
        <f>IF(BUDGET!A312=0,"",BUDGET!A312)</f>
        <v/>
      </c>
      <c r="C307" s="1857" t="str">
        <f>IF(BUDGET!AP312=0,"",BUDGET!AP312)</f>
        <v/>
      </c>
      <c r="D307" s="1823"/>
      <c r="E307" s="856"/>
      <c r="F307" s="1237"/>
      <c r="G307" s="1772"/>
      <c r="H307" s="856"/>
      <c r="I307" s="1877"/>
    </row>
    <row r="308" spans="2:10" x14ac:dyDescent="0.2">
      <c r="B308" s="1955" t="str">
        <f>IF(BUDGET!A313=0,"",BUDGET!A313)</f>
        <v/>
      </c>
      <c r="C308" s="2081" t="str">
        <f>IF(BUDGET!AP313=0,"",BUDGET!AP313)</f>
        <v/>
      </c>
      <c r="D308" s="2082"/>
      <c r="E308" s="2083"/>
      <c r="F308" s="2084"/>
      <c r="G308" s="2085"/>
      <c r="H308" s="2083"/>
      <c r="I308" s="2086"/>
      <c r="J308">
        <v>1</v>
      </c>
    </row>
    <row r="309" spans="2:10" x14ac:dyDescent="0.2">
      <c r="B309" s="1955" t="str">
        <f>IF(BUDGET!A314=0,"",BUDGET!A314)</f>
        <v/>
      </c>
      <c r="C309" s="2081" t="str">
        <f>IF(BUDGET!AP314=0,"",BUDGET!AP314)</f>
        <v/>
      </c>
      <c r="D309" s="2082"/>
      <c r="E309" s="2083"/>
      <c r="F309" s="2084"/>
      <c r="G309" s="2085"/>
      <c r="H309" s="2083"/>
      <c r="I309" s="2086"/>
      <c r="J309">
        <v>1</v>
      </c>
    </row>
    <row r="310" spans="2:10" x14ac:dyDescent="0.2">
      <c r="B310" s="1955" t="str">
        <f>IF(BUDGET!A315=0,"",BUDGET!A315)</f>
        <v>PARK AND CEMETERY</v>
      </c>
      <c r="C310" s="1826" t="str">
        <f>IF(BUDGET!AP315=0,"",BUDGET!AP315)</f>
        <v/>
      </c>
      <c r="D310" s="1826"/>
      <c r="E310" s="1087"/>
      <c r="F310" s="1523"/>
      <c r="G310" s="1775"/>
      <c r="H310" s="1087"/>
      <c r="I310" s="1880"/>
      <c r="J310">
        <v>1</v>
      </c>
    </row>
    <row r="311" spans="2:10" x14ac:dyDescent="0.2">
      <c r="B311" s="1955" t="str">
        <f>IF(BUDGET!A316=0,"",BUDGET!A316)</f>
        <v xml:space="preserve">   SALARY</v>
      </c>
      <c r="C311" s="1847" t="str">
        <f>IF(BUDGET!AP316=0,"",BUDGET!AP316)</f>
        <v/>
      </c>
      <c r="D311" s="1847"/>
      <c r="E311" s="1088"/>
      <c r="F311" s="1088"/>
      <c r="G311" s="1791"/>
      <c r="H311" s="1088"/>
      <c r="I311" s="1901"/>
      <c r="J311">
        <v>1</v>
      </c>
    </row>
    <row r="312" spans="2:10" x14ac:dyDescent="0.2">
      <c r="B312" s="1955" t="str">
        <f>IF(BUDGET!A317=0,"",BUDGET!A317)</f>
        <v xml:space="preserve">   WAGES</v>
      </c>
      <c r="C312" s="1847" t="str">
        <f>IF(BUDGET!AP317=0,"",BUDGET!AP317)</f>
        <v/>
      </c>
      <c r="D312" s="1847"/>
      <c r="E312" s="1088"/>
      <c r="F312" s="1088"/>
      <c r="G312" s="1791"/>
      <c r="H312" s="1088"/>
      <c r="I312" s="1901"/>
      <c r="J312">
        <v>1</v>
      </c>
    </row>
    <row r="313" spans="2:10" x14ac:dyDescent="0.2">
      <c r="B313" s="1955" t="str">
        <f>IF(BUDGET!A318=0,"",BUDGET!A318)</f>
        <v xml:space="preserve">   OTHER</v>
      </c>
      <c r="C313" s="1847" t="str">
        <f>IF(BUDGET!AP318=0,"",BUDGET!AP318)</f>
        <v/>
      </c>
      <c r="D313" s="1847"/>
      <c r="E313" s="1088"/>
      <c r="F313" s="1088"/>
      <c r="G313" s="1791"/>
      <c r="H313" s="1088"/>
      <c r="I313" s="1901"/>
      <c r="J313">
        <v>1</v>
      </c>
    </row>
    <row r="314" spans="2:10" x14ac:dyDescent="0.2">
      <c r="B314" s="1955" t="str">
        <f>IF(BUDGET!A319=0,"",BUDGET!A319)</f>
        <v xml:space="preserve">   SALE OF LOTS</v>
      </c>
      <c r="C314" s="1847" t="str">
        <f>IF(BUDGET!AP319=0,"",BUDGET!AP319)</f>
        <v/>
      </c>
      <c r="D314" s="1847"/>
      <c r="E314" s="1088"/>
      <c r="F314" s="1088"/>
      <c r="G314" s="1791"/>
      <c r="H314" s="1088"/>
      <c r="I314" s="1901"/>
      <c r="J314">
        <v>1</v>
      </c>
    </row>
    <row r="315" spans="2:10" x14ac:dyDescent="0.2">
      <c r="B315" s="1955" t="str">
        <f>IF(BUDGET!A320=0,"",BUDGET!A320)</f>
        <v xml:space="preserve">   PERPETUAL CARE TRUST FUND</v>
      </c>
      <c r="C315" s="1847" t="str">
        <f>IF(BUDGET!AP320=0,"",BUDGET!AP320)</f>
        <v/>
      </c>
      <c r="D315" s="1847"/>
      <c r="E315" s="1088"/>
      <c r="F315" s="1088"/>
      <c r="G315" s="1791"/>
      <c r="H315" s="1088"/>
      <c r="I315" s="1901"/>
      <c r="J315">
        <v>1</v>
      </c>
    </row>
    <row r="316" spans="2:10" x14ac:dyDescent="0.2">
      <c r="B316" s="1953" t="str">
        <f>IF(BUDGET!A321=0,"",BUDGET!A321)</f>
        <v xml:space="preserve">   TOTAL</v>
      </c>
      <c r="C316" s="1847" t="str">
        <f>IF(BUDGET!AP321=0,"",BUDGET!AP321)</f>
        <v/>
      </c>
      <c r="D316" s="1847"/>
      <c r="E316" s="1088"/>
      <c r="F316" s="1088"/>
      <c r="G316" s="1791"/>
      <c r="H316" s="1088"/>
      <c r="I316" s="1901"/>
      <c r="J316">
        <v>1</v>
      </c>
    </row>
    <row r="317" spans="2:10" x14ac:dyDescent="0.2">
      <c r="B317" s="1957" t="str">
        <f>IF(BUDGET!A322=0,"",BUDGET!A322)</f>
        <v/>
      </c>
      <c r="C317" s="1959" t="str">
        <f>IF(BUDGET!AP322=0,"",BUDGET!AP322)</f>
        <v/>
      </c>
      <c r="D317" s="1828"/>
      <c r="E317" s="1092"/>
      <c r="F317" s="1736"/>
      <c r="G317" s="1777"/>
      <c r="H317" s="1092"/>
      <c r="I317" s="1882"/>
      <c r="J317">
        <v>1</v>
      </c>
    </row>
    <row r="318" spans="2:10" x14ac:dyDescent="0.2">
      <c r="B318" s="1955" t="str">
        <f>IF(BUDGET!A323=0,"",BUDGET!A323)</f>
        <v>TREE DEPARTMENT</v>
      </c>
      <c r="C318" s="1826" t="str">
        <f>IF(BUDGET!AP323=0,"",BUDGET!AP323)</f>
        <v/>
      </c>
      <c r="D318" s="1826"/>
      <c r="E318" s="1087"/>
      <c r="F318" s="1523"/>
      <c r="G318" s="1775"/>
      <c r="H318" s="1087"/>
      <c r="I318" s="1880"/>
      <c r="J318">
        <v>1</v>
      </c>
    </row>
    <row r="319" spans="2:10" x14ac:dyDescent="0.2">
      <c r="B319" s="1955" t="str">
        <f>IF(BUDGET!A324=0,"",BUDGET!A324)</f>
        <v xml:space="preserve">   SALARIES</v>
      </c>
      <c r="C319" s="1847" t="str">
        <f>IF(BUDGET!AP324=0,"",BUDGET!AP324)</f>
        <v/>
      </c>
      <c r="D319" s="1847"/>
      <c r="E319" s="1088"/>
      <c r="F319" s="1088"/>
      <c r="G319" s="1791"/>
      <c r="H319" s="1088"/>
      <c r="I319" s="1901"/>
      <c r="J319">
        <v>1</v>
      </c>
    </row>
    <row r="320" spans="2:10" x14ac:dyDescent="0.2">
      <c r="B320" s="1955" t="str">
        <f>IF(BUDGET!A325=0,"",BUDGET!A325)</f>
        <v xml:space="preserve">   WAGES</v>
      </c>
      <c r="C320" s="1847" t="str">
        <f>IF(BUDGET!AP325=0,"",BUDGET!AP325)</f>
        <v/>
      </c>
      <c r="D320" s="1847"/>
      <c r="E320" s="1088"/>
      <c r="F320" s="1088"/>
      <c r="G320" s="1791"/>
      <c r="H320" s="1088"/>
      <c r="I320" s="1901"/>
      <c r="J320">
        <v>1</v>
      </c>
    </row>
    <row r="321" spans="2:10" x14ac:dyDescent="0.2">
      <c r="B321" s="1955" t="str">
        <f>IF(BUDGET!A326=0,"",BUDGET!A326)</f>
        <v xml:space="preserve">   OTHER</v>
      </c>
      <c r="C321" s="1847" t="str">
        <f>IF(BUDGET!AP326=0,"",BUDGET!AP326)</f>
        <v/>
      </c>
      <c r="D321" s="1847"/>
      <c r="E321" s="1088"/>
      <c r="F321" s="1088"/>
      <c r="G321" s="1791"/>
      <c r="H321" s="1088"/>
      <c r="I321" s="1901"/>
      <c r="J321">
        <v>1</v>
      </c>
    </row>
    <row r="322" spans="2:10" x14ac:dyDescent="0.2">
      <c r="B322" s="1953" t="str">
        <f>IF(BUDGET!A327=0,"",BUDGET!A327)</f>
        <v xml:space="preserve">   TOTAL</v>
      </c>
      <c r="C322" s="1847" t="str">
        <f>IF(BUDGET!AP327=0,"",BUDGET!AP327)</f>
        <v/>
      </c>
      <c r="D322" s="1847"/>
      <c r="E322" s="1088"/>
      <c r="F322" s="1088"/>
      <c r="G322" s="1791"/>
      <c r="H322" s="1088"/>
      <c r="I322" s="1901"/>
      <c r="J322">
        <v>1</v>
      </c>
    </row>
    <row r="323" spans="2:10" x14ac:dyDescent="0.2">
      <c r="B323" s="1957" t="str">
        <f>IF(BUDGET!A328=0,"",BUDGET!A328)</f>
        <v/>
      </c>
      <c r="C323" s="1959" t="str">
        <f>IF(BUDGET!AP328=0,"",BUDGET!AP328)</f>
        <v/>
      </c>
      <c r="D323" s="1828"/>
      <c r="E323" s="1092"/>
      <c r="F323" s="1736"/>
      <c r="G323" s="1777"/>
      <c r="H323" s="1092"/>
      <c r="I323" s="1882"/>
      <c r="J323">
        <v>1</v>
      </c>
    </row>
    <row r="324" spans="2:10" x14ac:dyDescent="0.2">
      <c r="B324" s="1955" t="str">
        <f>IF(BUDGET!A329=0,"",BUDGET!A329)</f>
        <v>MEMORIAL DAY &amp; VETERANS DAY</v>
      </c>
      <c r="C324" s="1819" t="str">
        <f>IF(BUDGET!AP329=0,"",BUDGET!AP329)</f>
        <v/>
      </c>
      <c r="D324" s="1819"/>
      <c r="E324" s="817"/>
      <c r="F324" s="877"/>
      <c r="G324" s="1768"/>
      <c r="H324" s="817"/>
      <c r="I324" s="1873"/>
    </row>
    <row r="325" spans="2:10" x14ac:dyDescent="0.2">
      <c r="B325" s="1955" t="str">
        <f>IF(BUDGET!A330=0,"",BUDGET!A330)</f>
        <v xml:space="preserve">   OTHER</v>
      </c>
      <c r="C325" s="1845">
        <f>IF(BUDGET!AP330=0,"",BUDGET!AP330)</f>
        <v>1850</v>
      </c>
      <c r="D325" s="1821"/>
      <c r="E325" s="843"/>
      <c r="F325" s="1513"/>
      <c r="G325" s="1770"/>
      <c r="H325" s="843"/>
      <c r="I325" s="1875"/>
    </row>
    <row r="326" spans="2:10" x14ac:dyDescent="0.2">
      <c r="B326" s="1953" t="str">
        <f>IF(BUDGET!A331=0,"",BUDGET!A331)</f>
        <v xml:space="preserve">   TOTAL</v>
      </c>
      <c r="C326" s="1830">
        <f>IF(BUDGET!AP331=0,"",BUDGET!AP331)</f>
        <v>1850</v>
      </c>
      <c r="D326" s="1830"/>
      <c r="E326" s="852"/>
      <c r="F326" s="1117"/>
      <c r="G326" s="1771"/>
      <c r="H326" s="852"/>
      <c r="I326" s="1884"/>
    </row>
    <row r="327" spans="2:10" x14ac:dyDescent="0.2">
      <c r="B327" s="1957" t="str">
        <f>IF(BUDGET!A332=0,"",BUDGET!A332)</f>
        <v/>
      </c>
      <c r="C327" s="1857" t="str">
        <f>IF(BUDGET!AP332=0,"",BUDGET!AP332)</f>
        <v/>
      </c>
      <c r="D327" s="1823"/>
      <c r="E327" s="856"/>
      <c r="F327" s="1237"/>
      <c r="G327" s="1772"/>
      <c r="H327" s="856"/>
      <c r="I327" s="1877"/>
    </row>
    <row r="328" spans="2:10" x14ac:dyDescent="0.2">
      <c r="B328" s="1955" t="str">
        <f>IF(BUDGET!A333=0,"",BUDGET!A333)</f>
        <v>HISTORICAL COMMISSION</v>
      </c>
      <c r="C328" s="1819" t="str">
        <f>IF(BUDGET!AP333=0,"",BUDGET!AP333)</f>
        <v/>
      </c>
      <c r="D328" s="1819"/>
      <c r="E328" s="817"/>
      <c r="F328" s="877"/>
      <c r="G328" s="1768"/>
      <c r="H328" s="817"/>
      <c r="I328" s="1873"/>
    </row>
    <row r="329" spans="2:10" x14ac:dyDescent="0.2">
      <c r="B329" s="1955" t="str">
        <f>IF(BUDGET!A334=0,"",BUDGET!A334)</f>
        <v xml:space="preserve">   WAGES</v>
      </c>
      <c r="C329" s="1819" t="str">
        <f>IF(BUDGET!AP334=0,"",BUDGET!AP334)</f>
        <v/>
      </c>
      <c r="D329" s="1819"/>
      <c r="E329" s="817"/>
      <c r="F329" s="877"/>
      <c r="G329" s="1768"/>
      <c r="H329" s="817"/>
      <c r="I329" s="1873"/>
    </row>
    <row r="330" spans="2:10" x14ac:dyDescent="0.2">
      <c r="B330" s="1955" t="str">
        <f>IF(BUDGET!A335=0,"",BUDGET!A335)</f>
        <v xml:space="preserve">   OTHER</v>
      </c>
      <c r="C330" s="1845">
        <f>IF(BUDGET!AP335=0,"",BUDGET!AP335)</f>
        <v>300</v>
      </c>
      <c r="D330" s="1821"/>
      <c r="E330" s="843"/>
      <c r="F330" s="1513"/>
      <c r="G330" s="1770"/>
      <c r="H330" s="843"/>
      <c r="I330" s="1875"/>
    </row>
    <row r="331" spans="2:10" x14ac:dyDescent="0.2">
      <c r="B331" s="1953" t="str">
        <f>IF(BUDGET!A336=0,"",BUDGET!A336)</f>
        <v xml:space="preserve">   TOTAL</v>
      </c>
      <c r="C331" s="1830">
        <f>IF(BUDGET!AP336=0,"",BUDGET!AP336)</f>
        <v>300</v>
      </c>
      <c r="D331" s="1830"/>
      <c r="E331" s="852"/>
      <c r="F331" s="1117"/>
      <c r="G331" s="1771"/>
      <c r="H331" s="852"/>
      <c r="I331" s="1884"/>
    </row>
    <row r="332" spans="2:10" x14ac:dyDescent="0.2">
      <c r="B332" s="1956" t="str">
        <f>IF(BUDGET!A337=0,"",BUDGET!A337)</f>
        <v/>
      </c>
      <c r="C332" s="1836" t="str">
        <f>IF(BUDGET!AP337=0,"",BUDGET!AP337)</f>
        <v/>
      </c>
      <c r="D332" s="1820"/>
      <c r="E332" s="831"/>
      <c r="F332" s="1733"/>
      <c r="G332" s="1769"/>
      <c r="H332" s="831"/>
      <c r="I332" s="1874"/>
    </row>
    <row r="333" spans="2:10" x14ac:dyDescent="0.2">
      <c r="B333" s="1953" t="str">
        <f>IF(BUDGET!A338=0,"",BUDGET!A338)</f>
        <v>CULTURAL COUNCIL</v>
      </c>
      <c r="C333" s="2081" t="str">
        <f>IF(BUDGET!AP338=0,"",BUDGET!AP338)</f>
        <v/>
      </c>
      <c r="D333" s="2081"/>
      <c r="E333" s="2087"/>
      <c r="F333" s="2088"/>
      <c r="G333" s="2089"/>
      <c r="H333" s="2087"/>
      <c r="I333" s="2090"/>
      <c r="J333">
        <v>1</v>
      </c>
    </row>
    <row r="334" spans="2:10" x14ac:dyDescent="0.2">
      <c r="B334" s="1955" t="str">
        <f>IF(BUDGET!A339=0,"",BUDGET!A339)</f>
        <v xml:space="preserve">   OTHER</v>
      </c>
      <c r="C334" s="2091" t="str">
        <f>IF(BUDGET!AP339=0,"",BUDGET!AP339)</f>
        <v/>
      </c>
      <c r="D334" s="2108"/>
      <c r="E334" s="2109"/>
      <c r="F334" s="2110"/>
      <c r="G334" s="2111"/>
      <c r="H334" s="2109"/>
      <c r="I334" s="2112"/>
      <c r="J334">
        <v>1</v>
      </c>
    </row>
    <row r="335" spans="2:10" x14ac:dyDescent="0.2">
      <c r="B335" s="1953" t="str">
        <f>IF(BUDGET!A340=0,"",BUDGET!A340)</f>
        <v xml:space="preserve">   TOTAL</v>
      </c>
      <c r="C335" s="2091" t="str">
        <f>IF(BUDGET!AP340=0,"",BUDGET!AP340)</f>
        <v/>
      </c>
      <c r="D335" s="2108"/>
      <c r="E335" s="2109"/>
      <c r="F335" s="2110"/>
      <c r="G335" s="2111"/>
      <c r="H335" s="2109"/>
      <c r="I335" s="2112"/>
      <c r="J335">
        <v>1</v>
      </c>
    </row>
    <row r="336" spans="2:10" x14ac:dyDescent="0.2">
      <c r="B336" s="1957" t="str">
        <f>IF(BUDGET!A341=0,"",BUDGET!A341)</f>
        <v/>
      </c>
      <c r="C336" s="2118" t="str">
        <f>IF(BUDGET!AP341=0,"",BUDGET!AP341)</f>
        <v/>
      </c>
      <c r="D336" s="2123"/>
      <c r="E336" s="2124"/>
      <c r="F336" s="2125"/>
      <c r="G336" s="2126"/>
      <c r="H336" s="2124"/>
      <c r="I336" s="2127"/>
      <c r="J336">
        <v>1</v>
      </c>
    </row>
    <row r="337" spans="2:9" x14ac:dyDescent="0.2">
      <c r="B337" s="1953" t="str">
        <f>IF(BUDGET!A342=0,"",BUDGET!A342)</f>
        <v>CULTURAL &amp; RECREATION:  TOTAL</v>
      </c>
      <c r="C337" s="1822" t="str">
        <f>IF(BUDGET!AP342=0,"",BUDGET!AP342)</f>
        <v/>
      </c>
      <c r="D337" s="1829"/>
      <c r="E337" s="861"/>
      <c r="F337" s="1200"/>
      <c r="G337" s="1778"/>
      <c r="H337" s="861"/>
      <c r="I337" s="1883"/>
    </row>
    <row r="338" spans="2:9" x14ac:dyDescent="0.2">
      <c r="B338" s="1953" t="str">
        <f>IF(BUDGET!A343=0,"",BUDGET!A343)</f>
        <v xml:space="preserve">   SALARIES</v>
      </c>
      <c r="C338" s="1844">
        <f>IF(BUDGET!AP343=0,"",BUDGET!AP343)</f>
        <v>269364</v>
      </c>
      <c r="D338" s="1844"/>
      <c r="E338" s="881"/>
      <c r="F338" s="1139"/>
      <c r="G338" s="1780"/>
      <c r="H338" s="881"/>
      <c r="I338" s="1898"/>
    </row>
    <row r="339" spans="2:9" x14ac:dyDescent="0.2">
      <c r="B339" s="1953" t="str">
        <f>IF(BUDGET!A344=0,"",BUDGET!A344)</f>
        <v xml:space="preserve">   WAGES</v>
      </c>
      <c r="C339" s="1844">
        <f>IF(BUDGET!AP344=0,"",BUDGET!AP344)</f>
        <v>252597</v>
      </c>
      <c r="D339" s="1844"/>
      <c r="E339" s="881"/>
      <c r="F339" s="1139"/>
      <c r="G339" s="1780"/>
      <c r="H339" s="881"/>
      <c r="I339" s="1898"/>
    </row>
    <row r="340" spans="2:9" x14ac:dyDescent="0.2">
      <c r="B340" s="1953" t="str">
        <f>IF(BUDGET!A345=0,"",BUDGET!A345)</f>
        <v xml:space="preserve">   OTHER</v>
      </c>
      <c r="C340" s="1844">
        <f>IF(BUDGET!AP345=0,"",BUDGET!AP345)</f>
        <v>180806</v>
      </c>
      <c r="D340" s="1844"/>
      <c r="E340" s="881"/>
      <c r="F340" s="1139"/>
      <c r="G340" s="1780"/>
      <c r="H340" s="881"/>
      <c r="I340" s="1898"/>
    </row>
    <row r="341" spans="2:9" x14ac:dyDescent="0.2">
      <c r="B341" s="1953" t="str">
        <f>IF(BUDGET!A346=0,"",BUDGET!A346)</f>
        <v xml:space="preserve">   BOOKS</v>
      </c>
      <c r="C341" s="1822" t="str">
        <f>IF(BUDGET!AP346=0,"",BUDGET!AP346)</f>
        <v/>
      </c>
      <c r="D341" s="1822"/>
      <c r="E341" s="814"/>
      <c r="F341" s="853"/>
      <c r="G341" s="1771"/>
      <c r="H341" s="814"/>
      <c r="I341" s="1876"/>
    </row>
    <row r="342" spans="2:9" x14ac:dyDescent="0.2">
      <c r="B342" s="1953" t="str">
        <f>IF(BUDGET!A347=0,"",BUDGET!A347)</f>
        <v xml:space="preserve">   SUB-TOTAL</v>
      </c>
      <c r="C342" s="1832">
        <f>IF(BUDGET!AP347=0,"",BUDGET!AP347)</f>
        <v>702767</v>
      </c>
      <c r="D342" s="1832"/>
      <c r="E342" s="928"/>
      <c r="F342" s="1738"/>
      <c r="G342" s="1780"/>
      <c r="H342" s="928"/>
      <c r="I342" s="1886"/>
    </row>
    <row r="343" spans="2:9" x14ac:dyDescent="0.2">
      <c r="B343" s="1953" t="str">
        <f>IF(BUDGET!A348=0,"",BUDGET!A348)</f>
        <v xml:space="preserve">   TRUST FUNDS</v>
      </c>
      <c r="C343" s="1822" t="str">
        <f>IF(BUDGET!AP348=0,"",BUDGET!AP348)</f>
        <v/>
      </c>
      <c r="D343" s="1822"/>
      <c r="E343" s="814"/>
      <c r="F343" s="853"/>
      <c r="G343" s="1771"/>
      <c r="H343" s="814"/>
      <c r="I343" s="1876"/>
    </row>
    <row r="344" spans="2:9" x14ac:dyDescent="0.2">
      <c r="B344" s="1953" t="str">
        <f>IF(BUDGET!A349=0,"",BUDGET!A349)</f>
        <v xml:space="preserve">   SALE OF LOTS</v>
      </c>
      <c r="C344" s="1822" t="str">
        <f>IF(BUDGET!AP349=0,"",BUDGET!AP349)</f>
        <v/>
      </c>
      <c r="D344" s="1822"/>
      <c r="E344" s="814"/>
      <c r="F344" s="853"/>
      <c r="G344" s="1771"/>
      <c r="H344" s="814"/>
      <c r="I344" s="1876"/>
    </row>
    <row r="345" spans="2:9" ht="13.5" thickBot="1" x14ac:dyDescent="0.25">
      <c r="B345" s="1967" t="str">
        <f>IF(BUDGET!A350=0,"",BUDGET!A350)</f>
        <v>CULTURE &amp; REC. : SUB-TOTAL</v>
      </c>
      <c r="C345" s="1833">
        <f>IF(BUDGET!AP350=0,"",BUDGET!AP350)</f>
        <v>702767</v>
      </c>
      <c r="D345" s="1833"/>
      <c r="E345" s="953"/>
      <c r="F345" s="1739"/>
      <c r="G345" s="1781"/>
      <c r="H345" s="953"/>
      <c r="I345" s="1887"/>
    </row>
    <row r="346" spans="2:9" ht="13.5" thickTop="1" x14ac:dyDescent="0.2">
      <c r="B346" s="1953" t="str">
        <f>IF(BUDGET!A351=0,"",BUDGET!A351)</f>
        <v>DEBT SERVICE</v>
      </c>
      <c r="C346" s="1819" t="str">
        <f>IF(BUDGET!AP351=0,"",BUDGET!AP351)</f>
        <v/>
      </c>
      <c r="D346" s="1824"/>
      <c r="E346" s="859"/>
      <c r="F346" s="1178"/>
      <c r="G346" s="1773"/>
      <c r="H346" s="859"/>
      <c r="I346" s="1878"/>
    </row>
    <row r="347" spans="2:9" x14ac:dyDescent="0.2">
      <c r="B347" s="1955" t="str">
        <f>IF(BUDGET!A352=0,"",BUDGET!A352)</f>
        <v>LONG-TERM DEBT PRINCIPAL</v>
      </c>
      <c r="C347" s="1819" t="str">
        <f>IF(BUDGET!AP352=0,"",BUDGET!AP352)</f>
        <v/>
      </c>
      <c r="D347" s="1824"/>
      <c r="E347" s="859"/>
      <c r="F347" s="1178"/>
      <c r="G347" s="1773"/>
      <c r="H347" s="859"/>
      <c r="I347" s="1878"/>
    </row>
    <row r="348" spans="2:9" x14ac:dyDescent="0.2">
      <c r="B348" s="1955" t="str">
        <f>IF(BUDGET!A353=0,"",BUDGET!A353)</f>
        <v xml:space="preserve">      TOWN MAPS/ELEM. SCH RENOVA.     </v>
      </c>
      <c r="C348" s="1819" t="str">
        <f>IF(BUDGET!AP353=0,"",BUDGET!AP353)</f>
        <v/>
      </c>
      <c r="D348" s="1824"/>
      <c r="E348" s="859"/>
      <c r="F348" s="1178"/>
      <c r="G348" s="1773"/>
      <c r="H348" s="859"/>
      <c r="I348" s="1878"/>
    </row>
    <row r="349" spans="2:9" x14ac:dyDescent="0.2">
      <c r="B349" s="1955" t="str">
        <f>IF(BUDGET!A354=0,"",BUDGET!A354)</f>
        <v xml:space="preserve">       MULTI-PURPOSE MARCH 2001</v>
      </c>
      <c r="C349" s="1819" t="str">
        <f>IF(BUDGET!AP354=0,"",BUDGET!AP354)</f>
        <v/>
      </c>
      <c r="D349" s="1819"/>
      <c r="E349" s="817"/>
      <c r="F349" s="877"/>
      <c r="G349" s="1768"/>
      <c r="H349" s="817"/>
      <c r="I349" s="1873"/>
    </row>
    <row r="350" spans="2:9" x14ac:dyDescent="0.2">
      <c r="B350" s="1978" t="str">
        <f>IF(BUDGET!A355=0,"",BUDGET!A355)</f>
        <v xml:space="preserve">       MULTIPURPOSE  MARCH 2002</v>
      </c>
      <c r="C350" s="1851" t="str">
        <f>IF(BUDGET!AP355=0,"",BUDGET!AP355)</f>
        <v/>
      </c>
      <c r="D350" s="1851"/>
      <c r="E350" s="932"/>
      <c r="F350" s="1145"/>
      <c r="G350" s="1768"/>
      <c r="H350" s="932"/>
      <c r="I350" s="1905"/>
    </row>
    <row r="351" spans="2:9" x14ac:dyDescent="0.2">
      <c r="B351" s="1978" t="str">
        <f>IF(BUDGET!A356=0,"",BUDGET!A356)</f>
        <v>MULTIPURPOSE 2011</v>
      </c>
      <c r="C351" s="1819" t="str">
        <f>IF(BUDGET!AP356=0,"",BUDGET!AP356)</f>
        <v/>
      </c>
      <c r="D351" s="1819"/>
      <c r="E351" s="817"/>
      <c r="F351" s="877"/>
      <c r="G351" s="1768"/>
      <c r="H351" s="817"/>
      <c r="I351" s="1873"/>
    </row>
    <row r="352" spans="2:9" x14ac:dyDescent="0.2">
      <c r="B352" s="1978" t="str">
        <f>IF(BUDGET!A357=0,"",BUDGET!A357)</f>
        <v>MULTIPURPOSE 2012</v>
      </c>
      <c r="C352" s="1819" t="str">
        <f>IF(BUDGET!AP357=0,"",BUDGET!AP357)</f>
        <v/>
      </c>
      <c r="D352" s="1819"/>
      <c r="E352" s="817"/>
      <c r="F352" s="877"/>
      <c r="G352" s="1768"/>
      <c r="H352" s="817"/>
      <c r="I352" s="1873"/>
    </row>
    <row r="353" spans="2:9" x14ac:dyDescent="0.2">
      <c r="B353" s="1978" t="str">
        <f>IF(BUDGET!A358=0,"",BUDGET!A358)</f>
        <v>MULTIPURPOSE 2015+2016 Principal Paydown</v>
      </c>
      <c r="C353" s="1819" t="str">
        <f>IF(BUDGET!AP358=0,"",BUDGET!AP358)</f>
        <v/>
      </c>
      <c r="D353" s="1819"/>
      <c r="E353" s="817"/>
      <c r="F353" s="877"/>
      <c r="G353" s="1768"/>
      <c r="H353" s="817"/>
      <c r="I353" s="1873"/>
    </row>
    <row r="354" spans="2:9" x14ac:dyDescent="0.2">
      <c r="B354" s="1978" t="str">
        <f>IF(BUDGET!A359=0,"",BUDGET!A359)</f>
        <v>MULTIPURPOSE 2018</v>
      </c>
      <c r="C354" s="1819">
        <f>IF(BUDGET!AP359=0,"",BUDGET!AP359)</f>
        <v>155000</v>
      </c>
      <c r="D354" s="1819"/>
      <c r="E354" s="817"/>
      <c r="F354" s="877"/>
      <c r="G354" s="1768"/>
      <c r="H354" s="817"/>
      <c r="I354" s="1873"/>
    </row>
    <row r="355" spans="2:9" x14ac:dyDescent="0.2">
      <c r="B355" s="1975" t="str">
        <f>IF(BUDGET!A360=0,"",BUDGET!A360)</f>
        <v>MULTIPURPOSE 2019</v>
      </c>
      <c r="C355" s="1819">
        <f>IF(BUDGET!AP360=0,"",BUDGET!AP360)</f>
        <v>305000</v>
      </c>
      <c r="D355" s="1819"/>
      <c r="E355" s="817"/>
      <c r="F355" s="877"/>
      <c r="G355" s="1768"/>
      <c r="H355" s="817"/>
      <c r="I355" s="1873"/>
    </row>
    <row r="356" spans="2:9" x14ac:dyDescent="0.2">
      <c r="B356" s="1975" t="str">
        <f>IF(BUDGET!A361=0,"",BUDGET!A361)</f>
        <v>MULTIPUPRPOSE 2020</v>
      </c>
      <c r="C356" s="1819">
        <f>IF(BUDGET!AP361=0,"",BUDGET!AP361)</f>
        <v>130000</v>
      </c>
      <c r="D356" s="1819"/>
      <c r="E356" s="817"/>
      <c r="F356" s="877"/>
      <c r="G356" s="1768"/>
      <c r="H356" s="817"/>
      <c r="I356" s="1873"/>
    </row>
    <row r="357" spans="2:9" x14ac:dyDescent="0.2">
      <c r="B357" s="1979" t="str">
        <f>IF(BUDGET!A362=0,"",BUDGET!A362)</f>
        <v/>
      </c>
      <c r="C357" s="1819" t="str">
        <f>IF(BUDGET!AP362=0,"",BUDGET!AP362)</f>
        <v/>
      </c>
      <c r="D357" s="1819"/>
      <c r="E357" s="817"/>
      <c r="F357" s="877"/>
      <c r="G357" s="1768"/>
      <c r="H357" s="817"/>
      <c r="I357" s="1873"/>
    </row>
    <row r="358" spans="2:9" x14ac:dyDescent="0.2">
      <c r="B358" s="1953" t="str">
        <f>IF(BUDGET!A363=0,"",BUDGET!A363)</f>
        <v xml:space="preserve">       TOTAL</v>
      </c>
      <c r="C358" s="1822">
        <f>IF(BUDGET!AP363=0,"",BUDGET!AP363)</f>
        <v>590000</v>
      </c>
      <c r="D358" s="1822"/>
      <c r="E358" s="814"/>
      <c r="F358" s="853"/>
      <c r="G358" s="1771"/>
      <c r="H358" s="814"/>
      <c r="I358" s="1876"/>
    </row>
    <row r="359" spans="2:9" x14ac:dyDescent="0.2">
      <c r="B359" s="1957" t="str">
        <f>IF(BUDGET!A364=0,"",BUDGET!A364)</f>
        <v/>
      </c>
      <c r="C359" s="1969" t="str">
        <f>IF(BUDGET!AP364=0,"",BUDGET!AP364)</f>
        <v/>
      </c>
      <c r="D359" s="1835"/>
      <c r="E359" s="857"/>
      <c r="F359" s="1741"/>
      <c r="G359" s="1772"/>
      <c r="H359" s="857"/>
      <c r="I359" s="1889"/>
    </row>
    <row r="360" spans="2:9" x14ac:dyDescent="0.2">
      <c r="B360" s="1955" t="str">
        <f>IF(BUDGET!A365=0,"",BUDGET!A365)</f>
        <v xml:space="preserve">    LONG-TERM DEBT INTEREST</v>
      </c>
      <c r="C360" s="1819" t="str">
        <f>IF(BUDGET!AP365=0,"",BUDGET!AP365)</f>
        <v/>
      </c>
      <c r="D360" s="1824"/>
      <c r="E360" s="859"/>
      <c r="F360" s="1178"/>
      <c r="G360" s="1773"/>
      <c r="H360" s="859"/>
      <c r="I360" s="1878"/>
    </row>
    <row r="361" spans="2:9" x14ac:dyDescent="0.2">
      <c r="B361" s="1975" t="str">
        <f>IF(BUDGET!A366=0,"",BUDGET!A366)</f>
        <v xml:space="preserve">       TOWN MAPS/ELEM. SCH RENOVA.</v>
      </c>
      <c r="C361" s="1819" t="str">
        <f>IF(BUDGET!AP366=0,"",BUDGET!AP366)</f>
        <v/>
      </c>
      <c r="D361" s="1824"/>
      <c r="E361" s="859"/>
      <c r="F361" s="1178"/>
      <c r="G361" s="1773"/>
      <c r="H361" s="859"/>
      <c r="I361" s="1878"/>
    </row>
    <row r="362" spans="2:9" x14ac:dyDescent="0.2">
      <c r="B362" s="1975" t="str">
        <f>IF(BUDGET!A367=0,"",BUDGET!A367)</f>
        <v xml:space="preserve">       MULTIPURPOSE MARCH 2001</v>
      </c>
      <c r="C362" s="1819" t="str">
        <f>IF(BUDGET!AP367=0,"",BUDGET!AP367)</f>
        <v/>
      </c>
      <c r="D362" s="1824"/>
      <c r="E362" s="859"/>
      <c r="F362" s="1178"/>
      <c r="G362" s="1773"/>
      <c r="H362" s="859"/>
      <c r="I362" s="1878"/>
    </row>
    <row r="363" spans="2:9" x14ac:dyDescent="0.2">
      <c r="B363" s="1975" t="str">
        <f>IF(BUDGET!A368=0,"",BUDGET!A368)</f>
        <v xml:space="preserve">       MULTIPURPOSE MARCH 2002</v>
      </c>
      <c r="C363" s="1819" t="str">
        <f>IF(BUDGET!AP368=0,"",BUDGET!AP368)</f>
        <v/>
      </c>
      <c r="D363" s="1819"/>
      <c r="E363" s="817"/>
      <c r="F363" s="877"/>
      <c r="G363" s="1768"/>
      <c r="H363" s="817"/>
      <c r="I363" s="1873"/>
    </row>
    <row r="364" spans="2:9" x14ac:dyDescent="0.2">
      <c r="B364" s="1975" t="str">
        <f>IF(BUDGET!A369=0,"",BUDGET!A369)</f>
        <v>MULTIPURPOSE 2011</v>
      </c>
      <c r="C364" s="1852" t="str">
        <f>IF(BUDGET!AP369=0,"",BUDGET!AP369)</f>
        <v/>
      </c>
      <c r="D364" s="1852"/>
      <c r="E364" s="1651"/>
      <c r="F364" s="1752"/>
      <c r="G364" s="1795"/>
      <c r="H364" s="1651"/>
      <c r="I364" s="1906"/>
    </row>
    <row r="365" spans="2:9" x14ac:dyDescent="0.2">
      <c r="B365" s="1975" t="str">
        <f>IF(BUDGET!A370=0,"",BUDGET!A370)</f>
        <v>MULTIPURPOSE 2012</v>
      </c>
      <c r="C365" s="1852" t="str">
        <f>IF(BUDGET!AP370=0,"",BUDGET!AP370)</f>
        <v/>
      </c>
      <c r="D365" s="1852"/>
      <c r="E365" s="1651"/>
      <c r="F365" s="1752"/>
      <c r="G365" s="1795"/>
      <c r="H365" s="1651"/>
      <c r="I365" s="1906"/>
    </row>
    <row r="366" spans="2:9" x14ac:dyDescent="0.2">
      <c r="B366" s="1975" t="str">
        <f>IF(BUDGET!A371=0,"",BUDGET!A371)</f>
        <v>MULTIPURPOSE 2015</v>
      </c>
      <c r="C366" s="1852" t="str">
        <f>IF(BUDGET!AP371=0,"",BUDGET!AP371)</f>
        <v/>
      </c>
      <c r="D366" s="1852"/>
      <c r="E366" s="1651"/>
      <c r="F366" s="1752"/>
      <c r="G366" s="1795"/>
      <c r="H366" s="1651"/>
      <c r="I366" s="1906"/>
    </row>
    <row r="367" spans="2:9" x14ac:dyDescent="0.2">
      <c r="B367" s="1975" t="str">
        <f>IF(BUDGET!A372=0,"",BUDGET!A372)</f>
        <v>MULTIPURPOSE 2018</v>
      </c>
      <c r="C367" s="1852">
        <f>IF(BUDGET!AP372=0,"",BUDGET!AP372)</f>
        <v>78143.760000000009</v>
      </c>
      <c r="D367" s="1852"/>
      <c r="E367" s="1651"/>
      <c r="F367" s="1752"/>
      <c r="G367" s="1795"/>
      <c r="H367" s="1651"/>
      <c r="I367" s="1906"/>
    </row>
    <row r="368" spans="2:9" x14ac:dyDescent="0.2">
      <c r="B368" s="1975" t="str">
        <f>IF(BUDGET!A373=0,"",BUDGET!A373)</f>
        <v>MULTIPURPOSE 2019</v>
      </c>
      <c r="C368" s="1852">
        <f>IF(BUDGET!AP373=0,"",BUDGET!AP373)</f>
        <v>317712.5</v>
      </c>
      <c r="D368" s="1852"/>
      <c r="E368" s="1651"/>
      <c r="F368" s="1752"/>
      <c r="G368" s="1795"/>
      <c r="H368" s="1651"/>
      <c r="I368" s="1906"/>
    </row>
    <row r="369" spans="2:9" x14ac:dyDescent="0.2">
      <c r="B369" s="1975" t="str">
        <f>IF(BUDGET!A374=0,"",BUDGET!A374)</f>
        <v>MULTIPURPOSE 2020</v>
      </c>
      <c r="C369" s="1852">
        <f>IF(BUDGET!AP374=0,"",BUDGET!AP374)</f>
        <v>108506.5</v>
      </c>
      <c r="D369" s="1852"/>
      <c r="E369" s="1651"/>
      <c r="F369" s="1752"/>
      <c r="G369" s="1795"/>
      <c r="H369" s="1651"/>
      <c r="I369" s="1906"/>
    </row>
    <row r="370" spans="2:9" x14ac:dyDescent="0.2">
      <c r="B370" s="1975" t="str">
        <f>IF(BUDGET!A375=0,"",BUDGET!A375)</f>
        <v/>
      </c>
      <c r="C370" s="1852" t="str">
        <f>IF(BUDGET!AP375=0,"",BUDGET!AP375)</f>
        <v/>
      </c>
      <c r="D370" s="1852"/>
      <c r="E370" s="1651"/>
      <c r="F370" s="1752"/>
      <c r="G370" s="1795"/>
      <c r="H370" s="1651"/>
      <c r="I370" s="1906"/>
    </row>
    <row r="371" spans="2:9" x14ac:dyDescent="0.2">
      <c r="B371" s="1961" t="str">
        <f>IF(BUDGET!A376=0,"",BUDGET!A376)</f>
        <v xml:space="preserve">       TOTAL</v>
      </c>
      <c r="C371" s="1853">
        <f>IF(BUDGET!AP376=0,"",BUDGET!AP376)</f>
        <v>504362.76</v>
      </c>
      <c r="D371" s="1853"/>
      <c r="E371" s="1653"/>
      <c r="F371" s="1753"/>
      <c r="G371" s="1796"/>
      <c r="H371" s="1653"/>
      <c r="I371" s="1907"/>
    </row>
    <row r="372" spans="2:9" x14ac:dyDescent="0.2">
      <c r="B372" s="1956" t="str">
        <f>IF(BUDGET!A377=0,"",BUDGET!A377)</f>
        <v/>
      </c>
      <c r="C372" s="1857" t="str">
        <f>IF(BUDGET!AP377=0,"",BUDGET!AP377)</f>
        <v/>
      </c>
      <c r="D372" s="1823"/>
      <c r="E372" s="856"/>
      <c r="F372" s="1237"/>
      <c r="G372" s="1772"/>
      <c r="H372" s="856"/>
      <c r="I372" s="1877"/>
    </row>
    <row r="373" spans="2:9" x14ac:dyDescent="0.2">
      <c r="B373" s="1955" t="str">
        <f>IF(BUDGET!A378=0,"",BUDGET!A378)</f>
        <v>INTEREST FOR TEMPORARY LOANS</v>
      </c>
      <c r="C373" s="1819" t="str">
        <f>IF(BUDGET!AP378=0,"",BUDGET!AP378)</f>
        <v/>
      </c>
      <c r="D373" s="1824"/>
      <c r="E373" s="859"/>
      <c r="F373" s="1178"/>
      <c r="G373" s="1773"/>
      <c r="H373" s="859"/>
      <c r="I373" s="1878"/>
    </row>
    <row r="374" spans="2:9" x14ac:dyDescent="0.2">
      <c r="B374" s="1955" t="str">
        <f>IF(BUDGET!A379=0,"",BUDGET!A379)</f>
        <v xml:space="preserve">       DEBT SERVICE</v>
      </c>
      <c r="C374" s="1980" t="str">
        <f>IF(BUDGET!AP379=0,"",BUDGET!AP379)</f>
        <v/>
      </c>
      <c r="D374" s="1854"/>
      <c r="E374" s="1652"/>
      <c r="F374" s="1754"/>
      <c r="G374" s="1797"/>
      <c r="H374" s="1652"/>
      <c r="I374" s="1908"/>
    </row>
    <row r="375" spans="2:9" x14ac:dyDescent="0.2">
      <c r="B375" s="1953" t="str">
        <f>IF(BUDGET!A380=0,"",BUDGET!A380)</f>
        <v xml:space="preserve">       TOTAL</v>
      </c>
      <c r="C375" s="1853" t="str">
        <f>IF(BUDGET!AP380=0,"",BUDGET!AP380)</f>
        <v/>
      </c>
      <c r="D375" s="1853"/>
      <c r="E375" s="1653"/>
      <c r="F375" s="1753"/>
      <c r="G375" s="1796"/>
      <c r="H375" s="1653"/>
      <c r="I375" s="1907"/>
    </row>
    <row r="376" spans="2:9" x14ac:dyDescent="0.2">
      <c r="B376" s="1957" t="str">
        <f>IF(BUDGET!A381=0,"",BUDGET!A381)</f>
        <v/>
      </c>
      <c r="C376" s="1981" t="str">
        <f>IF(BUDGET!AP381=0,"",BUDGET!AP381)</f>
        <v/>
      </c>
      <c r="D376" s="1855"/>
      <c r="E376" s="1654"/>
      <c r="F376" s="1755"/>
      <c r="G376" s="1798"/>
      <c r="H376" s="1654"/>
      <c r="I376" s="1909"/>
    </row>
    <row r="377" spans="2:9" x14ac:dyDescent="0.2">
      <c r="B377" s="1955" t="str">
        <f>IF(BUDGET!A382=0,"",BUDGET!A382)</f>
        <v>BANK DISCLOSURE ISSUE COST</v>
      </c>
      <c r="C377" s="1852">
        <f>IF(BUDGET!AP382=0,"",BUDGET!AP382)</f>
        <v>2500</v>
      </c>
      <c r="D377" s="1856"/>
      <c r="E377" s="1655"/>
      <c r="F377" s="1756"/>
      <c r="G377" s="1799"/>
      <c r="H377" s="1655"/>
      <c r="I377" s="1910"/>
    </row>
    <row r="378" spans="2:9" x14ac:dyDescent="0.2">
      <c r="B378" s="1953" t="str">
        <f>IF(BUDGET!A383=0,"",BUDGET!A383)</f>
        <v>CERTIFICATION  of NOTES</v>
      </c>
      <c r="C378" s="1852" t="str">
        <f>IF(BUDGET!AP383=0,"",BUDGET!AP383)</f>
        <v/>
      </c>
      <c r="D378" s="1856"/>
      <c r="E378" s="1655"/>
      <c r="F378" s="1756"/>
      <c r="G378" s="1799"/>
      <c r="H378" s="1655"/>
      <c r="I378" s="1910"/>
    </row>
    <row r="379" spans="2:9" x14ac:dyDescent="0.2">
      <c r="B379" s="1953" t="str">
        <f>IF(BUDGET!A384=0,"",BUDGET!A384)</f>
        <v xml:space="preserve">      TOTAL</v>
      </c>
      <c r="C379" s="1853">
        <f>IF(BUDGET!AP384=0,"",BUDGET!AP384)</f>
        <v>2500</v>
      </c>
      <c r="D379" s="1853"/>
      <c r="E379" s="1653"/>
      <c r="F379" s="1753"/>
      <c r="G379" s="1796"/>
      <c r="H379" s="1653"/>
      <c r="I379" s="1907"/>
    </row>
    <row r="380" spans="2:9" x14ac:dyDescent="0.2">
      <c r="B380" s="1955" t="str">
        <f>IF(BUDGET!A385=0,"",BUDGET!A385)</f>
        <v/>
      </c>
      <c r="C380" s="1822" t="str">
        <f>IF(BUDGET!AP385=0,"",BUDGET!AP385)</f>
        <v/>
      </c>
      <c r="D380" s="1829"/>
      <c r="E380" s="861"/>
      <c r="F380" s="1200"/>
      <c r="G380" s="1778"/>
      <c r="H380" s="861"/>
      <c r="I380" s="1883"/>
    </row>
    <row r="381" spans="2:9" ht="13.5" thickBot="1" x14ac:dyDescent="0.25">
      <c r="B381" s="1967" t="str">
        <f>IF(BUDGET!A386=0,"",BUDGET!A386)</f>
        <v>DEBT SERVICE:  SUB-TOTAL</v>
      </c>
      <c r="C381" s="1846">
        <f>IF(BUDGET!AP386=0,"",BUDGET!AP386)</f>
        <v>1096862.76</v>
      </c>
      <c r="D381" s="1846"/>
      <c r="E381" s="1071"/>
      <c r="F381" s="1750"/>
      <c r="G381" s="1781"/>
      <c r="H381" s="1071"/>
      <c r="I381" s="1900"/>
    </row>
    <row r="382" spans="2:9" ht="13.5" thickTop="1" x14ac:dyDescent="0.2">
      <c r="B382" s="1953" t="str">
        <f>IF(BUDGET!A387=0,"",BUDGET!A387)</f>
        <v>OTHER EXPENDITURES</v>
      </c>
      <c r="C382" s="1819" t="str">
        <f>IF(BUDGET!AP387=0,"",BUDGET!AP387)</f>
        <v/>
      </c>
      <c r="D382" s="1824"/>
      <c r="E382" s="859"/>
      <c r="F382" s="1178"/>
      <c r="G382" s="1773"/>
      <c r="H382" s="859"/>
      <c r="I382" s="1878"/>
    </row>
    <row r="383" spans="2:9" x14ac:dyDescent="0.2">
      <c r="B383" s="1955" t="str">
        <f>IF(BUDGET!A388=0,"",BUDGET!A388)</f>
        <v xml:space="preserve">   PENSIONS</v>
      </c>
      <c r="C383" s="1819" t="str">
        <f>IF(BUDGET!AP388=0,"",BUDGET!AP388)</f>
        <v/>
      </c>
      <c r="D383" s="1819"/>
      <c r="E383" s="817"/>
      <c r="F383" s="877"/>
      <c r="G383" s="1768"/>
      <c r="H383" s="817"/>
      <c r="I383" s="1873"/>
    </row>
    <row r="384" spans="2:9" x14ac:dyDescent="0.2">
      <c r="B384" s="1955" t="str">
        <f>IF(BUDGET!A389=0,"",BUDGET!A389)</f>
        <v xml:space="preserve">        CH. 412</v>
      </c>
      <c r="C384" s="1819" t="str">
        <f>IF(BUDGET!AP389=0,"",BUDGET!AP389)</f>
        <v/>
      </c>
      <c r="D384" s="1819"/>
      <c r="E384" s="817"/>
      <c r="F384" s="877"/>
      <c r="G384" s="1768"/>
      <c r="H384" s="817"/>
      <c r="I384" s="1873"/>
    </row>
    <row r="385" spans="2:9" x14ac:dyDescent="0.2">
      <c r="B385" s="1955" t="str">
        <f>IF(BUDGET!A390=0,"",BUDGET!A390)</f>
        <v xml:space="preserve">        ESSEX RETIREMENT</v>
      </c>
      <c r="C385" s="1819">
        <f>IF(BUDGET!AP390=0,"",BUDGET!AP390)</f>
        <v>1547146</v>
      </c>
      <c r="D385" s="1824"/>
      <c r="E385" s="859"/>
      <c r="F385" s="1178"/>
      <c r="G385" s="1773"/>
      <c r="H385" s="859"/>
      <c r="I385" s="1878"/>
    </row>
    <row r="386" spans="2:9" x14ac:dyDescent="0.2">
      <c r="B386" s="1953" t="str">
        <f>IF(BUDGET!A391=0,"",BUDGET!A391)</f>
        <v xml:space="preserve">        TOTAL</v>
      </c>
      <c r="C386" s="1822">
        <f>IF(BUDGET!AP391=0,"",BUDGET!AP391)</f>
        <v>1547146</v>
      </c>
      <c r="D386" s="1822"/>
      <c r="E386" s="814"/>
      <c r="F386" s="853"/>
      <c r="G386" s="1771"/>
      <c r="H386" s="814"/>
      <c r="I386" s="1876"/>
    </row>
    <row r="387" spans="2:9" x14ac:dyDescent="0.2">
      <c r="B387" s="1957" t="str">
        <f>IF(BUDGET!A392=0,"",BUDGET!A392)</f>
        <v xml:space="preserve">        </v>
      </c>
      <c r="C387" s="1857" t="str">
        <f>IF(BUDGET!AP392=0,"",BUDGET!AP392)</f>
        <v/>
      </c>
      <c r="D387" s="1823"/>
      <c r="E387" s="856"/>
      <c r="F387" s="1237"/>
      <c r="G387" s="1772"/>
      <c r="H387" s="856"/>
      <c r="I387" s="1877"/>
    </row>
    <row r="388" spans="2:9" x14ac:dyDescent="0.2">
      <c r="B388" s="1955" t="str">
        <f>IF(BUDGET!A393=0,"",BUDGET!A393)</f>
        <v xml:space="preserve">   INSURANCE</v>
      </c>
      <c r="C388" s="1819" t="str">
        <f>IF(BUDGET!AP393=0,"",BUDGET!AP393)</f>
        <v/>
      </c>
      <c r="D388" s="1819"/>
      <c r="E388" s="817"/>
      <c r="F388" s="877"/>
      <c r="G388" s="1768"/>
      <c r="H388" s="817"/>
      <c r="I388" s="1873"/>
    </row>
    <row r="389" spans="2:9" x14ac:dyDescent="0.2">
      <c r="B389" s="1955" t="str">
        <f>IF(BUDGET!A394=0,"",BUDGET!A394)</f>
        <v xml:space="preserve">   LIAB./ACC./WORKM'S COMP., S.BONDS</v>
      </c>
      <c r="C389" s="1819">
        <f>IF(BUDGET!AP394=0,"",BUDGET!AP394)</f>
        <v>412500</v>
      </c>
      <c r="D389" s="1824"/>
      <c r="E389" s="859"/>
      <c r="F389" s="1178"/>
      <c r="G389" s="1773"/>
      <c r="H389" s="859"/>
      <c r="I389" s="1878"/>
    </row>
    <row r="390" spans="2:9" x14ac:dyDescent="0.2">
      <c r="B390" s="1955" t="str">
        <f>IF(BUDGET!A395=0,"",BUDGET!A395)</f>
        <v/>
      </c>
      <c r="C390" s="1819" t="str">
        <f>IF(BUDGET!AP395=0,"",BUDGET!AP395)</f>
        <v/>
      </c>
      <c r="D390" s="1819"/>
      <c r="E390" s="817"/>
      <c r="F390" s="877"/>
      <c r="G390" s="1768"/>
      <c r="H390" s="817"/>
      <c r="I390" s="1873"/>
    </row>
    <row r="391" spans="2:9" x14ac:dyDescent="0.2">
      <c r="B391" s="1955" t="str">
        <f>IF(BUDGET!A396=0,"",BUDGET!A396)</f>
        <v xml:space="preserve">   LIFE/MEDICAL/MEDICARE</v>
      </c>
      <c r="C391" s="1819">
        <f>IF(BUDGET!AP396=0,"",BUDGET!AP396)</f>
        <v>2351187</v>
      </c>
      <c r="D391" s="1824"/>
      <c r="E391" s="859"/>
      <c r="F391" s="1178"/>
      <c r="G391" s="1773"/>
      <c r="H391" s="859"/>
      <c r="I391" s="1878"/>
    </row>
    <row r="392" spans="2:9" x14ac:dyDescent="0.2">
      <c r="B392" s="1955" t="str">
        <f>IF(BUDGET!A397=0,"",BUDGET!A397)</f>
        <v xml:space="preserve">  UNEMPLOYMENT</v>
      </c>
      <c r="C392" s="1819" t="str">
        <f>IF(BUDGET!AP397=0,"",BUDGET!AP397)</f>
        <v/>
      </c>
      <c r="D392" s="1824"/>
      <c r="E392" s="859"/>
      <c r="F392" s="1178"/>
      <c r="G392" s="1773"/>
      <c r="H392" s="859"/>
      <c r="I392" s="1878"/>
    </row>
    <row r="393" spans="2:9" x14ac:dyDescent="0.2">
      <c r="B393" s="1953" t="str">
        <f>IF(BUDGET!A398=0,"",BUDGET!A398)</f>
        <v xml:space="preserve">        TOTAL</v>
      </c>
      <c r="C393" s="1822">
        <f>IF(BUDGET!AP398=0,"",BUDGET!AP398)</f>
        <v>2763687</v>
      </c>
      <c r="D393" s="1829"/>
      <c r="E393" s="861"/>
      <c r="F393" s="1200"/>
      <c r="G393" s="1778"/>
      <c r="H393" s="861"/>
      <c r="I393" s="1883"/>
    </row>
    <row r="394" spans="2:9" x14ac:dyDescent="0.2">
      <c r="B394" s="1956" t="str">
        <f>IF(BUDGET!A399=0,"",BUDGET!A399)</f>
        <v/>
      </c>
      <c r="C394" s="1857" t="str">
        <f>IF(BUDGET!AP399=0,"",BUDGET!AP399)</f>
        <v/>
      </c>
      <c r="D394" s="1857"/>
      <c r="E394" s="1164"/>
      <c r="F394" s="1757"/>
      <c r="G394" s="1800"/>
      <c r="H394" s="1164"/>
      <c r="I394" s="1911"/>
    </row>
    <row r="395" spans="2:9" x14ac:dyDescent="0.2">
      <c r="B395" s="1955" t="str">
        <f>IF(BUDGET!A400=0,"",BUDGET!A400)</f>
        <v>SALARY RESERVE</v>
      </c>
      <c r="C395" s="1819" t="str">
        <f>IF(BUDGET!AP400=0,"",BUDGET!AP400)</f>
        <v/>
      </c>
      <c r="D395" s="1819"/>
      <c r="E395" s="817"/>
      <c r="F395" s="877"/>
      <c r="G395" s="1768"/>
      <c r="H395" s="817"/>
      <c r="I395" s="1873"/>
    </row>
    <row r="396" spans="2:9" x14ac:dyDescent="0.2">
      <c r="B396" s="1982" t="str">
        <f>IF(BUDGET!A401=0,"",BUDGET!A401)</f>
        <v>TOTAL</v>
      </c>
      <c r="C396" s="1822">
        <f>IF(BUDGET!AP401=0,"",BUDGET!AP401)</f>
        <v>25000</v>
      </c>
      <c r="D396" s="1822"/>
      <c r="E396" s="814"/>
      <c r="F396" s="853"/>
      <c r="G396" s="1771"/>
      <c r="H396" s="814"/>
      <c r="I396" s="1876"/>
    </row>
    <row r="397" spans="2:9" x14ac:dyDescent="0.2">
      <c r="B397" s="1956" t="str">
        <f>IF(BUDGET!A402=0,"",BUDGET!A402)</f>
        <v/>
      </c>
      <c r="C397" s="1857" t="str">
        <f>IF(BUDGET!AP402=0,"",BUDGET!AP402)</f>
        <v/>
      </c>
      <c r="D397" s="1857"/>
      <c r="E397" s="1164"/>
      <c r="F397" s="1757"/>
      <c r="G397" s="1800"/>
      <c r="H397" s="1164"/>
      <c r="I397" s="1911"/>
    </row>
    <row r="398" spans="2:9" x14ac:dyDescent="0.2">
      <c r="B398" s="1983" t="str">
        <f>IF(BUDGET!A403=0,"",BUDGET!A403)</f>
        <v>TRANSFERS TO FUNDS</v>
      </c>
      <c r="C398" s="1819" t="str">
        <f>IF(BUDGET!AP403=0,"",BUDGET!AP403)</f>
        <v/>
      </c>
      <c r="D398" s="1819"/>
      <c r="E398" s="817"/>
      <c r="F398" s="877"/>
      <c r="G398" s="1768"/>
      <c r="H398" s="817"/>
      <c r="I398" s="1873"/>
    </row>
    <row r="399" spans="2:9" x14ac:dyDescent="0.2">
      <c r="B399" s="1955" t="str">
        <f>IF(BUDGET!A404=0,"",BUDGET!A404)</f>
        <v xml:space="preserve">  UNEMPLOYMENT</v>
      </c>
      <c r="C399" s="1819" t="str">
        <f>IF(BUDGET!AP404=0,"",BUDGET!AP404)</f>
        <v/>
      </c>
      <c r="D399" s="1819"/>
      <c r="E399" s="817"/>
      <c r="F399" s="877"/>
      <c r="G399" s="1768"/>
      <c r="H399" s="817"/>
      <c r="I399" s="1873"/>
    </row>
    <row r="400" spans="2:9" x14ac:dyDescent="0.2">
      <c r="B400" s="1955" t="str">
        <f>IF(BUDGET!A405=0,"",BUDGET!A405)</f>
        <v xml:space="preserve"> COMPENSATED ABSENSES</v>
      </c>
      <c r="C400" s="1819" t="str">
        <f>IF(BUDGET!AP405=0,"",BUDGET!AP405)</f>
        <v/>
      </c>
      <c r="D400" s="1819"/>
      <c r="E400" s="817"/>
      <c r="F400" s="877"/>
      <c r="G400" s="1768"/>
      <c r="H400" s="817"/>
      <c r="I400" s="1873"/>
    </row>
    <row r="401" spans="2:9" x14ac:dyDescent="0.2">
      <c r="B401" s="1955" t="str">
        <f>IF(BUDGET!A406=0,"",BUDGET!A406)</f>
        <v xml:space="preserve"> POLICE/FIRE INDEMNITY</v>
      </c>
      <c r="C401" s="1819" t="str">
        <f>IF(BUDGET!AP406=0,"",BUDGET!AP406)</f>
        <v/>
      </c>
      <c r="D401" s="1819"/>
      <c r="E401" s="817"/>
      <c r="F401" s="877"/>
      <c r="G401" s="1768"/>
      <c r="H401" s="817"/>
      <c r="I401" s="1873"/>
    </row>
    <row r="402" spans="2:9" x14ac:dyDescent="0.2">
      <c r="B402" s="1982" t="str">
        <f>IF(BUDGET!A407=0,"",BUDGET!A407)</f>
        <v>TOTAL</v>
      </c>
      <c r="C402" s="1822" t="str">
        <f>IF(BUDGET!AP407=0,"",BUDGET!AP407)</f>
        <v/>
      </c>
      <c r="D402" s="1822"/>
      <c r="E402" s="814"/>
      <c r="F402" s="853"/>
      <c r="G402" s="1771"/>
      <c r="H402" s="814"/>
      <c r="I402" s="1876"/>
    </row>
    <row r="403" spans="2:9" x14ac:dyDescent="0.2">
      <c r="B403" s="1956" t="str">
        <f>IF(BUDGET!A408=0,"",BUDGET!A408)</f>
        <v/>
      </c>
      <c r="C403" s="1857" t="str">
        <f>IF(BUDGET!AP408=0,"",BUDGET!AP408)</f>
        <v/>
      </c>
      <c r="D403" s="1857"/>
      <c r="E403" s="1164"/>
      <c r="F403" s="1757"/>
      <c r="G403" s="1800"/>
      <c r="H403" s="1164"/>
      <c r="I403" s="1911"/>
    </row>
    <row r="404" spans="2:9" x14ac:dyDescent="0.2">
      <c r="B404" s="1983" t="str">
        <f>IF(BUDGET!A409=0,"",BUDGET!A409)</f>
        <v xml:space="preserve">   MAPC</v>
      </c>
      <c r="C404" s="1819" t="str">
        <f>IF(BUDGET!AP409=0,"",BUDGET!AP409)</f>
        <v/>
      </c>
      <c r="D404" s="1819"/>
      <c r="E404" s="817"/>
      <c r="F404" s="877"/>
      <c r="G404" s="1768"/>
      <c r="H404" s="817"/>
      <c r="I404" s="1873"/>
    </row>
    <row r="405" spans="2:9" x14ac:dyDescent="0.2">
      <c r="B405" s="1953" t="str">
        <f>IF(BUDGET!A410=0,"",BUDGET!A410)</f>
        <v xml:space="preserve">             TOTAL</v>
      </c>
      <c r="C405" s="1822" t="str">
        <f>IF(BUDGET!AP410=0,"",BUDGET!AP410)</f>
        <v/>
      </c>
      <c r="D405" s="1829"/>
      <c r="E405" s="861"/>
      <c r="F405" s="1200"/>
      <c r="G405" s="1778"/>
      <c r="H405" s="861"/>
      <c r="I405" s="1883"/>
    </row>
    <row r="406" spans="2:9" x14ac:dyDescent="0.2">
      <c r="B406" s="1955" t="str">
        <f>IF(BUDGET!A411=0,"",BUDGET!A411)</f>
        <v/>
      </c>
      <c r="C406" s="1822" t="str">
        <f>IF(BUDGET!AP411=0,"",BUDGET!AP411)</f>
        <v/>
      </c>
      <c r="D406" s="1829"/>
      <c r="E406" s="861"/>
      <c r="F406" s="1200"/>
      <c r="G406" s="1778"/>
      <c r="H406" s="861"/>
      <c r="I406" s="1883"/>
    </row>
    <row r="407" spans="2:9" ht="13.5" thickBot="1" x14ac:dyDescent="0.25">
      <c r="B407" s="1967" t="str">
        <f>IF(BUDGET!A412=0,"",BUDGET!A412)</f>
        <v>OTHER EXPEND.:  SUB-TOTAL</v>
      </c>
      <c r="C407" s="1858">
        <f>IF(BUDGET!AP412=0,"",BUDGET!AP412)</f>
        <v>4335833</v>
      </c>
      <c r="D407" s="1858"/>
      <c r="E407" s="1129"/>
      <c r="F407" s="1758"/>
      <c r="G407" s="1801"/>
      <c r="H407" s="1129"/>
      <c r="I407" s="1912"/>
    </row>
    <row r="408" spans="2:9" ht="14.25" thickTop="1" thickBot="1" x14ac:dyDescent="0.25">
      <c r="B408" s="1967" t="str">
        <f>IF(BUDGET!A413=0,"",BUDGET!A413)</f>
        <v>TOTAL ART 3RD OPERATING BGT</v>
      </c>
      <c r="C408" s="1859">
        <f>IF(BUDGET!AP413=0,"",BUDGET!AP413)</f>
        <v>22730418.394150004</v>
      </c>
      <c r="D408" s="1859"/>
      <c r="E408" s="1176"/>
      <c r="F408" s="1759"/>
      <c r="G408" s="1802"/>
      <c r="H408" s="1176"/>
      <c r="I408" s="1913"/>
    </row>
    <row r="409" spans="2:9" ht="13.5" thickTop="1" x14ac:dyDescent="0.2">
      <c r="B409" s="1945" t="str">
        <f>IF(BUDGET!A414=0,"",BUDGET!A414)</f>
        <v xml:space="preserve"> </v>
      </c>
      <c r="C409" s="1984" t="str">
        <f>IF(BUDGET!AP414=0,"",BUDGET!AP414)</f>
        <v/>
      </c>
      <c r="D409" s="1860"/>
      <c r="E409" s="1178"/>
      <c r="F409" s="1178"/>
      <c r="G409" s="1803"/>
      <c r="H409" s="1178"/>
      <c r="I409" s="1878"/>
    </row>
    <row r="410" spans="2:9" x14ac:dyDescent="0.2">
      <c r="B410" s="1945" t="str">
        <f>IF(BUDGET!A415=0,"",BUDGET!A415)</f>
        <v/>
      </c>
      <c r="C410" s="1985" t="str">
        <f>IF(BUDGET!AP415=0,"",BUDGET!AP415)</f>
        <v/>
      </c>
      <c r="D410" s="1861"/>
      <c r="E410" s="1031"/>
      <c r="F410" s="1031"/>
      <c r="G410" s="1804"/>
      <c r="H410" s="1031"/>
      <c r="I410" s="1872"/>
    </row>
    <row r="411" spans="2:9" x14ac:dyDescent="0.2">
      <c r="B411" s="1986" t="str">
        <f>IF(BUDGET!A416=0,"",BUDGET!A416)</f>
        <v>ART. 4TH: WATER DEP'T (ENTERPRISE)</v>
      </c>
      <c r="C411" s="1987" t="str">
        <f>IF(BUDGET!AP416=0,"",BUDGET!AP416)</f>
        <v/>
      </c>
      <c r="D411" s="1862"/>
      <c r="E411" s="1182"/>
      <c r="F411" s="1760"/>
      <c r="G411" s="1805"/>
      <c r="H411" s="1182"/>
      <c r="I411" s="1914"/>
    </row>
    <row r="412" spans="2:9" x14ac:dyDescent="0.2">
      <c r="B412" s="1965" t="str">
        <f>IF(BUDGET!A417=0,"",BUDGET!A417)</f>
        <v xml:space="preserve">   SALARIES</v>
      </c>
      <c r="C412" s="1819">
        <f>IF(BUDGET!AP417=0,"",BUDGET!AP417)</f>
        <v>111664</v>
      </c>
      <c r="D412" s="1819"/>
      <c r="E412" s="817"/>
      <c r="F412" s="877"/>
      <c r="G412" s="1768"/>
      <c r="H412" s="817"/>
      <c r="I412" s="1873"/>
    </row>
    <row r="413" spans="2:9" x14ac:dyDescent="0.2">
      <c r="B413" s="1955" t="str">
        <f>IF(BUDGET!A418=0,"",BUDGET!A418)</f>
        <v xml:space="preserve">   WAGES</v>
      </c>
      <c r="C413" s="1819">
        <f>IF(BUDGET!AP418=0,"",BUDGET!AP418)</f>
        <v>285549.25</v>
      </c>
      <c r="D413" s="1819"/>
      <c r="E413" s="817"/>
      <c r="F413" s="877"/>
      <c r="G413" s="1768"/>
      <c r="H413" s="817"/>
      <c r="I413" s="1873"/>
    </row>
    <row r="414" spans="2:9" x14ac:dyDescent="0.2">
      <c r="B414" s="1955" t="str">
        <f>IF(BUDGET!A419=0,"",BUDGET!A419)</f>
        <v xml:space="preserve">   OTHER</v>
      </c>
      <c r="C414" s="1819">
        <f>IF(BUDGET!AP419=0,"",BUDGET!AP419)</f>
        <v>419550</v>
      </c>
      <c r="D414" s="1819"/>
      <c r="E414" s="817"/>
      <c r="F414" s="877"/>
      <c r="G414" s="1768"/>
      <c r="H414" s="817"/>
      <c r="I414" s="1873"/>
    </row>
    <row r="415" spans="2:9" x14ac:dyDescent="0.2">
      <c r="B415" s="1955" t="str">
        <f>IF(BUDGET!A420=0,"",BUDGET!A420)</f>
        <v xml:space="preserve">   OTHER:  PUBLIC WORKS BLDG</v>
      </c>
      <c r="C415" s="1819" t="str">
        <f>IF(BUDGET!AP420=0,"",BUDGET!AP420)</f>
        <v/>
      </c>
      <c r="D415" s="1819"/>
      <c r="E415" s="817"/>
      <c r="F415" s="877"/>
      <c r="G415" s="1768"/>
      <c r="H415" s="817"/>
      <c r="I415" s="1873"/>
    </row>
    <row r="416" spans="2:9" x14ac:dyDescent="0.2">
      <c r="B416" s="1955" t="str">
        <f>IF(BUDGET!A421=0,"",BUDGET!A421)</f>
        <v xml:space="preserve">   SPECIAL MAINTENANCE FUND</v>
      </c>
      <c r="C416" s="1819" t="str">
        <f>IF(BUDGET!AP421=0,"",BUDGET!AP421)</f>
        <v/>
      </c>
      <c r="D416" s="1819"/>
      <c r="E416" s="817"/>
      <c r="F416" s="877"/>
      <c r="G416" s="1768"/>
      <c r="H416" s="817"/>
      <c r="I416" s="1873"/>
    </row>
    <row r="417" spans="2:9" x14ac:dyDescent="0.2">
      <c r="B417" s="1955" t="str">
        <f>IF(BUDGET!A422=0,"",BUDGET!A422)</f>
        <v xml:space="preserve">   DEBT SVS LONG-TERM DEBT PRIN.</v>
      </c>
      <c r="C417" s="1819">
        <f>IF(BUDGET!AP422=0,"",BUDGET!AP422)</f>
        <v>652300</v>
      </c>
      <c r="D417" s="1819"/>
      <c r="E417" s="817"/>
      <c r="F417" s="877"/>
      <c r="G417" s="1768"/>
      <c r="H417" s="817"/>
      <c r="I417" s="1873"/>
    </row>
    <row r="418" spans="2:9" x14ac:dyDescent="0.2">
      <c r="B418" s="1955" t="str">
        <f>IF(BUDGET!A423=0,"",BUDGET!A423)</f>
        <v xml:space="preserve">   S.T. PRINC. PAY-DOWN</v>
      </c>
      <c r="C418" s="1819" t="str">
        <f>IF(BUDGET!AP423=0,"",BUDGET!AP423)</f>
        <v/>
      </c>
      <c r="D418" s="1819"/>
      <c r="E418" s="817"/>
      <c r="F418" s="877"/>
      <c r="G418" s="1768"/>
      <c r="H418" s="817"/>
      <c r="I418" s="1873"/>
    </row>
    <row r="419" spans="2:9" x14ac:dyDescent="0.2">
      <c r="B419" s="1955" t="str">
        <f>IF(BUDGET!A424=0,"",BUDGET!A424)</f>
        <v xml:space="preserve">  DEBT SVS LONG-TERM DEBT INT.</v>
      </c>
      <c r="C419" s="1819">
        <f>IF(BUDGET!AP424=0,"",BUDGET!AP424)</f>
        <v>337856</v>
      </c>
      <c r="D419" s="1819"/>
      <c r="E419" s="817"/>
      <c r="F419" s="877"/>
      <c r="G419" s="1768"/>
      <c r="H419" s="817"/>
      <c r="I419" s="1873"/>
    </row>
    <row r="420" spans="2:9" x14ac:dyDescent="0.2">
      <c r="B420" s="1955" t="str">
        <f>IF(BUDGET!A425=0,"",BUDGET!A425)</f>
        <v xml:space="preserve">  DEBT INSURANCE</v>
      </c>
      <c r="C420" s="1819" t="str">
        <f>IF(BUDGET!AP425=0,"",BUDGET!AP425)</f>
        <v/>
      </c>
      <c r="D420" s="1819"/>
      <c r="E420" s="817"/>
      <c r="F420" s="877"/>
      <c r="G420" s="1768"/>
      <c r="H420" s="817"/>
      <c r="I420" s="1873"/>
    </row>
    <row r="421" spans="2:9" x14ac:dyDescent="0.2">
      <c r="B421" s="1955" t="str">
        <f>IF(BUDGET!A426=0,"",BUDGET!A426)</f>
        <v xml:space="preserve">   DEBT SVS INT. FOR TEMP. LOANS</v>
      </c>
      <c r="C421" s="1819" t="str">
        <f>IF(BUDGET!AP426=0,"",BUDGET!AP426)</f>
        <v/>
      </c>
      <c r="D421" s="1819"/>
      <c r="E421" s="817"/>
      <c r="F421" s="877"/>
      <c r="G421" s="1768"/>
      <c r="H421" s="817"/>
      <c r="I421" s="1873"/>
    </row>
    <row r="422" spans="2:9" x14ac:dyDescent="0.2">
      <c r="B422" s="1955" t="str">
        <f>IF(BUDGET!A427=0,"",BUDGET!A427)</f>
        <v>SUBTOTAL DEBT SERVICE</v>
      </c>
      <c r="C422" s="1863">
        <f>IF(BUDGET!AP427=0,"",BUDGET!AP427)</f>
        <v>990156</v>
      </c>
      <c r="D422" s="1863"/>
      <c r="E422" s="1195"/>
      <c r="F422" s="1761"/>
      <c r="G422" s="1806"/>
      <c r="H422" s="1195"/>
      <c r="I422" s="1915"/>
    </row>
    <row r="423" spans="2:9" x14ac:dyDescent="0.2">
      <c r="B423" s="1955" t="str">
        <f>IF(BUDGET!A428=0,"",BUDGET!A428)</f>
        <v xml:space="preserve">   RESERVE FUND</v>
      </c>
      <c r="C423" s="1819">
        <f>IF(BUDGET!AP428=0,"",BUDGET!AP428)</f>
        <v>125000</v>
      </c>
      <c r="D423" s="1819"/>
      <c r="E423" s="817"/>
      <c r="F423" s="877"/>
      <c r="G423" s="1768"/>
      <c r="H423" s="817"/>
      <c r="I423" s="1873"/>
    </row>
    <row r="424" spans="2:9" x14ac:dyDescent="0.2">
      <c r="B424" s="1955" t="str">
        <f>IF(BUDGET!A429=0,"",BUDGET!A429)</f>
        <v xml:space="preserve">   UNANTICIPATED EMERGENCY</v>
      </c>
      <c r="C424" s="1819">
        <f>IF(BUDGET!AP429=0,"",BUDGET!AP429)</f>
        <v>125000</v>
      </c>
      <c r="D424" s="1819"/>
      <c r="E424" s="817"/>
      <c r="F424" s="877"/>
      <c r="G424" s="1768"/>
      <c r="H424" s="817"/>
      <c r="I424" s="1873"/>
    </row>
    <row r="425" spans="2:9" x14ac:dyDescent="0.2">
      <c r="B425" s="1955" t="str">
        <f>IF(BUDGET!A430=0,"",BUDGET!A430)</f>
        <v xml:space="preserve">         AMOUNT TRANSFERED*</v>
      </c>
      <c r="C425" s="1819" t="str">
        <f>IF(BUDGET!AP430=0,"",BUDGET!AP430)</f>
        <v/>
      </c>
      <c r="D425" s="1824"/>
      <c r="E425" s="859"/>
      <c r="F425" s="1178"/>
      <c r="G425" s="1773"/>
      <c r="H425" s="859"/>
      <c r="I425" s="1878"/>
    </row>
    <row r="426" spans="2:9" ht="13.5" thickBot="1" x14ac:dyDescent="0.25">
      <c r="B426" s="1967" t="str">
        <f>IF(BUDGET!A431=0,"",BUDGET!A431)</f>
        <v>ART. 4TH WATER DEPT:  TOTAL</v>
      </c>
      <c r="C426" s="1864">
        <f>IF(BUDGET!AP431=0,"",BUDGET!AP431)</f>
        <v>2056919.25</v>
      </c>
      <c r="D426" s="1864"/>
      <c r="E426" s="1170"/>
      <c r="F426" s="1762"/>
      <c r="G426" s="1807"/>
      <c r="H426" s="1170"/>
      <c r="I426" s="1916"/>
    </row>
    <row r="427" spans="2:9" ht="13.5" thickTop="1" x14ac:dyDescent="0.2">
      <c r="B427" s="1988" t="str">
        <f>IF(BUDGET!A432=0,"",BUDGET!A432)</f>
        <v/>
      </c>
      <c r="C427" s="1989" t="str">
        <f>IF(BUDGET!AP432=0,"",BUDGET!AP432)</f>
        <v/>
      </c>
      <c r="D427" s="1865"/>
      <c r="E427" s="1200"/>
      <c r="F427" s="1200"/>
      <c r="G427" s="1808"/>
      <c r="H427" s="1200"/>
      <c r="I427" s="1883"/>
    </row>
    <row r="428" spans="2:9" ht="13.5" thickBot="1" x14ac:dyDescent="0.25">
      <c r="B428" s="1967" t="str">
        <f>IF(BUDGET!A433=0,"",BUDGET!A433)</f>
        <v>ART. 8TH NORTH SHORE VO-TECH</v>
      </c>
      <c r="C428" s="1990">
        <f>IF(BUDGET!AP433=0,"",BUDGET!AP433)</f>
        <v>442571</v>
      </c>
      <c r="D428" s="1866"/>
      <c r="E428" s="1027"/>
      <c r="F428" s="1763"/>
      <c r="G428" s="1809"/>
      <c r="H428" s="1027"/>
      <c r="I428" s="1917"/>
    </row>
    <row r="429" spans="2:9" ht="14.25" thickTop="1" thickBot="1" x14ac:dyDescent="0.25">
      <c r="B429" s="1991" t="str">
        <f>IF(BUDGET!A434=0,"",BUDGET!A434)</f>
        <v/>
      </c>
      <c r="C429" s="1992" t="str">
        <f>IF(BUDGET!AP434=0,"",BUDGET!AP434)</f>
        <v/>
      </c>
      <c r="D429" s="1867"/>
      <c r="E429" s="1211"/>
      <c r="F429" s="1211"/>
      <c r="G429" s="1810"/>
      <c r="H429" s="1211"/>
      <c r="I429" s="1918"/>
    </row>
    <row r="430" spans="2:9" x14ac:dyDescent="0.2">
      <c r="B430" s="1993" t="str">
        <f>IF(BUDGET!A435=0,"",BUDGET!A435)</f>
        <v xml:space="preserve">ART.5TH MASCONOMET </v>
      </c>
      <c r="C430" s="1822" t="str">
        <f>IF(BUDGET!AP435=0,"",BUDGET!AP435)</f>
        <v/>
      </c>
      <c r="D430" s="1829"/>
      <c r="E430" s="861"/>
      <c r="F430" s="1200"/>
      <c r="G430" s="1778"/>
      <c r="H430" s="861"/>
      <c r="I430" s="1883"/>
    </row>
    <row r="431" spans="2:9" x14ac:dyDescent="0.2">
      <c r="B431" s="1993" t="str">
        <f>IF(BUDGET!A436=0,"",BUDGET!A436)</f>
        <v xml:space="preserve">  SHARE OF OPER &amp; MAIN.</v>
      </c>
      <c r="C431" s="1994">
        <f>IF(BUDGET!AP436=0,"",BUDGET!AP436)</f>
        <v>8776844</v>
      </c>
      <c r="D431" s="1868"/>
      <c r="E431" s="1224"/>
      <c r="F431" s="1764"/>
      <c r="G431" s="1811"/>
      <c r="H431" s="1224"/>
      <c r="I431" s="1919"/>
    </row>
    <row r="432" spans="2:9" x14ac:dyDescent="0.2">
      <c r="B432" s="1995" t="str">
        <f>IF(BUDGET!A437=0,"",BUDGET!A437)</f>
        <v xml:space="preserve">  DEBT SERVICE</v>
      </c>
      <c r="C432" s="1822" t="str">
        <f>IF(BUDGET!AP437=0,"",BUDGET!AP437)</f>
        <v/>
      </c>
      <c r="D432" s="1829"/>
      <c r="E432" s="861"/>
      <c r="F432" s="1200"/>
      <c r="G432" s="1778"/>
      <c r="H432" s="861"/>
      <c r="I432" s="1883"/>
    </row>
    <row r="433" spans="2:9" ht="13.5" thickBot="1" x14ac:dyDescent="0.25">
      <c r="B433" s="1996" t="str">
        <f>IF(BUDGET!A438=0,"",BUDGET!A438)</f>
        <v>TOTAL MASCO FIN COM ASSMNT</v>
      </c>
      <c r="C433" s="1864">
        <f>IF(BUDGET!AP438=0,"",BUDGET!AP438)</f>
        <v>8776844</v>
      </c>
      <c r="D433" s="1864"/>
      <c r="E433" s="1170"/>
      <c r="F433" s="1762"/>
      <c r="G433" s="1807"/>
      <c r="H433" s="1170"/>
      <c r="I433" s="1916"/>
    </row>
    <row r="434" spans="2:9" ht="13.5" thickTop="1" x14ac:dyDescent="0.2">
      <c r="B434" s="1997"/>
      <c r="C434" s="1984" t="str">
        <f>IF(BUDGET!AP439=0,"",BUDGET!AP439)</f>
        <v/>
      </c>
      <c r="D434" s="1860"/>
      <c r="E434" s="1178"/>
      <c r="F434" s="1178"/>
      <c r="G434" s="1803"/>
      <c r="H434" s="1178"/>
      <c r="I434" s="1178"/>
    </row>
    <row r="435" spans="2:9" x14ac:dyDescent="0.2">
      <c r="B435"/>
      <c r="C435"/>
      <c r="D435"/>
      <c r="E435"/>
      <c r="F435"/>
      <c r="G435" s="459">
        <f>SUM(G12:G433)</f>
        <v>0</v>
      </c>
      <c r="H435"/>
      <c r="I435"/>
    </row>
    <row r="436" spans="2:9" x14ac:dyDescent="0.2">
      <c r="B436"/>
      <c r="C436"/>
      <c r="D436"/>
      <c r="E436"/>
      <c r="F436"/>
      <c r="G436"/>
      <c r="H436"/>
      <c r="I436"/>
    </row>
    <row r="437" spans="2:9" x14ac:dyDescent="0.2">
      <c r="B437"/>
      <c r="C437"/>
      <c r="D437"/>
      <c r="E437"/>
      <c r="F437"/>
      <c r="G437"/>
      <c r="H437"/>
      <c r="I437"/>
    </row>
    <row r="438" spans="2:9" x14ac:dyDescent="0.2">
      <c r="B438"/>
      <c r="C438"/>
      <c r="D438"/>
      <c r="E438"/>
      <c r="F438"/>
      <c r="G438"/>
      <c r="H438"/>
      <c r="I438"/>
    </row>
    <row r="439" spans="2:9" x14ac:dyDescent="0.2">
      <c r="B439"/>
      <c r="C439"/>
      <c r="D439"/>
      <c r="E439"/>
      <c r="F439"/>
      <c r="G439"/>
      <c r="H439"/>
      <c r="I439"/>
    </row>
    <row r="440" spans="2:9" x14ac:dyDescent="0.2">
      <c r="B440"/>
      <c r="C440"/>
      <c r="D440"/>
      <c r="E440"/>
      <c r="F440"/>
      <c r="G440"/>
      <c r="H440"/>
      <c r="I440"/>
    </row>
    <row r="441" spans="2:9" x14ac:dyDescent="0.2">
      <c r="B441"/>
      <c r="C441"/>
      <c r="D441"/>
      <c r="E441"/>
      <c r="F441"/>
      <c r="G441"/>
      <c r="H441"/>
      <c r="I441"/>
    </row>
    <row r="442" spans="2:9" x14ac:dyDescent="0.2">
      <c r="B442"/>
      <c r="C442"/>
      <c r="D442"/>
      <c r="E442"/>
      <c r="F442"/>
      <c r="G442"/>
      <c r="H442"/>
      <c r="I442"/>
    </row>
    <row r="443" spans="2:9" x14ac:dyDescent="0.2">
      <c r="B443"/>
      <c r="C443"/>
      <c r="D443"/>
      <c r="E443"/>
      <c r="F443"/>
      <c r="G443"/>
      <c r="H443"/>
      <c r="I443"/>
    </row>
    <row r="444" spans="2:9" x14ac:dyDescent="0.2">
      <c r="B444"/>
      <c r="C444"/>
      <c r="D444"/>
      <c r="E444"/>
      <c r="F444"/>
      <c r="G444"/>
      <c r="H444"/>
      <c r="I444"/>
    </row>
    <row r="445" spans="2:9" x14ac:dyDescent="0.2">
      <c r="B445"/>
      <c r="C445"/>
      <c r="D445"/>
      <c r="E445"/>
      <c r="F445"/>
      <c r="G445"/>
      <c r="H445"/>
      <c r="I445"/>
    </row>
    <row r="446" spans="2:9" x14ac:dyDescent="0.2">
      <c r="B446"/>
      <c r="C446"/>
      <c r="D446"/>
      <c r="E446"/>
      <c r="F446"/>
      <c r="G446"/>
      <c r="H446"/>
      <c r="I446"/>
    </row>
    <row r="447" spans="2:9" x14ac:dyDescent="0.2">
      <c r="B447"/>
      <c r="C447"/>
      <c r="D447"/>
      <c r="E447"/>
      <c r="F447"/>
      <c r="G447"/>
      <c r="H447"/>
      <c r="I447"/>
    </row>
    <row r="448" spans="2:9" x14ac:dyDescent="0.2">
      <c r="B448"/>
      <c r="C448"/>
      <c r="D448"/>
      <c r="E448"/>
      <c r="F448"/>
      <c r="G448"/>
      <c r="H448"/>
      <c r="I448"/>
    </row>
    <row r="449" spans="2:9" x14ac:dyDescent="0.2">
      <c r="B449"/>
      <c r="C449"/>
      <c r="D449"/>
      <c r="E449"/>
      <c r="F449"/>
      <c r="G449"/>
      <c r="H449"/>
      <c r="I449"/>
    </row>
    <row r="450" spans="2:9" x14ac:dyDescent="0.2">
      <c r="B450"/>
      <c r="C450"/>
      <c r="D450"/>
      <c r="E450"/>
      <c r="F450"/>
      <c r="G450"/>
      <c r="H450"/>
      <c r="I450"/>
    </row>
    <row r="451" spans="2:9" x14ac:dyDescent="0.2">
      <c r="B451"/>
      <c r="C451"/>
      <c r="D451"/>
      <c r="E451"/>
      <c r="F451"/>
      <c r="G451"/>
      <c r="H451"/>
      <c r="I451"/>
    </row>
    <row r="452" spans="2:9" x14ac:dyDescent="0.2">
      <c r="C452" s="1998" t="str">
        <f>IF(BUDGET!AP457=0,"",BUDGET!AP457)</f>
        <v/>
      </c>
    </row>
    <row r="453" spans="2:9" x14ac:dyDescent="0.2">
      <c r="C453" s="1999" t="str">
        <f>IF(BUDGET!AP458=0,"",BUDGET!AP458)</f>
        <v/>
      </c>
      <c r="D453" s="1629"/>
      <c r="E453" s="1629"/>
      <c r="F453" s="1629"/>
      <c r="G453" s="1629"/>
      <c r="H453" s="1629"/>
      <c r="I453" s="1629"/>
    </row>
    <row r="454" spans="2:9" x14ac:dyDescent="0.2">
      <c r="C454" s="1985" t="str">
        <f>IF(BUDGET!AP459=0,"",BUDGET!AP459)</f>
        <v/>
      </c>
      <c r="D454" s="1861"/>
      <c r="E454" s="1031"/>
      <c r="F454" s="1031"/>
      <c r="G454" s="1031"/>
      <c r="H454" s="1031"/>
      <c r="I454" s="1031"/>
    </row>
    <row r="455" spans="2:9" x14ac:dyDescent="0.2">
      <c r="C455" s="1985" t="str">
        <f>IF(BUDGET!AP460=0,"",BUDGET!AP460)</f>
        <v/>
      </c>
      <c r="D455" s="1861"/>
      <c r="E455" s="1031"/>
      <c r="F455" s="1031"/>
      <c r="G455" s="1031"/>
      <c r="H455" s="1031"/>
      <c r="I455" s="1031"/>
    </row>
    <row r="456" spans="2:9" x14ac:dyDescent="0.2">
      <c r="C456" s="1985" t="str">
        <f>IF(BUDGET!AP461=0,"",BUDGET!AP461)</f>
        <v/>
      </c>
      <c r="D456" s="1861"/>
      <c r="E456" s="1031"/>
      <c r="F456" s="1031"/>
      <c r="G456" s="1031"/>
      <c r="H456" s="1031"/>
      <c r="I456" s="1031"/>
    </row>
    <row r="457" spans="2:9" x14ac:dyDescent="0.2">
      <c r="C457" s="1998" t="str">
        <f>IF(BUDGET!AP462=0,"",BUDGET!AP462)</f>
        <v/>
      </c>
    </row>
    <row r="458" spans="2:9" x14ac:dyDescent="0.2">
      <c r="C458" s="1998" t="str">
        <f>IF(BUDGET!AP463=0,"",BUDGET!AP463)</f>
        <v/>
      </c>
    </row>
    <row r="459" spans="2:9" x14ac:dyDescent="0.2">
      <c r="C459" s="1998" t="str">
        <f>IF(BUDGET!AP464=0,"",BUDGET!AP464)</f>
        <v/>
      </c>
    </row>
    <row r="460" spans="2:9" x14ac:dyDescent="0.2">
      <c r="C460" s="1998" t="str">
        <f>IF(BUDGET!AP465=0,"",BUDGET!AP465)</f>
        <v/>
      </c>
    </row>
    <row r="461" spans="2:9" x14ac:dyDescent="0.2">
      <c r="C461" s="1998" t="str">
        <f>IF(BUDGET!AP466=0,"",BUDGET!AP466)</f>
        <v/>
      </c>
    </row>
    <row r="462" spans="2:9" x14ac:dyDescent="0.2">
      <c r="C462" s="1998" t="str">
        <f>IF(BUDGET!AP467=0,"",BUDGET!AP467)</f>
        <v/>
      </c>
    </row>
    <row r="463" spans="2:9" x14ac:dyDescent="0.2">
      <c r="C463" s="1998" t="str">
        <f>IF(BUDGET!AP468=0,"",BUDGET!AP468)</f>
        <v/>
      </c>
    </row>
    <row r="464" spans="2:9" x14ac:dyDescent="0.2">
      <c r="C464" s="1998" t="str">
        <f>IF(BUDGET!AP469=0,"",BUDGET!AP469)</f>
        <v/>
      </c>
    </row>
    <row r="465" spans="3:3" x14ac:dyDescent="0.2">
      <c r="C465" s="1998" t="e">
        <f>IF(BUDGET!#REF!=0,"",BUDGET!#REF!)</f>
        <v>#REF!</v>
      </c>
    </row>
    <row r="466" spans="3:3" x14ac:dyDescent="0.2">
      <c r="C466" s="1998" t="e">
        <f>IF(BUDGET!#REF!=0,"",BUDGET!#REF!)</f>
        <v>#REF!</v>
      </c>
    </row>
    <row r="467" spans="3:3" x14ac:dyDescent="0.2">
      <c r="C467" s="1998" t="e">
        <f>IF(BUDGET!#REF!=0,"",BUDGET!#REF!)</f>
        <v>#REF!</v>
      </c>
    </row>
    <row r="468" spans="3:3" x14ac:dyDescent="0.2">
      <c r="C468" s="1998" t="e">
        <f>IF(BUDGET!#REF!=0,"",BUDGET!#REF!)</f>
        <v>#REF!</v>
      </c>
    </row>
    <row r="469" spans="3:3" x14ac:dyDescent="0.2">
      <c r="C469" s="1998" t="e">
        <f>IF(BUDGET!#REF!=0,"",BUDGET!#REF!)</f>
        <v>#REF!</v>
      </c>
    </row>
    <row r="470" spans="3:3" x14ac:dyDescent="0.2">
      <c r="C470" s="1998" t="e">
        <f>IF(BUDGET!#REF!=0,"",BUDGET!#REF!)</f>
        <v>#REF!</v>
      </c>
    </row>
    <row r="471" spans="3:3" x14ac:dyDescent="0.2">
      <c r="C471" s="1998" t="e">
        <f>IF(BUDGET!#REF!=0,"",BUDGET!#REF!)</f>
        <v>#REF!</v>
      </c>
    </row>
    <row r="472" spans="3:3" x14ac:dyDescent="0.2">
      <c r="C472" s="1998" t="str">
        <f>IF(BUDGET!AP470=0,"",BUDGET!AP470)</f>
        <v/>
      </c>
    </row>
    <row r="473" spans="3:3" x14ac:dyDescent="0.2">
      <c r="C473" s="1998" t="str">
        <f>IF(BUDGET!AP471=0,"",BUDGET!AP471)</f>
        <v/>
      </c>
    </row>
    <row r="474" spans="3:3" x14ac:dyDescent="0.2">
      <c r="C474" s="1998" t="str">
        <f>IF(BUDGET!AP472=0,"",BUDGET!AP472)</f>
        <v/>
      </c>
    </row>
    <row r="475" spans="3:3" x14ac:dyDescent="0.2">
      <c r="C475" s="1998" t="str">
        <f>IF(BUDGET!AP473=0,"",BUDGET!AP473)</f>
        <v/>
      </c>
    </row>
    <row r="476" spans="3:3" x14ac:dyDescent="0.2">
      <c r="C476" s="1998" t="str">
        <f>IF(BUDGET!AP474=0,"",BUDGET!AP474)</f>
        <v/>
      </c>
    </row>
    <row r="477" spans="3:3" x14ac:dyDescent="0.2">
      <c r="C477" s="1998" t="str">
        <f>IF(BUDGET!AP475=0,"",BUDGET!AP475)</f>
        <v/>
      </c>
    </row>
    <row r="478" spans="3:3" x14ac:dyDescent="0.2">
      <c r="C478" s="1998" t="str">
        <f>IF(BUDGET!AP476=0,"",BUDGET!AP476)</f>
        <v/>
      </c>
    </row>
    <row r="479" spans="3:3" x14ac:dyDescent="0.2">
      <c r="C479" s="1998" t="str">
        <f>IF(BUDGET!AP477=0,"",BUDGET!AP477)</f>
        <v/>
      </c>
    </row>
    <row r="480" spans="3:3" x14ac:dyDescent="0.2">
      <c r="C480" s="1998" t="str">
        <f>IF(BUDGET!AP478=0,"",BUDGET!AP478)</f>
        <v/>
      </c>
    </row>
    <row r="481" spans="3:3" x14ac:dyDescent="0.2">
      <c r="C481" s="1998" t="str">
        <f>IF(BUDGET!AP479=0,"",BUDGET!AP479)</f>
        <v/>
      </c>
    </row>
    <row r="482" spans="3:3" x14ac:dyDescent="0.2">
      <c r="C482" s="1998" t="str">
        <f>IF(BUDGET!AP480=0,"",BUDGET!AP480)</f>
        <v/>
      </c>
    </row>
    <row r="483" spans="3:3" x14ac:dyDescent="0.2">
      <c r="C483" s="1998" t="str">
        <f>IF(BUDGET!AP481=0,"",BUDGET!AP481)</f>
        <v/>
      </c>
    </row>
    <row r="484" spans="3:3" x14ac:dyDescent="0.2">
      <c r="C484" s="1998" t="str">
        <f>IF(BUDGET!AP482=0,"",BUDGET!AP482)</f>
        <v/>
      </c>
    </row>
    <row r="485" spans="3:3" x14ac:dyDescent="0.2">
      <c r="C485" s="1998" t="str">
        <f>IF(BUDGET!AP483=0,"",BUDGET!AP483)</f>
        <v/>
      </c>
    </row>
    <row r="486" spans="3:3" x14ac:dyDescent="0.2">
      <c r="C486" s="1998" t="str">
        <f>IF(BUDGET!AP484=0,"",BUDGET!AP484)</f>
        <v/>
      </c>
    </row>
    <row r="487" spans="3:3" x14ac:dyDescent="0.2">
      <c r="C487" s="1998" t="str">
        <f>IF(BUDGET!AP485=0,"",BUDGET!AP485)</f>
        <v/>
      </c>
    </row>
    <row r="488" spans="3:3" x14ac:dyDescent="0.2">
      <c r="C488" s="1998" t="str">
        <f>IF(BUDGET!AP486=0,"",BUDGET!AP486)</f>
        <v/>
      </c>
    </row>
    <row r="489" spans="3:3" x14ac:dyDescent="0.2">
      <c r="C489" s="1998" t="str">
        <f>IF(BUDGET!AP487=0,"",BUDGET!AP487)</f>
        <v/>
      </c>
    </row>
    <row r="490" spans="3:3" x14ac:dyDescent="0.2">
      <c r="C490" s="1998" t="str">
        <f>IF(BUDGET!AP488=0,"",BUDGET!AP488)</f>
        <v/>
      </c>
    </row>
    <row r="491" spans="3:3" x14ac:dyDescent="0.2">
      <c r="C491" s="1998" t="str">
        <f>IF(BUDGET!AP489=0,"",BUDGET!AP489)</f>
        <v/>
      </c>
    </row>
    <row r="492" spans="3:3" x14ac:dyDescent="0.2">
      <c r="C492" s="1998" t="str">
        <f>IF(BUDGET!AP490=0,"",BUDGET!AP490)</f>
        <v/>
      </c>
    </row>
    <row r="493" spans="3:3" x14ac:dyDescent="0.2">
      <c r="C493" s="1998" t="str">
        <f>IF(BUDGET!AP491=0,"",BUDGET!AP491)</f>
        <v/>
      </c>
    </row>
    <row r="494" spans="3:3" x14ac:dyDescent="0.2">
      <c r="C494" s="1998" t="str">
        <f>IF(BUDGET!AP492=0,"",BUDGET!AP492)</f>
        <v/>
      </c>
    </row>
    <row r="495" spans="3:3" x14ac:dyDescent="0.2">
      <c r="C495" s="1998" t="str">
        <f>IF(BUDGET!AP493=0,"",BUDGET!AP493)</f>
        <v/>
      </c>
    </row>
    <row r="496" spans="3:3" x14ac:dyDescent="0.2">
      <c r="C496" s="1998" t="str">
        <f>IF(BUDGET!AP494=0,"",BUDGET!AP494)</f>
        <v/>
      </c>
    </row>
    <row r="497" spans="3:3" x14ac:dyDescent="0.2">
      <c r="C497" s="1998" t="str">
        <f>IF(BUDGET!AP495=0,"",BUDGET!AP495)</f>
        <v/>
      </c>
    </row>
    <row r="498" spans="3:3" x14ac:dyDescent="0.2">
      <c r="C498" s="1998" t="str">
        <f>IF(BUDGET!AP496=0,"",BUDGET!AP496)</f>
        <v/>
      </c>
    </row>
    <row r="499" spans="3:3" x14ac:dyDescent="0.2">
      <c r="C499" s="1998" t="str">
        <f>IF(BUDGET!AP497=0,"",BUDGET!AP497)</f>
        <v/>
      </c>
    </row>
    <row r="500" spans="3:3" x14ac:dyDescent="0.2">
      <c r="C500" s="1998" t="str">
        <f>IF(BUDGET!AP498=0,"",BUDGET!AP498)</f>
        <v/>
      </c>
    </row>
    <row r="501" spans="3:3" x14ac:dyDescent="0.2">
      <c r="C501" s="1998" t="str">
        <f>IF(BUDGET!AP499=0,"",BUDGET!AP499)</f>
        <v/>
      </c>
    </row>
    <row r="502" spans="3:3" x14ac:dyDescent="0.2">
      <c r="C502" s="1998" t="str">
        <f>IF(BUDGET!AP500=0,"",BUDGET!AP500)</f>
        <v/>
      </c>
    </row>
    <row r="503" spans="3:3" x14ac:dyDescent="0.2">
      <c r="C503" s="1998" t="str">
        <f>IF(BUDGET!AP501=0,"",BUDGET!AP501)</f>
        <v/>
      </c>
    </row>
    <row r="504" spans="3:3" x14ac:dyDescent="0.2">
      <c r="C504" s="1998" t="str">
        <f>IF(BUDGET!AP502=0,"",BUDGET!AP502)</f>
        <v/>
      </c>
    </row>
    <row r="505" spans="3:3" x14ac:dyDescent="0.2">
      <c r="C505" s="1998" t="str">
        <f>IF(BUDGET!AP503=0,"",BUDGET!AP503)</f>
        <v/>
      </c>
    </row>
    <row r="506" spans="3:3" x14ac:dyDescent="0.2">
      <c r="C506" s="1998" t="str">
        <f>IF(BUDGET!AP504=0,"",BUDGET!AP504)</f>
        <v/>
      </c>
    </row>
    <row r="507" spans="3:3" x14ac:dyDescent="0.2">
      <c r="C507" s="1998" t="str">
        <f>IF(BUDGET!AP505=0,"",BUDGET!AP505)</f>
        <v/>
      </c>
    </row>
    <row r="508" spans="3:3" x14ac:dyDescent="0.2">
      <c r="C508" s="1998" t="str">
        <f>IF(BUDGET!AP506=0,"",BUDGET!AP506)</f>
        <v/>
      </c>
    </row>
    <row r="509" spans="3:3" x14ac:dyDescent="0.2">
      <c r="C509" s="1998" t="str">
        <f>IF(BUDGET!AP507=0,"",BUDGET!AP507)</f>
        <v/>
      </c>
    </row>
    <row r="510" spans="3:3" x14ac:dyDescent="0.2">
      <c r="C510" s="1998" t="str">
        <f>IF(BUDGET!AP508=0,"",BUDGET!AP508)</f>
        <v/>
      </c>
    </row>
    <row r="511" spans="3:3" x14ac:dyDescent="0.2">
      <c r="C511" s="1998" t="str">
        <f>IF(BUDGET!AP509=0,"",BUDGET!AP509)</f>
        <v/>
      </c>
    </row>
    <row r="512" spans="3:3" x14ac:dyDescent="0.2">
      <c r="C512" s="1998" t="str">
        <f>IF(BUDGET!AP510=0,"",BUDGET!AP510)</f>
        <v/>
      </c>
    </row>
    <row r="513" spans="3:3" x14ac:dyDescent="0.2">
      <c r="C513" s="1998" t="str">
        <f>IF(BUDGET!AP511=0,"",BUDGET!AP511)</f>
        <v/>
      </c>
    </row>
    <row r="514" spans="3:3" x14ac:dyDescent="0.2">
      <c r="C514" s="1998" t="str">
        <f>IF(BUDGET!AP512=0,"",BUDGET!AP512)</f>
        <v/>
      </c>
    </row>
    <row r="515" spans="3:3" x14ac:dyDescent="0.2">
      <c r="C515" s="1998" t="str">
        <f>IF(BUDGET!AP513=0,"",BUDGET!AP513)</f>
        <v/>
      </c>
    </row>
    <row r="516" spans="3:3" x14ac:dyDescent="0.2">
      <c r="C516" s="1998" t="str">
        <f>IF(BUDGET!AP514=0,"",BUDGET!AP514)</f>
        <v/>
      </c>
    </row>
    <row r="517" spans="3:3" x14ac:dyDescent="0.2">
      <c r="C517" s="1998" t="str">
        <f>IF(BUDGET!AP515=0,"",BUDGET!AP515)</f>
        <v/>
      </c>
    </row>
    <row r="518" spans="3:3" x14ac:dyDescent="0.2">
      <c r="C518" s="1998" t="str">
        <f>IF(BUDGET!AP516=0,"",BUDGET!AP516)</f>
        <v/>
      </c>
    </row>
    <row r="519" spans="3:3" x14ac:dyDescent="0.2">
      <c r="C519" s="1998" t="str">
        <f>IF(BUDGET!AP517=0,"",BUDGET!AP517)</f>
        <v/>
      </c>
    </row>
    <row r="520" spans="3:3" x14ac:dyDescent="0.2">
      <c r="C520" s="1998" t="str">
        <f>IF(BUDGET!AP518=0,"",BUDGET!AP518)</f>
        <v/>
      </c>
    </row>
    <row r="521" spans="3:3" x14ac:dyDescent="0.2">
      <c r="C521" s="1998" t="str">
        <f>IF(BUDGET!AP519=0,"",BUDGET!AP519)</f>
        <v/>
      </c>
    </row>
    <row r="522" spans="3:3" x14ac:dyDescent="0.2">
      <c r="C522" s="1998" t="str">
        <f>IF(BUDGET!AP520=0,"",BUDGET!AP520)</f>
        <v/>
      </c>
    </row>
    <row r="523" spans="3:3" x14ac:dyDescent="0.2">
      <c r="C523" s="1998" t="str">
        <f>IF(BUDGET!AP521=0,"",BUDGET!AP521)</f>
        <v/>
      </c>
    </row>
    <row r="524" spans="3:3" x14ac:dyDescent="0.2">
      <c r="C524" s="1998" t="str">
        <f>IF(BUDGET!AP522=0,"",BUDGET!AP522)</f>
        <v/>
      </c>
    </row>
    <row r="525" spans="3:3" x14ac:dyDescent="0.2">
      <c r="C525" s="1998" t="str">
        <f>IF(BUDGET!AP523=0,"",BUDGET!AP523)</f>
        <v/>
      </c>
    </row>
    <row r="526" spans="3:3" x14ac:dyDescent="0.2">
      <c r="C526" s="1998" t="str">
        <f>IF(BUDGET!AP524=0,"",BUDGET!AP524)</f>
        <v/>
      </c>
    </row>
    <row r="527" spans="3:3" x14ac:dyDescent="0.2">
      <c r="C527" s="1998" t="str">
        <f>IF(BUDGET!AP525=0,"",BUDGET!AP525)</f>
        <v/>
      </c>
    </row>
    <row r="528" spans="3:3" x14ac:dyDescent="0.2">
      <c r="C528" s="1998" t="str">
        <f>IF(BUDGET!AP526=0,"",BUDGET!AP526)</f>
        <v/>
      </c>
    </row>
    <row r="529" spans="3:3" x14ac:dyDescent="0.2">
      <c r="C529" s="1998" t="str">
        <f>IF(BUDGET!AP527=0,"",BUDGET!AP527)</f>
        <v/>
      </c>
    </row>
    <row r="530" spans="3:3" x14ac:dyDescent="0.2">
      <c r="C530" s="1998" t="str">
        <f>IF(BUDGET!AP528=0,"",BUDGET!AP528)</f>
        <v/>
      </c>
    </row>
    <row r="531" spans="3:3" x14ac:dyDescent="0.2">
      <c r="C531" s="1998" t="str">
        <f>IF(BUDGET!AP529=0,"",BUDGET!AP529)</f>
        <v/>
      </c>
    </row>
    <row r="532" spans="3:3" x14ac:dyDescent="0.2">
      <c r="C532" s="1998" t="str">
        <f>IF(BUDGET!AP530=0,"",BUDGET!AP530)</f>
        <v/>
      </c>
    </row>
    <row r="533" spans="3:3" x14ac:dyDescent="0.2">
      <c r="C533" s="1998" t="str">
        <f>IF(BUDGET!AP531=0,"",BUDGET!AP531)</f>
        <v/>
      </c>
    </row>
    <row r="534" spans="3:3" x14ac:dyDescent="0.2">
      <c r="C534" s="1998" t="str">
        <f>IF(BUDGET!AP532=0,"",BUDGET!AP532)</f>
        <v/>
      </c>
    </row>
    <row r="535" spans="3:3" x14ac:dyDescent="0.2">
      <c r="C535" s="1998" t="str">
        <f>IF(BUDGET!AP533=0,"",BUDGET!AP533)</f>
        <v/>
      </c>
    </row>
    <row r="536" spans="3:3" x14ac:dyDescent="0.2">
      <c r="C536" s="1998" t="str">
        <f>IF(BUDGET!AP534=0,"",BUDGET!AP534)</f>
        <v/>
      </c>
    </row>
    <row r="537" spans="3:3" x14ac:dyDescent="0.2">
      <c r="C537" s="1998" t="str">
        <f>IF(BUDGET!AP535=0,"",BUDGET!AP535)</f>
        <v/>
      </c>
    </row>
    <row r="538" spans="3:3" x14ac:dyDescent="0.2">
      <c r="C538" s="1998" t="str">
        <f>IF(BUDGET!AP536=0,"",BUDGET!AP536)</f>
        <v/>
      </c>
    </row>
    <row r="539" spans="3:3" x14ac:dyDescent="0.2">
      <c r="C539" s="1998" t="str">
        <f>IF(BUDGET!AP537=0,"",BUDGET!AP537)</f>
        <v/>
      </c>
    </row>
    <row r="540" spans="3:3" x14ac:dyDescent="0.2">
      <c r="C540" s="1998" t="str">
        <f>IF(BUDGET!AP538=0,"",BUDGET!AP538)</f>
        <v/>
      </c>
    </row>
    <row r="541" spans="3:3" x14ac:dyDescent="0.2">
      <c r="C541" s="1998" t="str">
        <f>IF(BUDGET!AP539=0,"",BUDGET!AP539)</f>
        <v/>
      </c>
    </row>
    <row r="542" spans="3:3" x14ac:dyDescent="0.2">
      <c r="C542" s="1998" t="str">
        <f>IF(BUDGET!AP540=0,"",BUDGET!AP540)</f>
        <v/>
      </c>
    </row>
    <row r="543" spans="3:3" x14ac:dyDescent="0.2">
      <c r="C543" s="1998" t="str">
        <f>IF(BUDGET!AP541=0,"",BUDGET!AP541)</f>
        <v/>
      </c>
    </row>
    <row r="544" spans="3:3" x14ac:dyDescent="0.2">
      <c r="C544" s="1998" t="str">
        <f>IF(BUDGET!AP542=0,"",BUDGET!AP542)</f>
        <v/>
      </c>
    </row>
    <row r="545" spans="3:3" x14ac:dyDescent="0.2">
      <c r="C545" s="1998" t="str">
        <f>IF(BUDGET!AP543=0,"",BUDGET!AP543)</f>
        <v/>
      </c>
    </row>
    <row r="546" spans="3:3" x14ac:dyDescent="0.2">
      <c r="C546" s="1998" t="str">
        <f>IF(BUDGET!AP544=0,"",BUDGET!AP544)</f>
        <v/>
      </c>
    </row>
    <row r="547" spans="3:3" x14ac:dyDescent="0.2">
      <c r="C547" s="1998" t="str">
        <f>IF(BUDGET!AP545=0,"",BUDGET!AP545)</f>
        <v/>
      </c>
    </row>
    <row r="548" spans="3:3" x14ac:dyDescent="0.2">
      <c r="C548" s="1998" t="str">
        <f>IF(BUDGET!AP546=0,"",BUDGET!AP546)</f>
        <v/>
      </c>
    </row>
    <row r="549" spans="3:3" x14ac:dyDescent="0.2">
      <c r="C549" s="1998" t="str">
        <f>IF(BUDGET!AP547=0,"",BUDGET!AP547)</f>
        <v/>
      </c>
    </row>
    <row r="550" spans="3:3" x14ac:dyDescent="0.2">
      <c r="C550" s="1998" t="str">
        <f>IF(BUDGET!AP548=0,"",BUDGET!AP548)</f>
        <v/>
      </c>
    </row>
    <row r="551" spans="3:3" x14ac:dyDescent="0.2">
      <c r="C551" s="1998" t="str">
        <f>IF(BUDGET!AP549=0,"",BUDGET!AP549)</f>
        <v/>
      </c>
    </row>
    <row r="552" spans="3:3" x14ac:dyDescent="0.2">
      <c r="C552" s="1998" t="str">
        <f>IF(BUDGET!AP550=0,"",BUDGET!AP550)</f>
        <v/>
      </c>
    </row>
    <row r="553" spans="3:3" x14ac:dyDescent="0.2">
      <c r="C553" s="1998" t="str">
        <f>IF(BUDGET!AP551=0,"",BUDGET!AP551)</f>
        <v/>
      </c>
    </row>
    <row r="554" spans="3:3" x14ac:dyDescent="0.2">
      <c r="C554" s="1998" t="str">
        <f>IF(BUDGET!AP552=0,"",BUDGET!AP552)</f>
        <v/>
      </c>
    </row>
    <row r="555" spans="3:3" x14ac:dyDescent="0.2">
      <c r="C555" s="1998" t="str">
        <f>IF(BUDGET!AP553=0,"",BUDGET!AP553)</f>
        <v/>
      </c>
    </row>
    <row r="556" spans="3:3" x14ac:dyDescent="0.2">
      <c r="C556" s="1998" t="str">
        <f>IF(BUDGET!AP554=0,"",BUDGET!AP554)</f>
        <v/>
      </c>
    </row>
    <row r="557" spans="3:3" x14ac:dyDescent="0.2">
      <c r="C557" s="1998" t="str">
        <f>IF(BUDGET!AP555=0,"",BUDGET!AP555)</f>
        <v/>
      </c>
    </row>
    <row r="558" spans="3:3" x14ac:dyDescent="0.2">
      <c r="C558" s="1998" t="str">
        <f>IF(BUDGET!AP556=0,"",BUDGET!AP556)</f>
        <v/>
      </c>
    </row>
    <row r="559" spans="3:3" x14ac:dyDescent="0.2">
      <c r="C559" s="1998" t="str">
        <f>IF(BUDGET!AP557=0,"",BUDGET!AP557)</f>
        <v/>
      </c>
    </row>
    <row r="560" spans="3:3" x14ac:dyDescent="0.2">
      <c r="C560" s="1998" t="str">
        <f>IF(BUDGET!AP558=0,"",BUDGET!AP558)</f>
        <v/>
      </c>
    </row>
    <row r="561" spans="3:3" x14ac:dyDescent="0.2">
      <c r="C561" s="1998" t="str">
        <f>IF(BUDGET!AP559=0,"",BUDGET!AP559)</f>
        <v/>
      </c>
    </row>
    <row r="562" spans="3:3" x14ac:dyDescent="0.2">
      <c r="C562" s="1998" t="str">
        <f>IF(BUDGET!AP560=0,"",BUDGET!AP560)</f>
        <v/>
      </c>
    </row>
    <row r="563" spans="3:3" x14ac:dyDescent="0.2">
      <c r="C563" s="1998" t="str">
        <f>IF(BUDGET!AP561=0,"",BUDGET!AP561)</f>
        <v/>
      </c>
    </row>
    <row r="564" spans="3:3" x14ac:dyDescent="0.2">
      <c r="C564" s="1998" t="str">
        <f>IF(BUDGET!AP562=0,"",BUDGET!AP562)</f>
        <v/>
      </c>
    </row>
    <row r="565" spans="3:3" x14ac:dyDescent="0.2">
      <c r="C565" s="1998" t="str">
        <f>IF(BUDGET!AP563=0,"",BUDGET!AP563)</f>
        <v/>
      </c>
    </row>
    <row r="566" spans="3:3" x14ac:dyDescent="0.2">
      <c r="C566" s="1998" t="str">
        <f>IF(BUDGET!AP564=0,"",BUDGET!AP564)</f>
        <v/>
      </c>
    </row>
    <row r="567" spans="3:3" x14ac:dyDescent="0.2">
      <c r="C567" s="1998" t="str">
        <f>IF(BUDGET!AP565=0,"",BUDGET!AP565)</f>
        <v/>
      </c>
    </row>
  </sheetData>
  <sheetProtection selectLockedCells="1"/>
  <protectedRanges>
    <protectedRange sqref="D1:I1048576" name="Range1"/>
  </protectedRanges>
  <autoFilter ref="B10:J435"/>
  <pageMargins left="0.7" right="0.7" top="0.75" bottom="0.75" header="0.3" footer="0.3"/>
  <pageSetup paperSize="9" scale="67" fitToHeight="0" orientation="portrait" horizontalDpi="4294967293" r:id="rId1"/>
  <headerFooter>
    <oddFooter>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2103"/>
  <sheetViews>
    <sheetView topLeftCell="A4" workbookViewId="0">
      <selection activeCell="B21" sqref="B21:M21"/>
    </sheetView>
  </sheetViews>
  <sheetFormatPr defaultRowHeight="12.75" x14ac:dyDescent="0.2"/>
  <cols>
    <col min="2" max="2" width="5.7109375" style="2015" customWidth="1"/>
    <col min="3" max="3" width="47.85546875" style="2015" customWidth="1"/>
    <col min="4" max="4" width="10.28515625" style="2033" customWidth="1"/>
    <col min="5" max="5" width="10.140625" style="2029" customWidth="1"/>
    <col min="6" max="6" width="9.7109375" style="2029" customWidth="1"/>
    <col min="7" max="7" width="9.5703125" style="2029" customWidth="1"/>
    <col min="8" max="8" width="14.85546875" style="2029" customWidth="1"/>
    <col min="9" max="9" width="0" style="127" hidden="1" customWidth="1"/>
    <col min="10" max="10" width="2.7109375" style="127" hidden="1" customWidth="1"/>
    <col min="11" max="11" width="11.85546875" style="86" customWidth="1"/>
    <col min="12" max="13" width="11.85546875" customWidth="1"/>
  </cols>
  <sheetData>
    <row r="1" spans="2:13" x14ac:dyDescent="0.2">
      <c r="D1" s="514"/>
      <c r="E1" s="487"/>
      <c r="F1" s="487"/>
      <c r="G1" s="487"/>
      <c r="H1" s="487"/>
      <c r="I1" s="487"/>
      <c r="J1" s="488"/>
      <c r="K1" s="494"/>
    </row>
    <row r="2" spans="2:13" x14ac:dyDescent="0.2">
      <c r="B2" s="2016"/>
      <c r="C2" s="2016"/>
      <c r="D2" s="503"/>
      <c r="E2" s="491"/>
      <c r="F2" s="492"/>
      <c r="G2" s="492"/>
      <c r="H2" s="492"/>
      <c r="I2" s="492"/>
      <c r="J2" s="493"/>
      <c r="K2" s="494"/>
    </row>
    <row r="3" spans="2:13" ht="13.5" thickBot="1" x14ac:dyDescent="0.25">
      <c r="D3" s="503"/>
      <c r="E3" s="491"/>
      <c r="F3" s="492"/>
      <c r="G3" s="492"/>
      <c r="H3" s="497"/>
      <c r="I3" s="497"/>
      <c r="J3" s="498"/>
      <c r="K3" s="499"/>
      <c r="L3" s="499"/>
      <c r="M3" s="499"/>
    </row>
    <row r="4" spans="2:13" x14ac:dyDescent="0.2">
      <c r="B4" s="2017" t="str">
        <f>IF('PROJECTED SCH. B'!A4=0,"",'PROJECTED SCH. B'!A4)</f>
        <v/>
      </c>
      <c r="C4" s="2017" t="str">
        <f>IF('PROJECTED SCH. B'!B4=0,"",'PROJECTED SCH. B'!B4)</f>
        <v/>
      </c>
      <c r="D4" s="2017" t="str">
        <f>IF('PROJECTED SCH. B'!C4=0,"",'PROJECTED SCH. B'!C4)</f>
        <v>APPROPRIATIONS</v>
      </c>
      <c r="E4" s="2017" t="str">
        <f>IF('PROJECTED SCH. B'!D4=0,"",'PROJECTED SCH. B'!D4)</f>
        <v/>
      </c>
      <c r="F4" s="2017" t="str">
        <f>IF('PROJECTED SCH. B'!E4=0,"",'PROJECTED SCH. B'!E4)</f>
        <v/>
      </c>
      <c r="G4" s="2017" t="str">
        <f>IF('PROJECTED SCH. B'!F4=0,"",'PROJECTED SCH. B'!F4)</f>
        <v/>
      </c>
      <c r="H4" s="2017" t="str">
        <f>IF('PROJECTED SCH. B'!G4=0,"",'PROJECTED SCH. B'!G4)</f>
        <v/>
      </c>
      <c r="I4" s="83" t="str">
        <f>IF('PROJECTED SCH. B'!H4=0,"",'PROJECTED SCH. B'!H4)</f>
        <v>AUTHORIZATIONS</v>
      </c>
      <c r="J4" s="83" t="str">
        <f>IF('PROJECTED SCH. B'!I4=0,"",'PROJECTED SCH. B'!I4)</f>
        <v/>
      </c>
      <c r="K4" s="1928"/>
      <c r="L4" s="1928"/>
      <c r="M4" s="1928"/>
    </row>
    <row r="5" spans="2:13" x14ac:dyDescent="0.2">
      <c r="B5" s="2018" t="str">
        <f>IF('PROJECTED SCH. B'!A5=0,"",'PROJECTED SCH. B'!A5)</f>
        <v xml:space="preserve"> </v>
      </c>
      <c r="C5" s="2018" t="str">
        <f>IF('PROJECTED SCH. B'!B5=0,"",'PROJECTED SCH. B'!B5)</f>
        <v xml:space="preserve"> </v>
      </c>
      <c r="D5" s="2018" t="str">
        <f>IF('PROJECTED SCH. B'!C5=0,"",'PROJECTED SCH. B'!C5)</f>
        <v>(a)</v>
      </c>
      <c r="E5" s="2018" t="str">
        <f>IF('PROJECTED SCH. B'!D5=0,"",'PROJECTED SCH. B'!D5)</f>
        <v>(b)</v>
      </c>
      <c r="F5" s="2018" t="str">
        <f>IF('PROJECTED SCH. B'!E5=0,"",'PROJECTED SCH. B'!E5)</f>
        <v>(c)</v>
      </c>
      <c r="G5" s="2018" t="str">
        <f>IF('PROJECTED SCH. B'!F5=0,"",'PROJECTED SCH. B'!F5)</f>
        <v>(d)</v>
      </c>
      <c r="H5" s="2018" t="str">
        <f>IF('PROJECTED SCH. B'!G5=0,"",'PROJECTED SCH. B'!G5)</f>
        <v>(e)</v>
      </c>
      <c r="I5" s="89" t="str">
        <f>IF('PROJECTED SCH. B'!H5=0,"",'PROJECTED SCH. B'!H5)</f>
        <v>MEMO ONLY</v>
      </c>
      <c r="J5" s="89" t="str">
        <f>IF('PROJECTED SCH. B'!I5=0,"",'PROJECTED SCH. B'!I5)</f>
        <v/>
      </c>
      <c r="K5" s="1929"/>
      <c r="L5" s="1929"/>
      <c r="M5" s="1929"/>
    </row>
    <row r="6" spans="2:13" x14ac:dyDescent="0.2">
      <c r="B6" s="2018" t="str">
        <f>IF('PROJECTED SCH. B'!A6=0,"",'PROJECTED SCH. B'!A6)</f>
        <v xml:space="preserve">  </v>
      </c>
      <c r="C6" s="2018" t="str">
        <f>IF('PROJECTED SCH. B'!B6=0,"",'PROJECTED SCH. B'!B6)</f>
        <v xml:space="preserve">APPROPRIATIONS AND SOURCES                                                                                                </v>
      </c>
      <c r="D6" s="2018" t="str">
        <f>IF('PROJECTED SCH. B'!C6=0,"",'PROJECTED SCH. B'!C6)</f>
        <v>Total</v>
      </c>
      <c r="E6" s="2018" t="str">
        <f>IF('PROJECTED SCH. B'!D6=0,"",'PROJECTED SCH. B'!D6)</f>
        <v>From Raise &amp;</v>
      </c>
      <c r="F6" s="2018" t="str">
        <f>IF('PROJECTED SCH. B'!E6=0,"",'PROJECTED SCH. B'!E6)</f>
        <v>From</v>
      </c>
      <c r="G6" s="2018" t="str">
        <f>IF('PROJECTED SCH. B'!F6=0,"",'PROJECTED SCH. B'!F6)</f>
        <v>From Other</v>
      </c>
      <c r="H6" s="2018" t="str">
        <f>IF('PROJECTED SCH. B'!G6=0,"",'PROJECTED SCH. B'!G6)</f>
        <v xml:space="preserve">From Offset </v>
      </c>
      <c r="I6" s="89" t="str">
        <f>IF('PROJECTED SCH. B'!H6=0,"",'PROJECTED SCH. B'!H6)</f>
        <v>(f)</v>
      </c>
      <c r="J6" s="89" t="str">
        <f>IF('PROJECTED SCH. B'!I6=0,"",'PROJECTED SCH. B'!I6)</f>
        <v>(g)</v>
      </c>
      <c r="K6" s="1929"/>
      <c r="L6" s="1929"/>
      <c r="M6" s="1929"/>
    </row>
    <row r="7" spans="2:13" x14ac:dyDescent="0.2">
      <c r="B7" s="2018" t="str">
        <f>IF('PROJECTED SCH. B'!A7=0,"",'PROJECTED SCH. B'!A7)</f>
        <v xml:space="preserve">  </v>
      </c>
      <c r="C7" s="2018" t="str">
        <f>IF('PROJECTED SCH. B'!B7=0,"",'PROJECTED SCH. B'!B7)</f>
        <v>OF FUNDING: PLANNING PURPOSES</v>
      </c>
      <c r="D7" s="2018" t="str">
        <f>IF('PROJECTED SCH. B'!C7=0,"",'PROJECTED SCH. B'!C7)</f>
        <v>Appropriations</v>
      </c>
      <c r="E7" s="2018" t="str">
        <f>IF('PROJECTED SCH. B'!D7=0,"",'PROJECTED SCH. B'!D7)</f>
        <v xml:space="preserve"> Appropriate</v>
      </c>
      <c r="F7" s="2018" t="str">
        <f>IF('PROJECTED SCH. B'!E7=0,"",'PROJECTED SCH. B'!E7)</f>
        <v>Free Cash</v>
      </c>
      <c r="G7" s="2018" t="str">
        <f>IF('PROJECTED SCH. B'!F7=0,"",'PROJECTED SCH. B'!F7)</f>
        <v>Available</v>
      </c>
      <c r="H7" s="2018" t="str">
        <f>IF('PROJECTED SCH. B'!G7=0,"",'PROJECTED SCH. B'!G7)</f>
        <v>Receipts See A-1 or</v>
      </c>
      <c r="I7" s="89" t="str">
        <f>IF('PROJECTED SCH. B'!H7=0,"",'PROJECTED SCH. B'!H7)</f>
        <v>Revolving</v>
      </c>
      <c r="J7" s="89" t="str">
        <f>IF('PROJECTED SCH. B'!I7=0,"",'PROJECTED SCH. B'!I7)</f>
        <v>Borrowing</v>
      </c>
      <c r="K7" s="1926"/>
      <c r="L7" s="1926" t="s">
        <v>2521</v>
      </c>
      <c r="M7" s="1926"/>
    </row>
    <row r="8" spans="2:13" x14ac:dyDescent="0.2">
      <c r="B8" s="2019" t="str">
        <f>IF('PROJECTED SCH. B'!A8=0,"",'PROJECTED SCH. B'!A8)</f>
        <v>ART.</v>
      </c>
      <c r="C8" s="2019" t="str">
        <f>IF('PROJECTED SCH. B'!B8=0,"",'PROJECTED SCH. B'!B8)</f>
        <v>FIN.COM PROJECTED 2020</v>
      </c>
      <c r="D8" s="2019" t="str">
        <f>IF('PROJECTED SCH. B'!C8=0,"",'PROJECTED SCH. B'!C8)</f>
        <v>of Each</v>
      </c>
      <c r="E8" s="2019" t="str">
        <f>IF('PROJECTED SCH. B'!D8=0,"",'PROJECTED SCH. B'!D8)</f>
        <v>(Tax Levy)</v>
      </c>
      <c r="F8" s="2019" t="str">
        <f>IF('PROJECTED SCH. B'!E8=0,"",'PROJECTED SCH. B'!E8)</f>
        <v>See B-1</v>
      </c>
      <c r="G8" s="2019" t="str">
        <f>IF('PROJECTED SCH. B'!F8=0,"",'PROJECTED SCH. B'!F8)</f>
        <v>Funds</v>
      </c>
      <c r="H8" s="2019" t="str">
        <f>IF('PROJECTED SCH. B'!G8=0,"",'PROJECTED SCH. B'!G8)</f>
        <v>Enterprise Funds</v>
      </c>
      <c r="I8" s="95" t="str">
        <f>IF('PROJECTED SCH. B'!H8=0,"",'PROJECTED SCH. B'!H8)</f>
        <v>Funds</v>
      </c>
      <c r="J8" s="95" t="str">
        <f>IF('PROJECTED SCH. B'!I8=0,"",'PROJECTED SCH. B'!I8)</f>
        <v>Authorization</v>
      </c>
      <c r="K8" s="1926"/>
      <c r="L8" s="1926" t="s">
        <v>1090</v>
      </c>
      <c r="M8" s="1926"/>
    </row>
    <row r="9" spans="2:13" ht="13.5" thickBot="1" x14ac:dyDescent="0.25">
      <c r="B9" s="2020" t="str">
        <f>IF('PROJECTED SCH. B'!A9=0,"",'PROJECTED SCH. B'!A9)</f>
        <v>NO.</v>
      </c>
      <c r="C9" s="2020" t="str">
        <f>IF('PROJECTED SCH. B'!B9=0,"",'PROJECTED SCH. B'!B9)</f>
        <v/>
      </c>
      <c r="D9" s="2020" t="str">
        <f>IF('PROJECTED SCH. B'!C9=0,"",'PROJECTED SCH. B'!C9)</f>
        <v>Meeting</v>
      </c>
      <c r="E9" s="2020" t="str">
        <f>IF('PROJECTED SCH. B'!D9=0,"",'PROJECTED SCH. B'!D9)</f>
        <v/>
      </c>
      <c r="F9" s="2020" t="str">
        <f>IF('PROJECTED SCH. B'!E9=0,"",'PROJECTED SCH. B'!E9)</f>
        <v/>
      </c>
      <c r="G9" s="2020" t="str">
        <f>IF('PROJECTED SCH. B'!F9=0,"",'PROJECTED SCH. B'!F9)</f>
        <v>See B-2</v>
      </c>
      <c r="H9" s="2020" t="str">
        <f>IF('PROJECTED SCH. B'!G9=0,"",'PROJECTED SCH. B'!G9)</f>
        <v>See A-2</v>
      </c>
      <c r="I9" s="97" t="str">
        <f>IF('PROJECTED SCH. B'!H9=0,"",'PROJECTED SCH. B'!H9)</f>
        <v>See A-3</v>
      </c>
      <c r="J9" s="97" t="str">
        <f>IF('PROJECTED SCH. B'!I9=0,"",'PROJECTED SCH. B'!I9)</f>
        <v/>
      </c>
      <c r="K9" s="1927" t="s">
        <v>1084</v>
      </c>
      <c r="L9" s="1927" t="s">
        <v>893</v>
      </c>
      <c r="M9" s="1927" t="s">
        <v>1085</v>
      </c>
    </row>
    <row r="10" spans="2:13" ht="14.25" x14ac:dyDescent="0.2">
      <c r="B10" s="2021">
        <f>IF('PROJECTED SCH. B'!A10=0,"",'PROJECTED SCH. B'!A10)</f>
        <v>2</v>
      </c>
      <c r="C10" s="2022" t="str">
        <f>IF('PROJECTED SCH. B'!B10=0,"",'PROJECTED SCH. B'!B10)</f>
        <v>Authorization to Transfer Balances</v>
      </c>
      <c r="D10" s="2022">
        <f>IF('PROJECTED SCH. B'!C10=0,"",'PROJECTED SCH. B'!C10)</f>
        <v>120178</v>
      </c>
      <c r="E10" s="2022" t="str">
        <f>IF('PROJECTED SCH. B'!D10=0,"",'PROJECTED SCH. B'!D10)</f>
        <v/>
      </c>
      <c r="F10" s="2022" t="str">
        <f>IF('PROJECTED SCH. B'!E10=0,"",'PROJECTED SCH. B'!E10)</f>
        <v/>
      </c>
      <c r="G10" s="2022">
        <f>IF('PROJECTED SCH. B'!F10=0,"",'PROJECTED SCH. B'!F10)</f>
        <v>120178</v>
      </c>
      <c r="H10" s="2022" t="str">
        <f>IF('PROJECTED SCH. B'!G10=0,"",'PROJECTED SCH. B'!G10)</f>
        <v/>
      </c>
      <c r="I10" s="2000" t="str">
        <f>IF('PROJECTED SCH. B'!H10=0,"",'PROJECTED SCH. B'!H10)</f>
        <v/>
      </c>
      <c r="J10" s="2000" t="str">
        <f>IF('PROJECTED SCH. B'!I10=0,"",'PROJECTED SCH. B'!I10)</f>
        <v/>
      </c>
      <c r="K10" s="2001"/>
      <c r="L10" s="2001"/>
      <c r="M10" s="2002" t="str">
        <f ca="1">IF(K10=0,"",TODAY())</f>
        <v/>
      </c>
    </row>
    <row r="11" spans="2:13" ht="14.25" x14ac:dyDescent="0.2">
      <c r="B11" s="2023">
        <f>IF('PROJECTED SCH. B'!A11=0,"",'PROJECTED SCH. B'!A11)</f>
        <v>3</v>
      </c>
      <c r="C11" s="2024" t="str">
        <f>IF('PROJECTED SCH. B'!B11=0,"",'PROJECTED SCH. B'!B11)</f>
        <v>ANNUAL OPERATING BUDGET</v>
      </c>
      <c r="D11" s="2024">
        <f>IF('PROJECTED SCH. B'!C11=0,"",'PROJECTED SCH. B'!C11)</f>
        <v>23553500.760000002</v>
      </c>
      <c r="E11" s="2024">
        <f>IF('PROJECTED SCH. B'!D11=0,"",'PROJECTED SCH. B'!D11)</f>
        <v>23553500.760000002</v>
      </c>
      <c r="F11" s="2024" t="str">
        <f>IF('PROJECTED SCH. B'!E11=0,"",'PROJECTED SCH. B'!E11)</f>
        <v/>
      </c>
      <c r="G11" s="2024" t="str">
        <f>IF('PROJECTED SCH. B'!F11=0,"",'PROJECTED SCH. B'!F11)</f>
        <v/>
      </c>
      <c r="H11" s="2024" t="str">
        <f>IF('PROJECTED SCH. B'!G11=0,"",'PROJECTED SCH. B'!G11)</f>
        <v/>
      </c>
      <c r="I11" s="2003" t="str">
        <f>IF('PROJECTED SCH. B'!H11=0,"",'PROJECTED SCH. B'!H11)</f>
        <v/>
      </c>
      <c r="J11" s="2003" t="str">
        <f>IF('PROJECTED SCH. B'!I11=0,"",'PROJECTED SCH. B'!I11)</f>
        <v/>
      </c>
      <c r="K11" s="2004"/>
      <c r="L11" s="2004"/>
      <c r="M11" s="2005" t="str">
        <f ca="1">IF(K11=0,"",TODAY())</f>
        <v/>
      </c>
    </row>
    <row r="12" spans="2:13" ht="14.25" x14ac:dyDescent="0.2">
      <c r="B12" s="2023">
        <f>IF('PROJECTED SCH. B'!A12=0,"",'PROJECTED SCH. B'!A12)</f>
        <v>4</v>
      </c>
      <c r="C12" s="2024" t="str">
        <f>IF('PROJECTED SCH. B'!B12=0,"",'PROJECTED SCH. B'!B12)</f>
        <v>WATER DEPT   ENTERPRISE OPERATING  BUDGET</v>
      </c>
      <c r="D12" s="2024">
        <f>IF('PROJECTED SCH. B'!C12=0,"",'PROJECTED SCH. B'!C12)</f>
        <v>2123955</v>
      </c>
      <c r="E12" s="2024" t="str">
        <f>IF('PROJECTED SCH. B'!D12=0,"",'PROJECTED SCH. B'!D12)</f>
        <v/>
      </c>
      <c r="F12" s="2024" t="str">
        <f>IF('PROJECTED SCH. B'!E12=0,"",'PROJECTED SCH. B'!E12)</f>
        <v/>
      </c>
      <c r="G12" s="2024" t="str">
        <f>IF('PROJECTED SCH. B'!F12=0,"",'PROJECTED SCH. B'!F12)</f>
        <v/>
      </c>
      <c r="H12" s="2024">
        <f>IF('PROJECTED SCH. B'!G12=0,"",'PROJECTED SCH. B'!G12)</f>
        <v>2123955</v>
      </c>
      <c r="I12" s="2003" t="str">
        <f>IF('PROJECTED SCH. B'!H12=0,"",'PROJECTED SCH. B'!H12)</f>
        <v/>
      </c>
      <c r="J12" s="2003" t="str">
        <f>IF('PROJECTED SCH. B'!I12=0,"",'PROJECTED SCH. B'!I12)</f>
        <v/>
      </c>
      <c r="K12" s="2006"/>
      <c r="L12" s="2006"/>
      <c r="M12" s="2005" t="str">
        <f t="shared" ref="M12:M54" ca="1" si="0">IF(K12=0,"",TODAY())</f>
        <v/>
      </c>
    </row>
    <row r="13" spans="2:13" ht="14.25" x14ac:dyDescent="0.2">
      <c r="B13" s="2023">
        <f>IF('PROJECTED SCH. B'!A13=0,"",'PROJECTED SCH. B'!A13)</f>
        <v>5</v>
      </c>
      <c r="C13" s="2024" t="str">
        <f>IF('PROJECTED SCH. B'!B13=0,"",'PROJECTED SCH. B'!B13)</f>
        <v>ANNUAL MASCONOMET REGIONAL SCH. DIST. ASSMT</v>
      </c>
      <c r="D13" s="2024">
        <f>IF('PROJECTED SCH. B'!C13=0,"",'PROJECTED SCH. B'!C13)</f>
        <v>8876259</v>
      </c>
      <c r="E13" s="2024">
        <f>IF('PROJECTED SCH. B'!D13=0,"",'PROJECTED SCH. B'!D13)</f>
        <v>8876259</v>
      </c>
      <c r="F13" s="2024" t="str">
        <f>IF('PROJECTED SCH. B'!E13=0,"",'PROJECTED SCH. B'!E13)</f>
        <v/>
      </c>
      <c r="G13" s="2024" t="str">
        <f>IF('PROJECTED SCH. B'!F13=0,"",'PROJECTED SCH. B'!F13)</f>
        <v/>
      </c>
      <c r="H13" s="2024" t="str">
        <f>IF('PROJECTED SCH. B'!G13=0,"",'PROJECTED SCH. B'!G13)</f>
        <v/>
      </c>
      <c r="I13" s="2003" t="str">
        <f>IF('PROJECTED SCH. B'!H13=0,"",'PROJECTED SCH. B'!H13)</f>
        <v/>
      </c>
      <c r="J13" s="2003" t="str">
        <f>IF('PROJECTED SCH. B'!I13=0,"",'PROJECTED SCH. B'!I13)</f>
        <v/>
      </c>
      <c r="K13" s="2006"/>
      <c r="L13" s="2006"/>
      <c r="M13" s="2005" t="str">
        <f t="shared" ca="1" si="0"/>
        <v/>
      </c>
    </row>
    <row r="14" spans="2:13" ht="14.25" x14ac:dyDescent="0.2">
      <c r="B14" s="2023">
        <f>IF('PROJECTED SCH. B'!A14=0,"",'PROJECTED SCH. B'!A14)</f>
        <v>6</v>
      </c>
      <c r="C14" s="2024" t="str">
        <f>IF('PROJECTED SCH. B'!B14=0,"",'PROJECTED SCH. B'!B14)</f>
        <v>ANNUAL ESSEX NORTH SHORE AG/Tech SCH DIST ASSM.</v>
      </c>
      <c r="D14" s="2024">
        <f>IF('PROJECTED SCH. B'!C14=0,"",'PROJECTED SCH. B'!C14)</f>
        <v>485391</v>
      </c>
      <c r="E14" s="2024">
        <f>IF('PROJECTED SCH. B'!D14=0,"",'PROJECTED SCH. B'!D14)</f>
        <v>485391</v>
      </c>
      <c r="F14" s="2024" t="str">
        <f>IF('PROJECTED SCH. B'!E14=0,"",'PROJECTED SCH. B'!E14)</f>
        <v/>
      </c>
      <c r="G14" s="2024" t="str">
        <f>IF('PROJECTED SCH. B'!F14=0,"",'PROJECTED SCH. B'!F14)</f>
        <v/>
      </c>
      <c r="H14" s="2024" t="str">
        <f>IF('PROJECTED SCH. B'!G14=0,"",'PROJECTED SCH. B'!G14)</f>
        <v/>
      </c>
      <c r="I14" s="2003" t="str">
        <f>IF('PROJECTED SCH. B'!H14=0,"",'PROJECTED SCH. B'!H14)</f>
        <v/>
      </c>
      <c r="J14" s="2003" t="str">
        <f>IF('PROJECTED SCH. B'!I14=0,"",'PROJECTED SCH. B'!I14)</f>
        <v/>
      </c>
      <c r="K14" s="2006"/>
      <c r="L14" s="2006"/>
      <c r="M14" s="2005" t="str">
        <f t="shared" ca="1" si="0"/>
        <v/>
      </c>
    </row>
    <row r="15" spans="2:13" ht="14.25" x14ac:dyDescent="0.2">
      <c r="B15" s="2023">
        <f>IF('PROJECTED SCH. B'!A15=0,"",'PROJECTED SCH. B'!A15)</f>
        <v>7</v>
      </c>
      <c r="C15" s="2024" t="str">
        <f>IF('PROJECTED SCH. B'!B15=0,"",'PROJECTED SCH. B'!B15)</f>
        <v>GRANT AUTHORIZATION FOR TOWN PROJECTS</v>
      </c>
      <c r="D15" s="2024" t="str">
        <f>IF('PROJECTED SCH. B'!C15=0,"",'PROJECTED SCH. B'!C15)</f>
        <v/>
      </c>
      <c r="E15" s="2024" t="str">
        <f>IF('PROJECTED SCH. B'!D15=0,"",'PROJECTED SCH. B'!D15)</f>
        <v/>
      </c>
      <c r="F15" s="2024" t="str">
        <f>IF('PROJECTED SCH. B'!E15=0,"",'PROJECTED SCH. B'!E15)</f>
        <v/>
      </c>
      <c r="G15" s="2024" t="str">
        <f>IF('PROJECTED SCH. B'!F15=0,"",'PROJECTED SCH. B'!F15)</f>
        <v/>
      </c>
      <c r="H15" s="2024" t="str">
        <f>IF('PROJECTED SCH. B'!G15=0,"",'PROJECTED SCH. B'!G15)</f>
        <v/>
      </c>
      <c r="I15" s="2003" t="str">
        <f>IF('PROJECTED SCH. B'!H15=0,"",'PROJECTED SCH. B'!H15)</f>
        <v/>
      </c>
      <c r="J15" s="2003" t="str">
        <f>IF('PROJECTED SCH. B'!I15=0,"",'PROJECTED SCH. B'!I15)</f>
        <v/>
      </c>
      <c r="K15" s="2006"/>
      <c r="L15" s="2006"/>
      <c r="M15" s="2005" t="str">
        <f t="shared" ca="1" si="0"/>
        <v/>
      </c>
    </row>
    <row r="16" spans="2:13" ht="14.25" x14ac:dyDescent="0.2">
      <c r="B16" s="2023">
        <f>IF('PROJECTED SCH. B'!A16=0,"",'PROJECTED SCH. B'!A16)</f>
        <v>8</v>
      </c>
      <c r="C16" s="2024" t="str">
        <f>IF('PROJECTED SCH. B'!B16=0,"",'PROJECTED SCH. B'!B16)</f>
        <v>Mass DOT Contracts - Authorization to spend for Chapter 90 Projects</v>
      </c>
      <c r="D16" s="2024" t="str">
        <f>IF('PROJECTED SCH. B'!C16=0,"",'PROJECTED SCH. B'!C16)</f>
        <v/>
      </c>
      <c r="E16" s="2024" t="str">
        <f>IF('PROJECTED SCH. B'!D16=0,"",'PROJECTED SCH. B'!D16)</f>
        <v/>
      </c>
      <c r="F16" s="2024" t="str">
        <f>IF('PROJECTED SCH. B'!E16=0,"",'PROJECTED SCH. B'!E16)</f>
        <v/>
      </c>
      <c r="G16" s="2024" t="str">
        <f>IF('PROJECTED SCH. B'!F16=0,"",'PROJECTED SCH. B'!F16)</f>
        <v/>
      </c>
      <c r="H16" s="2024" t="str">
        <f>IF('PROJECTED SCH. B'!G16=0,"",'PROJECTED SCH. B'!G16)</f>
        <v/>
      </c>
      <c r="I16" s="2003" t="str">
        <f>IF('PROJECTED SCH. B'!H16=0,"",'PROJECTED SCH. B'!H16)</f>
        <v/>
      </c>
      <c r="J16" s="2003" t="str">
        <f>IF('PROJECTED SCH. B'!I16=0,"",'PROJECTED SCH. B'!I16)</f>
        <v/>
      </c>
      <c r="K16" s="2006"/>
      <c r="L16" s="2006"/>
      <c r="M16" s="2005" t="str">
        <f t="shared" ca="1" si="0"/>
        <v/>
      </c>
    </row>
    <row r="17" spans="2:13" ht="14.25" x14ac:dyDescent="0.2">
      <c r="B17" s="2023">
        <f>IF('PROJECTED SCH. B'!A17=0,"",'PROJECTED SCH. B'!A17)</f>
        <v>9</v>
      </c>
      <c r="C17" s="2024" t="str">
        <f>IF('PROJECTED SCH. B'!B17=0,"",'PROJECTED SCH. B'!B17)</f>
        <v>Tri-town Council</v>
      </c>
      <c r="D17" s="2024">
        <f>IF('PROJECTED SCH. B'!C17=0,"",'PROJECTED SCH. B'!C17)</f>
        <v>21525</v>
      </c>
      <c r="E17" s="2024" t="str">
        <f>IF('PROJECTED SCH. B'!D17=0,"",'PROJECTED SCH. B'!D17)</f>
        <v/>
      </c>
      <c r="F17" s="2024">
        <f>IF('PROJECTED SCH. B'!E17=0,"",'PROJECTED SCH. B'!E17)</f>
        <v>21525</v>
      </c>
      <c r="G17" s="2024" t="str">
        <f>IF('PROJECTED SCH. B'!F17=0,"",'PROJECTED SCH. B'!F17)</f>
        <v/>
      </c>
      <c r="H17" s="2024" t="str">
        <f>IF('PROJECTED SCH. B'!G17=0,"",'PROJECTED SCH. B'!G17)</f>
        <v/>
      </c>
      <c r="I17" s="2003" t="str">
        <f>IF('PROJECTED SCH. B'!H17=0,"",'PROJECTED SCH. B'!H17)</f>
        <v/>
      </c>
      <c r="J17" s="2003" t="str">
        <f>IF('PROJECTED SCH. B'!I17=0,"",'PROJECTED SCH. B'!I17)</f>
        <v/>
      </c>
      <c r="K17" s="2006"/>
      <c r="L17" s="2006"/>
      <c r="M17" s="2005" t="str">
        <f t="shared" ca="1" si="0"/>
        <v/>
      </c>
    </row>
    <row r="18" spans="2:13" ht="14.25" x14ac:dyDescent="0.2">
      <c r="B18" s="2023">
        <f>IF('PROJECTED SCH. B'!A18=0,"",'PROJECTED SCH. B'!A18)</f>
        <v>10</v>
      </c>
      <c r="C18" s="2024" t="str">
        <f>IF('PROJECTED SCH. B'!B18=0,"",'PROJECTED SCH. B'!B18)</f>
        <v>Senior Care</v>
      </c>
      <c r="D18" s="2024">
        <f>IF('PROJECTED SCH. B'!C18=0,"",'PROJECTED SCH. B'!C18)</f>
        <v>1500</v>
      </c>
      <c r="E18" s="2024" t="str">
        <f>IF('PROJECTED SCH. B'!D18=0,"",'PROJECTED SCH. B'!D18)</f>
        <v/>
      </c>
      <c r="F18" s="2024">
        <f>IF('PROJECTED SCH. B'!E18=0,"",'PROJECTED SCH. B'!E18)</f>
        <v>1500</v>
      </c>
      <c r="G18" s="2024" t="str">
        <f>IF('PROJECTED SCH. B'!F18=0,"",'PROJECTED SCH. B'!F18)</f>
        <v/>
      </c>
      <c r="H18" s="2024" t="str">
        <f>IF('PROJECTED SCH. B'!G18=0,"",'PROJECTED SCH. B'!G18)</f>
        <v/>
      </c>
      <c r="I18" s="2003" t="str">
        <f>IF('PROJECTED SCH. B'!H18=0,"",'PROJECTED SCH. B'!H18)</f>
        <v/>
      </c>
      <c r="J18" s="2003" t="str">
        <f>IF('PROJECTED SCH. B'!I18=0,"",'PROJECTED SCH. B'!I18)</f>
        <v/>
      </c>
      <c r="K18" s="2006"/>
      <c r="L18" s="2006"/>
      <c r="M18" s="2005" t="str">
        <f t="shared" ca="1" si="0"/>
        <v/>
      </c>
    </row>
    <row r="19" spans="2:13" ht="14.25" x14ac:dyDescent="0.2">
      <c r="B19" s="2023">
        <f>IF('PROJECTED SCH. B'!A20=0,"",'PROJECTED SCH. B'!A20)</f>
        <v>11</v>
      </c>
      <c r="C19" s="2024" t="str">
        <f>IF('PROJECTED SCH. B'!B20=0,"",'PROJECTED SCH. B'!B20)</f>
        <v>Assessor 5 year recertification</v>
      </c>
      <c r="D19" s="2024">
        <f>IF('PROJECTED SCH. B'!C20=0,"",'PROJECTED SCH. B'!C20)</f>
        <v>8000</v>
      </c>
      <c r="E19" s="2024" t="str">
        <f>IF('PROJECTED SCH. B'!D20=0,"",'PROJECTED SCH. B'!D20)</f>
        <v/>
      </c>
      <c r="F19" s="2024">
        <f>IF('PROJECTED SCH. B'!E20=0,"",'PROJECTED SCH. B'!E20)</f>
        <v>8000</v>
      </c>
      <c r="G19" s="2024" t="str">
        <f>IF('PROJECTED SCH. B'!F20=0,"",'PROJECTED SCH. B'!F20)</f>
        <v/>
      </c>
      <c r="H19" s="2024" t="str">
        <f>IF('PROJECTED SCH. B'!G20=0,"",'PROJECTED SCH. B'!G20)</f>
        <v/>
      </c>
      <c r="I19" s="2003" t="str">
        <f>IF('PROJECTED SCH. B'!H20=0,"",'PROJECTED SCH. B'!H20)</f>
        <v/>
      </c>
      <c r="J19" s="2003" t="str">
        <f>IF('PROJECTED SCH. B'!I20=0,"",'PROJECTED SCH. B'!I20)</f>
        <v/>
      </c>
      <c r="K19" s="2006"/>
      <c r="L19" s="2006"/>
      <c r="M19" s="2005" t="str">
        <f t="shared" ca="1" si="0"/>
        <v/>
      </c>
    </row>
    <row r="20" spans="2:13" ht="14.25" x14ac:dyDescent="0.2">
      <c r="B20" s="2023">
        <f>IF('PROJECTED SCH. B'!A21=0,"",'PROJECTED SCH. B'!A21)</f>
        <v>12</v>
      </c>
      <c r="C20" s="2024" t="str">
        <f>IF('PROJECTED SCH. B'!B21=0,"",'PROJECTED SCH. B'!B21)</f>
        <v>Facilities repair</v>
      </c>
      <c r="D20" s="2024">
        <f>IF('PROJECTED SCH. B'!C21=0,"",'PROJECTED SCH. B'!C21)</f>
        <v>30000</v>
      </c>
      <c r="E20" s="2024" t="str">
        <f>IF('PROJECTED SCH. B'!D21=0,"",'PROJECTED SCH. B'!D21)</f>
        <v/>
      </c>
      <c r="F20" s="2024">
        <f>IF('PROJECTED SCH. B'!E21=0,"",'PROJECTED SCH. B'!E21)</f>
        <v>30000</v>
      </c>
      <c r="G20" s="2024" t="str">
        <f>IF('PROJECTED SCH. B'!F21=0,"",'PROJECTED SCH. B'!F21)</f>
        <v/>
      </c>
      <c r="H20" s="2024" t="str">
        <f>IF('PROJECTED SCH. B'!G21=0,"",'PROJECTED SCH. B'!G21)</f>
        <v/>
      </c>
      <c r="I20" s="2003" t="str">
        <f>IF('PROJECTED SCH. B'!H21=0,"",'PROJECTED SCH. B'!H21)</f>
        <v/>
      </c>
      <c r="J20" s="2003" t="str">
        <f>IF('PROJECTED SCH. B'!I21=0,"",'PROJECTED SCH. B'!I21)</f>
        <v/>
      </c>
      <c r="K20" s="2006"/>
      <c r="L20" s="2006"/>
      <c r="M20" s="2005" t="str">
        <f t="shared" ca="1" si="0"/>
        <v/>
      </c>
    </row>
    <row r="21" spans="2:13" ht="14.25" x14ac:dyDescent="0.2">
      <c r="B21" s="2023">
        <f>IF('PROJECTED SCH. B'!A22=0,"",'PROJECTED SCH. B'!A22)</f>
        <v>13</v>
      </c>
      <c r="C21" s="2024" t="str">
        <f>IF('PROJECTED SCH. B'!B22=0,"",'PROJECTED SCH. B'!B22)</f>
        <v>Police Cruisers</v>
      </c>
      <c r="D21" s="2024">
        <f>IF('PROJECTED SCH. B'!C22=0,"",'PROJECTED SCH. B'!C22)</f>
        <v>130000</v>
      </c>
      <c r="E21" s="2024"/>
      <c r="F21" s="2024">
        <f>IF('PROJECTED SCH. B'!E22=0,"",'PROJECTED SCH. B'!E22)</f>
        <v>130000</v>
      </c>
      <c r="G21" s="2024"/>
      <c r="H21" s="2024"/>
      <c r="I21" s="2003"/>
      <c r="J21" s="2003"/>
      <c r="K21" s="2006"/>
      <c r="L21" s="2006"/>
      <c r="M21" s="2005"/>
    </row>
    <row r="22" spans="2:13" ht="14.25" x14ac:dyDescent="0.2">
      <c r="B22" s="2023">
        <f>IF('PROJECTED SCH. B'!A23=0,"",'PROJECTED SCH. B'!A23)</f>
        <v>14</v>
      </c>
      <c r="C22" s="2024" t="str">
        <f>IF('PROJECTED SCH. B'!B23=0,"",'PROJECTED SCH. B'!B23)</f>
        <v>Radios</v>
      </c>
      <c r="D22" s="2024">
        <f>IF('PROJECTED SCH. B'!C23=0,"",'PROJECTED SCH. B'!C23)</f>
        <v>11000</v>
      </c>
      <c r="E22" s="2024" t="str">
        <f>IF('PROJECTED SCH. B'!D23=0,"",'PROJECTED SCH. B'!D23)</f>
        <v/>
      </c>
      <c r="F22" s="2024">
        <f>IF('PROJECTED SCH. B'!E23=0,"",'PROJECTED SCH. B'!E23)</f>
        <v>11000</v>
      </c>
      <c r="G22" s="2024" t="str">
        <f>IF('PROJECTED SCH. B'!F23=0,"",'PROJECTED SCH. B'!F23)</f>
        <v/>
      </c>
      <c r="H22" s="2024" t="str">
        <f>IF('PROJECTED SCH. B'!G23=0,"",'PROJECTED SCH. B'!G23)</f>
        <v/>
      </c>
      <c r="I22" s="2003" t="str">
        <f>IF('PROJECTED SCH. B'!H23=0,"",'PROJECTED SCH. B'!H23)</f>
        <v/>
      </c>
      <c r="J22" s="2003" t="str">
        <f>IF('PROJECTED SCH. B'!I23=0,"",'PROJECTED SCH. B'!I23)</f>
        <v/>
      </c>
      <c r="K22" s="2006"/>
      <c r="L22" s="2006"/>
      <c r="M22" s="2005" t="str">
        <f t="shared" ca="1" si="0"/>
        <v/>
      </c>
    </row>
    <row r="23" spans="2:13" ht="14.25" x14ac:dyDescent="0.2">
      <c r="B23" s="2023">
        <f>IF('PROJECTED SCH. B'!A24=0,"",'PROJECTED SCH. B'!A24)</f>
        <v>15</v>
      </c>
      <c r="C23" s="2024" t="str">
        <f>IF('PROJECTED SCH. B'!B24=0,"",'PROJECTED SCH. B'!B24)</f>
        <v>ambulance</v>
      </c>
      <c r="D23" s="2024">
        <f>IF('PROJECTED SCH. B'!C24=0,"",'PROJECTED SCH. B'!C24)</f>
        <v>480000</v>
      </c>
      <c r="E23" s="2024" t="str">
        <f>IF('PROJECTED SCH. B'!D24=0,"",'PROJECTED SCH. B'!D24)</f>
        <v/>
      </c>
      <c r="F23" s="2024">
        <f>IF('PROJECTED SCH. B'!E24=0,"",'PROJECTED SCH. B'!E24)</f>
        <v>140000</v>
      </c>
      <c r="G23" s="2024">
        <f>IF('PROJECTED SCH. B'!F24=0,"",'PROJECTED SCH. B'!F24)</f>
        <v>340000</v>
      </c>
      <c r="H23" s="2024" t="str">
        <f>IF('PROJECTED SCH. B'!G24=0,"",'PROJECTED SCH. B'!G24)</f>
        <v/>
      </c>
      <c r="I23" s="2003" t="str">
        <f>IF('PROJECTED SCH. B'!H24=0,"",'PROJECTED SCH. B'!H24)</f>
        <v/>
      </c>
      <c r="J23" s="2003" t="str">
        <f>IF('PROJECTED SCH. B'!I24=0,"",'PROJECTED SCH. B'!I24)</f>
        <v/>
      </c>
      <c r="K23" s="2006"/>
      <c r="L23" s="2006"/>
      <c r="M23" s="2005" t="str">
        <f t="shared" ca="1" si="0"/>
        <v/>
      </c>
    </row>
    <row r="24" spans="2:13" ht="14.25" x14ac:dyDescent="0.2">
      <c r="B24" s="2023">
        <f>IF('PROJECTED SCH. B'!A25=0,"",'PROJECTED SCH. B'!A25)</f>
        <v>16</v>
      </c>
      <c r="C24" s="2024" t="str">
        <f>IF('PROJECTED SCH. B'!B25=0,"",'PROJECTED SCH. B'!B25)</f>
        <v>Public works dump truck</v>
      </c>
      <c r="D24" s="2024">
        <f>IF('PROJECTED SCH. B'!C25=0,"",'PROJECTED SCH. B'!C25)</f>
        <v>243000</v>
      </c>
      <c r="E24" s="2024" t="str">
        <f>IF('PROJECTED SCH. B'!D25=0,"",'PROJECTED SCH. B'!D25)</f>
        <v/>
      </c>
      <c r="F24" s="2024">
        <f>IF('PROJECTED SCH. B'!E25=0,"",'PROJECTED SCH. B'!E25)</f>
        <v>243000</v>
      </c>
      <c r="G24" s="2024" t="str">
        <f>IF('PROJECTED SCH. B'!F25=0,"",'PROJECTED SCH. B'!F25)</f>
        <v/>
      </c>
      <c r="H24" s="2024" t="str">
        <f>IF('PROJECTED SCH. B'!G25=0,"",'PROJECTED SCH. B'!G25)</f>
        <v/>
      </c>
      <c r="I24" s="2003" t="str">
        <f>IF('PROJECTED SCH. B'!H25=0,"",'PROJECTED SCH. B'!H25)</f>
        <v/>
      </c>
      <c r="J24" s="2003" t="str">
        <f>IF('PROJECTED SCH. B'!I25=0,"",'PROJECTED SCH. B'!I25)</f>
        <v/>
      </c>
      <c r="K24" s="2006"/>
      <c r="L24" s="2006"/>
      <c r="M24" s="2005" t="str">
        <f t="shared" ca="1" si="0"/>
        <v/>
      </c>
    </row>
    <row r="25" spans="2:13" ht="14.25" x14ac:dyDescent="0.2">
      <c r="B25" s="2023">
        <f>IF('PROJECTED SCH. B'!A26=0,"",'PROJECTED SCH. B'!A26)</f>
        <v>17</v>
      </c>
      <c r="C25" s="2024" t="str">
        <f>IF('PROJECTED SCH. B'!B26=0,"",'PROJECTED SCH. B'!B26)</f>
        <v>Public works pickup</v>
      </c>
      <c r="D25" s="2024">
        <f>IF('PROJECTED SCH. B'!C26=0,"",'PROJECTED SCH. B'!C26)</f>
        <v>45000</v>
      </c>
      <c r="E25" s="2024" t="str">
        <f>IF('PROJECTED SCH. B'!D26=0,"",'PROJECTED SCH. B'!D26)</f>
        <v/>
      </c>
      <c r="F25" s="2024">
        <f>IF('PROJECTED SCH. B'!E26=0,"",'PROJECTED SCH. B'!E26)</f>
        <v>45000</v>
      </c>
      <c r="G25" s="2024" t="str">
        <f>IF('PROJECTED SCH. B'!F26=0,"",'PROJECTED SCH. B'!F26)</f>
        <v/>
      </c>
      <c r="H25" s="2024" t="str">
        <f>IF('PROJECTED SCH. B'!G26=0,"",'PROJECTED SCH. B'!G26)</f>
        <v/>
      </c>
      <c r="I25" s="2003" t="str">
        <f>IF('PROJECTED SCH. B'!H26=0,"",'PROJECTED SCH. B'!H26)</f>
        <v/>
      </c>
      <c r="J25" s="2003" t="str">
        <f>IF('PROJECTED SCH. B'!I26=0,"",'PROJECTED SCH. B'!I26)</f>
        <v/>
      </c>
      <c r="K25" s="2956" t="s">
        <v>2533</v>
      </c>
      <c r="L25" s="2006"/>
      <c r="M25" s="2005">
        <f ca="1">IF(K25=0,"",TODAY())</f>
        <v>45014</v>
      </c>
    </row>
    <row r="26" spans="2:13" ht="14.25" x14ac:dyDescent="0.2">
      <c r="B26" s="2023">
        <f>IF('PROJECTED SCH. B'!A27=0,"",'PROJECTED SCH. B'!A27)</f>
        <v>18</v>
      </c>
      <c r="C26" s="2024" t="str">
        <f>IF('PROJECTED SCH. B'!B27=0,"",'PROJECTED SCH. B'!B27)</f>
        <v>Storage Tank</v>
      </c>
      <c r="D26" s="2024">
        <f>IF('PROJECTED SCH. B'!C27=0,"",'PROJECTED SCH. B'!C27)</f>
        <v>800000</v>
      </c>
      <c r="E26" s="2024" t="str">
        <f>IF('PROJECTED SCH. B'!D27=0,"",'PROJECTED SCH. B'!D27)</f>
        <v/>
      </c>
      <c r="F26" s="2024" t="str">
        <f>IF('PROJECTED SCH. B'!E27=0,"",'PROJECTED SCH. B'!E27)</f>
        <v/>
      </c>
      <c r="G26" s="2024" t="str">
        <f>IF('PROJECTED SCH. B'!F27=0,"",'PROJECTED SCH. B'!F27)</f>
        <v/>
      </c>
      <c r="H26" s="2024">
        <f>IF('PROJECTED SCH. B'!G27=0,"",'PROJECTED SCH. B'!G27)</f>
        <v>800000</v>
      </c>
      <c r="I26" s="2003" t="str">
        <f>IF('PROJECTED SCH. B'!H27=0,"",'PROJECTED SCH. B'!H27)</f>
        <v/>
      </c>
      <c r="J26" s="2003">
        <f>IF('PROJECTED SCH. B'!I27=0,"",'PROJECTED SCH. B'!I27)</f>
        <v>3000000</v>
      </c>
      <c r="K26" s="2952" t="s">
        <v>1101</v>
      </c>
      <c r="L26" s="2007"/>
      <c r="M26" s="2005">
        <f t="shared" ref="M26:M44" ca="1" si="1">IF(K26=0,"",TODAY())</f>
        <v>45014</v>
      </c>
    </row>
    <row r="27" spans="2:13" ht="14.25" x14ac:dyDescent="0.2">
      <c r="B27" s="2023">
        <f>IF('PROJECTED SCH. B'!A28=0,"",'PROJECTED SCH. B'!A28)</f>
        <v>19</v>
      </c>
      <c r="C27" s="2024" t="str">
        <f>IF('PROJECTED SCH. B'!B28=0,"",'PROJECTED SCH. B'!B28)</f>
        <v>Water Meter</v>
      </c>
      <c r="D27" s="2024">
        <f>IF('PROJECTED SCH. B'!C28=0,"",'PROJECTED SCH. B'!C28)</f>
        <v>90000</v>
      </c>
      <c r="E27" s="2024" t="str">
        <f>IF('PROJECTED SCH. B'!D28=0,"",'PROJECTED SCH. B'!D28)</f>
        <v/>
      </c>
      <c r="F27" s="2024" t="str">
        <f>IF('PROJECTED SCH. B'!E28=0,"",'PROJECTED SCH. B'!E28)</f>
        <v/>
      </c>
      <c r="G27" s="2024" t="str">
        <f>IF('PROJECTED SCH. B'!F28=0,"",'PROJECTED SCH. B'!F28)</f>
        <v/>
      </c>
      <c r="H27" s="2024">
        <f>IF('PROJECTED SCH. B'!G28=0,"",'PROJECTED SCH. B'!G28)</f>
        <v>90000</v>
      </c>
      <c r="I27" s="2003" t="str">
        <f>IF('PROJECTED SCH. B'!H28=0,"",'PROJECTED SCH. B'!H28)</f>
        <v/>
      </c>
      <c r="J27" s="2003" t="str">
        <f>IF('PROJECTED SCH. B'!I28=0,"",'PROJECTED SCH. B'!I28)</f>
        <v/>
      </c>
      <c r="K27" s="2953" t="s">
        <v>1101</v>
      </c>
      <c r="L27" s="2008"/>
      <c r="M27" s="2005">
        <f t="shared" ca="1" si="1"/>
        <v>45014</v>
      </c>
    </row>
    <row r="28" spans="2:13" ht="14.25" x14ac:dyDescent="0.2">
      <c r="B28" s="2023">
        <f>IF('PROJECTED SCH. B'!A29=0,"",'PROJECTED SCH. B'!A29)</f>
        <v>20</v>
      </c>
      <c r="C28" s="2024" t="str">
        <f>IF('PROJECTED SCH. B'!B29=0,"",'PROJECTED SCH. B'!B29)</f>
        <v>Perkins pump station</v>
      </c>
      <c r="D28" s="2024">
        <f>IF('PROJECTED SCH. B'!C29=0,"",'PROJECTED SCH. B'!C29)</f>
        <v>150000</v>
      </c>
      <c r="E28" s="2024" t="str">
        <f>IF('PROJECTED SCH. B'!D29=0,"",'PROJECTED SCH. B'!D29)</f>
        <v/>
      </c>
      <c r="F28" s="2024" t="str">
        <f>IF('PROJECTED SCH. B'!E29=0,"",'PROJECTED SCH. B'!E29)</f>
        <v/>
      </c>
      <c r="G28" s="2024"/>
      <c r="H28" s="2024">
        <f>IF('PROJECTED SCH. B'!G29=0,"",'PROJECTED SCH. B'!G29)</f>
        <v>150000</v>
      </c>
      <c r="I28" s="2003" t="str">
        <f>IF('PROJECTED SCH. B'!H29=0,"",'PROJECTED SCH. B'!H29)</f>
        <v/>
      </c>
      <c r="J28" s="2003" t="str">
        <f>IF('PROJECTED SCH. B'!I29=0,"",'PROJECTED SCH. B'!I29)</f>
        <v/>
      </c>
      <c r="K28" s="2954" t="s">
        <v>1101</v>
      </c>
      <c r="L28" s="2009"/>
      <c r="M28" s="2005">
        <f t="shared" ca="1" si="1"/>
        <v>45014</v>
      </c>
    </row>
    <row r="29" spans="2:13" ht="14.25" x14ac:dyDescent="0.2">
      <c r="B29" s="2023">
        <f>IF('PROJECTED SCH. B'!A30=0,"",'PROJECTED SCH. B'!A30)</f>
        <v>21</v>
      </c>
      <c r="C29" s="2024" t="str">
        <f>IF('PROJECTED SCH. B'!B30=0,"",'PROJECTED SCH. B'!B30)</f>
        <v>Playground</v>
      </c>
      <c r="D29" s="2024">
        <f>IF('PROJECTED SCH. B'!C30=0,"",'PROJECTED SCH. B'!C30)</f>
        <v>25000</v>
      </c>
      <c r="E29" s="2024" t="str">
        <f>IF('PROJECTED SCH. B'!D30=0,"",'PROJECTED SCH. B'!D30)</f>
        <v/>
      </c>
      <c r="F29" s="2024">
        <f>IF('PROJECTED SCH. B'!E30=0,"",'PROJECTED SCH. B'!E30)</f>
        <v>25000</v>
      </c>
      <c r="G29" s="2024" t="str">
        <f>IF('PROJECTED SCH. B'!F30=0,"",'PROJECTED SCH. B'!F30)</f>
        <v/>
      </c>
      <c r="H29" s="2024" t="str">
        <f>IF('PROJECTED SCH. B'!G30=0,"",'PROJECTED SCH. B'!G30)</f>
        <v/>
      </c>
      <c r="I29" s="2003" t="str">
        <f>IF('PROJECTED SCH. B'!H30=0,"",'PROJECTED SCH. B'!H30)</f>
        <v/>
      </c>
      <c r="J29" s="2003" t="str">
        <f>IF('PROJECTED SCH. B'!I30=0,"",'PROJECTED SCH. B'!I30)</f>
        <v/>
      </c>
      <c r="K29" s="2009"/>
      <c r="L29" s="2009"/>
      <c r="M29" s="2005" t="str">
        <f t="shared" ca="1" si="1"/>
        <v/>
      </c>
    </row>
    <row r="30" spans="2:13" ht="14.25" x14ac:dyDescent="0.2">
      <c r="B30" s="2023">
        <f>IF('PROJECTED SCH. B'!A31=0,"",'PROJECTED SCH. B'!A31)</f>
        <v>22</v>
      </c>
      <c r="C30" s="2024" t="str">
        <f>IF('PROJECTED SCH. B'!B31=0,"",'PROJECTED SCH. B'!B31)</f>
        <v>Accessory apartment by law</v>
      </c>
      <c r="D30" s="2024" t="str">
        <f>IF('PROJECTED SCH. B'!C31=0,"",'PROJECTED SCH. B'!C31)</f>
        <v/>
      </c>
      <c r="E30" s="2024" t="str">
        <f>IF('PROJECTED SCH. B'!D31=0,"",'PROJECTED SCH. B'!D31)</f>
        <v/>
      </c>
      <c r="F30" s="2024" t="str">
        <f>IF('PROJECTED SCH. B'!E31=0,"",'PROJECTED SCH. B'!E31)</f>
        <v/>
      </c>
      <c r="G30" s="2024" t="str">
        <f>IF('PROJECTED SCH. B'!F31=0,"",'PROJECTED SCH. B'!F31)</f>
        <v/>
      </c>
      <c r="H30" s="2024" t="str">
        <f>IF('PROJECTED SCH. B'!G31=0,"",'PROJECTED SCH. B'!G31)</f>
        <v/>
      </c>
      <c r="I30" s="2003" t="str">
        <f>IF('PROJECTED SCH. B'!H31=0,"",'PROJECTED SCH. B'!H31)</f>
        <v/>
      </c>
      <c r="J30" s="2003" t="str">
        <f>IF('PROJECTED SCH. B'!I31=0,"",'PROJECTED SCH. B'!I31)</f>
        <v/>
      </c>
      <c r="K30" s="2958" t="s">
        <v>1101</v>
      </c>
      <c r="L30" s="2009"/>
      <c r="M30" s="2005">
        <f t="shared" ca="1" si="1"/>
        <v>45014</v>
      </c>
    </row>
    <row r="31" spans="2:13" ht="14.25" x14ac:dyDescent="0.2">
      <c r="B31" s="2023">
        <f>IF('PROJECTED SCH. B'!A32=0,"",'PROJECTED SCH. B'!A32)</f>
        <v>23</v>
      </c>
      <c r="C31" s="2024" t="str">
        <f>IF('PROJECTED SCH. B'!B32=0,"",'PROJECTED SCH. B'!B32)</f>
        <v>Zoning by law definitions</v>
      </c>
      <c r="D31" s="2024" t="str">
        <f>IF('PROJECTED SCH. B'!C32=0,"",'PROJECTED SCH. B'!C32)</f>
        <v/>
      </c>
      <c r="E31" s="2024" t="str">
        <f>IF('PROJECTED SCH. B'!D32=0,"",'PROJECTED SCH. B'!D32)</f>
        <v/>
      </c>
      <c r="F31" s="2024" t="str">
        <f>IF('PROJECTED SCH. B'!E32=0,"",'PROJECTED SCH. B'!E32)</f>
        <v/>
      </c>
      <c r="G31" s="2024" t="str">
        <f>IF('PROJECTED SCH. B'!F32=0,"",'PROJECTED SCH. B'!F32)</f>
        <v/>
      </c>
      <c r="H31" s="2024" t="str">
        <f>IF('PROJECTED SCH. B'!G32=0,"",'PROJECTED SCH. B'!G32)</f>
        <v/>
      </c>
      <c r="I31" s="2003" t="str">
        <f>IF('PROJECTED SCH. B'!H32=0,"",'PROJECTED SCH. B'!H32)</f>
        <v/>
      </c>
      <c r="J31" s="2003" t="str">
        <f>IF('PROJECTED SCH. B'!I32=0,"",'PROJECTED SCH. B'!I32)</f>
        <v/>
      </c>
      <c r="K31" s="2958" t="s">
        <v>1101</v>
      </c>
      <c r="L31" s="2009"/>
      <c r="M31" s="2005">
        <f t="shared" ca="1" si="1"/>
        <v>45014</v>
      </c>
    </row>
    <row r="32" spans="2:13" ht="14.25" x14ac:dyDescent="0.2">
      <c r="B32" s="2023">
        <f>IF('PROJECTED SCH. B'!A33=0,"",'PROJECTED SCH. B'!A33)</f>
        <v>24</v>
      </c>
      <c r="C32" s="2024" t="str">
        <f>IF('PROJECTED SCH. B'!B33=0,"",'PROJECTED SCH. B'!B33)</f>
        <v>Zoning by law Table of use</v>
      </c>
      <c r="D32" s="2024" t="str">
        <f>IF('PROJECTED SCH. B'!C33=0,"",'PROJECTED SCH. B'!C33)</f>
        <v/>
      </c>
      <c r="E32" s="2024" t="str">
        <f>IF('PROJECTED SCH. B'!D33=0,"",'PROJECTED SCH. B'!D33)</f>
        <v/>
      </c>
      <c r="F32" s="2024" t="str">
        <f>IF('PROJECTED SCH. B'!E33=0,"",'PROJECTED SCH. B'!E33)</f>
        <v/>
      </c>
      <c r="G32" s="2024" t="str">
        <f>IF('PROJECTED SCH. B'!F33=0,"",'PROJECTED SCH. B'!F33)</f>
        <v/>
      </c>
      <c r="H32" s="2024" t="str">
        <f>IF('PROJECTED SCH. B'!G33=0,"",'PROJECTED SCH. B'!G33)</f>
        <v/>
      </c>
      <c r="I32" s="2003" t="str">
        <f>IF('PROJECTED SCH. B'!H33=0,"",'PROJECTED SCH. B'!H33)</f>
        <v/>
      </c>
      <c r="J32" s="2003" t="str">
        <f>IF('PROJECTED SCH. B'!I33=0,"",'PROJECTED SCH. B'!I33)</f>
        <v/>
      </c>
      <c r="K32" s="2957" t="s">
        <v>1101</v>
      </c>
      <c r="L32" s="2010"/>
      <c r="M32" s="2005">
        <f t="shared" ca="1" si="1"/>
        <v>45014</v>
      </c>
    </row>
    <row r="33" spans="2:13" ht="14.25" x14ac:dyDescent="0.2">
      <c r="B33" s="2023">
        <f>IF('PROJECTED SCH. B'!A34=0,"",'PROJECTED SCH. B'!A34)</f>
        <v>25</v>
      </c>
      <c r="C33" s="2024" t="str">
        <f>IF('PROJECTED SCH. B'!B34=0,"",'PROJECTED SCH. B'!B34)</f>
        <v>Zoning table of use</v>
      </c>
      <c r="D33" s="2024" t="str">
        <f>IF('PROJECTED SCH. B'!C34=0,"",'PROJECTED SCH. B'!C34)</f>
        <v/>
      </c>
      <c r="E33" s="2024" t="str">
        <f>IF('PROJECTED SCH. B'!D34=0,"",'PROJECTED SCH. B'!D34)</f>
        <v/>
      </c>
      <c r="F33" s="2024" t="str">
        <f>IF('PROJECTED SCH. B'!E34=0,"",'PROJECTED SCH. B'!E34)</f>
        <v/>
      </c>
      <c r="G33" s="2024" t="str">
        <f>IF('PROJECTED SCH. B'!F34=0,"",'PROJECTED SCH. B'!F34)</f>
        <v/>
      </c>
      <c r="H33" s="2024" t="str">
        <f>IF('PROJECTED SCH. B'!G34=0,"",'PROJECTED SCH. B'!G34)</f>
        <v/>
      </c>
      <c r="I33" s="2003" t="str">
        <f>IF('PROJECTED SCH. B'!H34=0,"",'PROJECTED SCH. B'!H34)</f>
        <v/>
      </c>
      <c r="J33" s="2003" t="str">
        <f>IF('PROJECTED SCH. B'!I34=0,"",'PROJECTED SCH. B'!I34)</f>
        <v/>
      </c>
      <c r="K33" s="2958" t="s">
        <v>1101</v>
      </c>
      <c r="L33" s="2009"/>
      <c r="M33" s="2005">
        <f t="shared" ca="1" si="1"/>
        <v>45014</v>
      </c>
    </row>
    <row r="34" spans="2:13" ht="14.25" x14ac:dyDescent="0.2">
      <c r="B34" s="2023">
        <f>IF('PROJECTED SCH. B'!A35=0,"",'PROJECTED SCH. B'!A35)</f>
        <v>26</v>
      </c>
      <c r="C34" s="2024" t="str">
        <f>IF('PROJECTED SCH. B'!B35=0,"",'PROJECTED SCH. B'!B35)</f>
        <v>Home rule petition liquor</v>
      </c>
      <c r="D34" s="2024" t="str">
        <f>IF('PROJECTED SCH. B'!C35=0,"",'PROJECTED SCH. B'!C35)</f>
        <v/>
      </c>
      <c r="E34" s="2024" t="str">
        <f>IF('PROJECTED SCH. B'!D35=0,"",'PROJECTED SCH. B'!D35)</f>
        <v/>
      </c>
      <c r="F34" s="2024" t="str">
        <f>IF('PROJECTED SCH. B'!E35=0,"",'PROJECTED SCH. B'!E35)</f>
        <v/>
      </c>
      <c r="G34" s="2024" t="str">
        <f>IF('PROJECTED SCH. B'!F35=0,"",'PROJECTED SCH. B'!F35)</f>
        <v/>
      </c>
      <c r="H34" s="2024" t="str">
        <f>IF('PROJECTED SCH. B'!G35=0,"",'PROJECTED SCH. B'!G35)</f>
        <v/>
      </c>
      <c r="I34" s="2003" t="str">
        <f>IF('PROJECTED SCH. B'!H35=0,"",'PROJECTED SCH. B'!H35)</f>
        <v/>
      </c>
      <c r="J34" s="2003" t="str">
        <f>IF('PROJECTED SCH. B'!I35=0,"",'PROJECTED SCH. B'!I35)</f>
        <v/>
      </c>
      <c r="K34" s="2958" t="s">
        <v>1101</v>
      </c>
      <c r="L34" s="2009"/>
      <c r="M34" s="2005">
        <f t="shared" ca="1" si="1"/>
        <v>45014</v>
      </c>
    </row>
    <row r="35" spans="2:13" ht="14.25" x14ac:dyDescent="0.2">
      <c r="B35" s="2023">
        <f>IF('PROJECTED SCH. B'!A36=0,"",'PROJECTED SCH. B'!A36)</f>
        <v>27</v>
      </c>
      <c r="C35" s="2024" t="str">
        <f>IF('PROJECTED SCH. B'!B36=0,"",'PROJECTED SCH. B'!B36)</f>
        <v>Business district</v>
      </c>
      <c r="D35" s="2024" t="str">
        <f>IF('PROJECTED SCH. B'!C36=0,"",'PROJECTED SCH. B'!C36)</f>
        <v/>
      </c>
      <c r="E35" s="2024" t="str">
        <f>IF('PROJECTED SCH. B'!D36=0,"",'PROJECTED SCH. B'!D36)</f>
        <v/>
      </c>
      <c r="F35" s="2024" t="str">
        <f>IF('PROJECTED SCH. B'!E36=0,"",'PROJECTED SCH. B'!E36)</f>
        <v/>
      </c>
      <c r="G35" s="2024" t="str">
        <f>IF('PROJECTED SCH. B'!F36=0,"",'PROJECTED SCH. B'!F36)</f>
        <v/>
      </c>
      <c r="H35" s="2024" t="str">
        <f>IF('PROJECTED SCH. B'!G36=0,"",'PROJECTED SCH. B'!G36)</f>
        <v/>
      </c>
      <c r="I35" s="2003" t="str">
        <f>IF('PROJECTED SCH. B'!H36=0,"",'PROJECTED SCH. B'!H36)</f>
        <v/>
      </c>
      <c r="J35" s="2003" t="str">
        <f>IF('PROJECTED SCH. B'!I36=0,"",'PROJECTED SCH. B'!I36)</f>
        <v/>
      </c>
      <c r="K35" s="2957" t="s">
        <v>2535</v>
      </c>
      <c r="L35" s="2006"/>
      <c r="M35" s="2005">
        <f t="shared" ca="1" si="1"/>
        <v>45014</v>
      </c>
    </row>
    <row r="36" spans="2:13" ht="14.25" x14ac:dyDescent="0.2">
      <c r="B36" s="2023">
        <f>IF('PROJECTED SCH. B'!A37=0,"",'PROJECTED SCH. B'!A37)</f>
        <v>28</v>
      </c>
      <c r="C36" s="2024" t="str">
        <f>IF('PROJECTED SCH. B'!B37=0,"",'PROJECTED SCH. B'!B37)</f>
        <v>Lease of Downtown Property</v>
      </c>
      <c r="D36" s="2024" t="str">
        <f>IF('PROJECTED SCH. B'!C37=0,"",'PROJECTED SCH. B'!C37)</f>
        <v/>
      </c>
      <c r="E36" s="2024" t="str">
        <f>IF('PROJECTED SCH. B'!D37=0,"",'PROJECTED SCH. B'!D37)</f>
        <v/>
      </c>
      <c r="F36" s="2024" t="str">
        <f>IF('PROJECTED SCH. B'!E37=0,"",'PROJECTED SCH. B'!E37)</f>
        <v/>
      </c>
      <c r="G36" s="2024" t="str">
        <f>IF('PROJECTED SCH. B'!F37=0,"",'PROJECTED SCH. B'!F37)</f>
        <v/>
      </c>
      <c r="H36" s="2024" t="str">
        <f>IF('PROJECTED SCH. B'!G37=0,"",'PROJECTED SCH. B'!G37)</f>
        <v/>
      </c>
      <c r="I36" s="2003" t="str">
        <f>IF('PROJECTED SCH. B'!H37=0,"",'PROJECTED SCH. B'!H37)</f>
        <v/>
      </c>
      <c r="J36" s="2003" t="str">
        <f>IF('PROJECTED SCH. B'!I37=0,"",'PROJECTED SCH. B'!I37)</f>
        <v/>
      </c>
      <c r="K36" s="2957"/>
      <c r="L36" s="2006"/>
      <c r="M36" s="2005" t="str">
        <f t="shared" ca="1" si="1"/>
        <v/>
      </c>
    </row>
    <row r="37" spans="2:13" ht="14.25" x14ac:dyDescent="0.2">
      <c r="B37" s="2023">
        <f>IF('PROJECTED SCH. B'!A38=0,"",'PROJECTED SCH. B'!A38)</f>
        <v>29</v>
      </c>
      <c r="C37" s="2025" t="str">
        <f>IF('PROJECTED SCH. B'!B38=0,"",'PROJECTED SCH. B'!B38)</f>
        <v>Purchase real property</v>
      </c>
      <c r="D37" s="2025" t="str">
        <f>IF('PROJECTED SCH. B'!C38=0,"",'PROJECTED SCH. B'!C38)</f>
        <v/>
      </c>
      <c r="E37" s="2025" t="str">
        <f>IF('PROJECTED SCH. B'!D38=0,"",'PROJECTED SCH. B'!D38)</f>
        <v/>
      </c>
      <c r="F37" s="2025" t="str">
        <f>IF('PROJECTED SCH. B'!E38=0,"",'PROJECTED SCH. B'!E38)</f>
        <v/>
      </c>
      <c r="G37" s="2025" t="str">
        <f>IF('PROJECTED SCH. B'!F38=0,"",'PROJECTED SCH. B'!F38)</f>
        <v/>
      </c>
      <c r="H37" s="2025" t="str">
        <f>IF('PROJECTED SCH. B'!G38=0,"",'PROJECTED SCH. B'!G38)</f>
        <v/>
      </c>
      <c r="I37" s="2011" t="str">
        <f>IF('PROJECTED SCH. B'!H38=0,"",'PROJECTED SCH. B'!H38)</f>
        <v/>
      </c>
      <c r="J37" s="2011" t="str">
        <f>IF('PROJECTED SCH. B'!I38=0,"",'PROJECTED SCH. B'!I38)</f>
        <v/>
      </c>
      <c r="K37" s="2957" t="s">
        <v>1101</v>
      </c>
      <c r="L37" s="2006"/>
      <c r="M37" s="2005">
        <f t="shared" ca="1" si="1"/>
        <v>45014</v>
      </c>
    </row>
    <row r="38" spans="2:13" ht="14.25" x14ac:dyDescent="0.2">
      <c r="B38" s="2023">
        <f>IF('PROJECTED SCH. B'!A39=0,"",'PROJECTED SCH. B'!A39)</f>
        <v>30</v>
      </c>
      <c r="C38" s="2024" t="str">
        <f>IF('PROJECTED SCH. B'!B39=0,"",'PROJECTED SCH. B'!B39)</f>
        <v>Water restriction law</v>
      </c>
      <c r="D38" s="2024" t="str">
        <f>IF('PROJECTED SCH. B'!C39=0,"",'PROJECTED SCH. B'!C39)</f>
        <v/>
      </c>
      <c r="E38" s="2024" t="str">
        <f>IF('PROJECTED SCH. B'!D39=0,"",'PROJECTED SCH. B'!D39)</f>
        <v/>
      </c>
      <c r="F38" s="2024" t="str">
        <f>IF('PROJECTED SCH. B'!E39=0,"",'PROJECTED SCH. B'!E39)</f>
        <v/>
      </c>
      <c r="G38" s="2024" t="str">
        <f>IF('PROJECTED SCH. B'!F39=0,"",'PROJECTED SCH. B'!F39)</f>
        <v/>
      </c>
      <c r="H38" s="2024" t="str">
        <f>IF('PROJECTED SCH. B'!G39=0,"",'PROJECTED SCH. B'!G39)</f>
        <v/>
      </c>
      <c r="I38" s="2003" t="str">
        <f>IF('PROJECTED SCH. B'!H39=0,"",'PROJECTED SCH. B'!H39)</f>
        <v/>
      </c>
      <c r="J38" s="2003" t="str">
        <f>IF('PROJECTED SCH. B'!I39=0,"",'PROJECTED SCH. B'!I39)</f>
        <v/>
      </c>
      <c r="K38" s="2006"/>
      <c r="L38" s="2006"/>
      <c r="M38" s="2005" t="str">
        <f t="shared" ca="1" si="1"/>
        <v/>
      </c>
    </row>
    <row r="39" spans="2:13" ht="14.25" x14ac:dyDescent="0.2">
      <c r="B39" s="2023">
        <f>IF('PROJECTED SCH. B'!A40=0,"",'PROJECTED SCH. B'!A40)</f>
        <v>31</v>
      </c>
      <c r="C39" s="2024" t="str">
        <f>IF('PROJECTED SCH. B'!B40=0,"",'PROJECTED SCH. B'!B40)</f>
        <v>Park and Cemetary limit</v>
      </c>
      <c r="D39" s="2024" t="str">
        <f>IF('PROJECTED SCH. B'!C40=0,"",'PROJECTED SCH. B'!C40)</f>
        <v/>
      </c>
      <c r="E39" s="2024" t="str">
        <f>IF('PROJECTED SCH. B'!D40=0,"",'PROJECTED SCH. B'!D40)</f>
        <v/>
      </c>
      <c r="F39" s="2024" t="str">
        <f>IF('PROJECTED SCH. B'!E40=0,"",'PROJECTED SCH. B'!E40)</f>
        <v/>
      </c>
      <c r="G39" s="2024" t="str">
        <f>IF('PROJECTED SCH. B'!F40=0,"",'PROJECTED SCH. B'!F40)</f>
        <v/>
      </c>
      <c r="H39" s="2024" t="str">
        <f>IF('PROJECTED SCH. B'!G40=0,"",'PROJECTED SCH. B'!G40)</f>
        <v/>
      </c>
      <c r="I39" s="2003" t="str">
        <f>IF('PROJECTED SCH. B'!H40=0,"",'PROJECTED SCH. B'!H40)</f>
        <v/>
      </c>
      <c r="J39" s="2003" t="str">
        <f>IF('PROJECTED SCH. B'!I40=0,"",'PROJECTED SCH. B'!I40)</f>
        <v/>
      </c>
      <c r="K39" s="2006"/>
      <c r="L39" s="2006"/>
      <c r="M39" s="2005" t="str">
        <f t="shared" ca="1" si="1"/>
        <v/>
      </c>
    </row>
    <row r="40" spans="2:13" ht="14.25" x14ac:dyDescent="0.2">
      <c r="B40" s="2023">
        <f>IF('PROJECTED SCH. B'!A41=0,"",'PROJECTED SCH. B'!A41)</f>
        <v>32</v>
      </c>
      <c r="C40" s="2024" t="str">
        <f>IF('PROJECTED SCH. B'!B41=0,"",'PROJECTED SCH. B'!B41)</f>
        <v>Codification of bylaws</v>
      </c>
      <c r="D40" s="2024">
        <f>IF('PROJECTED SCH. B'!C41=0,"",'PROJECTED SCH. B'!C41)</f>
        <v>15000</v>
      </c>
      <c r="E40" s="2024" t="str">
        <f>IF('PROJECTED SCH. B'!D41=0,"",'PROJECTED SCH. B'!D41)</f>
        <v/>
      </c>
      <c r="F40" s="2024">
        <f>IF('PROJECTED SCH. B'!E41=0,"",'PROJECTED SCH. B'!E41)</f>
        <v>15000</v>
      </c>
      <c r="G40" s="2024" t="str">
        <f>IF('PROJECTED SCH. B'!F41=0,"",'PROJECTED SCH. B'!F41)</f>
        <v/>
      </c>
      <c r="H40" s="2024" t="str">
        <f>IF('PROJECTED SCH. B'!G41=0,"",'PROJECTED SCH. B'!G41)</f>
        <v/>
      </c>
      <c r="I40" s="2003" t="str">
        <f>IF('PROJECTED SCH. B'!H41=0,"",'PROJECTED SCH. B'!H41)</f>
        <v/>
      </c>
      <c r="J40" s="2003" t="str">
        <f>IF('PROJECTED SCH. B'!I41=0,"",'PROJECTED SCH. B'!I41)</f>
        <v/>
      </c>
      <c r="K40" s="2957" t="s">
        <v>1101</v>
      </c>
      <c r="L40" s="2006"/>
      <c r="M40" s="2005">
        <f t="shared" ca="1" si="1"/>
        <v>45014</v>
      </c>
    </row>
    <row r="41" spans="2:13" ht="14.25" x14ac:dyDescent="0.2">
      <c r="B41" s="2023">
        <f>IF('PROJECTED SCH. B'!A42=0,"",'PROJECTED SCH. B'!A42)</f>
        <v>33</v>
      </c>
      <c r="C41" s="2024" t="str">
        <f>IF('PROJECTED SCH. B'!B42=0,"",'PROJECTED SCH. B'!B42)</f>
        <v>Masco Edits</v>
      </c>
      <c r="D41" s="2024" t="str">
        <f>IF('PROJECTED SCH. B'!C42=0,"",'PROJECTED SCH. B'!C42)</f>
        <v/>
      </c>
      <c r="E41" s="2024" t="str">
        <f>IF('PROJECTED SCH. B'!D42=0,"",'PROJECTED SCH. B'!D42)</f>
        <v/>
      </c>
      <c r="F41" s="2024" t="str">
        <f>IF('PROJECTED SCH. B'!E42=0,"",'PROJECTED SCH. B'!E42)</f>
        <v/>
      </c>
      <c r="G41" s="2024" t="str">
        <f>IF('PROJECTED SCH. B'!F42=0,"",'PROJECTED SCH. B'!F42)</f>
        <v/>
      </c>
      <c r="H41" s="2024" t="str">
        <f>IF('PROJECTED SCH. B'!G42=0,"",'PROJECTED SCH. B'!G42)</f>
        <v/>
      </c>
      <c r="I41" s="2003" t="str">
        <f>IF('PROJECTED SCH. B'!H42=0,"",'PROJECTED SCH. B'!H42)</f>
        <v/>
      </c>
      <c r="J41" s="2003" t="str">
        <f>IF('PROJECTED SCH. B'!I42=0,"",'PROJECTED SCH. B'!I42)</f>
        <v/>
      </c>
      <c r="K41" s="2957" t="s">
        <v>1101</v>
      </c>
      <c r="L41" s="2006"/>
      <c r="M41" s="2005">
        <f t="shared" ca="1" si="1"/>
        <v>45014</v>
      </c>
    </row>
    <row r="42" spans="2:13" ht="14.25" x14ac:dyDescent="0.2">
      <c r="B42" s="2023">
        <f>IF('PROJECTED SCH. B'!A43=0,"",'PROJECTED SCH. B'!A43)</f>
        <v>34</v>
      </c>
      <c r="C42" s="2024" t="str">
        <f>IF('PROJECTED SCH. B'!B43=0,"",'PROJECTED SCH. B'!B43)</f>
        <v>Masco Turf fields</v>
      </c>
      <c r="D42" s="2024">
        <f>IF('PROJECTED SCH. B'!C43=0,"",'PROJECTED SCH. B'!C43)</f>
        <v>131437</v>
      </c>
      <c r="E42" s="2024" t="str">
        <f>IF('PROJECTED SCH. B'!D43=0,"",'PROJECTED SCH. B'!D43)</f>
        <v/>
      </c>
      <c r="F42" s="2024">
        <f>IF('PROJECTED SCH. B'!E43=0,"",'PROJECTED SCH. B'!E43)</f>
        <v>131437</v>
      </c>
      <c r="G42" s="2024" t="str">
        <f>IF('PROJECTED SCH. B'!F43=0,"",'PROJECTED SCH. B'!F43)</f>
        <v/>
      </c>
      <c r="H42" s="2024" t="str">
        <f>IF('PROJECTED SCH. B'!G43=0,"",'PROJECTED SCH. B'!G43)</f>
        <v/>
      </c>
      <c r="I42" s="2003" t="str">
        <f>IF('PROJECTED SCH. B'!H43=0,"",'PROJECTED SCH. B'!H43)</f>
        <v/>
      </c>
      <c r="J42" s="2003" t="str">
        <f>IF('PROJECTED SCH. B'!I43=0,"",'PROJECTED SCH. B'!I43)</f>
        <v/>
      </c>
      <c r="K42" s="2957" t="s">
        <v>2534</v>
      </c>
      <c r="L42" s="2006"/>
      <c r="M42" s="2005">
        <f t="shared" ca="1" si="1"/>
        <v>45014</v>
      </c>
    </row>
    <row r="43" spans="2:13" ht="14.25" x14ac:dyDescent="0.2">
      <c r="B43" s="2023">
        <f>IF('PROJECTED SCH. B'!A44=0,"",'PROJECTED SCH. B'!A44)</f>
        <v>35</v>
      </c>
      <c r="C43" s="2024" t="str">
        <f>IF('PROJECTED SCH. B'!B44=0,"",'PROJECTED SCH. B'!B44)</f>
        <v>Historical Commision Revolving</v>
      </c>
      <c r="D43" s="2024" t="str">
        <f>IF('PROJECTED SCH. B'!C44=0,"",'PROJECTED SCH. B'!C44)</f>
        <v/>
      </c>
      <c r="E43" s="2024" t="str">
        <f>IF('PROJECTED SCH. B'!D44=0,"",'PROJECTED SCH. B'!D44)</f>
        <v/>
      </c>
      <c r="F43" s="2024" t="str">
        <f>IF('PROJECTED SCH. B'!E44=0,"",'PROJECTED SCH. B'!E44)</f>
        <v/>
      </c>
      <c r="G43" s="2024" t="str">
        <f>IF('PROJECTED SCH. B'!F44=0,"",'PROJECTED SCH. B'!F44)</f>
        <v/>
      </c>
      <c r="H43" s="2024" t="str">
        <f>IF('PROJECTED SCH. B'!G44=0,"",'PROJECTED SCH. B'!G44)</f>
        <v/>
      </c>
      <c r="I43" s="2003" t="str">
        <f>IF('PROJECTED SCH. B'!H44=0,"",'PROJECTED SCH. B'!H44)</f>
        <v/>
      </c>
      <c r="J43" s="2003" t="str">
        <f>IF('PROJECTED SCH. B'!I44=0,"",'PROJECTED SCH. B'!I44)</f>
        <v/>
      </c>
      <c r="K43" s="2957" t="s">
        <v>1101</v>
      </c>
      <c r="L43" s="2006"/>
      <c r="M43" s="2005">
        <f t="shared" ca="1" si="1"/>
        <v>45014</v>
      </c>
    </row>
    <row r="44" spans="2:13" ht="14.25" x14ac:dyDescent="0.2">
      <c r="B44" s="2023">
        <f>IF('PROJECTED SCH. B'!A45=0,"",'PROJECTED SCH. B'!A45)</f>
        <v>36</v>
      </c>
      <c r="C44" s="2025" t="str">
        <f>IF('PROJECTED SCH. B'!B45=0,"",'PROJECTED SCH. B'!B45)</f>
        <v>Amend Cemetery Revovling fund limit</v>
      </c>
      <c r="D44" s="2025" t="str">
        <f>IF('PROJECTED SCH. B'!C45=0,"",'PROJECTED SCH. B'!C45)</f>
        <v/>
      </c>
      <c r="E44" s="2025" t="str">
        <f>IF('PROJECTED SCH. B'!D45=0,"",'PROJECTED SCH. B'!D45)</f>
        <v/>
      </c>
      <c r="F44" s="2025" t="str">
        <f>IF('PROJECTED SCH. B'!E45=0,"",'PROJECTED SCH. B'!E45)</f>
        <v/>
      </c>
      <c r="G44" s="2025" t="str">
        <f>IF('PROJECTED SCH. B'!F45=0,"",'PROJECTED SCH. B'!F45)</f>
        <v/>
      </c>
      <c r="H44" s="2025" t="str">
        <f>IF('PROJECTED SCH. B'!G45=0,"",'PROJECTED SCH. B'!G45)</f>
        <v/>
      </c>
      <c r="I44" s="2011" t="str">
        <f>IF('PROJECTED SCH. B'!H45=0,"",'PROJECTED SCH. B'!H45)</f>
        <v/>
      </c>
      <c r="J44" s="2011" t="str">
        <f>IF('PROJECTED SCH. B'!I45=0,"",'PROJECTED SCH. B'!I45)</f>
        <v/>
      </c>
      <c r="K44" s="2957" t="s">
        <v>1101</v>
      </c>
      <c r="L44" s="2006"/>
      <c r="M44" s="2005">
        <f t="shared" ca="1" si="1"/>
        <v>45014</v>
      </c>
    </row>
    <row r="45" spans="2:13" ht="14.25" x14ac:dyDescent="0.2">
      <c r="B45" s="2023">
        <f>IF('PROJECTED SCH. B'!A46=0,"",'PROJECTED SCH. B'!A46)</f>
        <v>37</v>
      </c>
      <c r="C45" s="2025" t="str">
        <f>IF('PROJECTED SCH. B'!B46=0,"",'PROJECTED SCH. B'!B46)</f>
        <v>rescind prior appropriation cemetery perpetual</v>
      </c>
      <c r="D45" s="2025" t="str">
        <f>IF('PROJECTED SCH. B'!C46=0,"",'PROJECTED SCH. B'!C46)</f>
        <v/>
      </c>
      <c r="E45" s="2025" t="str">
        <f>IF('PROJECTED SCH. B'!D46=0,"",'PROJECTED SCH. B'!D46)</f>
        <v/>
      </c>
      <c r="F45" s="2025" t="str">
        <f>IF('PROJECTED SCH. B'!E46=0,"",'PROJECTED SCH. B'!E46)</f>
        <v/>
      </c>
      <c r="G45" s="2025" t="str">
        <f>IF('PROJECTED SCH. B'!F46=0,"",'PROJECTED SCH. B'!F46)</f>
        <v/>
      </c>
      <c r="H45" s="2025" t="str">
        <f>IF('PROJECTED SCH. B'!G46=0,"",'PROJECTED SCH. B'!G46)</f>
        <v/>
      </c>
      <c r="I45" s="2011" t="str">
        <f>IF('PROJECTED SCH. B'!H46=0,"",'PROJECTED SCH. B'!H46)</f>
        <v/>
      </c>
      <c r="J45" s="2011" t="str">
        <f>IF('PROJECTED SCH. B'!I46=0,"",'PROJECTED SCH. B'!I46)</f>
        <v/>
      </c>
      <c r="K45" s="2006"/>
      <c r="L45" s="2006"/>
      <c r="M45" s="2005" t="str">
        <f t="shared" ca="1" si="0"/>
        <v/>
      </c>
    </row>
    <row r="46" spans="2:13" ht="14.25" x14ac:dyDescent="0.2">
      <c r="B46" s="2023">
        <f>IF('PROJECTED SCH. B'!A47=0,"",'PROJECTED SCH. B'!A47)</f>
        <v>38</v>
      </c>
      <c r="C46" s="2025" t="str">
        <f>IF('PROJECTED SCH. B'!B47=0,"",'PROJECTED SCH. B'!B47)</f>
        <v>Citizens Petition  - Emerson</v>
      </c>
      <c r="D46" s="2025" t="str">
        <f>IF('PROJECTED SCH. B'!C47=0,"",'PROJECTED SCH. B'!C47)</f>
        <v/>
      </c>
      <c r="E46" s="2025" t="str">
        <f>IF('PROJECTED SCH. B'!D47=0,"",'PROJECTED SCH. B'!D47)</f>
        <v/>
      </c>
      <c r="F46" s="2025" t="str">
        <f>IF('PROJECTED SCH. B'!E47=0,"",'PROJECTED SCH. B'!E47)</f>
        <v/>
      </c>
      <c r="G46" s="2025" t="str">
        <f>IF('PROJECTED SCH. B'!F47=0,"",'PROJECTED SCH. B'!F47)</f>
        <v/>
      </c>
      <c r="H46" s="2025" t="str">
        <f>IF('PROJECTED SCH. B'!G47=0,"",'PROJECTED SCH. B'!G47)</f>
        <v/>
      </c>
      <c r="I46" s="2011" t="str">
        <f>IF('PROJECTED SCH. B'!H47=0,"",'PROJECTED SCH. B'!H47)</f>
        <v/>
      </c>
      <c r="J46" s="2011" t="str">
        <f>IF('PROJECTED SCH. B'!I47=0,"",'PROJECTED SCH. B'!I47)</f>
        <v/>
      </c>
      <c r="K46" s="2006"/>
      <c r="L46" s="2006"/>
      <c r="M46" s="2005" t="str">
        <f t="shared" ca="1" si="0"/>
        <v/>
      </c>
    </row>
    <row r="47" spans="2:13" ht="14.25" x14ac:dyDescent="0.2">
      <c r="B47" s="2023">
        <f>IF('PROJECTED SCH. B'!A48=0,"",'PROJECTED SCH. B'!A48)</f>
        <v>39</v>
      </c>
      <c r="C47" s="2025" t="str">
        <f>IF('PROJECTED SCH. B'!B48=0,"",'PROJECTED SCH. B'!B48)</f>
        <v>Other Post Employment Benefits ("OPEB Trust Fund")</v>
      </c>
      <c r="D47" s="2025">
        <f>IF('PROJECTED SCH. B'!C48=0,"",'PROJECTED SCH. B'!C48)</f>
        <v>380000</v>
      </c>
      <c r="E47" s="2025" t="str">
        <f>IF('PROJECTED SCH. B'!D48=0,"",'PROJECTED SCH. B'!D48)</f>
        <v/>
      </c>
      <c r="F47" s="2025">
        <f>IF('PROJECTED SCH. B'!E48=0,"",'PROJECTED SCH. B'!E48)</f>
        <v>380000</v>
      </c>
      <c r="G47" s="2025" t="str">
        <f>IF('PROJECTED SCH. B'!F48=0,"",'PROJECTED SCH. B'!F48)</f>
        <v/>
      </c>
      <c r="H47" s="2025" t="str">
        <f>IF('PROJECTED SCH. B'!G48=0,"",'PROJECTED SCH. B'!G48)</f>
        <v/>
      </c>
      <c r="I47" s="2011" t="str">
        <f>IF('PROJECTED SCH. B'!H48=0,"",'PROJECTED SCH. B'!H48)</f>
        <v/>
      </c>
      <c r="J47" s="2011" t="str">
        <f>IF('PROJECTED SCH. B'!I48=0,"",'PROJECTED SCH. B'!I48)</f>
        <v/>
      </c>
      <c r="K47" s="2006"/>
      <c r="L47" s="2006"/>
      <c r="M47" s="2005" t="str">
        <f t="shared" ca="1" si="0"/>
        <v/>
      </c>
    </row>
    <row r="48" spans="2:13" ht="14.25" x14ac:dyDescent="0.2">
      <c r="B48" s="2023">
        <f>IF('PROJECTED SCH. B'!A49=0,"",'PROJECTED SCH. B'!A49)</f>
        <v>40</v>
      </c>
      <c r="C48" s="2024" t="str">
        <f>IF('PROJECTED SCH. B'!B49=0,"",'PROJECTED SCH. B'!B49)</f>
        <v>Capital Stabilization Fund</v>
      </c>
      <c r="D48" s="2024">
        <f>IF('PROJECTED SCH. B'!C49=0,"",'PROJECTED SCH. B'!C49)</f>
        <v>300000</v>
      </c>
      <c r="E48" s="2024" t="str">
        <f>IF('PROJECTED SCH. B'!D49=0,"",'PROJECTED SCH. B'!D49)</f>
        <v/>
      </c>
      <c r="F48" s="2024">
        <f>IF('PROJECTED SCH. B'!E49=0,"",'PROJECTED SCH. B'!E49)</f>
        <v>300000</v>
      </c>
      <c r="G48" s="2024" t="str">
        <f>IF('PROJECTED SCH. B'!F49=0,"",'PROJECTED SCH. B'!F49)</f>
        <v/>
      </c>
      <c r="H48" s="2024" t="str">
        <f>IF('PROJECTED SCH. B'!G49=0,"",'PROJECTED SCH. B'!G49)</f>
        <v/>
      </c>
      <c r="I48" s="2003" t="str">
        <f>IF('PROJECTED SCH. B'!H49=0,"",'PROJECTED SCH. B'!H49)</f>
        <v/>
      </c>
      <c r="J48" s="2003" t="str">
        <f>IF('PROJECTED SCH. B'!I49=0,"",'PROJECTED SCH. B'!I49)</f>
        <v/>
      </c>
      <c r="K48" s="2006"/>
      <c r="L48" s="2006"/>
      <c r="M48" s="2005" t="str">
        <f t="shared" ca="1" si="0"/>
        <v/>
      </c>
    </row>
    <row r="49" spans="2:13" ht="14.25" x14ac:dyDescent="0.2">
      <c r="B49" s="2023">
        <f>IF('PROJECTED SCH. B'!A50=0,"",'PROJECTED SCH. B'!A50)</f>
        <v>41</v>
      </c>
      <c r="C49" s="2024" t="str">
        <f>IF('PROJECTED SCH. B'!B50=0,"",'PROJECTED SCH. B'!B50)</f>
        <v>General Stabilization Fund</v>
      </c>
      <c r="D49" s="2024">
        <f>IF('PROJECTED SCH. B'!C50=0,"",'PROJECTED SCH. B'!C50)</f>
        <v>25000</v>
      </c>
      <c r="E49" s="2024" t="str">
        <f>IF('PROJECTED SCH. B'!D50=0,"",'PROJECTED SCH. B'!D50)</f>
        <v/>
      </c>
      <c r="F49" s="2024">
        <f>IF('PROJECTED SCH. B'!E50=0,"",'PROJECTED SCH. B'!E50)</f>
        <v>25000</v>
      </c>
      <c r="G49" s="2024" t="str">
        <f>IF('PROJECTED SCH. B'!F50=0,"",'PROJECTED SCH. B'!F50)</f>
        <v/>
      </c>
      <c r="H49" s="2024" t="str">
        <f>IF('PROJECTED SCH. B'!G50=0,"",'PROJECTED SCH. B'!G50)</f>
        <v/>
      </c>
      <c r="I49" s="2003" t="str">
        <f>IF('PROJECTED SCH. B'!H50=0,"",'PROJECTED SCH. B'!H50)</f>
        <v/>
      </c>
      <c r="J49" s="2003" t="str">
        <f>IF('PROJECTED SCH. B'!I50=0,"",'PROJECTED SCH. B'!I50)</f>
        <v/>
      </c>
      <c r="K49" s="2006"/>
      <c r="L49" s="2006"/>
      <c r="M49" s="2005" t="str">
        <f t="shared" ca="1" si="0"/>
        <v/>
      </c>
    </row>
    <row r="50" spans="2:13" ht="14.25" x14ac:dyDescent="0.2">
      <c r="B50" s="2023">
        <f>IF('PROJECTED SCH. B'!A51=0,"",'PROJECTED SCH. B'!A51)</f>
        <v>42</v>
      </c>
      <c r="C50" s="2024" t="str">
        <f>IF('PROJECTED SCH. B'!B51=0,"",'PROJECTED SCH. B'!B51)</f>
        <v xml:space="preserve">FREE CASH TO OFFSET THE TAX RATE  </v>
      </c>
      <c r="D50" s="2024" t="str">
        <f>IF('PROJECTED SCH. B'!C51=0,"",'PROJECTED SCH. B'!C51)</f>
        <v/>
      </c>
      <c r="E50" s="2024" t="str">
        <f>IF('PROJECTED SCH. B'!D51=0,"",'PROJECTED SCH. B'!D51)</f>
        <v/>
      </c>
      <c r="F50" s="2024" t="str">
        <f>IF('PROJECTED SCH. B'!E51=0,"",'PROJECTED SCH. B'!E51)</f>
        <v/>
      </c>
      <c r="G50" s="2024" t="str">
        <f>IF('PROJECTED SCH. B'!F51=0,"",'PROJECTED SCH. B'!F51)</f>
        <v/>
      </c>
      <c r="H50" s="2024" t="str">
        <f>IF('PROJECTED SCH. B'!G51=0,"",'PROJECTED SCH. B'!G51)</f>
        <v/>
      </c>
      <c r="I50" s="2003" t="str">
        <f>IF('PROJECTED SCH. B'!H51=0,"",'PROJECTED SCH. B'!H51)</f>
        <v/>
      </c>
      <c r="J50" s="2003" t="str">
        <f>IF('PROJECTED SCH. B'!I51=0,"",'PROJECTED SCH. B'!I51)</f>
        <v/>
      </c>
      <c r="K50" s="2006"/>
      <c r="L50" s="2006"/>
      <c r="M50" s="2005" t="str">
        <f t="shared" ca="1" si="0"/>
        <v/>
      </c>
    </row>
    <row r="51" spans="2:13" ht="14.25" x14ac:dyDescent="0.2">
      <c r="B51" s="2023" t="str">
        <f>IF('PROJECTED SCH. B'!A52=0,"",'PROJECTED SCH. B'!A52)</f>
        <v/>
      </c>
      <c r="C51" s="2024" t="str">
        <f>IF('PROJECTED SCH. B'!B52=0,"",'PROJECTED SCH. B'!B52)</f>
        <v/>
      </c>
      <c r="D51" s="2024" t="str">
        <f>IF('PROJECTED SCH. B'!C52=0,"",'PROJECTED SCH. B'!C52)</f>
        <v/>
      </c>
      <c r="E51" s="2024" t="str">
        <f>IF('PROJECTED SCH. B'!D52=0,"",'PROJECTED SCH. B'!D52)</f>
        <v/>
      </c>
      <c r="F51" s="2024" t="str">
        <f>IF('PROJECTED SCH. B'!E52=0,"",'PROJECTED SCH. B'!E52)</f>
        <v/>
      </c>
      <c r="G51" s="2024" t="str">
        <f>IF('PROJECTED SCH. B'!F52=0,"",'PROJECTED SCH. B'!F52)</f>
        <v/>
      </c>
      <c r="H51" s="2024" t="str">
        <f>IF('PROJECTED SCH. B'!G52=0,"",'PROJECTED SCH. B'!G52)</f>
        <v/>
      </c>
      <c r="I51" s="2003" t="str">
        <f>IF('PROJECTED SCH. B'!H52=0,"",'PROJECTED SCH. B'!H52)</f>
        <v/>
      </c>
      <c r="J51" s="2003" t="str">
        <f>IF('PROJECTED SCH. B'!I52=0,"",'PROJECTED SCH. B'!I52)</f>
        <v/>
      </c>
      <c r="K51" s="2006"/>
      <c r="L51" s="2006"/>
      <c r="M51" s="2005" t="str">
        <f t="shared" ca="1" si="0"/>
        <v/>
      </c>
    </row>
    <row r="52" spans="2:13" ht="14.25" x14ac:dyDescent="0.2">
      <c r="B52" s="2023" t="str">
        <f>IF('PROJECTED SCH. B'!A53=0,"",'PROJECTED SCH. B'!A53)</f>
        <v/>
      </c>
      <c r="C52" s="2024" t="str">
        <f>IF('PROJECTED SCH. B'!B53=0,"",'PROJECTED SCH. B'!B53)</f>
        <v/>
      </c>
      <c r="D52" s="2024" t="str">
        <f>IF('PROJECTED SCH. B'!C53=0,"",'PROJECTED SCH. B'!C53)</f>
        <v/>
      </c>
      <c r="E52" s="2024" t="str">
        <f>IF('PROJECTED SCH. B'!D53=0,"",'PROJECTED SCH. B'!D53)</f>
        <v/>
      </c>
      <c r="F52" s="2024" t="str">
        <f>IF('PROJECTED SCH. B'!E53=0,"",'PROJECTED SCH. B'!E53)</f>
        <v/>
      </c>
      <c r="G52" s="2024" t="str">
        <f>IF('PROJECTED SCH. B'!F53=0,"",'PROJECTED SCH. B'!F53)</f>
        <v/>
      </c>
      <c r="H52" s="2024" t="str">
        <f>IF('PROJECTED SCH. B'!G53=0,"",'PROJECTED SCH. B'!G53)</f>
        <v/>
      </c>
      <c r="I52" s="2003" t="str">
        <f>IF('PROJECTED SCH. B'!H53=0,"",'PROJECTED SCH. B'!H53)</f>
        <v/>
      </c>
      <c r="J52" s="2003" t="str">
        <f>IF('PROJECTED SCH. B'!I53=0,"",'PROJECTED SCH. B'!I53)</f>
        <v/>
      </c>
      <c r="K52" s="2006"/>
      <c r="L52" s="2006"/>
      <c r="M52" s="2005" t="str">
        <f t="shared" ca="1" si="0"/>
        <v/>
      </c>
    </row>
    <row r="53" spans="2:13" ht="14.25" x14ac:dyDescent="0.2">
      <c r="B53" s="2023"/>
      <c r="C53" s="2024"/>
      <c r="D53" s="2024" t="str">
        <f>IF('PROJECTED SCH. B'!C51=0,"",'PROJECTED SCH. B'!C51)</f>
        <v/>
      </c>
      <c r="E53" s="2024" t="str">
        <f>IF('PROJECTED SCH. B'!D51=0,"",'PROJECTED SCH. B'!D51)</f>
        <v/>
      </c>
      <c r="F53" s="2024" t="str">
        <f>IF('PROJECTED SCH. B'!E51=0,"",'PROJECTED SCH. B'!E51)</f>
        <v/>
      </c>
      <c r="G53" s="2024" t="str">
        <f>IF('PROJECTED SCH. B'!F51=0,"",'PROJECTED SCH. B'!F51)</f>
        <v/>
      </c>
      <c r="H53" s="2024" t="str">
        <f>IF('PROJECTED SCH. B'!G51=0,"",'PROJECTED SCH. B'!G51)</f>
        <v/>
      </c>
      <c r="I53" s="2003" t="str">
        <f>IF('PROJECTED SCH. B'!H51=0,"",'PROJECTED SCH. B'!H51)</f>
        <v/>
      </c>
      <c r="J53" s="2003" t="str">
        <f>IF('PROJECTED SCH. B'!I51=0,"",'PROJECTED SCH. B'!I51)</f>
        <v/>
      </c>
      <c r="K53" s="2006"/>
      <c r="L53" s="2006"/>
      <c r="M53" s="2005" t="str">
        <f t="shared" ca="1" si="0"/>
        <v/>
      </c>
    </row>
    <row r="54" spans="2:13" ht="14.25" x14ac:dyDescent="0.2">
      <c r="B54" s="2023" t="str">
        <f>IF('PROJECTED SCH. B'!A52=0,"",'PROJECTED SCH. B'!A52)</f>
        <v/>
      </c>
      <c r="C54" s="2026" t="str">
        <f>IF('PROJECTED SCH. B'!B52=0,"",'PROJECTED SCH. B'!B52)</f>
        <v/>
      </c>
      <c r="D54" s="2026" t="str">
        <f>IF('PROJECTED SCH. B'!C52=0,"",'PROJECTED SCH. B'!C52)</f>
        <v/>
      </c>
      <c r="E54" s="2026" t="str">
        <f>IF('PROJECTED SCH. B'!D52=0,"",'PROJECTED SCH. B'!D52)</f>
        <v/>
      </c>
      <c r="F54" s="2026" t="str">
        <f>IF('PROJECTED SCH. B'!E52=0,"",'PROJECTED SCH. B'!E52)</f>
        <v/>
      </c>
      <c r="G54" s="2026" t="str">
        <f>IF('PROJECTED SCH. B'!F52=0,"",'PROJECTED SCH. B'!F52)</f>
        <v/>
      </c>
      <c r="H54" s="2026" t="str">
        <f>IF('PROJECTED SCH. B'!G52=0,"",'PROJECTED SCH. B'!G52)</f>
        <v/>
      </c>
      <c r="I54" s="2012" t="str">
        <f>IF('PROJECTED SCH. B'!H52=0,"",'PROJECTED SCH. B'!H52)</f>
        <v/>
      </c>
      <c r="J54" s="2012" t="str">
        <f>IF('PROJECTED SCH. B'!I52=0,"",'PROJECTED SCH. B'!I52)</f>
        <v/>
      </c>
      <c r="K54" s="2013"/>
      <c r="L54" s="2013"/>
      <c r="M54" s="2014" t="str">
        <f t="shared" ca="1" si="0"/>
        <v/>
      </c>
    </row>
    <row r="55" spans="2:13" ht="13.5" thickBot="1" x14ac:dyDescent="0.25">
      <c r="B55" s="2027" t="str">
        <f>IF('PROJECTED SCH. B'!A53=0,"",'PROJECTED SCH. B'!A53)</f>
        <v/>
      </c>
      <c r="C55" s="2027"/>
      <c r="D55" s="2028"/>
      <c r="F55" s="2030"/>
      <c r="G55" s="2030"/>
      <c r="H55" s="2031"/>
      <c r="I55" s="396"/>
      <c r="J55" s="396"/>
      <c r="K55" s="107"/>
      <c r="L55" s="107"/>
      <c r="M55" s="107"/>
    </row>
    <row r="56" spans="2:13" ht="13.5" hidden="1" thickBot="1" x14ac:dyDescent="0.25">
      <c r="B56" s="2027"/>
      <c r="C56" s="2027"/>
      <c r="D56" s="2028"/>
      <c r="E56" s="2032"/>
      <c r="F56" s="2030"/>
      <c r="G56" s="2030"/>
      <c r="H56" s="2033"/>
      <c r="I56" s="396"/>
      <c r="J56" s="409"/>
      <c r="K56" s="107"/>
      <c r="L56" s="107"/>
      <c r="M56" s="107"/>
    </row>
    <row r="57" spans="2:13" ht="13.5" hidden="1" thickBot="1" x14ac:dyDescent="0.25">
      <c r="B57" s="2027"/>
      <c r="C57" s="2027"/>
      <c r="D57" s="2028"/>
      <c r="E57" s="2032"/>
      <c r="F57" s="2030"/>
      <c r="G57" s="2030"/>
      <c r="H57" s="2034"/>
      <c r="I57" s="396"/>
      <c r="J57" s="396"/>
      <c r="K57" s="107"/>
      <c r="L57" s="107"/>
      <c r="M57" s="107"/>
    </row>
    <row r="58" spans="2:13" ht="13.5" hidden="1" thickBot="1" x14ac:dyDescent="0.25">
      <c r="B58" s="2027"/>
      <c r="C58" s="2027"/>
      <c r="D58" s="2028"/>
      <c r="F58" s="2035"/>
      <c r="G58" s="2030"/>
      <c r="H58" s="2036"/>
      <c r="I58" s="396"/>
      <c r="J58" s="396"/>
      <c r="K58" s="107"/>
      <c r="L58" s="107"/>
      <c r="M58" s="107"/>
    </row>
    <row r="59" spans="2:13" ht="13.5" hidden="1" thickBot="1" x14ac:dyDescent="0.25">
      <c r="B59" s="2027"/>
      <c r="C59" s="2027"/>
      <c r="D59" s="2028"/>
      <c r="F59" s="2035"/>
      <c r="G59" s="2030"/>
      <c r="H59" s="2031"/>
      <c r="I59" s="396"/>
      <c r="J59" s="396"/>
      <c r="K59" s="416"/>
      <c r="L59" s="416"/>
      <c r="M59" s="416"/>
    </row>
    <row r="60" spans="2:13" ht="13.5" hidden="1" thickBot="1" x14ac:dyDescent="0.25">
      <c r="B60" s="2027"/>
      <c r="C60" s="2027"/>
      <c r="D60" s="2028"/>
      <c r="E60" s="2032"/>
      <c r="F60" s="2035"/>
      <c r="G60" s="2030"/>
      <c r="H60" s="2031"/>
      <c r="I60" s="396"/>
      <c r="J60" s="396"/>
      <c r="K60" s="107"/>
      <c r="L60" s="107"/>
      <c r="M60" s="107"/>
    </row>
    <row r="61" spans="2:13" ht="13.5" hidden="1" thickBot="1" x14ac:dyDescent="0.25">
      <c r="B61" s="2027"/>
      <c r="C61" s="2027"/>
      <c r="D61" s="2028"/>
      <c r="E61" s="2037"/>
      <c r="F61" s="2035"/>
      <c r="G61" s="2038"/>
      <c r="H61" s="2039"/>
      <c r="I61" s="396"/>
      <c r="J61" s="396"/>
      <c r="K61" s="107"/>
      <c r="L61" s="107"/>
      <c r="M61" s="107"/>
    </row>
    <row r="62" spans="2:13" ht="13.5" hidden="1" thickBot="1" x14ac:dyDescent="0.25">
      <c r="B62" s="2027"/>
      <c r="C62" s="2027"/>
      <c r="D62" s="2040"/>
      <c r="E62" s="2040"/>
      <c r="F62" s="2040"/>
      <c r="G62" s="2040"/>
      <c r="H62" s="2040"/>
      <c r="I62" s="396"/>
      <c r="J62" s="396"/>
      <c r="K62" s="107"/>
      <c r="L62" s="107"/>
      <c r="M62" s="107"/>
    </row>
    <row r="63" spans="2:13" ht="13.5" hidden="1" thickBot="1" x14ac:dyDescent="0.25">
      <c r="B63" s="2041"/>
      <c r="C63" s="2041"/>
      <c r="D63" s="2042"/>
      <c r="E63" s="2043"/>
      <c r="F63" s="2044"/>
      <c r="G63" s="2045"/>
      <c r="H63" s="2046"/>
      <c r="I63" s="396"/>
      <c r="J63" s="396"/>
      <c r="K63" s="381"/>
      <c r="L63" s="381"/>
      <c r="M63" s="381"/>
    </row>
    <row r="64" spans="2:13" ht="13.5" hidden="1" thickBot="1" x14ac:dyDescent="0.25">
      <c r="B64" s="2047"/>
      <c r="C64" s="2047"/>
      <c r="D64" s="2042"/>
      <c r="E64" s="2048"/>
      <c r="F64" s="2049"/>
      <c r="G64" s="2042"/>
      <c r="H64" s="2048"/>
      <c r="I64" s="415"/>
      <c r="J64" s="382"/>
      <c r="K64" s="112"/>
      <c r="L64" s="112"/>
      <c r="M64" s="112"/>
    </row>
    <row r="65" spans="2:13" ht="13.5" hidden="1" thickBot="1" x14ac:dyDescent="0.25">
      <c r="B65" s="2050"/>
      <c r="C65" s="2050"/>
      <c r="D65" s="2051"/>
      <c r="E65" s="2051"/>
      <c r="F65" s="2035"/>
      <c r="G65" s="2051"/>
      <c r="H65" s="2051"/>
      <c r="I65" s="106"/>
      <c r="J65" s="106"/>
      <c r="K65" s="107"/>
      <c r="L65" s="107"/>
      <c r="M65" s="107"/>
    </row>
    <row r="66" spans="2:13" ht="13.5" hidden="1" thickBot="1" x14ac:dyDescent="0.25">
      <c r="B66" s="2052"/>
      <c r="C66" s="2052"/>
      <c r="D66" s="2053"/>
      <c r="E66" s="2051"/>
      <c r="F66" s="2035"/>
      <c r="G66" s="2051"/>
      <c r="H66" s="2051"/>
      <c r="I66" s="114"/>
      <c r="J66" s="114"/>
      <c r="K66" s="115"/>
      <c r="L66" s="115"/>
      <c r="M66" s="115"/>
    </row>
    <row r="67" spans="2:13" ht="13.5" hidden="1" thickBot="1" x14ac:dyDescent="0.25">
      <c r="B67" s="2054"/>
      <c r="C67" s="2054"/>
      <c r="D67" s="2051"/>
      <c r="E67" s="2051"/>
      <c r="F67" s="2035"/>
      <c r="G67" s="2051"/>
      <c r="H67" s="2051"/>
      <c r="I67" s="106"/>
      <c r="J67" s="106"/>
      <c r="K67" s="115"/>
      <c r="L67" s="115"/>
      <c r="M67" s="115"/>
    </row>
    <row r="68" spans="2:13" ht="13.5" hidden="1" thickBot="1" x14ac:dyDescent="0.25">
      <c r="B68" s="2055"/>
      <c r="C68" s="2055"/>
      <c r="D68" s="2056"/>
      <c r="E68" s="2051"/>
      <c r="F68" s="2035"/>
      <c r="G68" s="2051"/>
      <c r="H68" s="2051"/>
      <c r="I68" s="106"/>
      <c r="J68" s="106"/>
      <c r="K68" s="107"/>
      <c r="L68" s="107"/>
      <c r="M68" s="107"/>
    </row>
    <row r="69" spans="2:13" ht="13.5" hidden="1" thickBot="1" x14ac:dyDescent="0.25">
      <c r="B69" s="2055"/>
      <c r="C69" s="2055"/>
      <c r="D69" s="2056"/>
      <c r="E69" s="2051"/>
      <c r="F69" s="2035"/>
      <c r="G69" s="2057"/>
      <c r="H69" s="2051"/>
      <c r="I69" s="106"/>
      <c r="J69" s="106"/>
      <c r="K69" s="107"/>
      <c r="L69" s="107"/>
      <c r="M69" s="107"/>
    </row>
    <row r="70" spans="2:13" ht="13.5" hidden="1" thickBot="1" x14ac:dyDescent="0.25">
      <c r="B70" s="591"/>
      <c r="C70" s="591"/>
      <c r="D70" s="2028"/>
      <c r="E70" s="2051"/>
      <c r="F70" s="2058"/>
      <c r="G70" s="2059"/>
      <c r="H70" s="2051"/>
      <c r="I70" s="106"/>
      <c r="J70" s="106"/>
      <c r="K70" s="417"/>
      <c r="L70" s="417"/>
      <c r="M70" s="417"/>
    </row>
    <row r="71" spans="2:13" ht="13.5" hidden="1" thickBot="1" x14ac:dyDescent="0.25">
      <c r="B71" s="591"/>
      <c r="C71" s="591"/>
      <c r="D71" s="2028"/>
      <c r="E71" s="2051"/>
      <c r="F71" s="2058"/>
      <c r="G71" s="2057"/>
      <c r="H71" s="2051"/>
      <c r="I71" s="106"/>
      <c r="J71" s="106"/>
      <c r="K71" s="417"/>
      <c r="L71" s="417"/>
      <c r="M71" s="417"/>
    </row>
    <row r="72" spans="2:13" ht="13.5" hidden="1" thickBot="1" x14ac:dyDescent="0.25">
      <c r="B72" s="591"/>
      <c r="C72" s="591"/>
      <c r="D72" s="2028"/>
      <c r="E72" s="2037"/>
      <c r="G72" s="2057"/>
      <c r="H72" s="2051"/>
      <c r="I72" s="106"/>
      <c r="J72" s="106"/>
      <c r="K72" s="417"/>
      <c r="L72" s="417"/>
      <c r="M72" s="417"/>
    </row>
    <row r="73" spans="2:13" ht="13.5" hidden="1" thickBot="1" x14ac:dyDescent="0.25">
      <c r="B73" s="591"/>
      <c r="C73" s="591"/>
      <c r="D73" s="2028"/>
      <c r="E73" s="2037"/>
      <c r="F73" s="2038"/>
      <c r="G73" s="2057"/>
      <c r="H73" s="2051"/>
      <c r="I73" s="106"/>
      <c r="J73" s="106"/>
      <c r="K73" s="417"/>
      <c r="L73" s="417"/>
      <c r="M73" s="417"/>
    </row>
    <row r="74" spans="2:13" ht="13.5" hidden="1" thickBot="1" x14ac:dyDescent="0.25">
      <c r="B74" s="591"/>
      <c r="C74" s="591"/>
      <c r="D74" s="2028"/>
      <c r="E74" s="2051"/>
      <c r="F74" s="2060"/>
      <c r="G74" s="2057"/>
      <c r="H74" s="2051"/>
      <c r="I74" s="106"/>
      <c r="J74" s="106"/>
      <c r="K74" s="417"/>
      <c r="L74" s="417"/>
      <c r="M74" s="417"/>
    </row>
    <row r="75" spans="2:13" ht="13.5" hidden="1" thickBot="1" x14ac:dyDescent="0.25">
      <c r="B75" s="591"/>
      <c r="C75" s="591"/>
      <c r="D75" s="2028"/>
      <c r="E75" s="2051"/>
      <c r="F75" s="2058"/>
      <c r="G75" s="2057"/>
      <c r="H75" s="2051"/>
      <c r="I75" s="106"/>
      <c r="J75" s="106"/>
      <c r="K75" s="417"/>
      <c r="L75" s="417"/>
      <c r="M75" s="417"/>
    </row>
    <row r="76" spans="2:13" ht="13.5" hidden="1" thickBot="1" x14ac:dyDescent="0.25">
      <c r="B76" s="591"/>
      <c r="C76" s="591"/>
      <c r="D76" s="2028"/>
      <c r="E76" s="2051"/>
      <c r="F76" s="2058"/>
      <c r="G76" s="2057"/>
      <c r="H76" s="2051"/>
      <c r="I76" s="106"/>
      <c r="J76" s="106"/>
      <c r="K76" s="584"/>
      <c r="L76" s="584"/>
      <c r="M76" s="584"/>
    </row>
    <row r="77" spans="2:13" ht="13.5" hidden="1" thickBot="1" x14ac:dyDescent="0.25">
      <c r="B77" s="591"/>
      <c r="C77" s="591"/>
      <c r="D77" s="2028"/>
      <c r="E77" s="2051"/>
      <c r="F77" s="2058"/>
      <c r="G77" s="2057"/>
      <c r="H77" s="2051"/>
      <c r="I77" s="106"/>
      <c r="J77" s="106"/>
      <c r="K77" s="417"/>
      <c r="L77" s="417"/>
      <c r="M77" s="417"/>
    </row>
    <row r="78" spans="2:13" ht="13.5" hidden="1" thickBot="1" x14ac:dyDescent="0.25">
      <c r="D78" s="2057"/>
      <c r="E78" s="2051"/>
      <c r="F78" s="2058"/>
      <c r="G78" s="2057"/>
      <c r="H78" s="2051"/>
      <c r="I78" s="106"/>
      <c r="J78" s="106"/>
      <c r="K78" s="417"/>
      <c r="L78" s="417"/>
      <c r="M78" s="417"/>
    </row>
    <row r="79" spans="2:13" ht="13.5" hidden="1" thickBot="1" x14ac:dyDescent="0.25">
      <c r="B79" s="2055"/>
      <c r="C79" s="2055"/>
      <c r="D79" s="2061"/>
      <c r="E79" s="2051"/>
      <c r="F79" s="2035"/>
      <c r="G79" s="2051"/>
      <c r="H79" s="2051"/>
      <c r="I79" s="106"/>
      <c r="J79" s="106"/>
      <c r="K79" s="107"/>
      <c r="L79" s="107"/>
      <c r="M79" s="107"/>
    </row>
    <row r="80" spans="2:13" ht="13.5" hidden="1" thickBot="1" x14ac:dyDescent="0.25">
      <c r="B80" s="2062"/>
      <c r="C80" s="2062"/>
      <c r="D80" s="2053"/>
      <c r="E80" s="2063"/>
      <c r="F80" s="2063"/>
      <c r="G80" s="2063"/>
      <c r="H80" s="2063"/>
      <c r="I80" s="113"/>
      <c r="J80" s="113"/>
      <c r="K80" s="107"/>
      <c r="L80" s="107"/>
      <c r="M80" s="107"/>
    </row>
    <row r="81" spans="2:13" ht="13.5" thickBot="1" x14ac:dyDescent="0.25">
      <c r="B81" s="2064"/>
      <c r="C81" s="2064"/>
      <c r="D81" s="2065"/>
      <c r="E81" s="2065"/>
      <c r="F81" s="2065"/>
      <c r="G81" s="2065"/>
      <c r="H81" s="2065"/>
      <c r="I81" s="121"/>
      <c r="J81" s="121"/>
      <c r="K81" s="122"/>
      <c r="L81" s="122"/>
      <c r="M81" s="122"/>
    </row>
    <row r="82" spans="2:13" x14ac:dyDescent="0.2">
      <c r="B82" s="2066"/>
      <c r="C82" s="2066"/>
      <c r="E82" s="2067"/>
      <c r="F82" s="2033"/>
      <c r="G82" s="2033"/>
      <c r="H82" s="2033"/>
      <c r="I82" s="108"/>
      <c r="J82" s="108"/>
      <c r="K82" s="124"/>
    </row>
    <row r="83" spans="2:13" x14ac:dyDescent="0.2">
      <c r="B83" s="2066"/>
      <c r="C83" s="2066"/>
      <c r="D83" s="2067"/>
      <c r="E83" s="2033"/>
      <c r="F83" s="2033"/>
      <c r="G83" s="2033"/>
      <c r="H83" s="2067"/>
      <c r="I83" s="125"/>
      <c r="J83" s="108"/>
    </row>
    <row r="84" spans="2:13" x14ac:dyDescent="0.2">
      <c r="B84" s="2066"/>
      <c r="C84" s="2066"/>
      <c r="D84" s="2068"/>
      <c r="E84" s="2033"/>
      <c r="F84" s="2033"/>
      <c r="G84" s="2033"/>
      <c r="H84" s="2068"/>
      <c r="I84" s="125"/>
      <c r="J84" s="125"/>
    </row>
    <row r="85" spans="2:13" x14ac:dyDescent="0.2">
      <c r="B85" s="2066"/>
      <c r="C85" s="2066"/>
      <c r="D85" s="2067"/>
      <c r="E85" s="2033"/>
      <c r="F85" s="2033"/>
      <c r="G85" s="2067"/>
      <c r="H85" s="2067"/>
      <c r="I85" s="108"/>
      <c r="J85" s="125"/>
      <c r="K85" s="125"/>
    </row>
    <row r="86" spans="2:13" x14ac:dyDescent="0.2">
      <c r="B86" s="2069"/>
      <c r="C86" s="2069"/>
      <c r="D86" s="2069"/>
      <c r="E86" s="2070"/>
      <c r="F86" s="2069"/>
      <c r="G86" s="2069"/>
      <c r="H86" s="2069"/>
      <c r="I86"/>
      <c r="J86" s="108"/>
      <c r="K86" s="125"/>
    </row>
    <row r="87" spans="2:13" x14ac:dyDescent="0.2">
      <c r="B87" s="2069"/>
      <c r="C87" s="2069"/>
      <c r="D87" s="2071"/>
      <c r="E87" s="2069"/>
      <c r="F87" s="2069"/>
      <c r="G87" s="2069"/>
      <c r="H87" s="2069"/>
      <c r="I87"/>
      <c r="J87"/>
      <c r="K87"/>
    </row>
    <row r="88" spans="2:13" x14ac:dyDescent="0.2">
      <c r="B88" s="2071"/>
      <c r="C88" s="2071"/>
      <c r="D88" s="2069"/>
      <c r="E88" s="2069"/>
      <c r="F88" s="2069"/>
      <c r="G88" s="2069"/>
      <c r="H88" s="2069"/>
      <c r="I88"/>
      <c r="J88"/>
      <c r="K88"/>
    </row>
    <row r="89" spans="2:13" x14ac:dyDescent="0.2">
      <c r="B89" s="2069"/>
      <c r="C89" s="2069"/>
      <c r="D89" s="2069"/>
      <c r="E89" s="2069"/>
      <c r="F89" s="2069"/>
      <c r="G89" s="2069"/>
      <c r="H89" s="2069"/>
      <c r="I89"/>
      <c r="J89"/>
      <c r="K89"/>
    </row>
    <row r="90" spans="2:13" x14ac:dyDescent="0.2">
      <c r="B90" s="2069"/>
      <c r="C90" s="2069"/>
      <c r="D90" s="2069"/>
      <c r="E90" s="2069"/>
      <c r="F90" s="2069"/>
      <c r="G90" s="2069"/>
      <c r="H90" s="2069"/>
      <c r="I90"/>
      <c r="J90"/>
      <c r="K90"/>
    </row>
    <row r="91" spans="2:13" x14ac:dyDescent="0.2">
      <c r="B91" s="2069"/>
      <c r="C91" s="2069"/>
      <c r="D91" s="2069"/>
      <c r="E91" s="2069"/>
      <c r="F91" s="2069"/>
      <c r="G91" s="2069"/>
      <c r="H91" s="2069"/>
      <c r="I91"/>
      <c r="J91"/>
      <c r="K91"/>
    </row>
    <row r="92" spans="2:13" x14ac:dyDescent="0.2">
      <c r="B92" s="2069"/>
      <c r="C92" s="2069"/>
      <c r="D92" s="2069"/>
      <c r="E92" s="2069"/>
      <c r="F92" s="2069"/>
      <c r="G92" s="2069"/>
      <c r="H92" s="2069"/>
      <c r="I92"/>
      <c r="J92"/>
      <c r="K92"/>
    </row>
    <row r="93" spans="2:13" x14ac:dyDescent="0.2">
      <c r="B93" s="2069"/>
      <c r="C93" s="2069"/>
      <c r="D93" s="2069"/>
      <c r="E93" s="2069"/>
      <c r="F93" s="2069"/>
      <c r="G93" s="2069"/>
      <c r="H93" s="2069"/>
      <c r="I93"/>
      <c r="J93"/>
      <c r="K93"/>
    </row>
    <row r="94" spans="2:13" x14ac:dyDescent="0.2">
      <c r="B94" s="2069"/>
      <c r="C94" s="2069"/>
      <c r="D94" s="2069"/>
      <c r="E94" s="2069"/>
      <c r="F94" s="2069"/>
      <c r="G94" s="2069"/>
      <c r="H94" s="2069"/>
      <c r="I94"/>
      <c r="J94"/>
      <c r="K94"/>
    </row>
    <row r="95" spans="2:13" x14ac:dyDescent="0.2">
      <c r="B95" s="2069"/>
      <c r="C95" s="2069"/>
      <c r="D95" s="2069"/>
      <c r="E95" s="2069"/>
      <c r="F95" s="2069"/>
      <c r="G95" s="2069"/>
      <c r="H95" s="2069"/>
      <c r="I95"/>
      <c r="J95"/>
      <c r="K95"/>
    </row>
    <row r="96" spans="2:13" x14ac:dyDescent="0.2">
      <c r="B96" s="2069"/>
      <c r="C96" s="2069"/>
      <c r="D96" s="2069"/>
      <c r="E96" s="2069"/>
      <c r="F96" s="2069"/>
      <c r="G96" s="2069"/>
      <c r="H96" s="2069"/>
      <c r="I96"/>
      <c r="J96"/>
      <c r="K96"/>
    </row>
    <row r="97" spans="2:11" x14ac:dyDescent="0.2">
      <c r="B97" s="2069"/>
      <c r="C97" s="2069"/>
      <c r="D97" s="2069"/>
      <c r="E97" s="2069"/>
      <c r="F97" s="2069"/>
      <c r="G97" s="2069"/>
      <c r="H97" s="2069"/>
      <c r="I97"/>
      <c r="J97"/>
      <c r="K97"/>
    </row>
    <row r="98" spans="2:11" x14ac:dyDescent="0.2">
      <c r="B98" s="2069"/>
      <c r="C98" s="2069"/>
      <c r="D98" s="2069"/>
      <c r="E98" s="2069"/>
      <c r="F98" s="2069"/>
      <c r="G98" s="2069"/>
      <c r="H98" s="2069"/>
      <c r="I98"/>
      <c r="J98"/>
      <c r="K98"/>
    </row>
    <row r="99" spans="2:11" x14ac:dyDescent="0.2">
      <c r="B99" s="2069"/>
      <c r="C99" s="2069"/>
      <c r="D99" s="2069"/>
      <c r="E99" s="2069"/>
      <c r="F99" s="2069"/>
      <c r="G99" s="2069"/>
      <c r="H99" s="2069"/>
      <c r="I99"/>
      <c r="J99"/>
      <c r="K99"/>
    </row>
    <row r="100" spans="2:11" x14ac:dyDescent="0.2">
      <c r="B100" s="2069"/>
      <c r="C100" s="2069"/>
      <c r="D100" s="2069"/>
      <c r="E100" s="2069"/>
      <c r="F100" s="2069"/>
      <c r="G100" s="2069"/>
      <c r="H100" s="2069"/>
      <c r="I100"/>
      <c r="J100"/>
      <c r="K100"/>
    </row>
    <row r="101" spans="2:11" x14ac:dyDescent="0.2">
      <c r="B101" s="2069"/>
      <c r="C101" s="2069"/>
      <c r="D101" s="2069"/>
      <c r="E101" s="2069"/>
      <c r="F101" s="2069"/>
      <c r="G101" s="2069"/>
      <c r="H101" s="2069"/>
      <c r="I101"/>
      <c r="J101"/>
      <c r="K101"/>
    </row>
    <row r="102" spans="2:11" x14ac:dyDescent="0.2">
      <c r="B102" s="2069"/>
      <c r="C102" s="2069"/>
      <c r="D102" s="2069"/>
      <c r="E102" s="2069"/>
      <c r="F102" s="2069"/>
      <c r="G102" s="2069"/>
      <c r="H102" s="2069"/>
      <c r="I102"/>
      <c r="J102"/>
      <c r="K102"/>
    </row>
    <row r="103" spans="2:11" x14ac:dyDescent="0.2">
      <c r="B103" s="2069"/>
      <c r="C103" s="2069"/>
      <c r="D103" s="2069"/>
      <c r="E103" s="2069"/>
      <c r="F103" s="2069"/>
      <c r="G103" s="2069"/>
      <c r="H103" s="2069"/>
      <c r="I103"/>
      <c r="J103"/>
      <c r="K103"/>
    </row>
    <row r="104" spans="2:11" x14ac:dyDescent="0.2">
      <c r="B104" s="2069"/>
      <c r="C104" s="2069"/>
      <c r="D104" s="2069"/>
      <c r="E104" s="2069"/>
      <c r="F104" s="2069"/>
      <c r="G104" s="2069"/>
      <c r="H104" s="2069"/>
      <c r="I104"/>
      <c r="J104"/>
      <c r="K104"/>
    </row>
    <row r="105" spans="2:11" x14ac:dyDescent="0.2">
      <c r="B105" s="2069"/>
      <c r="C105" s="2069"/>
      <c r="D105" s="2069"/>
      <c r="E105" s="2069"/>
      <c r="F105" s="2069"/>
      <c r="G105" s="2069"/>
      <c r="H105" s="2069"/>
      <c r="I105"/>
      <c r="J105"/>
      <c r="K105"/>
    </row>
    <row r="106" spans="2:11" x14ac:dyDescent="0.2">
      <c r="B106" s="2069"/>
      <c r="C106" s="2069"/>
      <c r="D106" s="2069"/>
      <c r="E106" s="2069"/>
      <c r="F106" s="2069"/>
      <c r="G106" s="2069"/>
      <c r="H106" s="2069"/>
      <c r="I106"/>
      <c r="J106"/>
      <c r="K106"/>
    </row>
    <row r="107" spans="2:11" x14ac:dyDescent="0.2">
      <c r="B107" s="2069"/>
      <c r="C107" s="2069"/>
      <c r="D107" s="2069"/>
      <c r="E107" s="2069"/>
      <c r="F107" s="2069"/>
      <c r="G107" s="2069"/>
      <c r="H107" s="2069"/>
      <c r="I107"/>
      <c r="J107"/>
      <c r="K107"/>
    </row>
    <row r="108" spans="2:11" x14ac:dyDescent="0.2">
      <c r="B108" s="2069"/>
      <c r="C108" s="2069"/>
      <c r="D108" s="2069"/>
      <c r="E108" s="2069"/>
      <c r="F108" s="2069"/>
      <c r="G108" s="2069"/>
      <c r="H108" s="2069"/>
      <c r="I108"/>
      <c r="J108"/>
      <c r="K108"/>
    </row>
    <row r="109" spans="2:11" x14ac:dyDescent="0.2">
      <c r="B109" s="2069"/>
      <c r="C109" s="2069"/>
      <c r="D109" s="2069"/>
      <c r="E109" s="2069"/>
      <c r="F109" s="2069"/>
      <c r="G109" s="2069"/>
      <c r="H109" s="2069"/>
      <c r="I109"/>
      <c r="J109"/>
      <c r="K109"/>
    </row>
    <row r="110" spans="2:11" x14ac:dyDescent="0.2">
      <c r="B110" s="2069"/>
      <c r="C110" s="2069"/>
      <c r="D110" s="2069"/>
      <c r="E110" s="2069"/>
      <c r="F110" s="2069"/>
      <c r="G110" s="2069"/>
      <c r="H110" s="2069"/>
      <c r="I110"/>
      <c r="J110"/>
      <c r="K110"/>
    </row>
    <row r="111" spans="2:11" x14ac:dyDescent="0.2">
      <c r="B111" s="2069"/>
      <c r="C111" s="2069"/>
      <c r="D111" s="2069"/>
      <c r="E111" s="2069"/>
      <c r="F111" s="2069"/>
      <c r="G111" s="2069"/>
      <c r="H111" s="2069"/>
      <c r="I111"/>
      <c r="J111"/>
      <c r="K111"/>
    </row>
    <row r="112" spans="2:11" x14ac:dyDescent="0.2">
      <c r="B112" s="2069"/>
      <c r="C112" s="2069"/>
      <c r="D112" s="2069"/>
      <c r="E112" s="2069"/>
      <c r="F112" s="2069"/>
      <c r="G112" s="2069"/>
      <c r="H112" s="2069"/>
      <c r="I112"/>
      <c r="J112"/>
      <c r="K112"/>
    </row>
    <row r="113" spans="2:11" x14ac:dyDescent="0.2">
      <c r="B113" s="2069"/>
      <c r="C113" s="2069"/>
      <c r="D113" s="2069"/>
      <c r="E113" s="2069"/>
      <c r="F113" s="2069"/>
      <c r="G113" s="2069"/>
      <c r="H113" s="2069"/>
      <c r="I113"/>
      <c r="J113"/>
      <c r="K113"/>
    </row>
    <row r="114" spans="2:11" x14ac:dyDescent="0.2">
      <c r="B114" s="2069"/>
      <c r="C114" s="2069"/>
      <c r="D114" s="2069"/>
      <c r="E114" s="2069"/>
      <c r="F114" s="2069"/>
      <c r="G114" s="2069"/>
      <c r="H114" s="2069"/>
      <c r="I114"/>
      <c r="J114"/>
      <c r="K114"/>
    </row>
    <row r="115" spans="2:11" x14ac:dyDescent="0.2">
      <c r="B115" s="2069"/>
      <c r="C115" s="2069"/>
      <c r="D115" s="2069"/>
      <c r="E115" s="2069"/>
      <c r="F115" s="2069"/>
      <c r="G115" s="2069"/>
      <c r="H115" s="2069"/>
      <c r="I115"/>
      <c r="J115"/>
      <c r="K115"/>
    </row>
    <row r="116" spans="2:11" x14ac:dyDescent="0.2">
      <c r="B116" s="2069"/>
      <c r="C116" s="2069"/>
      <c r="D116" s="2069"/>
      <c r="E116" s="2069"/>
      <c r="F116" s="2069"/>
      <c r="G116" s="2069"/>
      <c r="H116" s="2069"/>
      <c r="I116"/>
      <c r="J116"/>
      <c r="K116"/>
    </row>
    <row r="117" spans="2:11" x14ac:dyDescent="0.2">
      <c r="B117" s="2069"/>
      <c r="C117" s="2069"/>
      <c r="D117" s="2069"/>
      <c r="E117" s="2069"/>
      <c r="F117" s="2069"/>
      <c r="G117" s="2069"/>
      <c r="H117" s="2069"/>
      <c r="I117"/>
      <c r="J117"/>
      <c r="K117"/>
    </row>
    <row r="118" spans="2:11" x14ac:dyDescent="0.2">
      <c r="B118" s="2069"/>
      <c r="C118" s="2069"/>
      <c r="D118" s="2069"/>
      <c r="E118" s="2069"/>
      <c r="F118" s="2069"/>
      <c r="G118" s="2069"/>
      <c r="H118" s="2069"/>
      <c r="I118"/>
      <c r="J118"/>
      <c r="K118"/>
    </row>
    <row r="119" spans="2:11" x14ac:dyDescent="0.2">
      <c r="B119" s="2069"/>
      <c r="C119" s="2069"/>
      <c r="D119" s="2069"/>
      <c r="E119" s="2069"/>
      <c r="F119" s="2069"/>
      <c r="G119" s="2069"/>
      <c r="H119" s="2069"/>
      <c r="I119"/>
      <c r="J119"/>
      <c r="K119"/>
    </row>
    <row r="120" spans="2:11" x14ac:dyDescent="0.2">
      <c r="B120" s="2069"/>
      <c r="C120" s="2069"/>
      <c r="D120" s="2069"/>
      <c r="E120" s="2069"/>
      <c r="F120" s="2069"/>
      <c r="G120" s="2069"/>
      <c r="H120" s="2069"/>
      <c r="I120"/>
      <c r="J120"/>
      <c r="K120"/>
    </row>
    <row r="121" spans="2:11" x14ac:dyDescent="0.2">
      <c r="B121" s="2069"/>
      <c r="C121" s="2069"/>
      <c r="D121" s="2069"/>
      <c r="E121" s="2069"/>
      <c r="F121" s="2069"/>
      <c r="G121" s="2069"/>
      <c r="H121" s="2069"/>
      <c r="I121"/>
      <c r="J121"/>
      <c r="K121"/>
    </row>
    <row r="122" spans="2:11" x14ac:dyDescent="0.2">
      <c r="B122" s="2069"/>
      <c r="C122" s="2069"/>
      <c r="D122" s="2069"/>
      <c r="E122" s="2069"/>
      <c r="F122" s="2069"/>
      <c r="G122" s="2069"/>
      <c r="H122" s="2069"/>
      <c r="I122"/>
      <c r="J122"/>
      <c r="K122"/>
    </row>
    <row r="123" spans="2:11" x14ac:dyDescent="0.2">
      <c r="B123" s="2069"/>
      <c r="C123" s="2069"/>
      <c r="D123" s="2069"/>
      <c r="E123" s="2069"/>
      <c r="F123" s="2069"/>
      <c r="G123" s="2069"/>
      <c r="H123" s="2069"/>
      <c r="I123"/>
      <c r="J123"/>
      <c r="K123"/>
    </row>
    <row r="124" spans="2:11" x14ac:dyDescent="0.2">
      <c r="B124" s="2069"/>
      <c r="C124" s="2069"/>
      <c r="D124" s="2069"/>
      <c r="E124" s="2069"/>
      <c r="F124" s="2069"/>
      <c r="G124" s="2069"/>
      <c r="H124" s="2069"/>
      <c r="I124"/>
      <c r="J124"/>
      <c r="K124"/>
    </row>
    <row r="125" spans="2:11" x14ac:dyDescent="0.2">
      <c r="B125" s="2069"/>
      <c r="C125" s="2069"/>
      <c r="D125" s="2069"/>
      <c r="E125" s="2069"/>
      <c r="F125" s="2069"/>
      <c r="G125" s="2069"/>
      <c r="H125" s="2069"/>
      <c r="I125"/>
      <c r="J125"/>
      <c r="K125"/>
    </row>
    <row r="126" spans="2:11" x14ac:dyDescent="0.2">
      <c r="B126" s="2069"/>
      <c r="C126" s="2069"/>
      <c r="D126" s="2069"/>
      <c r="E126" s="2069"/>
      <c r="F126" s="2069"/>
      <c r="G126" s="2069"/>
      <c r="H126" s="2069"/>
      <c r="I126"/>
      <c r="J126"/>
      <c r="K126"/>
    </row>
    <row r="127" spans="2:11" x14ac:dyDescent="0.2">
      <c r="B127" s="2069"/>
      <c r="C127" s="2069"/>
      <c r="D127" s="2069"/>
      <c r="E127" s="2069"/>
      <c r="F127" s="2069"/>
      <c r="G127" s="2069"/>
      <c r="H127" s="2069"/>
      <c r="I127"/>
      <c r="J127"/>
      <c r="K127"/>
    </row>
    <row r="128" spans="2:11" x14ac:dyDescent="0.2">
      <c r="B128" s="2069"/>
      <c r="C128" s="2069"/>
      <c r="D128" s="2069"/>
      <c r="E128" s="2069"/>
      <c r="F128" s="2069"/>
      <c r="G128" s="2069"/>
      <c r="H128" s="2069"/>
      <c r="I128"/>
      <c r="J128"/>
      <c r="K128"/>
    </row>
    <row r="129" spans="2:11" x14ac:dyDescent="0.2">
      <c r="B129" s="2069"/>
      <c r="C129" s="2069"/>
      <c r="D129" s="2069"/>
      <c r="E129" s="2069"/>
      <c r="F129" s="2069"/>
      <c r="G129" s="2069"/>
      <c r="H129" s="2069"/>
      <c r="I129"/>
      <c r="J129"/>
      <c r="K129"/>
    </row>
    <row r="130" spans="2:11" x14ac:dyDescent="0.2">
      <c r="B130" s="2069"/>
      <c r="C130" s="2069"/>
      <c r="D130" s="2069"/>
      <c r="E130" s="2069"/>
      <c r="F130" s="2069"/>
      <c r="G130" s="2069"/>
      <c r="H130" s="2069"/>
      <c r="I130"/>
      <c r="J130"/>
      <c r="K130"/>
    </row>
    <row r="131" spans="2:11" x14ac:dyDescent="0.2">
      <c r="B131" s="2069"/>
      <c r="C131" s="2069"/>
      <c r="D131" s="2069"/>
      <c r="E131" s="2069"/>
      <c r="F131" s="2069"/>
      <c r="G131" s="2069"/>
      <c r="H131" s="2069"/>
      <c r="I131"/>
      <c r="J131"/>
      <c r="K131"/>
    </row>
    <row r="132" spans="2:11" x14ac:dyDescent="0.2">
      <c r="B132" s="2069"/>
      <c r="C132" s="2069"/>
      <c r="D132" s="2069"/>
      <c r="E132" s="2069"/>
      <c r="F132" s="2069"/>
      <c r="G132" s="2069"/>
      <c r="H132" s="2069"/>
      <c r="I132"/>
      <c r="J132"/>
      <c r="K132"/>
    </row>
    <row r="133" spans="2:11" x14ac:dyDescent="0.2">
      <c r="B133" s="2069"/>
      <c r="C133" s="2069"/>
      <c r="D133" s="2069"/>
      <c r="E133" s="2069"/>
      <c r="F133" s="2069"/>
      <c r="G133" s="2069"/>
      <c r="H133" s="2069"/>
      <c r="I133"/>
      <c r="J133"/>
      <c r="K133"/>
    </row>
    <row r="134" spans="2:11" x14ac:dyDescent="0.2">
      <c r="B134" s="2069"/>
      <c r="C134" s="2069"/>
      <c r="D134" s="2069"/>
      <c r="E134" s="2069"/>
      <c r="F134" s="2069"/>
      <c r="G134" s="2069"/>
      <c r="H134" s="2069"/>
      <c r="I134"/>
      <c r="J134"/>
      <c r="K134"/>
    </row>
    <row r="135" spans="2:11" x14ac:dyDescent="0.2">
      <c r="B135" s="2069"/>
      <c r="C135" s="2069"/>
      <c r="D135" s="2069"/>
      <c r="E135" s="2069"/>
      <c r="F135" s="2069"/>
      <c r="G135" s="2069"/>
      <c r="H135" s="2069"/>
      <c r="I135"/>
      <c r="J135"/>
      <c r="K135"/>
    </row>
    <row r="136" spans="2:11" x14ac:dyDescent="0.2">
      <c r="B136" s="2069"/>
      <c r="C136" s="2069"/>
      <c r="D136" s="2069"/>
      <c r="E136" s="2069"/>
      <c r="F136" s="2069"/>
      <c r="G136" s="2069"/>
      <c r="H136" s="2069"/>
      <c r="I136"/>
      <c r="J136"/>
      <c r="K136"/>
    </row>
    <row r="137" spans="2:11" x14ac:dyDescent="0.2">
      <c r="B137" s="2069"/>
      <c r="C137" s="2069"/>
      <c r="D137" s="2069"/>
      <c r="E137" s="2069"/>
      <c r="F137" s="2069"/>
      <c r="G137" s="2069"/>
      <c r="H137" s="2069"/>
      <c r="I137"/>
      <c r="J137"/>
      <c r="K137"/>
    </row>
    <row r="138" spans="2:11" x14ac:dyDescent="0.2">
      <c r="B138" s="2069"/>
      <c r="C138" s="2069"/>
      <c r="D138" s="2069"/>
      <c r="E138" s="2069"/>
      <c r="F138" s="2069"/>
      <c r="G138" s="2069"/>
      <c r="H138" s="2069"/>
      <c r="I138"/>
      <c r="J138"/>
      <c r="K138"/>
    </row>
    <row r="139" spans="2:11" x14ac:dyDescent="0.2">
      <c r="B139" s="2069"/>
      <c r="C139" s="2069"/>
      <c r="D139" s="2069"/>
      <c r="E139" s="2069"/>
      <c r="F139" s="2069"/>
      <c r="G139" s="2069"/>
      <c r="H139" s="2069"/>
      <c r="I139"/>
      <c r="J139"/>
      <c r="K139"/>
    </row>
    <row r="140" spans="2:11" x14ac:dyDescent="0.2">
      <c r="B140" s="2069"/>
      <c r="C140" s="2069"/>
      <c r="D140" s="2069"/>
      <c r="E140" s="2069"/>
      <c r="F140" s="2069"/>
      <c r="G140" s="2069"/>
      <c r="H140" s="2069"/>
      <c r="I140"/>
      <c r="J140"/>
      <c r="K140"/>
    </row>
    <row r="141" spans="2:11" x14ac:dyDescent="0.2">
      <c r="B141" s="2069"/>
      <c r="C141" s="2069"/>
      <c r="D141" s="2069"/>
      <c r="E141" s="2069"/>
      <c r="F141" s="2069"/>
      <c r="G141" s="2069"/>
      <c r="H141" s="2069"/>
      <c r="I141"/>
      <c r="J141"/>
      <c r="K141"/>
    </row>
    <row r="142" spans="2:11" x14ac:dyDescent="0.2">
      <c r="B142" s="2069"/>
      <c r="C142" s="2069"/>
      <c r="D142" s="2069"/>
      <c r="E142" s="2069"/>
      <c r="F142" s="2069"/>
      <c r="G142" s="2069"/>
      <c r="H142" s="2069"/>
      <c r="I142"/>
      <c r="J142"/>
      <c r="K142"/>
    </row>
    <row r="143" spans="2:11" x14ac:dyDescent="0.2">
      <c r="B143" s="2069"/>
      <c r="C143" s="2069"/>
      <c r="D143" s="2069"/>
      <c r="E143" s="2069"/>
      <c r="F143" s="2069"/>
      <c r="G143" s="2069"/>
      <c r="H143" s="2069"/>
      <c r="I143"/>
      <c r="J143"/>
      <c r="K143"/>
    </row>
    <row r="144" spans="2:11" x14ac:dyDescent="0.2">
      <c r="B144" s="2069"/>
      <c r="C144" s="2069"/>
      <c r="D144" s="2069"/>
      <c r="E144" s="2069"/>
      <c r="F144" s="2069"/>
      <c r="G144" s="2069"/>
      <c r="H144" s="2069"/>
      <c r="I144"/>
      <c r="J144"/>
      <c r="K144"/>
    </row>
    <row r="145" spans="2:11" x14ac:dyDescent="0.2">
      <c r="B145" s="2069"/>
      <c r="C145" s="2069"/>
      <c r="D145" s="2069"/>
      <c r="E145" s="2069"/>
      <c r="F145" s="2069"/>
      <c r="G145" s="2069"/>
      <c r="H145" s="2069"/>
      <c r="I145"/>
      <c r="J145"/>
      <c r="K145"/>
    </row>
    <row r="146" spans="2:11" x14ac:dyDescent="0.2">
      <c r="B146" s="2069"/>
      <c r="C146" s="2069"/>
      <c r="D146" s="2069"/>
      <c r="E146" s="2069"/>
      <c r="F146" s="2069"/>
      <c r="G146" s="2069"/>
      <c r="H146" s="2069"/>
      <c r="I146"/>
      <c r="J146"/>
      <c r="K146"/>
    </row>
    <row r="147" spans="2:11" x14ac:dyDescent="0.2">
      <c r="B147" s="2069"/>
      <c r="C147" s="2069"/>
      <c r="D147" s="2069"/>
      <c r="E147" s="2069"/>
      <c r="F147" s="2069"/>
      <c r="G147" s="2069"/>
      <c r="H147" s="2069"/>
      <c r="I147"/>
      <c r="J147"/>
      <c r="K147"/>
    </row>
    <row r="148" spans="2:11" x14ac:dyDescent="0.2">
      <c r="B148" s="2069"/>
      <c r="C148" s="2069"/>
      <c r="D148" s="2069"/>
      <c r="E148" s="2069"/>
      <c r="F148" s="2069"/>
      <c r="G148" s="2069"/>
      <c r="H148" s="2069"/>
      <c r="I148"/>
      <c r="J148"/>
      <c r="K148"/>
    </row>
    <row r="149" spans="2:11" x14ac:dyDescent="0.2">
      <c r="B149" s="2069"/>
      <c r="C149" s="2069"/>
      <c r="D149" s="2069"/>
      <c r="E149" s="2069"/>
      <c r="F149" s="2069"/>
      <c r="G149" s="2069"/>
      <c r="H149" s="2069"/>
      <c r="I149"/>
      <c r="J149"/>
      <c r="K149"/>
    </row>
    <row r="150" spans="2:11" x14ac:dyDescent="0.2">
      <c r="B150" s="2069"/>
      <c r="C150" s="2069"/>
      <c r="D150" s="2069"/>
      <c r="E150" s="2069"/>
      <c r="F150" s="2069"/>
      <c r="G150" s="2069"/>
      <c r="H150" s="2069"/>
      <c r="I150"/>
      <c r="J150"/>
      <c r="K150"/>
    </row>
    <row r="151" spans="2:11" x14ac:dyDescent="0.2">
      <c r="B151" s="2069"/>
      <c r="C151" s="2069"/>
      <c r="D151" s="2069"/>
      <c r="E151" s="2069"/>
      <c r="F151" s="2069"/>
      <c r="G151" s="2069"/>
      <c r="H151" s="2069"/>
      <c r="I151"/>
      <c r="J151"/>
      <c r="K151"/>
    </row>
    <row r="152" spans="2:11" x14ac:dyDescent="0.2">
      <c r="B152" s="2069"/>
      <c r="C152" s="2069"/>
      <c r="D152" s="2069"/>
      <c r="E152" s="2069"/>
      <c r="F152" s="2069"/>
      <c r="G152" s="2069"/>
      <c r="H152" s="2069"/>
      <c r="I152"/>
      <c r="J152"/>
      <c r="K152"/>
    </row>
    <row r="153" spans="2:11" x14ac:dyDescent="0.2">
      <c r="B153" s="2069"/>
      <c r="C153" s="2069"/>
      <c r="D153" s="2069"/>
      <c r="E153" s="2069"/>
      <c r="F153" s="2069"/>
      <c r="G153" s="2069"/>
      <c r="H153" s="2069"/>
      <c r="I153"/>
      <c r="J153"/>
      <c r="K153"/>
    </row>
    <row r="154" spans="2:11" x14ac:dyDescent="0.2">
      <c r="B154" s="2069"/>
      <c r="C154" s="2069"/>
      <c r="D154" s="2069"/>
      <c r="E154" s="2069"/>
      <c r="F154" s="2069"/>
      <c r="G154" s="2069"/>
      <c r="H154" s="2069"/>
      <c r="I154"/>
      <c r="J154"/>
      <c r="K154"/>
    </row>
    <row r="155" spans="2:11" x14ac:dyDescent="0.2">
      <c r="B155" s="2069"/>
      <c r="C155" s="2069"/>
      <c r="D155" s="2069"/>
      <c r="E155" s="2069"/>
      <c r="F155" s="2069"/>
      <c r="G155" s="2069"/>
      <c r="H155" s="2069"/>
      <c r="I155"/>
      <c r="J155"/>
      <c r="K155"/>
    </row>
    <row r="156" spans="2:11" x14ac:dyDescent="0.2">
      <c r="B156" s="2069"/>
      <c r="C156" s="2069"/>
      <c r="D156" s="2069"/>
      <c r="E156" s="2069"/>
      <c r="F156" s="2069"/>
      <c r="G156" s="2069"/>
      <c r="H156" s="2069"/>
      <c r="I156"/>
      <c r="J156"/>
      <c r="K156"/>
    </row>
    <row r="157" spans="2:11" x14ac:dyDescent="0.2">
      <c r="B157" s="2069"/>
      <c r="C157" s="2069"/>
      <c r="D157" s="2069"/>
      <c r="E157" s="2069"/>
      <c r="F157" s="2069"/>
      <c r="G157" s="2069"/>
      <c r="H157" s="2069"/>
      <c r="I157"/>
      <c r="J157"/>
      <c r="K157"/>
    </row>
    <row r="158" spans="2:11" x14ac:dyDescent="0.2">
      <c r="B158" s="2069"/>
      <c r="C158" s="2069"/>
      <c r="D158" s="2069"/>
      <c r="E158" s="2069"/>
      <c r="F158" s="2069"/>
      <c r="G158" s="2069"/>
      <c r="H158" s="2069"/>
      <c r="I158"/>
      <c r="J158"/>
      <c r="K158"/>
    </row>
    <row r="159" spans="2:11" x14ac:dyDescent="0.2">
      <c r="B159" s="2069"/>
      <c r="C159" s="2069"/>
      <c r="D159" s="2069"/>
      <c r="E159" s="2069"/>
      <c r="F159" s="2069"/>
      <c r="G159" s="2069"/>
      <c r="H159" s="2069"/>
      <c r="I159"/>
      <c r="J159"/>
      <c r="K159"/>
    </row>
    <row r="160" spans="2:11" x14ac:dyDescent="0.2">
      <c r="B160" s="2069"/>
      <c r="C160" s="2069"/>
      <c r="D160" s="2069"/>
      <c r="E160" s="2069"/>
      <c r="F160" s="2069"/>
      <c r="G160" s="2069"/>
      <c r="H160" s="2069"/>
      <c r="I160"/>
      <c r="J160"/>
      <c r="K160"/>
    </row>
    <row r="161" spans="2:11" x14ac:dyDescent="0.2">
      <c r="B161" s="2069"/>
      <c r="C161" s="2069"/>
      <c r="D161" s="2069"/>
      <c r="E161" s="2069"/>
      <c r="F161" s="2069"/>
      <c r="G161" s="2069"/>
      <c r="H161" s="2069"/>
      <c r="I161"/>
      <c r="J161"/>
      <c r="K161"/>
    </row>
    <row r="162" spans="2:11" x14ac:dyDescent="0.2">
      <c r="B162" s="2069"/>
      <c r="C162" s="2069"/>
      <c r="D162" s="2069"/>
      <c r="E162" s="2069"/>
      <c r="F162" s="2069"/>
      <c r="G162" s="2069"/>
      <c r="H162" s="2069"/>
      <c r="I162"/>
      <c r="J162"/>
      <c r="K162"/>
    </row>
    <row r="163" spans="2:11" x14ac:dyDescent="0.2">
      <c r="B163" s="2069"/>
      <c r="C163" s="2069"/>
      <c r="D163" s="2069"/>
      <c r="E163" s="2069"/>
      <c r="F163" s="2069"/>
      <c r="G163" s="2069"/>
      <c r="H163" s="2069"/>
      <c r="I163"/>
      <c r="J163"/>
      <c r="K163"/>
    </row>
    <row r="164" spans="2:11" x14ac:dyDescent="0.2">
      <c r="B164" s="2069"/>
      <c r="C164" s="2069"/>
      <c r="D164" s="2069"/>
      <c r="E164" s="2069"/>
      <c r="F164" s="2069"/>
      <c r="G164" s="2069"/>
      <c r="H164" s="2069"/>
      <c r="I164"/>
      <c r="J164"/>
      <c r="K164"/>
    </row>
    <row r="165" spans="2:11" x14ac:dyDescent="0.2">
      <c r="B165" s="2069"/>
      <c r="C165" s="2069"/>
      <c r="D165" s="2069"/>
      <c r="E165" s="2069"/>
      <c r="F165" s="2069"/>
      <c r="G165" s="2069"/>
      <c r="H165" s="2069"/>
      <c r="I165"/>
      <c r="J165"/>
      <c r="K165"/>
    </row>
    <row r="166" spans="2:11" x14ac:dyDescent="0.2">
      <c r="B166" s="2069"/>
      <c r="C166" s="2069"/>
      <c r="D166" s="2069"/>
      <c r="E166" s="2069"/>
      <c r="F166" s="2069"/>
      <c r="G166" s="2069"/>
      <c r="H166" s="2069"/>
      <c r="I166"/>
      <c r="J166"/>
      <c r="K166"/>
    </row>
    <row r="167" spans="2:11" x14ac:dyDescent="0.2">
      <c r="B167" s="2069"/>
      <c r="C167" s="2069"/>
      <c r="D167" s="2069"/>
      <c r="E167" s="2069"/>
      <c r="F167" s="2069"/>
      <c r="G167" s="2069"/>
      <c r="H167" s="2069"/>
      <c r="I167"/>
      <c r="J167"/>
      <c r="K167"/>
    </row>
    <row r="168" spans="2:11" x14ac:dyDescent="0.2">
      <c r="B168" s="2069"/>
      <c r="C168" s="2069"/>
      <c r="D168" s="2069"/>
      <c r="E168" s="2069"/>
      <c r="F168" s="2069"/>
      <c r="G168" s="2069"/>
      <c r="H168" s="2069"/>
      <c r="I168"/>
      <c r="J168"/>
      <c r="K168"/>
    </row>
    <row r="169" spans="2:11" x14ac:dyDescent="0.2">
      <c r="B169" s="2069"/>
      <c r="C169" s="2069"/>
      <c r="D169" s="2069"/>
      <c r="E169" s="2069"/>
      <c r="F169" s="2069"/>
      <c r="G169" s="2069"/>
      <c r="H169" s="2069"/>
      <c r="I169"/>
      <c r="J169"/>
      <c r="K169"/>
    </row>
    <row r="170" spans="2:11" x14ac:dyDescent="0.2">
      <c r="B170" s="2069"/>
      <c r="C170" s="2069"/>
      <c r="D170" s="2069"/>
      <c r="E170" s="2069"/>
      <c r="F170" s="2069"/>
      <c r="G170" s="2069"/>
      <c r="H170" s="2069"/>
      <c r="I170"/>
      <c r="J170"/>
      <c r="K170"/>
    </row>
    <row r="171" spans="2:11" x14ac:dyDescent="0.2">
      <c r="B171" s="2069"/>
      <c r="C171" s="2069"/>
      <c r="D171" s="2069"/>
      <c r="E171" s="2069"/>
      <c r="F171" s="2069"/>
      <c r="G171" s="2069"/>
      <c r="H171" s="2069"/>
      <c r="I171"/>
      <c r="J171"/>
      <c r="K171"/>
    </row>
    <row r="172" spans="2:11" x14ac:dyDescent="0.2">
      <c r="B172" s="2069"/>
      <c r="C172" s="2069"/>
      <c r="D172" s="2069"/>
      <c r="E172" s="2069"/>
      <c r="F172" s="2069"/>
      <c r="G172" s="2069"/>
      <c r="H172" s="2069"/>
      <c r="I172"/>
      <c r="J172"/>
      <c r="K172"/>
    </row>
    <row r="173" spans="2:11" x14ac:dyDescent="0.2">
      <c r="B173" s="2069"/>
      <c r="C173" s="2069"/>
      <c r="D173" s="2069"/>
      <c r="E173" s="2069"/>
      <c r="F173" s="2069"/>
      <c r="G173" s="2069"/>
      <c r="H173" s="2069"/>
      <c r="I173"/>
      <c r="J173"/>
      <c r="K173"/>
    </row>
    <row r="174" spans="2:11" x14ac:dyDescent="0.2">
      <c r="B174" s="2069"/>
      <c r="C174" s="2069"/>
      <c r="D174" s="2069"/>
      <c r="E174" s="2069"/>
      <c r="F174" s="2069"/>
      <c r="G174" s="2069"/>
      <c r="H174" s="2069"/>
      <c r="I174"/>
      <c r="J174"/>
      <c r="K174"/>
    </row>
    <row r="175" spans="2:11" x14ac:dyDescent="0.2">
      <c r="B175" s="2069"/>
      <c r="C175" s="2069"/>
      <c r="D175" s="2069"/>
      <c r="E175" s="2069"/>
      <c r="F175" s="2069"/>
      <c r="G175" s="2069"/>
      <c r="H175" s="2069"/>
      <c r="I175"/>
      <c r="J175"/>
      <c r="K175"/>
    </row>
    <row r="176" spans="2:11" x14ac:dyDescent="0.2">
      <c r="B176" s="2069"/>
      <c r="C176" s="2069"/>
      <c r="D176" s="2069"/>
      <c r="E176" s="2069"/>
      <c r="F176" s="2069"/>
      <c r="G176" s="2069"/>
      <c r="H176" s="2069"/>
      <c r="I176"/>
      <c r="J176"/>
      <c r="K176"/>
    </row>
    <row r="177" spans="2:11" x14ac:dyDescent="0.2">
      <c r="B177" s="2069"/>
      <c r="C177" s="2069"/>
      <c r="D177" s="2069"/>
      <c r="E177" s="2069"/>
      <c r="F177" s="2069"/>
      <c r="G177" s="2069"/>
      <c r="H177" s="2069"/>
      <c r="I177"/>
      <c r="J177"/>
      <c r="K177"/>
    </row>
    <row r="178" spans="2:11" x14ac:dyDescent="0.2">
      <c r="B178" s="2069"/>
      <c r="C178" s="2069"/>
      <c r="D178" s="2069"/>
      <c r="E178" s="2069"/>
      <c r="F178" s="2069"/>
      <c r="G178" s="2069"/>
      <c r="H178" s="2069"/>
      <c r="I178"/>
      <c r="J178"/>
      <c r="K178"/>
    </row>
    <row r="179" spans="2:11" x14ac:dyDescent="0.2">
      <c r="B179" s="2069"/>
      <c r="C179" s="2069"/>
      <c r="D179" s="2069"/>
      <c r="E179" s="2069"/>
      <c r="F179" s="2069"/>
      <c r="G179" s="2069"/>
      <c r="H179" s="2069"/>
      <c r="I179"/>
      <c r="J179"/>
      <c r="K179"/>
    </row>
    <row r="180" spans="2:11" x14ac:dyDescent="0.2">
      <c r="B180" s="2069"/>
      <c r="C180" s="2069"/>
      <c r="D180" s="2069"/>
      <c r="E180" s="2069"/>
      <c r="F180" s="2069"/>
      <c r="G180" s="2069"/>
      <c r="H180" s="2069"/>
      <c r="I180"/>
      <c r="J180"/>
      <c r="K180"/>
    </row>
    <row r="181" spans="2:11" x14ac:dyDescent="0.2">
      <c r="B181" s="2069"/>
      <c r="C181" s="2069"/>
      <c r="D181" s="2069"/>
      <c r="E181" s="2069"/>
      <c r="F181" s="2069"/>
      <c r="G181" s="2069"/>
      <c r="H181" s="2069"/>
      <c r="I181"/>
      <c r="J181"/>
      <c r="K181"/>
    </row>
    <row r="182" spans="2:11" x14ac:dyDescent="0.2">
      <c r="B182" s="2069"/>
      <c r="C182" s="2069"/>
      <c r="D182" s="2069"/>
      <c r="E182" s="2069"/>
      <c r="F182" s="2069"/>
      <c r="G182" s="2069"/>
      <c r="H182" s="2069"/>
      <c r="I182"/>
      <c r="J182"/>
      <c r="K182"/>
    </row>
    <row r="183" spans="2:11" x14ac:dyDescent="0.2">
      <c r="B183" s="2069"/>
      <c r="C183" s="2069"/>
      <c r="D183" s="2069"/>
      <c r="E183" s="2069"/>
      <c r="F183" s="2069"/>
      <c r="G183" s="2069"/>
      <c r="H183" s="2069"/>
      <c r="I183"/>
      <c r="J183"/>
      <c r="K183"/>
    </row>
    <row r="184" spans="2:11" x14ac:dyDescent="0.2">
      <c r="B184" s="2069"/>
      <c r="C184" s="2069"/>
      <c r="D184" s="2069"/>
      <c r="E184" s="2069"/>
      <c r="F184" s="2069"/>
      <c r="G184" s="2069"/>
      <c r="H184" s="2069"/>
      <c r="I184"/>
      <c r="J184"/>
      <c r="K184"/>
    </row>
    <row r="185" spans="2:11" x14ac:dyDescent="0.2">
      <c r="B185" s="2069"/>
      <c r="C185" s="2069"/>
      <c r="D185" s="2069"/>
      <c r="E185" s="2069"/>
      <c r="F185" s="2069"/>
      <c r="G185" s="2069"/>
      <c r="H185" s="2069"/>
      <c r="I185"/>
      <c r="J185"/>
      <c r="K185"/>
    </row>
    <row r="186" spans="2:11" x14ac:dyDescent="0.2">
      <c r="B186" s="2069"/>
      <c r="C186" s="2069"/>
      <c r="D186" s="2069"/>
      <c r="E186" s="2069"/>
      <c r="F186" s="2069"/>
      <c r="G186" s="2069"/>
      <c r="H186" s="2069"/>
      <c r="I186"/>
      <c r="J186"/>
      <c r="K186"/>
    </row>
    <row r="187" spans="2:11" x14ac:dyDescent="0.2">
      <c r="B187" s="2069"/>
      <c r="C187" s="2069"/>
      <c r="D187" s="2069"/>
      <c r="E187" s="2069"/>
      <c r="F187" s="2069"/>
      <c r="G187" s="2069"/>
      <c r="H187" s="2069"/>
      <c r="I187"/>
      <c r="J187"/>
      <c r="K187"/>
    </row>
    <row r="188" spans="2:11" x14ac:dyDescent="0.2">
      <c r="B188" s="2069"/>
      <c r="C188" s="2069"/>
      <c r="D188" s="2069"/>
      <c r="E188" s="2069"/>
      <c r="F188" s="2069"/>
      <c r="G188" s="2069"/>
      <c r="H188" s="2069"/>
      <c r="I188"/>
      <c r="J188"/>
      <c r="K188"/>
    </row>
    <row r="189" spans="2:11" x14ac:dyDescent="0.2">
      <c r="B189" s="2069"/>
      <c r="C189" s="2069"/>
      <c r="D189" s="2069"/>
      <c r="E189" s="2069"/>
      <c r="F189" s="2069"/>
      <c r="G189" s="2069"/>
      <c r="H189" s="2069"/>
      <c r="I189"/>
      <c r="J189"/>
      <c r="K189"/>
    </row>
    <row r="190" spans="2:11" x14ac:dyDescent="0.2">
      <c r="B190" s="2069"/>
      <c r="C190" s="2069"/>
      <c r="D190" s="2069"/>
      <c r="E190" s="2069"/>
      <c r="F190" s="2069"/>
      <c r="G190" s="2069"/>
      <c r="H190" s="2069"/>
      <c r="I190"/>
      <c r="J190"/>
      <c r="K190"/>
    </row>
    <row r="191" spans="2:11" x14ac:dyDescent="0.2">
      <c r="B191" s="2069"/>
      <c r="C191" s="2069"/>
      <c r="D191" s="2069"/>
      <c r="E191" s="2069"/>
      <c r="F191" s="2069"/>
      <c r="G191" s="2069"/>
      <c r="H191" s="2069"/>
      <c r="I191"/>
      <c r="J191"/>
      <c r="K191"/>
    </row>
    <row r="192" spans="2:11" x14ac:dyDescent="0.2">
      <c r="B192" s="2069"/>
      <c r="C192" s="2069"/>
      <c r="D192" s="2069"/>
      <c r="E192" s="2069"/>
      <c r="F192" s="2069"/>
      <c r="G192" s="2069"/>
      <c r="H192" s="2069"/>
      <c r="I192"/>
      <c r="J192"/>
      <c r="K192"/>
    </row>
    <row r="193" spans="2:11" x14ac:dyDescent="0.2">
      <c r="B193" s="2069"/>
      <c r="C193" s="2069"/>
      <c r="D193" s="2069"/>
      <c r="E193" s="2069"/>
      <c r="F193" s="2069"/>
      <c r="G193" s="2069"/>
      <c r="H193" s="2069"/>
      <c r="I193"/>
      <c r="J193"/>
      <c r="K193"/>
    </row>
    <row r="194" spans="2:11" x14ac:dyDescent="0.2">
      <c r="B194" s="2069"/>
      <c r="C194" s="2069"/>
      <c r="D194" s="2069"/>
      <c r="E194" s="2069"/>
      <c r="F194" s="2069"/>
      <c r="G194" s="2069"/>
      <c r="H194" s="2069"/>
      <c r="I194"/>
      <c r="J194"/>
      <c r="K194"/>
    </row>
    <row r="195" spans="2:11" x14ac:dyDescent="0.2">
      <c r="B195" s="2069"/>
      <c r="C195" s="2069"/>
      <c r="D195" s="2069"/>
      <c r="E195" s="2069"/>
      <c r="F195" s="2069"/>
      <c r="G195" s="2069"/>
      <c r="H195" s="2069"/>
      <c r="I195"/>
      <c r="J195"/>
      <c r="K195"/>
    </row>
    <row r="196" spans="2:11" x14ac:dyDescent="0.2">
      <c r="B196" s="2069"/>
      <c r="C196" s="2069"/>
      <c r="D196" s="2069"/>
      <c r="E196" s="2069"/>
      <c r="F196" s="2069"/>
      <c r="G196" s="2069"/>
      <c r="H196" s="2069"/>
      <c r="I196"/>
      <c r="J196"/>
      <c r="K196"/>
    </row>
    <row r="197" spans="2:11" x14ac:dyDescent="0.2">
      <c r="B197" s="2069"/>
      <c r="C197" s="2069"/>
      <c r="D197" s="2069"/>
      <c r="E197" s="2069"/>
      <c r="F197" s="2069"/>
      <c r="G197" s="2069"/>
      <c r="H197" s="2069"/>
      <c r="I197"/>
      <c r="J197"/>
      <c r="K197"/>
    </row>
    <row r="198" spans="2:11" x14ac:dyDescent="0.2">
      <c r="B198" s="2069"/>
      <c r="C198" s="2069"/>
      <c r="D198" s="2069"/>
      <c r="E198" s="2069"/>
      <c r="F198" s="2069"/>
      <c r="G198" s="2069"/>
      <c r="H198" s="2069"/>
      <c r="I198"/>
      <c r="J198"/>
      <c r="K198"/>
    </row>
    <row r="199" spans="2:11" x14ac:dyDescent="0.2">
      <c r="B199" s="2069"/>
      <c r="C199" s="2069"/>
      <c r="D199" s="2069"/>
      <c r="E199" s="2069"/>
      <c r="F199" s="2069"/>
      <c r="G199" s="2069"/>
      <c r="H199" s="2069"/>
      <c r="I199"/>
      <c r="J199"/>
      <c r="K199"/>
    </row>
    <row r="200" spans="2:11" x14ac:dyDescent="0.2">
      <c r="B200" s="2069"/>
      <c r="C200" s="2069"/>
      <c r="D200" s="2069"/>
      <c r="E200" s="2069"/>
      <c r="F200" s="2069"/>
      <c r="G200" s="2069"/>
      <c r="H200" s="2069"/>
      <c r="I200"/>
      <c r="J200"/>
      <c r="K200"/>
    </row>
    <row r="201" spans="2:11" x14ac:dyDescent="0.2">
      <c r="B201" s="2069"/>
      <c r="C201" s="2069"/>
      <c r="D201" s="2069"/>
      <c r="E201" s="2069"/>
      <c r="F201" s="2069"/>
      <c r="G201" s="2069"/>
      <c r="H201" s="2069"/>
      <c r="I201"/>
      <c r="J201"/>
      <c r="K201"/>
    </row>
    <row r="202" spans="2:11" x14ac:dyDescent="0.2">
      <c r="B202" s="2069"/>
      <c r="C202" s="2069"/>
      <c r="D202" s="2069"/>
      <c r="E202" s="2069"/>
      <c r="F202" s="2069"/>
      <c r="G202" s="2069"/>
      <c r="H202" s="2069"/>
      <c r="I202"/>
      <c r="J202"/>
      <c r="K202"/>
    </row>
    <row r="203" spans="2:11" x14ac:dyDescent="0.2">
      <c r="B203" s="2069"/>
      <c r="C203" s="2069"/>
      <c r="D203" s="2069"/>
      <c r="E203" s="2069"/>
      <c r="F203" s="2069"/>
      <c r="G203" s="2069"/>
      <c r="H203" s="2069"/>
      <c r="I203"/>
      <c r="J203"/>
      <c r="K203"/>
    </row>
    <row r="204" spans="2:11" x14ac:dyDescent="0.2">
      <c r="B204" s="2069"/>
      <c r="C204" s="2069"/>
      <c r="D204" s="2069"/>
      <c r="E204" s="2069"/>
      <c r="F204" s="2069"/>
      <c r="G204" s="2069"/>
      <c r="H204" s="2069"/>
      <c r="I204"/>
      <c r="J204"/>
      <c r="K204"/>
    </row>
    <row r="205" spans="2:11" x14ac:dyDescent="0.2">
      <c r="B205" s="2069"/>
      <c r="C205" s="2069"/>
      <c r="D205" s="2069"/>
      <c r="E205" s="2069"/>
      <c r="F205" s="2069"/>
      <c r="G205" s="2069"/>
      <c r="H205" s="2069"/>
      <c r="I205"/>
      <c r="J205"/>
      <c r="K205"/>
    </row>
    <row r="206" spans="2:11" x14ac:dyDescent="0.2">
      <c r="B206" s="2069"/>
      <c r="C206" s="2069"/>
      <c r="D206" s="2069"/>
      <c r="E206" s="2069"/>
      <c r="F206" s="2069"/>
      <c r="G206" s="2069"/>
      <c r="H206" s="2069"/>
      <c r="I206"/>
      <c r="J206"/>
      <c r="K206"/>
    </row>
    <row r="207" spans="2:11" x14ac:dyDescent="0.2">
      <c r="B207" s="2069"/>
      <c r="C207" s="2069"/>
      <c r="D207" s="2069"/>
      <c r="E207" s="2069"/>
      <c r="F207" s="2069"/>
      <c r="G207" s="2069"/>
      <c r="H207" s="2069"/>
      <c r="I207"/>
      <c r="J207"/>
      <c r="K207"/>
    </row>
    <row r="208" spans="2:11" x14ac:dyDescent="0.2">
      <c r="B208" s="2069"/>
      <c r="C208" s="2069"/>
      <c r="D208" s="2069"/>
      <c r="E208" s="2069"/>
      <c r="F208" s="2069"/>
      <c r="G208" s="2069"/>
      <c r="H208" s="2069"/>
      <c r="I208"/>
      <c r="J208"/>
      <c r="K208"/>
    </row>
    <row r="209" spans="2:11" x14ac:dyDescent="0.2">
      <c r="B209" s="2069"/>
      <c r="C209" s="2069"/>
      <c r="D209" s="2069"/>
      <c r="E209" s="2069"/>
      <c r="F209" s="2069"/>
      <c r="G209" s="2069"/>
      <c r="H209" s="2069"/>
      <c r="I209"/>
      <c r="J209"/>
      <c r="K209"/>
    </row>
    <row r="210" spans="2:11" x14ac:dyDescent="0.2">
      <c r="B210" s="2069"/>
      <c r="C210" s="2069"/>
      <c r="D210" s="2069"/>
      <c r="E210" s="2069"/>
      <c r="F210" s="2069"/>
      <c r="G210" s="2069"/>
      <c r="H210" s="2069"/>
      <c r="I210"/>
      <c r="J210"/>
      <c r="K210"/>
    </row>
    <row r="211" spans="2:11" x14ac:dyDescent="0.2">
      <c r="B211" s="2069"/>
      <c r="C211" s="2069"/>
      <c r="D211" s="2069"/>
      <c r="E211" s="2069"/>
      <c r="F211" s="2069"/>
      <c r="G211" s="2069"/>
      <c r="H211" s="2069"/>
      <c r="I211"/>
      <c r="J211"/>
      <c r="K211"/>
    </row>
    <row r="212" spans="2:11" x14ac:dyDescent="0.2">
      <c r="B212" s="2069"/>
      <c r="C212" s="2069"/>
      <c r="D212" s="2069"/>
      <c r="E212" s="2069"/>
      <c r="F212" s="2069"/>
      <c r="G212" s="2069"/>
      <c r="H212" s="2069"/>
      <c r="I212"/>
      <c r="J212"/>
      <c r="K212"/>
    </row>
    <row r="213" spans="2:11" x14ac:dyDescent="0.2">
      <c r="B213" s="2069"/>
      <c r="C213" s="2069"/>
      <c r="D213" s="2069"/>
      <c r="E213" s="2069"/>
      <c r="F213" s="2069"/>
      <c r="G213" s="2069"/>
      <c r="H213" s="2069"/>
      <c r="I213"/>
      <c r="J213"/>
      <c r="K213"/>
    </row>
    <row r="214" spans="2:11" x14ac:dyDescent="0.2">
      <c r="B214" s="2069"/>
      <c r="C214" s="2069"/>
      <c r="D214" s="2069"/>
      <c r="E214" s="2069"/>
      <c r="F214" s="2069"/>
      <c r="G214" s="2069"/>
      <c r="H214" s="2069"/>
      <c r="I214"/>
      <c r="J214"/>
      <c r="K214"/>
    </row>
    <row r="215" spans="2:11" x14ac:dyDescent="0.2">
      <c r="B215" s="2069"/>
      <c r="C215" s="2069"/>
      <c r="D215" s="2069"/>
      <c r="E215" s="2069"/>
      <c r="F215" s="2069"/>
      <c r="G215" s="2069"/>
      <c r="H215" s="2069"/>
      <c r="I215"/>
      <c r="J215"/>
      <c r="K215"/>
    </row>
    <row r="216" spans="2:11" x14ac:dyDescent="0.2">
      <c r="B216" s="2069"/>
      <c r="C216" s="2069"/>
      <c r="D216" s="2069"/>
      <c r="E216" s="2069"/>
      <c r="F216" s="2069"/>
      <c r="G216" s="2069"/>
      <c r="H216" s="2069"/>
      <c r="I216"/>
      <c r="J216"/>
      <c r="K216"/>
    </row>
    <row r="217" spans="2:11" x14ac:dyDescent="0.2">
      <c r="B217" s="2069"/>
      <c r="C217" s="2069"/>
      <c r="D217" s="2069"/>
      <c r="E217" s="2069"/>
      <c r="F217" s="2069"/>
      <c r="G217" s="2069"/>
      <c r="H217" s="2069"/>
      <c r="I217"/>
      <c r="J217"/>
      <c r="K217"/>
    </row>
    <row r="218" spans="2:11" x14ac:dyDescent="0.2">
      <c r="B218" s="2069"/>
      <c r="C218" s="2069"/>
      <c r="D218" s="2069"/>
      <c r="E218" s="2069"/>
      <c r="F218" s="2069"/>
      <c r="G218" s="2069"/>
      <c r="H218" s="2069"/>
      <c r="I218"/>
      <c r="J218"/>
      <c r="K218"/>
    </row>
    <row r="219" spans="2:11" x14ac:dyDescent="0.2">
      <c r="B219" s="2069"/>
      <c r="C219" s="2069"/>
      <c r="D219" s="2069"/>
      <c r="E219" s="2069"/>
      <c r="F219" s="2069"/>
      <c r="G219" s="2069"/>
      <c r="H219" s="2069"/>
      <c r="I219"/>
      <c r="J219"/>
      <c r="K219"/>
    </row>
    <row r="220" spans="2:11" x14ac:dyDescent="0.2">
      <c r="B220" s="2069"/>
      <c r="C220" s="2069"/>
      <c r="D220" s="2069"/>
      <c r="E220" s="2069"/>
      <c r="F220" s="2069"/>
      <c r="G220" s="2069"/>
      <c r="H220" s="2069"/>
      <c r="I220"/>
      <c r="J220"/>
      <c r="K220"/>
    </row>
    <row r="221" spans="2:11" x14ac:dyDescent="0.2">
      <c r="B221" s="2069"/>
      <c r="C221" s="2069"/>
      <c r="D221" s="2069"/>
      <c r="E221" s="2069"/>
      <c r="F221" s="2069"/>
      <c r="G221" s="2069"/>
      <c r="H221" s="2069"/>
      <c r="I221"/>
      <c r="J221"/>
      <c r="K221"/>
    </row>
    <row r="222" spans="2:11" x14ac:dyDescent="0.2">
      <c r="B222" s="2069"/>
      <c r="C222" s="2069"/>
      <c r="D222" s="2069"/>
      <c r="E222" s="2069"/>
      <c r="F222" s="2069"/>
      <c r="G222" s="2069"/>
      <c r="H222" s="2069"/>
      <c r="I222"/>
      <c r="J222"/>
      <c r="K222"/>
    </row>
    <row r="223" spans="2:11" x14ac:dyDescent="0.2">
      <c r="B223" s="2069"/>
      <c r="C223" s="2069"/>
      <c r="D223" s="2069"/>
      <c r="E223" s="2069"/>
      <c r="F223" s="2069"/>
      <c r="G223" s="2069"/>
      <c r="H223" s="2069"/>
      <c r="I223"/>
      <c r="J223"/>
      <c r="K223"/>
    </row>
    <row r="224" spans="2:11" x14ac:dyDescent="0.2">
      <c r="B224" s="2069"/>
      <c r="C224" s="2069"/>
      <c r="D224" s="2069"/>
      <c r="E224" s="2069"/>
      <c r="F224" s="2069"/>
      <c r="G224" s="2069"/>
      <c r="H224" s="2069"/>
      <c r="I224"/>
      <c r="J224"/>
      <c r="K224"/>
    </row>
    <row r="225" spans="2:11" x14ac:dyDescent="0.2">
      <c r="B225" s="2069"/>
      <c r="C225" s="2069"/>
      <c r="D225" s="2069"/>
      <c r="E225" s="2069"/>
      <c r="F225" s="2069"/>
      <c r="G225" s="2069"/>
      <c r="H225" s="2069"/>
      <c r="I225"/>
      <c r="J225"/>
      <c r="K225"/>
    </row>
    <row r="226" spans="2:11" x14ac:dyDescent="0.2">
      <c r="B226" s="2069"/>
      <c r="C226" s="2069"/>
      <c r="D226" s="2069"/>
      <c r="E226" s="2069"/>
      <c r="F226" s="2069"/>
      <c r="G226" s="2069"/>
      <c r="H226" s="2069"/>
      <c r="I226"/>
      <c r="J226"/>
      <c r="K226"/>
    </row>
    <row r="227" spans="2:11" x14ac:dyDescent="0.2">
      <c r="B227" s="2069"/>
      <c r="C227" s="2069"/>
      <c r="D227" s="2069"/>
      <c r="E227" s="2069"/>
      <c r="F227" s="2069"/>
      <c r="G227" s="2069"/>
      <c r="H227" s="2069"/>
      <c r="I227"/>
      <c r="J227"/>
      <c r="K227"/>
    </row>
    <row r="228" spans="2:11" x14ac:dyDescent="0.2">
      <c r="B228" s="2069"/>
      <c r="C228" s="2069"/>
      <c r="D228" s="2069"/>
      <c r="E228" s="2069"/>
      <c r="F228" s="2069"/>
      <c r="G228" s="2069"/>
      <c r="H228" s="2069"/>
      <c r="I228"/>
      <c r="J228"/>
      <c r="K228"/>
    </row>
    <row r="229" spans="2:11" x14ac:dyDescent="0.2">
      <c r="B229" s="2069"/>
      <c r="C229" s="2069"/>
      <c r="D229" s="2069"/>
      <c r="E229" s="2069"/>
      <c r="F229" s="2069"/>
      <c r="G229" s="2069"/>
      <c r="H229" s="2069"/>
      <c r="I229"/>
      <c r="J229"/>
      <c r="K229"/>
    </row>
    <row r="230" spans="2:11" x14ac:dyDescent="0.2">
      <c r="B230" s="2069"/>
      <c r="C230" s="2069"/>
      <c r="D230" s="2069"/>
      <c r="E230" s="2069"/>
      <c r="F230" s="2069"/>
      <c r="G230" s="2069"/>
      <c r="H230" s="2069"/>
      <c r="I230"/>
      <c r="J230"/>
      <c r="K230"/>
    </row>
    <row r="231" spans="2:11" x14ac:dyDescent="0.2">
      <c r="B231" s="2069"/>
      <c r="C231" s="2069"/>
      <c r="D231" s="2069"/>
      <c r="E231" s="2069"/>
      <c r="F231" s="2069"/>
      <c r="G231" s="2069"/>
      <c r="H231" s="2069"/>
      <c r="I231"/>
      <c r="J231"/>
      <c r="K231"/>
    </row>
    <row r="232" spans="2:11" x14ac:dyDescent="0.2">
      <c r="B232" s="2069"/>
      <c r="C232" s="2069"/>
      <c r="D232" s="2069"/>
      <c r="E232" s="2069"/>
      <c r="F232" s="2069"/>
      <c r="G232" s="2069"/>
      <c r="H232" s="2069"/>
      <c r="I232"/>
      <c r="J232"/>
      <c r="K232"/>
    </row>
    <row r="233" spans="2:11" x14ac:dyDescent="0.2">
      <c r="B233" s="2069"/>
      <c r="C233" s="2069"/>
      <c r="D233" s="2069"/>
      <c r="E233" s="2069"/>
      <c r="F233" s="2069"/>
      <c r="G233" s="2069"/>
      <c r="H233" s="2069"/>
      <c r="I233"/>
      <c r="J233"/>
      <c r="K233"/>
    </row>
    <row r="234" spans="2:11" x14ac:dyDescent="0.2">
      <c r="B234" s="2069"/>
      <c r="C234" s="2069"/>
      <c r="D234" s="2069"/>
      <c r="E234" s="2069"/>
      <c r="F234" s="2069"/>
      <c r="G234" s="2069"/>
      <c r="H234" s="2069"/>
      <c r="I234"/>
      <c r="J234"/>
      <c r="K234"/>
    </row>
    <row r="235" spans="2:11" x14ac:dyDescent="0.2">
      <c r="B235" s="2069"/>
      <c r="C235" s="2069"/>
      <c r="D235" s="2069"/>
      <c r="E235" s="2069"/>
      <c r="F235" s="2069"/>
      <c r="G235" s="2069"/>
      <c r="H235" s="2069"/>
      <c r="I235"/>
      <c r="J235"/>
      <c r="K235"/>
    </row>
    <row r="236" spans="2:11" x14ac:dyDescent="0.2">
      <c r="B236" s="2069"/>
      <c r="C236" s="2069"/>
      <c r="D236" s="2069"/>
      <c r="E236" s="2069"/>
      <c r="F236" s="2069"/>
      <c r="G236" s="2069"/>
      <c r="H236" s="2069"/>
      <c r="I236"/>
      <c r="J236"/>
      <c r="K236"/>
    </row>
    <row r="237" spans="2:11" x14ac:dyDescent="0.2">
      <c r="B237" s="2069"/>
      <c r="C237" s="2069"/>
      <c r="D237" s="2069"/>
      <c r="E237" s="2069"/>
      <c r="F237" s="2069"/>
      <c r="G237" s="2069"/>
      <c r="H237" s="2069"/>
      <c r="I237"/>
      <c r="J237"/>
      <c r="K237"/>
    </row>
    <row r="238" spans="2:11" x14ac:dyDescent="0.2">
      <c r="B238" s="2069"/>
      <c r="C238" s="2069"/>
      <c r="D238" s="2069"/>
      <c r="E238" s="2069"/>
      <c r="F238" s="2069"/>
      <c r="G238" s="2069"/>
      <c r="H238" s="2069"/>
      <c r="I238"/>
      <c r="J238"/>
      <c r="K238"/>
    </row>
    <row r="239" spans="2:11" x14ac:dyDescent="0.2">
      <c r="B239" s="2069"/>
      <c r="C239" s="2069"/>
      <c r="D239" s="2069"/>
      <c r="E239" s="2069"/>
      <c r="F239" s="2069"/>
      <c r="G239" s="2069"/>
      <c r="H239" s="2069"/>
      <c r="I239"/>
      <c r="J239"/>
      <c r="K239"/>
    </row>
    <row r="240" spans="2:11" x14ac:dyDescent="0.2">
      <c r="B240" s="2069"/>
      <c r="C240" s="2069"/>
      <c r="D240" s="2069"/>
      <c r="E240" s="2069"/>
      <c r="F240" s="2069"/>
      <c r="G240" s="2069"/>
      <c r="H240" s="2069"/>
      <c r="I240"/>
      <c r="J240"/>
      <c r="K240"/>
    </row>
    <row r="241" spans="2:11" x14ac:dyDescent="0.2">
      <c r="B241" s="2069"/>
      <c r="C241" s="2069"/>
      <c r="D241" s="2069"/>
      <c r="E241" s="2069"/>
      <c r="F241" s="2069"/>
      <c r="G241" s="2069"/>
      <c r="H241" s="2069"/>
      <c r="I241"/>
      <c r="J241"/>
      <c r="K241"/>
    </row>
    <row r="242" spans="2:11" x14ac:dyDescent="0.2">
      <c r="B242" s="2069"/>
      <c r="C242" s="2069"/>
      <c r="D242" s="2069"/>
      <c r="E242" s="2069"/>
      <c r="F242" s="2069"/>
      <c r="G242" s="2069"/>
      <c r="H242" s="2069"/>
      <c r="I242"/>
      <c r="J242"/>
      <c r="K242"/>
    </row>
    <row r="243" spans="2:11" x14ac:dyDescent="0.2">
      <c r="B243" s="2069"/>
      <c r="C243" s="2069"/>
      <c r="D243" s="2069"/>
      <c r="E243" s="2069"/>
      <c r="F243" s="2069"/>
      <c r="G243" s="2069"/>
      <c r="H243" s="2069"/>
      <c r="I243"/>
      <c r="J243"/>
      <c r="K243"/>
    </row>
    <row r="244" spans="2:11" x14ac:dyDescent="0.2">
      <c r="B244" s="2069"/>
      <c r="C244" s="2069"/>
      <c r="D244" s="2069"/>
      <c r="E244" s="2069"/>
      <c r="F244" s="2069"/>
      <c r="G244" s="2069"/>
      <c r="H244" s="2069"/>
      <c r="I244"/>
      <c r="J244"/>
      <c r="K244"/>
    </row>
    <row r="245" spans="2:11" x14ac:dyDescent="0.2">
      <c r="B245" s="2069"/>
      <c r="C245" s="2069"/>
      <c r="D245" s="2069"/>
      <c r="E245" s="2069"/>
      <c r="F245" s="2069"/>
      <c r="G245" s="2069"/>
      <c r="H245" s="2069"/>
      <c r="I245"/>
      <c r="J245"/>
      <c r="K245"/>
    </row>
    <row r="246" spans="2:11" x14ac:dyDescent="0.2">
      <c r="B246" s="2069"/>
      <c r="C246" s="2069"/>
      <c r="D246" s="2069"/>
      <c r="E246" s="2069"/>
      <c r="F246" s="2069"/>
      <c r="G246" s="2069"/>
      <c r="H246" s="2069"/>
      <c r="I246"/>
      <c r="J246"/>
      <c r="K246"/>
    </row>
    <row r="247" spans="2:11" x14ac:dyDescent="0.2">
      <c r="B247" s="2069"/>
      <c r="C247" s="2069"/>
      <c r="D247" s="2069"/>
      <c r="E247" s="2069"/>
      <c r="F247" s="2069"/>
      <c r="G247" s="2069"/>
      <c r="H247" s="2069"/>
      <c r="I247"/>
      <c r="J247"/>
      <c r="K247"/>
    </row>
    <row r="248" spans="2:11" x14ac:dyDescent="0.2">
      <c r="B248" s="2069"/>
      <c r="C248" s="2069"/>
      <c r="D248" s="2069"/>
      <c r="E248" s="2069"/>
      <c r="F248" s="2069"/>
      <c r="G248" s="2069"/>
      <c r="H248" s="2069"/>
      <c r="I248"/>
      <c r="J248"/>
      <c r="K248"/>
    </row>
    <row r="249" spans="2:11" x14ac:dyDescent="0.2">
      <c r="B249" s="2069"/>
      <c r="C249" s="2069"/>
      <c r="D249" s="2069"/>
      <c r="E249" s="2069"/>
      <c r="F249" s="2069"/>
      <c r="G249" s="2069"/>
      <c r="H249" s="2069"/>
      <c r="I249"/>
      <c r="J249"/>
      <c r="K249"/>
    </row>
    <row r="250" spans="2:11" x14ac:dyDescent="0.2">
      <c r="B250" s="2069"/>
      <c r="C250" s="2069"/>
      <c r="D250" s="2069"/>
      <c r="E250" s="2069"/>
      <c r="F250" s="2069"/>
      <c r="G250" s="2069"/>
      <c r="H250" s="2069"/>
      <c r="I250"/>
      <c r="J250"/>
      <c r="K250"/>
    </row>
    <row r="251" spans="2:11" x14ac:dyDescent="0.2">
      <c r="B251" s="2069"/>
      <c r="C251" s="2069"/>
      <c r="D251" s="2069"/>
      <c r="E251" s="2069"/>
      <c r="F251" s="2069"/>
      <c r="G251" s="2069"/>
      <c r="H251" s="2069"/>
      <c r="I251"/>
      <c r="J251"/>
      <c r="K251"/>
    </row>
    <row r="252" spans="2:11" x14ac:dyDescent="0.2">
      <c r="B252" s="2069"/>
      <c r="C252" s="2069"/>
      <c r="D252" s="2069"/>
      <c r="E252" s="2069"/>
      <c r="F252" s="2069"/>
      <c r="G252" s="2069"/>
      <c r="H252" s="2069"/>
      <c r="I252"/>
      <c r="J252"/>
      <c r="K252"/>
    </row>
    <row r="253" spans="2:11" x14ac:dyDescent="0.2">
      <c r="B253" s="2069"/>
      <c r="C253" s="2069"/>
      <c r="D253" s="2069"/>
      <c r="E253" s="2069"/>
      <c r="F253" s="2069"/>
      <c r="G253" s="2069"/>
      <c r="H253" s="2069"/>
      <c r="I253"/>
      <c r="J253"/>
      <c r="K253"/>
    </row>
    <row r="254" spans="2:11" x14ac:dyDescent="0.2">
      <c r="B254" s="2069"/>
      <c r="C254" s="2069"/>
      <c r="D254" s="2069"/>
      <c r="E254" s="2069"/>
      <c r="F254" s="2069"/>
      <c r="G254" s="2069"/>
      <c r="H254" s="2069"/>
      <c r="I254"/>
      <c r="J254"/>
      <c r="K254"/>
    </row>
    <row r="255" spans="2:11" x14ac:dyDescent="0.2">
      <c r="B255" s="2069"/>
      <c r="C255" s="2069"/>
      <c r="D255" s="2069"/>
      <c r="E255" s="2069"/>
      <c r="F255" s="2069"/>
      <c r="G255" s="2069"/>
      <c r="H255" s="2069"/>
      <c r="I255"/>
      <c r="J255"/>
      <c r="K255"/>
    </row>
    <row r="256" spans="2:11" x14ac:dyDescent="0.2">
      <c r="B256" s="2069"/>
      <c r="C256" s="2069"/>
      <c r="D256" s="2069"/>
      <c r="E256" s="2069"/>
      <c r="F256" s="2069"/>
      <c r="G256" s="2069"/>
      <c r="H256" s="2069"/>
      <c r="I256"/>
      <c r="J256"/>
      <c r="K256"/>
    </row>
    <row r="257" spans="2:11" x14ac:dyDescent="0.2">
      <c r="B257" s="2069"/>
      <c r="C257" s="2069"/>
      <c r="D257" s="2069"/>
      <c r="E257" s="2069"/>
      <c r="F257" s="2069"/>
      <c r="G257" s="2069"/>
      <c r="H257" s="2069"/>
      <c r="I257"/>
      <c r="J257"/>
      <c r="K257"/>
    </row>
    <row r="258" spans="2:11" x14ac:dyDescent="0.2">
      <c r="B258" s="2069"/>
      <c r="C258" s="2069"/>
      <c r="D258" s="2069"/>
      <c r="E258" s="2069"/>
      <c r="F258" s="2069"/>
      <c r="G258" s="2069"/>
      <c r="H258" s="2069"/>
      <c r="I258"/>
      <c r="J258"/>
      <c r="K258"/>
    </row>
    <row r="259" spans="2:11" x14ac:dyDescent="0.2">
      <c r="B259" s="2069"/>
      <c r="C259" s="2069"/>
      <c r="D259" s="2069"/>
      <c r="E259" s="2069"/>
      <c r="F259" s="2069"/>
      <c r="G259" s="2069"/>
      <c r="H259" s="2069"/>
      <c r="I259"/>
      <c r="J259"/>
      <c r="K259"/>
    </row>
    <row r="260" spans="2:11" x14ac:dyDescent="0.2">
      <c r="B260" s="2069"/>
      <c r="C260" s="2069"/>
      <c r="D260" s="2069"/>
      <c r="E260" s="2069"/>
      <c r="F260" s="2069"/>
      <c r="G260" s="2069"/>
      <c r="H260" s="2069"/>
      <c r="I260"/>
      <c r="J260"/>
      <c r="K260"/>
    </row>
    <row r="261" spans="2:11" x14ac:dyDescent="0.2">
      <c r="B261" s="2069"/>
      <c r="C261" s="2069"/>
      <c r="D261" s="2069"/>
      <c r="E261" s="2069"/>
      <c r="F261" s="2069"/>
      <c r="G261" s="2069"/>
      <c r="H261" s="2069"/>
      <c r="I261"/>
      <c r="J261"/>
      <c r="K261"/>
    </row>
    <row r="262" spans="2:11" x14ac:dyDescent="0.2">
      <c r="B262" s="2069"/>
      <c r="C262" s="2069"/>
      <c r="D262" s="2069"/>
      <c r="E262" s="2069"/>
      <c r="F262" s="2069"/>
      <c r="G262" s="2069"/>
      <c r="H262" s="2069"/>
      <c r="I262"/>
      <c r="J262"/>
      <c r="K262"/>
    </row>
    <row r="263" spans="2:11" x14ac:dyDescent="0.2">
      <c r="B263" s="2069"/>
      <c r="C263" s="2069"/>
      <c r="D263" s="2069"/>
      <c r="E263" s="2069"/>
      <c r="F263" s="2069"/>
      <c r="G263" s="2069"/>
      <c r="H263" s="2069"/>
      <c r="I263"/>
      <c r="J263"/>
      <c r="K263"/>
    </row>
    <row r="264" spans="2:11" x14ac:dyDescent="0.2">
      <c r="B264" s="2069"/>
      <c r="C264" s="2069"/>
      <c r="D264" s="2069"/>
      <c r="E264" s="2069"/>
      <c r="F264" s="2069"/>
      <c r="G264" s="2069"/>
      <c r="H264" s="2069"/>
      <c r="I264"/>
      <c r="J264"/>
      <c r="K264"/>
    </row>
    <row r="265" spans="2:11" x14ac:dyDescent="0.2">
      <c r="B265" s="2069"/>
      <c r="C265" s="2069"/>
      <c r="D265" s="2069"/>
      <c r="E265" s="2069"/>
      <c r="F265" s="2069"/>
      <c r="G265" s="2069"/>
      <c r="H265" s="2069"/>
      <c r="I265"/>
      <c r="J265"/>
      <c r="K265"/>
    </row>
    <row r="266" spans="2:11" x14ac:dyDescent="0.2">
      <c r="B266" s="2069"/>
      <c r="C266" s="2069"/>
      <c r="D266" s="2069"/>
      <c r="E266" s="2069"/>
      <c r="F266" s="2069"/>
      <c r="G266" s="2069"/>
      <c r="H266" s="2069"/>
      <c r="I266"/>
      <c r="J266"/>
      <c r="K266"/>
    </row>
    <row r="267" spans="2:11" x14ac:dyDescent="0.2">
      <c r="B267" s="2069"/>
      <c r="C267" s="2069"/>
      <c r="D267" s="2069"/>
      <c r="E267" s="2069"/>
      <c r="F267" s="2069"/>
      <c r="G267" s="2069"/>
      <c r="H267" s="2069"/>
      <c r="I267"/>
      <c r="J267"/>
      <c r="K267"/>
    </row>
    <row r="268" spans="2:11" x14ac:dyDescent="0.2">
      <c r="B268" s="2069"/>
      <c r="C268" s="2069"/>
      <c r="D268" s="2069"/>
      <c r="E268" s="2069"/>
      <c r="F268" s="2069"/>
      <c r="G268" s="2069"/>
      <c r="H268" s="2069"/>
      <c r="I268"/>
      <c r="J268"/>
      <c r="K268"/>
    </row>
    <row r="269" spans="2:11" x14ac:dyDescent="0.2">
      <c r="B269" s="2069"/>
      <c r="C269" s="2069"/>
      <c r="D269" s="2069"/>
      <c r="E269" s="2069"/>
      <c r="F269" s="2069"/>
      <c r="G269" s="2069"/>
      <c r="H269" s="2069"/>
      <c r="I269"/>
      <c r="J269"/>
      <c r="K269"/>
    </row>
    <row r="270" spans="2:11" x14ac:dyDescent="0.2">
      <c r="B270" s="2069"/>
      <c r="C270" s="2069"/>
      <c r="D270" s="2069"/>
      <c r="E270" s="2069"/>
      <c r="F270" s="2069"/>
      <c r="G270" s="2069"/>
      <c r="H270" s="2069"/>
      <c r="I270"/>
      <c r="J270"/>
      <c r="K270"/>
    </row>
    <row r="271" spans="2:11" x14ac:dyDescent="0.2">
      <c r="B271" s="2069"/>
      <c r="C271" s="2069"/>
      <c r="D271" s="2069"/>
      <c r="E271" s="2069"/>
      <c r="F271" s="2069"/>
      <c r="G271" s="2069"/>
      <c r="H271" s="2069"/>
      <c r="I271"/>
      <c r="J271"/>
      <c r="K271"/>
    </row>
    <row r="272" spans="2:11" x14ac:dyDescent="0.2">
      <c r="B272" s="2069"/>
      <c r="C272" s="2069"/>
      <c r="D272" s="2069"/>
      <c r="E272" s="2069"/>
      <c r="F272" s="2069"/>
      <c r="G272" s="2069"/>
      <c r="H272" s="2069"/>
      <c r="I272"/>
      <c r="J272"/>
      <c r="K272"/>
    </row>
    <row r="273" spans="2:11" x14ac:dyDescent="0.2">
      <c r="B273" s="2069"/>
      <c r="C273" s="2069"/>
      <c r="D273" s="2069"/>
      <c r="E273" s="2069"/>
      <c r="F273" s="2069"/>
      <c r="G273" s="2069"/>
      <c r="H273" s="2069"/>
      <c r="I273"/>
      <c r="J273"/>
      <c r="K273"/>
    </row>
    <row r="274" spans="2:11" x14ac:dyDescent="0.2">
      <c r="B274" s="2069"/>
      <c r="C274" s="2069"/>
      <c r="D274" s="2069"/>
      <c r="E274" s="2069"/>
      <c r="F274" s="2069"/>
      <c r="G274" s="2069"/>
      <c r="H274" s="2069"/>
      <c r="I274"/>
      <c r="J274"/>
      <c r="K274"/>
    </row>
    <row r="275" spans="2:11" x14ac:dyDescent="0.2">
      <c r="B275" s="2069"/>
      <c r="C275" s="2069"/>
      <c r="D275" s="2069"/>
      <c r="E275" s="2069"/>
      <c r="F275" s="2069"/>
      <c r="G275" s="2069"/>
      <c r="H275" s="2069"/>
      <c r="I275"/>
      <c r="J275"/>
      <c r="K275"/>
    </row>
    <row r="276" spans="2:11" x14ac:dyDescent="0.2">
      <c r="B276" s="2069"/>
      <c r="C276" s="2069"/>
      <c r="D276" s="2069"/>
      <c r="E276" s="2069"/>
      <c r="F276" s="2069"/>
      <c r="G276" s="2069"/>
      <c r="H276" s="2069"/>
      <c r="I276"/>
      <c r="J276"/>
      <c r="K276"/>
    </row>
    <row r="277" spans="2:11" x14ac:dyDescent="0.2">
      <c r="B277" s="2069"/>
      <c r="C277" s="2069"/>
      <c r="D277" s="2069"/>
      <c r="E277" s="2069"/>
      <c r="F277" s="2069"/>
      <c r="G277" s="2069"/>
      <c r="H277" s="2069"/>
      <c r="I277"/>
      <c r="J277"/>
      <c r="K277"/>
    </row>
    <row r="278" spans="2:11" x14ac:dyDescent="0.2">
      <c r="B278" s="2069"/>
      <c r="C278" s="2069"/>
      <c r="D278" s="2069"/>
      <c r="E278" s="2069"/>
      <c r="F278" s="2069"/>
      <c r="G278" s="2069"/>
      <c r="H278" s="2069"/>
      <c r="I278"/>
      <c r="J278"/>
      <c r="K278"/>
    </row>
    <row r="279" spans="2:11" x14ac:dyDescent="0.2">
      <c r="B279" s="2069"/>
      <c r="C279" s="2069"/>
      <c r="D279" s="2069"/>
      <c r="E279" s="2069"/>
      <c r="F279" s="2069"/>
      <c r="G279" s="2069"/>
      <c r="H279" s="2069"/>
      <c r="I279"/>
      <c r="J279"/>
      <c r="K279"/>
    </row>
    <row r="280" spans="2:11" x14ac:dyDescent="0.2">
      <c r="B280" s="2069"/>
      <c r="C280" s="2069"/>
      <c r="D280" s="2069"/>
      <c r="E280" s="2069"/>
      <c r="F280" s="2069"/>
      <c r="G280" s="2069"/>
      <c r="H280" s="2069"/>
      <c r="I280"/>
      <c r="J280"/>
      <c r="K280"/>
    </row>
    <row r="281" spans="2:11" x14ac:dyDescent="0.2">
      <c r="B281" s="2069"/>
      <c r="C281" s="2069"/>
      <c r="D281" s="2069"/>
      <c r="E281" s="2069"/>
      <c r="F281" s="2069"/>
      <c r="G281" s="2069"/>
      <c r="H281" s="2069"/>
      <c r="I281"/>
      <c r="J281"/>
      <c r="K281"/>
    </row>
    <row r="282" spans="2:11" x14ac:dyDescent="0.2">
      <c r="B282" s="2069"/>
      <c r="C282" s="2069"/>
      <c r="D282" s="2069"/>
      <c r="E282" s="2069"/>
      <c r="F282" s="2069"/>
      <c r="G282" s="2069"/>
      <c r="H282" s="2069"/>
      <c r="I282"/>
      <c r="J282"/>
      <c r="K282"/>
    </row>
    <row r="283" spans="2:11" x14ac:dyDescent="0.2">
      <c r="B283" s="2069"/>
      <c r="C283" s="2069"/>
      <c r="D283" s="2069"/>
      <c r="E283" s="2069"/>
      <c r="F283" s="2069"/>
      <c r="G283" s="2069"/>
      <c r="H283" s="2069"/>
      <c r="I283"/>
      <c r="J283"/>
      <c r="K283"/>
    </row>
    <row r="284" spans="2:11" x14ac:dyDescent="0.2">
      <c r="B284" s="2069"/>
      <c r="C284" s="2069"/>
      <c r="D284" s="2069"/>
      <c r="E284" s="2069"/>
      <c r="F284" s="2069"/>
      <c r="G284" s="2069"/>
      <c r="H284" s="2069"/>
      <c r="I284"/>
      <c r="J284"/>
      <c r="K284"/>
    </row>
    <row r="285" spans="2:11" x14ac:dyDescent="0.2">
      <c r="B285" s="2069"/>
      <c r="C285" s="2069"/>
      <c r="D285" s="2069"/>
      <c r="E285" s="2069"/>
      <c r="F285" s="2069"/>
      <c r="G285" s="2069"/>
      <c r="H285" s="2069"/>
      <c r="I285"/>
      <c r="J285"/>
      <c r="K285"/>
    </row>
    <row r="286" spans="2:11" x14ac:dyDescent="0.2">
      <c r="B286" s="2069"/>
      <c r="C286" s="2069"/>
      <c r="D286" s="2069"/>
      <c r="E286" s="2069"/>
      <c r="F286" s="2069"/>
      <c r="G286" s="2069"/>
      <c r="H286" s="2069"/>
      <c r="I286"/>
      <c r="J286"/>
      <c r="K286"/>
    </row>
    <row r="287" spans="2:11" x14ac:dyDescent="0.2">
      <c r="B287" s="2069"/>
      <c r="C287" s="2069"/>
      <c r="D287" s="2069"/>
      <c r="E287" s="2069"/>
      <c r="F287" s="2069"/>
      <c r="G287" s="2069"/>
      <c r="H287" s="2069"/>
      <c r="I287"/>
      <c r="J287"/>
      <c r="K287"/>
    </row>
    <row r="288" spans="2:11" x14ac:dyDescent="0.2">
      <c r="B288" s="2069"/>
      <c r="C288" s="2069"/>
      <c r="D288" s="2069"/>
      <c r="E288" s="2069"/>
      <c r="F288" s="2069"/>
      <c r="G288" s="2069"/>
      <c r="H288" s="2069"/>
      <c r="I288"/>
      <c r="J288"/>
      <c r="K288"/>
    </row>
    <row r="289" spans="2:11" x14ac:dyDescent="0.2">
      <c r="B289" s="2069"/>
      <c r="C289" s="2069"/>
      <c r="D289" s="2069"/>
      <c r="E289" s="2069"/>
      <c r="F289" s="2069"/>
      <c r="G289" s="2069"/>
      <c r="H289" s="2069"/>
      <c r="I289"/>
      <c r="J289"/>
      <c r="K289"/>
    </row>
    <row r="290" spans="2:11" x14ac:dyDescent="0.2">
      <c r="B290" s="2069"/>
      <c r="C290" s="2069"/>
      <c r="D290" s="2069"/>
      <c r="E290" s="2069"/>
      <c r="F290" s="2069"/>
      <c r="G290" s="2069"/>
      <c r="H290" s="2069"/>
      <c r="I290"/>
      <c r="J290"/>
      <c r="K290"/>
    </row>
    <row r="291" spans="2:11" x14ac:dyDescent="0.2">
      <c r="B291" s="2069"/>
      <c r="C291" s="2069"/>
      <c r="D291" s="2069"/>
      <c r="E291" s="2069"/>
      <c r="F291" s="2069"/>
      <c r="G291" s="2069"/>
      <c r="H291" s="2069"/>
      <c r="I291"/>
      <c r="J291"/>
      <c r="K291"/>
    </row>
    <row r="292" spans="2:11" x14ac:dyDescent="0.2">
      <c r="B292" s="2069"/>
      <c r="C292" s="2069"/>
      <c r="D292" s="2069"/>
      <c r="E292" s="2069"/>
      <c r="F292" s="2069"/>
      <c r="G292" s="2069"/>
      <c r="H292" s="2069"/>
      <c r="I292"/>
      <c r="J292"/>
      <c r="K292"/>
    </row>
    <row r="293" spans="2:11" x14ac:dyDescent="0.2">
      <c r="B293" s="2069"/>
      <c r="C293" s="2069"/>
      <c r="D293" s="2069"/>
      <c r="E293" s="2069"/>
      <c r="F293" s="2069"/>
      <c r="G293" s="2069"/>
      <c r="H293" s="2069"/>
      <c r="I293"/>
      <c r="J293"/>
      <c r="K293"/>
    </row>
    <row r="294" spans="2:11" x14ac:dyDescent="0.2">
      <c r="B294" s="2069"/>
      <c r="C294" s="2069"/>
      <c r="D294" s="2069"/>
      <c r="E294" s="2069"/>
      <c r="F294" s="2069"/>
      <c r="G294" s="2069"/>
      <c r="H294" s="2069"/>
      <c r="I294"/>
      <c r="J294"/>
      <c r="K294"/>
    </row>
    <row r="295" spans="2:11" x14ac:dyDescent="0.2">
      <c r="B295" s="2069"/>
      <c r="C295" s="2069"/>
      <c r="D295" s="2069"/>
      <c r="E295" s="2069"/>
      <c r="F295" s="2069"/>
      <c r="G295" s="2069"/>
      <c r="H295" s="2069"/>
      <c r="I295"/>
      <c r="J295"/>
      <c r="K295"/>
    </row>
    <row r="296" spans="2:11" x14ac:dyDescent="0.2">
      <c r="B296" s="2069"/>
      <c r="C296" s="2069"/>
      <c r="D296" s="2069"/>
      <c r="E296" s="2069"/>
      <c r="F296" s="2069"/>
      <c r="G296" s="2069"/>
      <c r="H296" s="2069"/>
      <c r="I296"/>
      <c r="J296"/>
      <c r="K296"/>
    </row>
    <row r="297" spans="2:11" x14ac:dyDescent="0.2">
      <c r="B297" s="2069"/>
      <c r="C297" s="2069"/>
      <c r="D297" s="2069"/>
      <c r="E297" s="2069"/>
      <c r="F297" s="2069"/>
      <c r="G297" s="2069"/>
      <c r="H297" s="2069"/>
      <c r="I297"/>
      <c r="J297"/>
      <c r="K297"/>
    </row>
    <row r="298" spans="2:11" x14ac:dyDescent="0.2">
      <c r="B298" s="2069"/>
      <c r="C298" s="2069"/>
      <c r="D298" s="2069"/>
      <c r="E298" s="2069"/>
      <c r="F298" s="2069"/>
      <c r="G298" s="2069"/>
      <c r="H298" s="2069"/>
      <c r="I298"/>
      <c r="J298"/>
      <c r="K298"/>
    </row>
    <row r="299" spans="2:11" x14ac:dyDescent="0.2">
      <c r="B299" s="2069"/>
      <c r="C299" s="2069"/>
      <c r="D299" s="2069"/>
      <c r="E299" s="2069"/>
      <c r="F299" s="2069"/>
      <c r="G299" s="2069"/>
      <c r="H299" s="2069"/>
      <c r="I299"/>
      <c r="J299"/>
      <c r="K299"/>
    </row>
    <row r="300" spans="2:11" x14ac:dyDescent="0.2">
      <c r="B300" s="2069"/>
      <c r="C300" s="2069"/>
      <c r="D300" s="2069"/>
      <c r="E300" s="2069"/>
      <c r="F300" s="2069"/>
      <c r="G300" s="2069"/>
      <c r="H300" s="2069"/>
      <c r="I300"/>
      <c r="J300"/>
      <c r="K300"/>
    </row>
    <row r="301" spans="2:11" x14ac:dyDescent="0.2">
      <c r="B301" s="2069"/>
      <c r="C301" s="2069"/>
      <c r="D301" s="2069"/>
      <c r="E301" s="2069"/>
      <c r="F301" s="2069"/>
      <c r="G301" s="2069"/>
      <c r="H301" s="2069"/>
      <c r="I301"/>
      <c r="J301"/>
      <c r="K301"/>
    </row>
    <row r="302" spans="2:11" x14ac:dyDescent="0.2">
      <c r="B302" s="2069"/>
      <c r="C302" s="2069"/>
      <c r="D302" s="2069"/>
      <c r="E302" s="2069"/>
      <c r="F302" s="2069"/>
      <c r="G302" s="2069"/>
      <c r="H302" s="2069"/>
      <c r="I302"/>
      <c r="J302"/>
      <c r="K302"/>
    </row>
    <row r="303" spans="2:11" x14ac:dyDescent="0.2">
      <c r="B303" s="2069"/>
      <c r="C303" s="2069"/>
      <c r="D303" s="2069"/>
      <c r="E303" s="2069"/>
      <c r="F303" s="2069"/>
      <c r="G303" s="2069"/>
      <c r="H303" s="2069"/>
      <c r="I303"/>
      <c r="J303"/>
      <c r="K303"/>
    </row>
    <row r="304" spans="2:11" x14ac:dyDescent="0.2">
      <c r="B304" s="2069"/>
      <c r="C304" s="2069"/>
      <c r="D304" s="2069"/>
      <c r="E304" s="2069"/>
      <c r="F304" s="2069"/>
      <c r="G304" s="2069"/>
      <c r="H304" s="2069"/>
      <c r="I304"/>
      <c r="J304"/>
      <c r="K304"/>
    </row>
    <row r="305" spans="2:11" x14ac:dyDescent="0.2">
      <c r="B305" s="2069"/>
      <c r="C305" s="2069"/>
      <c r="D305" s="2069"/>
      <c r="E305" s="2069"/>
      <c r="F305" s="2069"/>
      <c r="G305" s="2069"/>
      <c r="H305" s="2069"/>
      <c r="I305"/>
      <c r="J305"/>
      <c r="K305"/>
    </row>
    <row r="306" spans="2:11" x14ac:dyDescent="0.2">
      <c r="B306" s="2069"/>
      <c r="C306" s="2069"/>
      <c r="D306" s="2069"/>
      <c r="E306" s="2069"/>
      <c r="F306" s="2069"/>
      <c r="G306" s="2069"/>
      <c r="H306" s="2069"/>
      <c r="I306"/>
      <c r="J306"/>
      <c r="K306"/>
    </row>
    <row r="307" spans="2:11" x14ac:dyDescent="0.2">
      <c r="B307" s="2069"/>
      <c r="C307" s="2069"/>
      <c r="D307" s="2069"/>
      <c r="E307" s="2069"/>
      <c r="F307" s="2069"/>
      <c r="G307" s="2069"/>
      <c r="H307" s="2069"/>
      <c r="I307"/>
      <c r="J307"/>
      <c r="K307"/>
    </row>
    <row r="308" spans="2:11" x14ac:dyDescent="0.2">
      <c r="B308" s="2069"/>
      <c r="C308" s="2069"/>
      <c r="D308" s="2069"/>
      <c r="E308" s="2069"/>
      <c r="F308" s="2069"/>
      <c r="G308" s="2069"/>
      <c r="H308" s="2069"/>
      <c r="I308"/>
      <c r="J308"/>
      <c r="K308"/>
    </row>
    <row r="309" spans="2:11" x14ac:dyDescent="0.2">
      <c r="B309" s="2069"/>
      <c r="C309" s="2069"/>
      <c r="D309" s="2069"/>
      <c r="E309" s="2069"/>
      <c r="F309" s="2069"/>
      <c r="G309" s="2069"/>
      <c r="H309" s="2069"/>
      <c r="I309"/>
      <c r="J309"/>
      <c r="K309"/>
    </row>
    <row r="310" spans="2:11" x14ac:dyDescent="0.2">
      <c r="B310" s="2069"/>
      <c r="C310" s="2069"/>
      <c r="D310" s="2069"/>
      <c r="E310" s="2069"/>
      <c r="F310" s="2069"/>
      <c r="G310" s="2069"/>
      <c r="H310" s="2069"/>
      <c r="I310"/>
      <c r="J310"/>
      <c r="K310"/>
    </row>
    <row r="311" spans="2:11" x14ac:dyDescent="0.2">
      <c r="B311" s="2069"/>
      <c r="C311" s="2069"/>
      <c r="D311" s="2069"/>
      <c r="E311" s="2069"/>
      <c r="F311" s="2069"/>
      <c r="G311" s="2069"/>
      <c r="H311" s="2069"/>
      <c r="I311"/>
      <c r="J311"/>
      <c r="K311"/>
    </row>
    <row r="312" spans="2:11" x14ac:dyDescent="0.2">
      <c r="B312" s="2069"/>
      <c r="C312" s="2069"/>
      <c r="D312" s="2069"/>
      <c r="E312" s="2069"/>
      <c r="F312" s="2069"/>
      <c r="G312" s="2069"/>
      <c r="H312" s="2069"/>
      <c r="I312"/>
      <c r="J312"/>
      <c r="K312"/>
    </row>
    <row r="313" spans="2:11" x14ac:dyDescent="0.2">
      <c r="B313" s="2069"/>
      <c r="C313" s="2069"/>
      <c r="D313" s="2069"/>
      <c r="E313" s="2069"/>
      <c r="F313" s="2069"/>
      <c r="G313" s="2069"/>
      <c r="H313" s="2069"/>
      <c r="I313"/>
      <c r="J313"/>
      <c r="K313"/>
    </row>
    <row r="314" spans="2:11" x14ac:dyDescent="0.2">
      <c r="B314" s="2069"/>
      <c r="C314" s="2069"/>
      <c r="D314" s="2069"/>
      <c r="E314" s="2069"/>
      <c r="F314" s="2069"/>
      <c r="G314" s="2069"/>
      <c r="H314" s="2069"/>
      <c r="I314"/>
      <c r="J314"/>
      <c r="K314"/>
    </row>
    <row r="315" spans="2:11" x14ac:dyDescent="0.2">
      <c r="B315" s="2069"/>
      <c r="C315" s="2069"/>
      <c r="D315" s="2069"/>
      <c r="E315" s="2069"/>
      <c r="F315" s="2069"/>
      <c r="G315" s="2069"/>
      <c r="H315" s="2069"/>
      <c r="I315"/>
      <c r="J315"/>
      <c r="K315"/>
    </row>
    <row r="316" spans="2:11" x14ac:dyDescent="0.2">
      <c r="B316" s="2069"/>
      <c r="C316" s="2069"/>
      <c r="D316" s="2069"/>
      <c r="E316" s="2069"/>
      <c r="F316" s="2069"/>
      <c r="G316" s="2069"/>
      <c r="H316" s="2069"/>
      <c r="I316"/>
      <c r="J316"/>
      <c r="K316"/>
    </row>
    <row r="317" spans="2:11" x14ac:dyDescent="0.2">
      <c r="B317" s="2069"/>
      <c r="C317" s="2069"/>
      <c r="D317" s="2069"/>
      <c r="E317" s="2069"/>
      <c r="F317" s="2069"/>
      <c r="G317" s="2069"/>
      <c r="H317" s="2069"/>
      <c r="I317"/>
      <c r="J317"/>
      <c r="K317"/>
    </row>
    <row r="318" spans="2:11" x14ac:dyDescent="0.2">
      <c r="B318" s="2069"/>
      <c r="C318" s="2069"/>
      <c r="D318" s="2069"/>
      <c r="E318" s="2069"/>
      <c r="F318" s="2069"/>
      <c r="G318" s="2069"/>
      <c r="H318" s="2069"/>
      <c r="I318"/>
      <c r="J318"/>
      <c r="K318"/>
    </row>
    <row r="319" spans="2:11" x14ac:dyDescent="0.2">
      <c r="B319" s="2069"/>
      <c r="C319" s="2069"/>
      <c r="D319" s="2069"/>
      <c r="E319" s="2069"/>
      <c r="F319" s="2069"/>
      <c r="G319" s="2069"/>
      <c r="H319" s="2069"/>
      <c r="I319"/>
      <c r="J319"/>
      <c r="K319"/>
    </row>
    <row r="320" spans="2:11" x14ac:dyDescent="0.2">
      <c r="B320" s="2069"/>
      <c r="C320" s="2069"/>
      <c r="D320" s="2069"/>
      <c r="E320" s="2069"/>
      <c r="F320" s="2069"/>
      <c r="G320" s="2069"/>
      <c r="H320" s="2069"/>
      <c r="I320"/>
      <c r="J320"/>
      <c r="K320"/>
    </row>
    <row r="321" spans="2:11" x14ac:dyDescent="0.2">
      <c r="B321" s="2069"/>
      <c r="C321" s="2069"/>
      <c r="D321" s="2069"/>
      <c r="E321" s="2069"/>
      <c r="F321" s="2069"/>
      <c r="G321" s="2069"/>
      <c r="H321" s="2069"/>
      <c r="I321"/>
      <c r="J321"/>
      <c r="K321"/>
    </row>
    <row r="322" spans="2:11" x14ac:dyDescent="0.2">
      <c r="B322" s="2069"/>
      <c r="C322" s="2069"/>
      <c r="D322" s="2069"/>
      <c r="E322" s="2069"/>
      <c r="F322" s="2069"/>
      <c r="G322" s="2069"/>
      <c r="H322" s="2069"/>
      <c r="I322"/>
      <c r="J322"/>
      <c r="K322"/>
    </row>
    <row r="323" spans="2:11" x14ac:dyDescent="0.2">
      <c r="B323" s="2069"/>
      <c r="C323" s="2069"/>
      <c r="D323" s="2069"/>
      <c r="E323" s="2069"/>
      <c r="F323" s="2069"/>
      <c r="G323" s="2069"/>
      <c r="H323" s="2069"/>
      <c r="I323"/>
      <c r="J323"/>
      <c r="K323"/>
    </row>
    <row r="324" spans="2:11" x14ac:dyDescent="0.2">
      <c r="B324" s="2069"/>
      <c r="C324" s="2069"/>
      <c r="D324" s="2069"/>
      <c r="E324" s="2069"/>
      <c r="F324" s="2069"/>
      <c r="G324" s="2069"/>
      <c r="H324" s="2069"/>
      <c r="I324"/>
      <c r="J324"/>
      <c r="K324"/>
    </row>
    <row r="325" spans="2:11" x14ac:dyDescent="0.2">
      <c r="B325" s="2069"/>
      <c r="C325" s="2069"/>
      <c r="D325" s="2069"/>
      <c r="E325" s="2069"/>
      <c r="F325" s="2069"/>
      <c r="G325" s="2069"/>
      <c r="H325" s="2069"/>
      <c r="I325"/>
      <c r="J325"/>
      <c r="K325"/>
    </row>
    <row r="326" spans="2:11" x14ac:dyDescent="0.2">
      <c r="B326" s="2069"/>
      <c r="C326" s="2069"/>
      <c r="D326" s="2069"/>
      <c r="E326" s="2069"/>
      <c r="F326" s="2069"/>
      <c r="G326" s="2069"/>
      <c r="H326" s="2069"/>
      <c r="I326"/>
      <c r="J326"/>
      <c r="K326"/>
    </row>
    <row r="327" spans="2:11" x14ac:dyDescent="0.2">
      <c r="B327" s="2069"/>
      <c r="C327" s="2069"/>
      <c r="D327" s="2069"/>
      <c r="E327" s="2069"/>
      <c r="F327" s="2069"/>
      <c r="G327" s="2069"/>
      <c r="H327" s="2069"/>
      <c r="I327"/>
      <c r="J327"/>
      <c r="K327"/>
    </row>
    <row r="328" spans="2:11" x14ac:dyDescent="0.2">
      <c r="B328" s="2069"/>
      <c r="C328" s="2069"/>
      <c r="D328" s="2069"/>
      <c r="E328" s="2069"/>
      <c r="F328" s="2069"/>
      <c r="G328" s="2069"/>
      <c r="H328" s="2069"/>
      <c r="I328"/>
      <c r="J328"/>
      <c r="K328"/>
    </row>
    <row r="329" spans="2:11" x14ac:dyDescent="0.2">
      <c r="B329" s="2069"/>
      <c r="C329" s="2069"/>
      <c r="D329" s="2069"/>
      <c r="E329" s="2069"/>
      <c r="F329" s="2069"/>
      <c r="G329" s="2069"/>
      <c r="H329" s="2069"/>
      <c r="I329"/>
      <c r="J329"/>
      <c r="K329"/>
    </row>
    <row r="330" spans="2:11" x14ac:dyDescent="0.2">
      <c r="B330" s="2069"/>
      <c r="C330" s="2069"/>
      <c r="D330" s="2069"/>
      <c r="E330" s="2069"/>
      <c r="F330" s="2069"/>
      <c r="G330" s="2069"/>
      <c r="H330" s="2069"/>
      <c r="I330"/>
      <c r="J330"/>
      <c r="K330"/>
    </row>
    <row r="331" spans="2:11" x14ac:dyDescent="0.2">
      <c r="B331" s="2069"/>
      <c r="C331" s="2069"/>
      <c r="D331" s="2069"/>
      <c r="E331" s="2069"/>
      <c r="F331" s="2069"/>
      <c r="G331" s="2069"/>
      <c r="H331" s="2069"/>
      <c r="I331"/>
      <c r="J331"/>
      <c r="K331"/>
    </row>
    <row r="332" spans="2:11" x14ac:dyDescent="0.2">
      <c r="B332" s="2069"/>
      <c r="C332" s="2069"/>
      <c r="D332" s="2069"/>
      <c r="E332" s="2069"/>
      <c r="F332" s="2069"/>
      <c r="G332" s="2069"/>
      <c r="H332" s="2069"/>
      <c r="I332"/>
      <c r="J332"/>
      <c r="K332"/>
    </row>
    <row r="333" spans="2:11" x14ac:dyDescent="0.2">
      <c r="B333" s="2069"/>
      <c r="C333" s="2069"/>
      <c r="D333" s="2069"/>
      <c r="E333" s="2069"/>
      <c r="F333" s="2069"/>
      <c r="G333" s="2069"/>
      <c r="H333" s="2069"/>
      <c r="I333"/>
      <c r="J333"/>
      <c r="K333"/>
    </row>
    <row r="334" spans="2:11" x14ac:dyDescent="0.2">
      <c r="B334" s="2069"/>
      <c r="C334" s="2069"/>
      <c r="D334" s="2069"/>
      <c r="E334" s="2069"/>
      <c r="F334" s="2069"/>
      <c r="G334" s="2069"/>
      <c r="H334" s="2069"/>
      <c r="I334"/>
      <c r="J334"/>
      <c r="K334"/>
    </row>
    <row r="335" spans="2:11" x14ac:dyDescent="0.2">
      <c r="B335" s="2069"/>
      <c r="C335" s="2069"/>
      <c r="D335" s="2069"/>
      <c r="E335" s="2069"/>
      <c r="F335" s="2069"/>
      <c r="G335" s="2069"/>
      <c r="H335" s="2069"/>
      <c r="I335"/>
      <c r="J335"/>
      <c r="K335"/>
    </row>
    <row r="336" spans="2:11" x14ac:dyDescent="0.2">
      <c r="B336" s="2069"/>
      <c r="C336" s="2069"/>
      <c r="D336" s="2069"/>
      <c r="E336" s="2069"/>
      <c r="F336" s="2069"/>
      <c r="G336" s="2069"/>
      <c r="H336" s="2069"/>
      <c r="I336"/>
      <c r="J336"/>
      <c r="K336"/>
    </row>
    <row r="337" spans="2:11" x14ac:dyDescent="0.2">
      <c r="B337" s="2069"/>
      <c r="C337" s="2069"/>
      <c r="D337" s="2069"/>
      <c r="E337" s="2069"/>
      <c r="F337" s="2069"/>
      <c r="G337" s="2069"/>
      <c r="H337" s="2069"/>
      <c r="I337"/>
      <c r="J337"/>
      <c r="K337"/>
    </row>
    <row r="338" spans="2:11" x14ac:dyDescent="0.2">
      <c r="B338" s="2069"/>
      <c r="C338" s="2069"/>
      <c r="D338" s="2069"/>
      <c r="E338" s="2069"/>
      <c r="F338" s="2069"/>
      <c r="G338" s="2069"/>
      <c r="H338" s="2069"/>
      <c r="I338"/>
      <c r="J338"/>
      <c r="K338"/>
    </row>
    <row r="339" spans="2:11" x14ac:dyDescent="0.2">
      <c r="B339" s="2069"/>
      <c r="C339" s="2069"/>
      <c r="D339" s="2069"/>
      <c r="E339" s="2069"/>
      <c r="F339" s="2069"/>
      <c r="G339" s="2069"/>
      <c r="H339" s="2069"/>
      <c r="I339"/>
      <c r="J339"/>
      <c r="K339"/>
    </row>
    <row r="340" spans="2:11" x14ac:dyDescent="0.2">
      <c r="B340" s="2069"/>
      <c r="C340" s="2069"/>
      <c r="D340" s="2069"/>
      <c r="E340" s="2069"/>
      <c r="F340" s="2069"/>
      <c r="G340" s="2069"/>
      <c r="H340" s="2069"/>
      <c r="I340"/>
      <c r="J340"/>
      <c r="K340"/>
    </row>
    <row r="341" spans="2:11" x14ac:dyDescent="0.2">
      <c r="B341" s="2069"/>
      <c r="C341" s="2069"/>
      <c r="D341" s="2069"/>
      <c r="E341" s="2069"/>
      <c r="F341" s="2069"/>
      <c r="G341" s="2069"/>
      <c r="H341" s="2069"/>
      <c r="I341"/>
      <c r="J341"/>
      <c r="K341"/>
    </row>
    <row r="342" spans="2:11" x14ac:dyDescent="0.2">
      <c r="B342" s="2069"/>
      <c r="C342" s="2069"/>
      <c r="D342" s="2069"/>
      <c r="E342" s="2069"/>
      <c r="F342" s="2069"/>
      <c r="G342" s="2069"/>
      <c r="H342" s="2069"/>
      <c r="I342"/>
      <c r="J342"/>
      <c r="K342"/>
    </row>
    <row r="343" spans="2:11" x14ac:dyDescent="0.2">
      <c r="B343" s="2069"/>
      <c r="C343" s="2069"/>
      <c r="D343" s="2069"/>
      <c r="E343" s="2069"/>
      <c r="F343" s="2069"/>
      <c r="G343" s="2069"/>
      <c r="H343" s="2069"/>
      <c r="I343"/>
      <c r="J343"/>
      <c r="K343"/>
    </row>
    <row r="344" spans="2:11" x14ac:dyDescent="0.2">
      <c r="B344" s="2069"/>
      <c r="C344" s="2069"/>
      <c r="D344" s="2069"/>
      <c r="E344" s="2069"/>
      <c r="F344" s="2069"/>
      <c r="G344" s="2069"/>
      <c r="H344" s="2069"/>
      <c r="I344"/>
      <c r="J344"/>
      <c r="K344"/>
    </row>
    <row r="345" spans="2:11" x14ac:dyDescent="0.2">
      <c r="B345" s="2069"/>
      <c r="C345" s="2069"/>
      <c r="D345" s="2069"/>
      <c r="E345" s="2069"/>
      <c r="F345" s="2069"/>
      <c r="G345" s="2069"/>
      <c r="H345" s="2069"/>
      <c r="I345"/>
      <c r="J345"/>
      <c r="K345"/>
    </row>
    <row r="346" spans="2:11" x14ac:dyDescent="0.2">
      <c r="B346" s="2069"/>
      <c r="C346" s="2069"/>
      <c r="D346" s="2069"/>
      <c r="E346" s="2069"/>
      <c r="F346" s="2069"/>
      <c r="G346" s="2069"/>
      <c r="H346" s="2069"/>
      <c r="I346"/>
      <c r="J346"/>
      <c r="K346"/>
    </row>
    <row r="347" spans="2:11" x14ac:dyDescent="0.2">
      <c r="B347" s="2069"/>
      <c r="C347" s="2069"/>
      <c r="D347" s="2069"/>
      <c r="E347" s="2069"/>
      <c r="F347" s="2069"/>
      <c r="G347" s="2069"/>
      <c r="H347" s="2069"/>
      <c r="I347"/>
      <c r="J347"/>
      <c r="K347"/>
    </row>
    <row r="348" spans="2:11" x14ac:dyDescent="0.2">
      <c r="B348" s="2069"/>
      <c r="C348" s="2069"/>
      <c r="D348" s="2069"/>
      <c r="E348" s="2069"/>
      <c r="F348" s="2069"/>
      <c r="G348" s="2069"/>
      <c r="H348" s="2069"/>
      <c r="I348"/>
      <c r="J348"/>
      <c r="K348"/>
    </row>
    <row r="349" spans="2:11" x14ac:dyDescent="0.2">
      <c r="B349" s="2069"/>
      <c r="C349" s="2069"/>
      <c r="D349" s="2069"/>
      <c r="E349" s="2069"/>
      <c r="F349" s="2069"/>
      <c r="G349" s="2069"/>
      <c r="H349" s="2069"/>
      <c r="I349"/>
      <c r="J349"/>
      <c r="K349"/>
    </row>
    <row r="350" spans="2:11" x14ac:dyDescent="0.2">
      <c r="B350" s="2069"/>
      <c r="C350" s="2069"/>
      <c r="D350" s="2069"/>
      <c r="E350" s="2069"/>
      <c r="F350" s="2069"/>
      <c r="G350" s="2069"/>
      <c r="H350" s="2069"/>
      <c r="I350"/>
      <c r="J350"/>
      <c r="K350"/>
    </row>
    <row r="351" spans="2:11" x14ac:dyDescent="0.2">
      <c r="B351" s="2069"/>
      <c r="C351" s="2069"/>
      <c r="D351" s="2069"/>
      <c r="E351" s="2069"/>
      <c r="F351" s="2069"/>
      <c r="G351" s="2069"/>
      <c r="H351" s="2069"/>
      <c r="I351"/>
      <c r="J351"/>
      <c r="K351"/>
    </row>
    <row r="352" spans="2:11" x14ac:dyDescent="0.2">
      <c r="B352" s="2069"/>
      <c r="C352" s="2069"/>
      <c r="D352" s="2069"/>
      <c r="E352" s="2069"/>
      <c r="F352" s="2069"/>
      <c r="G352" s="2069"/>
      <c r="H352" s="2069"/>
      <c r="I352"/>
      <c r="J352"/>
      <c r="K352"/>
    </row>
    <row r="353" spans="2:11" x14ac:dyDescent="0.2">
      <c r="B353" s="2069"/>
      <c r="C353" s="2069"/>
      <c r="D353" s="2069"/>
      <c r="E353" s="2069"/>
      <c r="F353" s="2069"/>
      <c r="G353" s="2069"/>
      <c r="H353" s="2069"/>
      <c r="I353"/>
      <c r="J353"/>
      <c r="K353"/>
    </row>
    <row r="354" spans="2:11" x14ac:dyDescent="0.2">
      <c r="B354" s="2069"/>
      <c r="C354" s="2069"/>
      <c r="D354" s="2069"/>
      <c r="E354" s="2069"/>
      <c r="F354" s="2069"/>
      <c r="G354" s="2069"/>
      <c r="H354" s="2069"/>
      <c r="I354"/>
      <c r="J354"/>
      <c r="K354"/>
    </row>
    <row r="355" spans="2:11" x14ac:dyDescent="0.2">
      <c r="B355" s="2069"/>
      <c r="C355" s="2069"/>
      <c r="D355" s="2069"/>
      <c r="E355" s="2069"/>
      <c r="F355" s="2069"/>
      <c r="G355" s="2069"/>
      <c r="H355" s="2069"/>
      <c r="I355"/>
      <c r="J355"/>
      <c r="K355"/>
    </row>
    <row r="356" spans="2:11" x14ac:dyDescent="0.2">
      <c r="B356" s="2069"/>
      <c r="C356" s="2069"/>
      <c r="D356" s="2069"/>
      <c r="E356" s="2069"/>
      <c r="F356" s="2069"/>
      <c r="G356" s="2069"/>
      <c r="H356" s="2069"/>
      <c r="I356"/>
      <c r="J356"/>
      <c r="K356"/>
    </row>
    <row r="357" spans="2:11" x14ac:dyDescent="0.2">
      <c r="B357" s="2069"/>
      <c r="C357" s="2069"/>
      <c r="D357" s="2069"/>
      <c r="E357" s="2069"/>
      <c r="F357" s="2069"/>
      <c r="G357" s="2069"/>
      <c r="H357" s="2069"/>
      <c r="I357"/>
      <c r="J357"/>
      <c r="K357"/>
    </row>
    <row r="358" spans="2:11" x14ac:dyDescent="0.2">
      <c r="B358" s="2069"/>
      <c r="C358" s="2069"/>
      <c r="D358" s="2069"/>
      <c r="E358" s="2069"/>
      <c r="F358" s="2069"/>
      <c r="G358" s="2069"/>
      <c r="H358" s="2069"/>
      <c r="I358"/>
      <c r="J358"/>
      <c r="K358"/>
    </row>
    <row r="359" spans="2:11" x14ac:dyDescent="0.2">
      <c r="B359" s="2069"/>
      <c r="C359" s="2069"/>
      <c r="D359" s="2069"/>
      <c r="E359" s="2069"/>
      <c r="F359" s="2069"/>
      <c r="G359" s="2069"/>
      <c r="H359" s="2069"/>
      <c r="I359"/>
      <c r="J359"/>
      <c r="K359"/>
    </row>
    <row r="360" spans="2:11" x14ac:dyDescent="0.2">
      <c r="B360" s="2069"/>
      <c r="C360" s="2069"/>
      <c r="D360" s="2069"/>
      <c r="E360" s="2069"/>
      <c r="F360" s="2069"/>
      <c r="G360" s="2069"/>
      <c r="H360" s="2069"/>
      <c r="I360"/>
      <c r="J360"/>
      <c r="K360"/>
    </row>
    <row r="361" spans="2:11" x14ac:dyDescent="0.2">
      <c r="B361" s="2069"/>
      <c r="C361" s="2069"/>
      <c r="D361" s="2069"/>
      <c r="E361" s="2069"/>
      <c r="F361" s="2069"/>
      <c r="G361" s="2069"/>
      <c r="H361" s="2069"/>
      <c r="I361"/>
      <c r="J361"/>
      <c r="K361"/>
    </row>
    <row r="362" spans="2:11" x14ac:dyDescent="0.2">
      <c r="B362" s="2069"/>
      <c r="C362" s="2069"/>
      <c r="D362" s="2069"/>
      <c r="E362" s="2069"/>
      <c r="F362" s="2069"/>
      <c r="G362" s="2069"/>
      <c r="H362" s="2069"/>
      <c r="I362"/>
      <c r="J362"/>
      <c r="K362"/>
    </row>
    <row r="363" spans="2:11" x14ac:dyDescent="0.2">
      <c r="B363" s="2069"/>
      <c r="C363" s="2069"/>
      <c r="D363" s="2069"/>
      <c r="E363" s="2069"/>
      <c r="F363" s="2069"/>
      <c r="G363" s="2069"/>
      <c r="H363" s="2069"/>
      <c r="I363"/>
      <c r="J363"/>
      <c r="K363"/>
    </row>
    <row r="364" spans="2:11" x14ac:dyDescent="0.2">
      <c r="B364" s="2069"/>
      <c r="C364" s="2069"/>
      <c r="D364" s="2069"/>
      <c r="E364" s="2069"/>
      <c r="F364" s="2069"/>
      <c r="G364" s="2069"/>
      <c r="H364" s="2069"/>
      <c r="I364"/>
      <c r="J364"/>
      <c r="K364"/>
    </row>
    <row r="365" spans="2:11" x14ac:dyDescent="0.2">
      <c r="B365" s="2069"/>
      <c r="C365" s="2069"/>
      <c r="D365" s="2069"/>
      <c r="E365" s="2069"/>
      <c r="F365" s="2069"/>
      <c r="G365" s="2069"/>
      <c r="H365" s="2069"/>
      <c r="I365"/>
      <c r="J365"/>
      <c r="K365"/>
    </row>
    <row r="366" spans="2:11" x14ac:dyDescent="0.2">
      <c r="B366" s="2069"/>
      <c r="C366" s="2069"/>
      <c r="D366" s="2069"/>
      <c r="E366" s="2069"/>
      <c r="F366" s="2069"/>
      <c r="G366" s="2069"/>
      <c r="H366" s="2069"/>
      <c r="I366"/>
      <c r="J366"/>
      <c r="K366"/>
    </row>
    <row r="367" spans="2:11" x14ac:dyDescent="0.2">
      <c r="B367" s="2069"/>
      <c r="C367" s="2069"/>
      <c r="D367" s="2069"/>
      <c r="E367" s="2069"/>
      <c r="F367" s="2069"/>
      <c r="G367" s="2069"/>
      <c r="H367" s="2069"/>
      <c r="I367"/>
      <c r="J367"/>
      <c r="K367"/>
    </row>
    <row r="368" spans="2:11" x14ac:dyDescent="0.2">
      <c r="B368" s="2069"/>
      <c r="C368" s="2069"/>
      <c r="D368" s="2069"/>
      <c r="E368" s="2069"/>
      <c r="F368" s="2069"/>
      <c r="G368" s="2069"/>
      <c r="H368" s="2069"/>
      <c r="I368"/>
      <c r="J368"/>
      <c r="K368"/>
    </row>
    <row r="369" spans="2:11" x14ac:dyDescent="0.2">
      <c r="B369" s="2069"/>
      <c r="C369" s="2069"/>
      <c r="D369" s="2069"/>
      <c r="E369" s="2069"/>
      <c r="F369" s="2069"/>
      <c r="G369" s="2069"/>
      <c r="H369" s="2069"/>
      <c r="I369"/>
      <c r="J369"/>
      <c r="K369"/>
    </row>
    <row r="370" spans="2:11" x14ac:dyDescent="0.2">
      <c r="B370" s="2069"/>
      <c r="C370" s="2069"/>
      <c r="D370" s="2069"/>
      <c r="E370" s="2069"/>
      <c r="F370" s="2069"/>
      <c r="G370" s="2069"/>
      <c r="H370" s="2069"/>
      <c r="I370"/>
      <c r="J370"/>
      <c r="K370"/>
    </row>
    <row r="371" spans="2:11" x14ac:dyDescent="0.2">
      <c r="B371" s="2069"/>
      <c r="C371" s="2069"/>
      <c r="D371" s="2069"/>
      <c r="E371" s="2069"/>
      <c r="F371" s="2069"/>
      <c r="G371" s="2069"/>
      <c r="H371" s="2069"/>
      <c r="I371"/>
      <c r="J371"/>
      <c r="K371"/>
    </row>
    <row r="372" spans="2:11" x14ac:dyDescent="0.2">
      <c r="B372" s="2069"/>
      <c r="C372" s="2069"/>
      <c r="D372" s="2069"/>
      <c r="E372" s="2069"/>
      <c r="F372" s="2069"/>
      <c r="G372" s="2069"/>
      <c r="H372" s="2069"/>
      <c r="I372"/>
      <c r="J372"/>
      <c r="K372"/>
    </row>
    <row r="373" spans="2:11" x14ac:dyDescent="0.2">
      <c r="B373" s="2069"/>
      <c r="C373" s="2069"/>
      <c r="D373" s="2069"/>
      <c r="E373" s="2069"/>
      <c r="F373" s="2069"/>
      <c r="G373" s="2069"/>
      <c r="H373" s="2069"/>
      <c r="I373"/>
      <c r="J373"/>
      <c r="K373"/>
    </row>
    <row r="374" spans="2:11" x14ac:dyDescent="0.2">
      <c r="B374" s="2069"/>
      <c r="C374" s="2069"/>
      <c r="D374" s="2069"/>
      <c r="E374" s="2069"/>
      <c r="F374" s="2069"/>
      <c r="G374" s="2069"/>
      <c r="H374" s="2069"/>
      <c r="I374"/>
      <c r="J374"/>
      <c r="K374"/>
    </row>
    <row r="375" spans="2:11" x14ac:dyDescent="0.2">
      <c r="B375" s="2069"/>
      <c r="C375" s="2069"/>
      <c r="D375" s="2069"/>
      <c r="E375" s="2069"/>
      <c r="F375" s="2069"/>
      <c r="G375" s="2069"/>
      <c r="H375" s="2069"/>
      <c r="I375"/>
      <c r="J375"/>
      <c r="K375"/>
    </row>
    <row r="376" spans="2:11" x14ac:dyDescent="0.2">
      <c r="B376" s="2069"/>
      <c r="C376" s="2069"/>
      <c r="D376" s="2069"/>
      <c r="E376" s="2069"/>
      <c r="F376" s="2069"/>
      <c r="G376" s="2069"/>
      <c r="H376" s="2069"/>
      <c r="I376"/>
      <c r="J376"/>
      <c r="K376"/>
    </row>
    <row r="377" spans="2:11" x14ac:dyDescent="0.2">
      <c r="B377" s="2069"/>
      <c r="C377" s="2069"/>
      <c r="D377" s="2069"/>
      <c r="E377" s="2069"/>
      <c r="F377" s="2069"/>
      <c r="G377" s="2069"/>
      <c r="H377" s="2069"/>
      <c r="I377"/>
      <c r="J377"/>
      <c r="K377"/>
    </row>
    <row r="378" spans="2:11" x14ac:dyDescent="0.2">
      <c r="B378" s="2069"/>
      <c r="C378" s="2069"/>
      <c r="D378" s="2069"/>
      <c r="E378" s="2069"/>
      <c r="F378" s="2069"/>
      <c r="G378" s="2069"/>
      <c r="H378" s="2069"/>
      <c r="I378"/>
      <c r="J378"/>
      <c r="K378"/>
    </row>
    <row r="379" spans="2:11" x14ac:dyDescent="0.2">
      <c r="B379" s="2069"/>
      <c r="C379" s="2069"/>
      <c r="D379" s="2069"/>
      <c r="E379" s="2069"/>
      <c r="F379" s="2069"/>
      <c r="G379" s="2069"/>
      <c r="H379" s="2069"/>
      <c r="I379"/>
      <c r="J379"/>
      <c r="K379"/>
    </row>
    <row r="380" spans="2:11" x14ac:dyDescent="0.2">
      <c r="B380" s="2069"/>
      <c r="C380" s="2069"/>
      <c r="D380" s="2069"/>
      <c r="E380" s="2069"/>
      <c r="F380" s="2069"/>
      <c r="G380" s="2069"/>
      <c r="H380" s="2069"/>
      <c r="I380"/>
      <c r="J380"/>
      <c r="K380"/>
    </row>
    <row r="381" spans="2:11" x14ac:dyDescent="0.2">
      <c r="B381" s="2069"/>
      <c r="C381" s="2069"/>
      <c r="D381" s="2069"/>
      <c r="E381" s="2069"/>
      <c r="F381" s="2069"/>
      <c r="G381" s="2069"/>
      <c r="H381" s="2069"/>
      <c r="I381"/>
      <c r="J381"/>
      <c r="K381"/>
    </row>
    <row r="382" spans="2:11" x14ac:dyDescent="0.2">
      <c r="B382" s="2069"/>
      <c r="C382" s="2069"/>
      <c r="D382" s="2069"/>
      <c r="E382" s="2069"/>
      <c r="F382" s="2069"/>
      <c r="G382" s="2069"/>
      <c r="H382" s="2069"/>
      <c r="I382"/>
      <c r="J382"/>
      <c r="K382"/>
    </row>
    <row r="383" spans="2:11" x14ac:dyDescent="0.2">
      <c r="B383" s="2069"/>
      <c r="C383" s="2069"/>
      <c r="D383" s="2069"/>
      <c r="E383" s="2069"/>
      <c r="F383" s="2069"/>
      <c r="G383" s="2069"/>
      <c r="H383" s="2069"/>
      <c r="I383"/>
      <c r="J383"/>
      <c r="K383"/>
    </row>
    <row r="384" spans="2:11" x14ac:dyDescent="0.2">
      <c r="B384" s="2069"/>
      <c r="C384" s="2069"/>
      <c r="D384" s="2069"/>
      <c r="E384" s="2069"/>
      <c r="F384" s="2069"/>
      <c r="G384" s="2069"/>
      <c r="H384" s="2069"/>
      <c r="I384"/>
      <c r="J384"/>
      <c r="K384"/>
    </row>
    <row r="385" spans="2:11" x14ac:dyDescent="0.2">
      <c r="B385" s="2069"/>
      <c r="C385" s="2069"/>
      <c r="D385" s="2069"/>
      <c r="E385" s="2069"/>
      <c r="F385" s="2069"/>
      <c r="G385" s="2069"/>
      <c r="H385" s="2069"/>
      <c r="I385"/>
      <c r="J385"/>
      <c r="K385"/>
    </row>
    <row r="386" spans="2:11" x14ac:dyDescent="0.2">
      <c r="B386" s="2069"/>
      <c r="C386" s="2069"/>
      <c r="D386" s="2069"/>
      <c r="E386" s="2069"/>
      <c r="F386" s="2069"/>
      <c r="G386" s="2069"/>
      <c r="H386" s="2069"/>
      <c r="I386"/>
      <c r="J386"/>
      <c r="K386"/>
    </row>
    <row r="387" spans="2:11" x14ac:dyDescent="0.2">
      <c r="B387" s="2069"/>
      <c r="C387" s="2069"/>
      <c r="D387" s="2069"/>
      <c r="E387" s="2069"/>
      <c r="F387" s="2069"/>
      <c r="G387" s="2069"/>
      <c r="H387" s="2069"/>
      <c r="I387"/>
      <c r="J387"/>
      <c r="K387"/>
    </row>
    <row r="388" spans="2:11" x14ac:dyDescent="0.2">
      <c r="B388" s="2069"/>
      <c r="C388" s="2069"/>
      <c r="D388" s="2069"/>
      <c r="E388" s="2069"/>
      <c r="F388" s="2069"/>
      <c r="G388" s="2069"/>
      <c r="H388" s="2069"/>
      <c r="I388"/>
      <c r="J388"/>
      <c r="K388"/>
    </row>
    <row r="389" spans="2:11" x14ac:dyDescent="0.2">
      <c r="B389" s="2069"/>
      <c r="C389" s="2069"/>
      <c r="D389" s="2069"/>
      <c r="E389" s="2069"/>
      <c r="F389" s="2069"/>
      <c r="G389" s="2069"/>
      <c r="H389" s="2069"/>
      <c r="I389"/>
      <c r="J389"/>
      <c r="K389"/>
    </row>
    <row r="390" spans="2:11" x14ac:dyDescent="0.2">
      <c r="B390" s="2069"/>
      <c r="C390" s="2069"/>
      <c r="D390" s="2069"/>
      <c r="E390" s="2069"/>
      <c r="F390" s="2069"/>
      <c r="G390" s="2069"/>
      <c r="H390" s="2069"/>
      <c r="I390"/>
      <c r="J390"/>
      <c r="K390"/>
    </row>
    <row r="391" spans="2:11" x14ac:dyDescent="0.2">
      <c r="B391" s="2069"/>
      <c r="C391" s="2069"/>
      <c r="D391" s="2069"/>
      <c r="E391" s="2069"/>
      <c r="F391" s="2069"/>
      <c r="G391" s="2069"/>
      <c r="H391" s="2069"/>
      <c r="I391"/>
      <c r="J391"/>
      <c r="K391"/>
    </row>
    <row r="392" spans="2:11" x14ac:dyDescent="0.2">
      <c r="B392" s="2069"/>
      <c r="C392" s="2069"/>
      <c r="D392" s="2069"/>
      <c r="E392" s="2069"/>
      <c r="F392" s="2069"/>
      <c r="G392" s="2069"/>
      <c r="H392" s="2069"/>
      <c r="I392"/>
      <c r="J392"/>
      <c r="K392"/>
    </row>
    <row r="393" spans="2:11" x14ac:dyDescent="0.2">
      <c r="B393" s="2069"/>
      <c r="C393" s="2069"/>
      <c r="D393" s="2069"/>
      <c r="E393" s="2069"/>
      <c r="F393" s="2069"/>
      <c r="G393" s="2069"/>
      <c r="H393" s="2069"/>
      <c r="I393"/>
      <c r="J393"/>
      <c r="K393"/>
    </row>
    <row r="394" spans="2:11" x14ac:dyDescent="0.2">
      <c r="B394" s="2069"/>
      <c r="C394" s="2069"/>
      <c r="D394" s="2069"/>
      <c r="E394" s="2069"/>
      <c r="F394" s="2069"/>
      <c r="G394" s="2069"/>
      <c r="H394" s="2069"/>
      <c r="I394"/>
      <c r="J394"/>
      <c r="K394"/>
    </row>
    <row r="395" spans="2:11" x14ac:dyDescent="0.2">
      <c r="B395" s="2069"/>
      <c r="C395" s="2069"/>
      <c r="D395" s="2069"/>
      <c r="E395" s="2069"/>
      <c r="F395" s="2069"/>
      <c r="G395" s="2069"/>
      <c r="H395" s="2069"/>
      <c r="I395"/>
      <c r="J395"/>
      <c r="K395"/>
    </row>
    <row r="396" spans="2:11" x14ac:dyDescent="0.2">
      <c r="B396" s="2069"/>
      <c r="C396" s="2069"/>
      <c r="D396" s="2069"/>
      <c r="E396" s="2069"/>
      <c r="F396" s="2069"/>
      <c r="G396" s="2069"/>
      <c r="H396" s="2069"/>
      <c r="I396"/>
      <c r="J396"/>
      <c r="K396"/>
    </row>
    <row r="397" spans="2:11" x14ac:dyDescent="0.2">
      <c r="B397" s="2069"/>
      <c r="C397" s="2069"/>
      <c r="D397" s="2069"/>
      <c r="E397" s="2069"/>
      <c r="F397" s="2069"/>
      <c r="G397" s="2069"/>
      <c r="H397" s="2069"/>
      <c r="I397"/>
      <c r="J397"/>
      <c r="K397"/>
    </row>
    <row r="398" spans="2:11" x14ac:dyDescent="0.2">
      <c r="B398" s="2069"/>
      <c r="C398" s="2069"/>
      <c r="D398" s="2069"/>
      <c r="E398" s="2069"/>
      <c r="F398" s="2069"/>
      <c r="G398" s="2069"/>
      <c r="H398" s="2069"/>
      <c r="I398"/>
      <c r="J398"/>
      <c r="K398"/>
    </row>
    <row r="399" spans="2:11" x14ac:dyDescent="0.2">
      <c r="B399" s="2069"/>
      <c r="C399" s="2069"/>
      <c r="D399" s="2069"/>
      <c r="E399" s="2069"/>
      <c r="F399" s="2069"/>
      <c r="G399" s="2069"/>
      <c r="H399" s="2069"/>
      <c r="I399"/>
      <c r="J399"/>
      <c r="K399"/>
    </row>
    <row r="400" spans="2:11" x14ac:dyDescent="0.2">
      <c r="B400" s="2069"/>
      <c r="C400" s="2069"/>
      <c r="D400" s="2069"/>
      <c r="E400" s="2069"/>
      <c r="F400" s="2069"/>
      <c r="G400" s="2069"/>
      <c r="H400" s="2069"/>
      <c r="I400"/>
      <c r="J400"/>
      <c r="K400"/>
    </row>
    <row r="401" spans="2:11" x14ac:dyDescent="0.2">
      <c r="B401" s="2069"/>
      <c r="C401" s="2069"/>
      <c r="D401" s="2069"/>
      <c r="E401" s="2069"/>
      <c r="F401" s="2069"/>
      <c r="G401" s="2069"/>
      <c r="H401" s="2069"/>
      <c r="I401"/>
      <c r="J401"/>
      <c r="K401"/>
    </row>
    <row r="402" spans="2:11" x14ac:dyDescent="0.2">
      <c r="B402" s="2069"/>
      <c r="C402" s="2069"/>
      <c r="D402" s="2069"/>
      <c r="E402" s="2069"/>
      <c r="F402" s="2069"/>
      <c r="G402" s="2069"/>
      <c r="H402" s="2069"/>
      <c r="I402"/>
      <c r="J402"/>
      <c r="K402"/>
    </row>
    <row r="403" spans="2:11" x14ac:dyDescent="0.2">
      <c r="B403" s="2069"/>
      <c r="C403" s="2069"/>
      <c r="D403" s="2069"/>
      <c r="E403" s="2069"/>
      <c r="F403" s="2069"/>
      <c r="G403" s="2069"/>
      <c r="H403" s="2069"/>
      <c r="I403"/>
      <c r="J403"/>
      <c r="K403"/>
    </row>
    <row r="404" spans="2:11" x14ac:dyDescent="0.2">
      <c r="B404" s="2069"/>
      <c r="C404" s="2069"/>
      <c r="D404" s="2069"/>
      <c r="E404" s="2069"/>
      <c r="F404" s="2069"/>
      <c r="G404" s="2069"/>
      <c r="H404" s="2069"/>
      <c r="I404"/>
      <c r="J404"/>
      <c r="K404"/>
    </row>
    <row r="405" spans="2:11" x14ac:dyDescent="0.2">
      <c r="B405" s="2069"/>
      <c r="C405" s="2069"/>
      <c r="D405" s="2069"/>
      <c r="E405" s="2069"/>
      <c r="F405" s="2069"/>
      <c r="G405" s="2069"/>
      <c r="H405" s="2069"/>
      <c r="I405"/>
      <c r="J405"/>
      <c r="K405"/>
    </row>
    <row r="406" spans="2:11" x14ac:dyDescent="0.2">
      <c r="B406" s="2069"/>
      <c r="C406" s="2069"/>
      <c r="D406" s="2069"/>
      <c r="E406" s="2069"/>
      <c r="F406" s="2069"/>
      <c r="G406" s="2069"/>
      <c r="H406" s="2069"/>
      <c r="I406"/>
      <c r="J406"/>
      <c r="K406"/>
    </row>
    <row r="407" spans="2:11" x14ac:dyDescent="0.2">
      <c r="B407" s="2069"/>
      <c r="C407" s="2069"/>
      <c r="D407" s="2069"/>
      <c r="E407" s="2069"/>
      <c r="F407" s="2069"/>
      <c r="G407" s="2069"/>
      <c r="H407" s="2069"/>
      <c r="I407"/>
      <c r="J407"/>
      <c r="K407"/>
    </row>
    <row r="408" spans="2:11" x14ac:dyDescent="0.2">
      <c r="B408" s="2069"/>
      <c r="C408" s="2069"/>
      <c r="D408" s="2069"/>
      <c r="E408" s="2069"/>
      <c r="F408" s="2069"/>
      <c r="G408" s="2069"/>
      <c r="H408" s="2069"/>
      <c r="I408"/>
      <c r="J408"/>
      <c r="K408"/>
    </row>
    <row r="409" spans="2:11" x14ac:dyDescent="0.2">
      <c r="B409" s="2069"/>
      <c r="C409" s="2069"/>
      <c r="D409" s="2069"/>
      <c r="E409" s="2069"/>
      <c r="F409" s="2069"/>
      <c r="G409" s="2069"/>
      <c r="H409" s="2069"/>
      <c r="I409"/>
      <c r="J409"/>
      <c r="K409"/>
    </row>
    <row r="410" spans="2:11" x14ac:dyDescent="0.2">
      <c r="B410" s="2069"/>
      <c r="C410" s="2069"/>
      <c r="D410" s="2069"/>
      <c r="E410" s="2069"/>
      <c r="F410" s="2069"/>
      <c r="G410" s="2069"/>
      <c r="H410" s="2069"/>
      <c r="I410"/>
      <c r="J410"/>
      <c r="K410"/>
    </row>
    <row r="411" spans="2:11" x14ac:dyDescent="0.2">
      <c r="B411" s="2069"/>
      <c r="C411" s="2069"/>
      <c r="D411" s="2069"/>
      <c r="E411" s="2069"/>
      <c r="F411" s="2069"/>
      <c r="G411" s="2069"/>
      <c r="H411" s="2069"/>
      <c r="I411"/>
      <c r="J411"/>
      <c r="K411"/>
    </row>
    <row r="412" spans="2:11" x14ac:dyDescent="0.2">
      <c r="B412" s="2069"/>
      <c r="C412" s="2069"/>
      <c r="D412" s="2069"/>
      <c r="E412" s="2069"/>
      <c r="F412" s="2069"/>
      <c r="G412" s="2069"/>
      <c r="H412" s="2069"/>
      <c r="I412"/>
      <c r="J412"/>
      <c r="K412"/>
    </row>
    <row r="413" spans="2:11" x14ac:dyDescent="0.2">
      <c r="B413" s="2069"/>
      <c r="C413" s="2069"/>
      <c r="D413" s="2069"/>
      <c r="E413" s="2069"/>
      <c r="F413" s="2069"/>
      <c r="G413" s="2069"/>
      <c r="H413" s="2069"/>
      <c r="I413"/>
      <c r="J413"/>
      <c r="K413"/>
    </row>
    <row r="414" spans="2:11" x14ac:dyDescent="0.2">
      <c r="B414" s="2069"/>
      <c r="C414" s="2069"/>
      <c r="D414" s="2069"/>
      <c r="E414" s="2069"/>
      <c r="F414" s="2069"/>
      <c r="G414" s="2069"/>
      <c r="H414" s="2069"/>
      <c r="I414"/>
      <c r="J414"/>
      <c r="K414"/>
    </row>
    <row r="415" spans="2:11" x14ac:dyDescent="0.2">
      <c r="B415" s="2069"/>
      <c r="C415" s="2069"/>
      <c r="D415" s="2069"/>
      <c r="E415" s="2069"/>
      <c r="F415" s="2069"/>
      <c r="G415" s="2069"/>
      <c r="H415" s="2069"/>
      <c r="I415"/>
      <c r="J415"/>
      <c r="K415"/>
    </row>
    <row r="416" spans="2:11" x14ac:dyDescent="0.2">
      <c r="B416" s="2069"/>
      <c r="C416" s="2069"/>
      <c r="D416" s="2069"/>
      <c r="E416" s="2069"/>
      <c r="F416" s="2069"/>
      <c r="G416" s="2069"/>
      <c r="H416" s="2069"/>
      <c r="I416"/>
      <c r="J416"/>
      <c r="K416"/>
    </row>
    <row r="417" spans="2:11" x14ac:dyDescent="0.2">
      <c r="B417" s="2069"/>
      <c r="C417" s="2069"/>
      <c r="D417" s="2069"/>
      <c r="E417" s="2069"/>
      <c r="F417" s="2069"/>
      <c r="G417" s="2069"/>
      <c r="H417" s="2069"/>
      <c r="I417"/>
      <c r="J417"/>
      <c r="K417"/>
    </row>
    <row r="418" spans="2:11" x14ac:dyDescent="0.2">
      <c r="B418" s="2069"/>
      <c r="C418" s="2069"/>
      <c r="D418" s="2069"/>
      <c r="E418" s="2069"/>
      <c r="F418" s="2069"/>
      <c r="G418" s="2069"/>
      <c r="H418" s="2069"/>
      <c r="I418"/>
      <c r="J418"/>
      <c r="K418"/>
    </row>
    <row r="419" spans="2:11" x14ac:dyDescent="0.2">
      <c r="B419" s="2069"/>
      <c r="C419" s="2069"/>
      <c r="D419" s="2069"/>
      <c r="E419" s="2069"/>
      <c r="F419" s="2069"/>
      <c r="G419" s="2069"/>
      <c r="H419" s="2069"/>
      <c r="I419"/>
      <c r="J419"/>
      <c r="K419"/>
    </row>
    <row r="420" spans="2:11" x14ac:dyDescent="0.2">
      <c r="B420" s="2069"/>
      <c r="C420" s="2069"/>
      <c r="D420" s="2069"/>
      <c r="E420" s="2069"/>
      <c r="F420" s="2069"/>
      <c r="G420" s="2069"/>
      <c r="H420" s="2069"/>
      <c r="I420"/>
      <c r="J420"/>
      <c r="K420"/>
    </row>
    <row r="421" spans="2:11" x14ac:dyDescent="0.2">
      <c r="B421" s="2069"/>
      <c r="C421" s="2069"/>
      <c r="D421" s="2069"/>
      <c r="E421" s="2069"/>
      <c r="F421" s="2069"/>
      <c r="G421" s="2069"/>
      <c r="H421" s="2069"/>
      <c r="I421"/>
      <c r="J421"/>
      <c r="K421"/>
    </row>
    <row r="422" spans="2:11" x14ac:dyDescent="0.2">
      <c r="B422" s="2069"/>
      <c r="C422" s="2069"/>
      <c r="D422" s="2069"/>
      <c r="E422" s="2069"/>
      <c r="F422" s="2069"/>
      <c r="G422" s="2069"/>
      <c r="H422" s="2069"/>
      <c r="I422"/>
      <c r="J422"/>
      <c r="K422"/>
    </row>
    <row r="423" spans="2:11" x14ac:dyDescent="0.2">
      <c r="B423" s="2069"/>
      <c r="C423" s="2069"/>
      <c r="D423" s="2069"/>
      <c r="E423" s="2069"/>
      <c r="F423" s="2069"/>
      <c r="G423" s="2069"/>
      <c r="H423" s="2069"/>
      <c r="I423"/>
      <c r="J423"/>
      <c r="K423"/>
    </row>
    <row r="424" spans="2:11" x14ac:dyDescent="0.2">
      <c r="B424" s="2069"/>
      <c r="C424" s="2069"/>
      <c r="D424" s="2069"/>
      <c r="E424" s="2069"/>
      <c r="F424" s="2069"/>
      <c r="G424" s="2069"/>
      <c r="H424" s="2069"/>
      <c r="I424"/>
      <c r="J424"/>
      <c r="K424"/>
    </row>
    <row r="425" spans="2:11" x14ac:dyDescent="0.2">
      <c r="B425" s="2069"/>
      <c r="C425" s="2069"/>
      <c r="D425" s="2069"/>
      <c r="E425" s="2069"/>
      <c r="F425" s="2069"/>
      <c r="G425" s="2069"/>
      <c r="H425" s="2069"/>
      <c r="I425"/>
      <c r="J425"/>
      <c r="K425"/>
    </row>
    <row r="426" spans="2:11" x14ac:dyDescent="0.2">
      <c r="B426" s="2069"/>
      <c r="C426" s="2069"/>
      <c r="D426" s="2069"/>
      <c r="E426" s="2069"/>
      <c r="F426" s="2069"/>
      <c r="G426" s="2069"/>
      <c r="H426" s="2069"/>
      <c r="I426"/>
      <c r="J426"/>
      <c r="K426"/>
    </row>
    <row r="427" spans="2:11" x14ac:dyDescent="0.2">
      <c r="B427" s="2069"/>
      <c r="C427" s="2069"/>
      <c r="D427" s="2069"/>
      <c r="E427" s="2069"/>
      <c r="F427" s="2069"/>
      <c r="G427" s="2069"/>
      <c r="H427" s="2069"/>
      <c r="I427"/>
      <c r="J427"/>
      <c r="K427"/>
    </row>
    <row r="428" spans="2:11" x14ac:dyDescent="0.2">
      <c r="B428" s="2069"/>
      <c r="C428" s="2069"/>
      <c r="D428" s="2069"/>
      <c r="E428" s="2069"/>
      <c r="F428" s="2069"/>
      <c r="G428" s="2069"/>
      <c r="H428" s="2069"/>
      <c r="I428"/>
      <c r="J428"/>
      <c r="K428"/>
    </row>
    <row r="429" spans="2:11" x14ac:dyDescent="0.2">
      <c r="B429" s="2069"/>
      <c r="C429" s="2069"/>
      <c r="D429" s="2069"/>
      <c r="E429" s="2069"/>
      <c r="F429" s="2069"/>
      <c r="G429" s="2069"/>
      <c r="H429" s="2069"/>
      <c r="I429"/>
      <c r="J429"/>
      <c r="K429"/>
    </row>
    <row r="430" spans="2:11" x14ac:dyDescent="0.2">
      <c r="B430" s="2069"/>
      <c r="C430" s="2069"/>
      <c r="D430" s="2069"/>
      <c r="E430" s="2069"/>
      <c r="F430" s="2069"/>
      <c r="G430" s="2069"/>
      <c r="H430" s="2069"/>
      <c r="I430"/>
      <c r="J430"/>
      <c r="K430"/>
    </row>
    <row r="431" spans="2:11" x14ac:dyDescent="0.2">
      <c r="B431" s="2069"/>
      <c r="C431" s="2069"/>
      <c r="D431" s="2069"/>
      <c r="E431" s="2069"/>
      <c r="F431" s="2069"/>
      <c r="G431" s="2069"/>
      <c r="H431" s="2069"/>
      <c r="I431"/>
      <c r="J431"/>
      <c r="K431"/>
    </row>
    <row r="432" spans="2:11" x14ac:dyDescent="0.2">
      <c r="B432" s="2069"/>
      <c r="C432" s="2069"/>
      <c r="D432" s="2069"/>
      <c r="E432" s="2069"/>
      <c r="F432" s="2069"/>
      <c r="G432" s="2069"/>
      <c r="H432" s="2069"/>
      <c r="I432"/>
      <c r="J432"/>
      <c r="K432"/>
    </row>
    <row r="433" spans="2:11" x14ac:dyDescent="0.2">
      <c r="B433" s="2069"/>
      <c r="C433" s="2069"/>
      <c r="D433" s="2069"/>
      <c r="E433" s="2069"/>
      <c r="F433" s="2069"/>
      <c r="G433" s="2069"/>
      <c r="H433" s="2069"/>
      <c r="I433"/>
      <c r="J433"/>
      <c r="K433"/>
    </row>
    <row r="434" spans="2:11" x14ac:dyDescent="0.2">
      <c r="B434" s="2069"/>
      <c r="C434" s="2069"/>
      <c r="D434" s="2069"/>
      <c r="E434" s="2069"/>
      <c r="F434" s="2069"/>
      <c r="G434" s="2069"/>
      <c r="H434" s="2069"/>
      <c r="I434"/>
      <c r="J434"/>
      <c r="K434"/>
    </row>
    <row r="435" spans="2:11" x14ac:dyDescent="0.2">
      <c r="B435" s="2069"/>
      <c r="C435" s="2069"/>
      <c r="D435" s="2069"/>
      <c r="E435" s="2069"/>
      <c r="F435" s="2069"/>
      <c r="G435" s="2069"/>
      <c r="H435" s="2069"/>
      <c r="I435"/>
      <c r="J435"/>
      <c r="K435"/>
    </row>
    <row r="436" spans="2:11" x14ac:dyDescent="0.2">
      <c r="B436" s="2069"/>
      <c r="C436" s="2069"/>
      <c r="D436" s="2069"/>
      <c r="E436" s="2069"/>
      <c r="F436" s="2069"/>
      <c r="G436" s="2069"/>
      <c r="H436" s="2069"/>
      <c r="I436"/>
      <c r="J436"/>
      <c r="K436"/>
    </row>
    <row r="437" spans="2:11" x14ac:dyDescent="0.2">
      <c r="B437" s="2069"/>
      <c r="C437" s="2069"/>
      <c r="D437" s="2069"/>
      <c r="E437" s="2069"/>
      <c r="F437" s="2069"/>
      <c r="G437" s="2069"/>
      <c r="H437" s="2069"/>
      <c r="I437"/>
      <c r="J437"/>
      <c r="K437"/>
    </row>
    <row r="438" spans="2:11" x14ac:dyDescent="0.2">
      <c r="B438" s="2069"/>
      <c r="C438" s="2069"/>
      <c r="D438" s="2069"/>
      <c r="E438" s="2069"/>
      <c r="F438" s="2069"/>
      <c r="G438" s="2069"/>
      <c r="H438" s="2069"/>
      <c r="I438"/>
      <c r="J438"/>
      <c r="K438"/>
    </row>
    <row r="439" spans="2:11" x14ac:dyDescent="0.2">
      <c r="B439" s="2069"/>
      <c r="C439" s="2069"/>
      <c r="D439" s="2069"/>
      <c r="E439" s="2069"/>
      <c r="F439" s="2069"/>
      <c r="G439" s="2069"/>
      <c r="H439" s="2069"/>
      <c r="I439"/>
      <c r="J439"/>
      <c r="K439"/>
    </row>
    <row r="440" spans="2:11" x14ac:dyDescent="0.2">
      <c r="B440" s="2069"/>
      <c r="C440" s="2069"/>
      <c r="D440" s="2069"/>
      <c r="E440" s="2069"/>
      <c r="F440" s="2069"/>
      <c r="G440" s="2069"/>
      <c r="H440" s="2069"/>
      <c r="I440"/>
      <c r="J440"/>
      <c r="K440"/>
    </row>
    <row r="441" spans="2:11" x14ac:dyDescent="0.2">
      <c r="B441" s="2069"/>
      <c r="C441" s="2069"/>
      <c r="D441" s="2069"/>
      <c r="E441" s="2069"/>
      <c r="F441" s="2069"/>
      <c r="G441" s="2069"/>
      <c r="H441" s="2069"/>
      <c r="I441"/>
      <c r="J441"/>
      <c r="K441"/>
    </row>
    <row r="442" spans="2:11" x14ac:dyDescent="0.2">
      <c r="B442" s="2069"/>
      <c r="C442" s="2069"/>
      <c r="D442" s="2069"/>
      <c r="E442" s="2069"/>
      <c r="F442" s="2069"/>
      <c r="G442" s="2069"/>
      <c r="H442" s="2069"/>
      <c r="I442"/>
      <c r="J442"/>
      <c r="K442"/>
    </row>
    <row r="443" spans="2:11" x14ac:dyDescent="0.2">
      <c r="B443" s="2069"/>
      <c r="C443" s="2069"/>
      <c r="D443" s="2069"/>
      <c r="E443" s="2069"/>
      <c r="F443" s="2069"/>
      <c r="G443" s="2069"/>
      <c r="H443" s="2069"/>
      <c r="I443"/>
      <c r="J443"/>
      <c r="K443"/>
    </row>
    <row r="444" spans="2:11" x14ac:dyDescent="0.2">
      <c r="B444" s="2069"/>
      <c r="C444" s="2069"/>
      <c r="D444" s="2069"/>
      <c r="E444" s="2069"/>
      <c r="F444" s="2069"/>
      <c r="G444" s="2069"/>
      <c r="H444" s="2069"/>
      <c r="I444"/>
      <c r="J444"/>
      <c r="K444"/>
    </row>
    <row r="445" spans="2:11" x14ac:dyDescent="0.2">
      <c r="B445" s="2069"/>
      <c r="C445" s="2069"/>
      <c r="D445" s="2069"/>
      <c r="E445" s="2069"/>
      <c r="F445" s="2069"/>
      <c r="G445" s="2069"/>
      <c r="H445" s="2069"/>
      <c r="I445"/>
      <c r="J445"/>
      <c r="K445"/>
    </row>
    <row r="446" spans="2:11" x14ac:dyDescent="0.2">
      <c r="B446" s="2069"/>
      <c r="C446" s="2069"/>
      <c r="D446" s="2069"/>
      <c r="E446" s="2069"/>
      <c r="F446" s="2069"/>
      <c r="G446" s="2069"/>
      <c r="H446" s="2069"/>
      <c r="I446"/>
      <c r="J446"/>
      <c r="K446"/>
    </row>
    <row r="447" spans="2:11" x14ac:dyDescent="0.2">
      <c r="B447" s="2069"/>
      <c r="C447" s="2069"/>
      <c r="D447" s="2069"/>
      <c r="E447" s="2069"/>
      <c r="F447" s="2069"/>
      <c r="G447" s="2069"/>
      <c r="H447" s="2069"/>
      <c r="I447"/>
      <c r="J447"/>
      <c r="K447"/>
    </row>
    <row r="448" spans="2:11" x14ac:dyDescent="0.2">
      <c r="B448" s="2069"/>
      <c r="C448" s="2069"/>
      <c r="D448" s="2069"/>
      <c r="E448" s="2069"/>
      <c r="F448" s="2069"/>
      <c r="G448" s="2069"/>
      <c r="H448" s="2069"/>
      <c r="I448"/>
      <c r="J448"/>
      <c r="K448"/>
    </row>
    <row r="449" spans="2:11" x14ac:dyDescent="0.2">
      <c r="B449" s="2069"/>
      <c r="C449" s="2069"/>
      <c r="D449" s="2069"/>
      <c r="E449" s="2069"/>
      <c r="F449" s="2069"/>
      <c r="G449" s="2069"/>
      <c r="H449" s="2069"/>
      <c r="I449"/>
      <c r="J449"/>
      <c r="K449"/>
    </row>
    <row r="450" spans="2:11" x14ac:dyDescent="0.2">
      <c r="B450" s="2069"/>
      <c r="C450" s="2069"/>
      <c r="D450" s="2069"/>
      <c r="E450" s="2069"/>
      <c r="F450" s="2069"/>
      <c r="G450" s="2069"/>
      <c r="H450" s="2069"/>
      <c r="I450"/>
      <c r="J450"/>
      <c r="K450"/>
    </row>
    <row r="451" spans="2:11" x14ac:dyDescent="0.2">
      <c r="B451" s="2069"/>
      <c r="C451" s="2069"/>
      <c r="D451" s="2069"/>
      <c r="E451" s="2069"/>
      <c r="F451" s="2069"/>
      <c r="G451" s="2069"/>
      <c r="H451" s="2069"/>
      <c r="I451"/>
      <c r="J451"/>
      <c r="K451"/>
    </row>
    <row r="452" spans="2:11" x14ac:dyDescent="0.2">
      <c r="B452" s="2069"/>
      <c r="C452" s="2069"/>
      <c r="D452" s="2069"/>
      <c r="E452" s="2069"/>
      <c r="F452" s="2069"/>
      <c r="G452" s="2069"/>
      <c r="H452" s="2069"/>
      <c r="I452"/>
      <c r="J452"/>
      <c r="K452"/>
    </row>
    <row r="453" spans="2:11" x14ac:dyDescent="0.2">
      <c r="B453" s="2069"/>
      <c r="C453" s="2069"/>
      <c r="D453" s="2069"/>
      <c r="E453" s="2069"/>
      <c r="F453" s="2069"/>
      <c r="G453" s="2069"/>
      <c r="H453" s="2069"/>
      <c r="I453"/>
      <c r="J453"/>
      <c r="K453"/>
    </row>
    <row r="454" spans="2:11" x14ac:dyDescent="0.2">
      <c r="B454" s="2069"/>
      <c r="C454" s="2069"/>
      <c r="D454" s="2069"/>
      <c r="E454" s="2069"/>
      <c r="F454" s="2069"/>
      <c r="G454" s="2069"/>
      <c r="H454" s="2069"/>
      <c r="I454"/>
      <c r="J454"/>
      <c r="K454"/>
    </row>
    <row r="455" spans="2:11" x14ac:dyDescent="0.2">
      <c r="B455" s="2069"/>
      <c r="C455" s="2069"/>
      <c r="D455" s="2069"/>
      <c r="E455" s="2069"/>
      <c r="F455" s="2069"/>
      <c r="G455" s="2069"/>
      <c r="H455" s="2069"/>
      <c r="I455"/>
      <c r="J455"/>
      <c r="K455"/>
    </row>
    <row r="456" spans="2:11" x14ac:dyDescent="0.2">
      <c r="B456" s="2069"/>
      <c r="C456" s="2069"/>
      <c r="D456" s="2069"/>
      <c r="E456" s="2069"/>
      <c r="F456" s="2069"/>
      <c r="G456" s="2069"/>
      <c r="H456" s="2069"/>
      <c r="I456"/>
      <c r="J456"/>
      <c r="K456"/>
    </row>
    <row r="457" spans="2:11" x14ac:dyDescent="0.2">
      <c r="B457" s="2069"/>
      <c r="C457" s="2069"/>
      <c r="D457" s="2069"/>
      <c r="E457" s="2069"/>
      <c r="F457" s="2069"/>
      <c r="G457" s="2069"/>
      <c r="H457" s="2069"/>
      <c r="I457"/>
      <c r="J457"/>
      <c r="K457"/>
    </row>
    <row r="458" spans="2:11" x14ac:dyDescent="0.2">
      <c r="B458" s="2069"/>
      <c r="C458" s="2069"/>
      <c r="D458" s="2069"/>
      <c r="E458" s="2069"/>
      <c r="F458" s="2069"/>
      <c r="G458" s="2069"/>
      <c r="H458" s="2069"/>
      <c r="I458"/>
      <c r="J458"/>
      <c r="K458"/>
    </row>
    <row r="459" spans="2:11" x14ac:dyDescent="0.2">
      <c r="B459" s="2069"/>
      <c r="C459" s="2069"/>
      <c r="D459" s="2069"/>
      <c r="E459" s="2069"/>
      <c r="F459" s="2069"/>
      <c r="G459" s="2069"/>
      <c r="H459" s="2069"/>
      <c r="I459"/>
      <c r="J459"/>
      <c r="K459"/>
    </row>
    <row r="460" spans="2:11" x14ac:dyDescent="0.2">
      <c r="B460" s="2069"/>
      <c r="C460" s="2069"/>
      <c r="D460" s="2069"/>
      <c r="E460" s="2069"/>
      <c r="F460" s="2069"/>
      <c r="G460" s="2069"/>
      <c r="H460" s="2069"/>
      <c r="I460"/>
      <c r="J460"/>
      <c r="K460"/>
    </row>
    <row r="461" spans="2:11" x14ac:dyDescent="0.2">
      <c r="B461" s="2069"/>
      <c r="C461" s="2069"/>
      <c r="D461" s="2069"/>
      <c r="E461" s="2069"/>
      <c r="F461" s="2069"/>
      <c r="G461" s="2069"/>
      <c r="H461" s="2069"/>
      <c r="I461"/>
      <c r="J461"/>
      <c r="K461"/>
    </row>
    <row r="462" spans="2:11" x14ac:dyDescent="0.2">
      <c r="B462" s="2069"/>
      <c r="C462" s="2069"/>
      <c r="D462" s="2069"/>
      <c r="E462" s="2069"/>
      <c r="F462" s="2069"/>
      <c r="G462" s="2069"/>
      <c r="H462" s="2069"/>
      <c r="I462"/>
      <c r="J462"/>
      <c r="K462"/>
    </row>
    <row r="463" spans="2:11" x14ac:dyDescent="0.2">
      <c r="B463" s="2069"/>
      <c r="C463" s="2069"/>
      <c r="D463" s="2069"/>
      <c r="E463" s="2069"/>
      <c r="F463" s="2069"/>
      <c r="G463" s="2069"/>
      <c r="H463" s="2069"/>
      <c r="I463"/>
      <c r="J463"/>
      <c r="K463"/>
    </row>
    <row r="464" spans="2:11" x14ac:dyDescent="0.2">
      <c r="B464" s="2069"/>
      <c r="C464" s="2069"/>
      <c r="D464" s="2069"/>
      <c r="E464" s="2069"/>
      <c r="F464" s="2069"/>
      <c r="G464" s="2069"/>
      <c r="H464" s="2069"/>
      <c r="I464"/>
      <c r="J464"/>
      <c r="K464"/>
    </row>
    <row r="465" spans="2:11" x14ac:dyDescent="0.2">
      <c r="B465" s="2069"/>
      <c r="C465" s="2069"/>
      <c r="D465" s="2069"/>
      <c r="E465" s="2069"/>
      <c r="F465" s="2069"/>
      <c r="G465" s="2069"/>
      <c r="H465" s="2069"/>
      <c r="I465"/>
      <c r="J465"/>
      <c r="K465"/>
    </row>
    <row r="466" spans="2:11" x14ac:dyDescent="0.2">
      <c r="B466" s="2069"/>
      <c r="C466" s="2069"/>
      <c r="D466" s="2069"/>
      <c r="E466" s="2069"/>
      <c r="F466" s="2069"/>
      <c r="G466" s="2069"/>
      <c r="H466" s="2069"/>
      <c r="I466"/>
      <c r="J466"/>
      <c r="K466"/>
    </row>
    <row r="467" spans="2:11" x14ac:dyDescent="0.2">
      <c r="B467" s="2069"/>
      <c r="C467" s="2069"/>
      <c r="D467" s="2069"/>
      <c r="E467" s="2069"/>
      <c r="F467" s="2069"/>
      <c r="G467" s="2069"/>
      <c r="H467" s="2069"/>
      <c r="I467"/>
      <c r="J467"/>
      <c r="K467"/>
    </row>
    <row r="468" spans="2:11" x14ac:dyDescent="0.2">
      <c r="B468" s="2069"/>
      <c r="C468" s="2069"/>
      <c r="D468" s="2069"/>
      <c r="E468" s="2069"/>
      <c r="F468" s="2069"/>
      <c r="G468" s="2069"/>
      <c r="H468" s="2069"/>
      <c r="I468"/>
      <c r="J468"/>
      <c r="K468"/>
    </row>
    <row r="469" spans="2:11" x14ac:dyDescent="0.2">
      <c r="B469" s="2069"/>
      <c r="C469" s="2069"/>
      <c r="D469" s="2069"/>
      <c r="E469" s="2069"/>
      <c r="F469" s="2069"/>
      <c r="G469" s="2069"/>
      <c r="H469" s="2069"/>
      <c r="I469"/>
      <c r="J469"/>
      <c r="K469"/>
    </row>
    <row r="470" spans="2:11" x14ac:dyDescent="0.2">
      <c r="B470" s="2069"/>
      <c r="C470" s="2069"/>
      <c r="D470" s="2069"/>
      <c r="E470" s="2069"/>
      <c r="F470" s="2069"/>
      <c r="G470" s="2069"/>
      <c r="H470" s="2069"/>
      <c r="I470"/>
      <c r="J470"/>
      <c r="K470"/>
    </row>
    <row r="471" spans="2:11" x14ac:dyDescent="0.2">
      <c r="B471" s="2069"/>
      <c r="C471" s="2069"/>
      <c r="D471" s="2069"/>
      <c r="E471" s="2069"/>
      <c r="F471" s="2069"/>
      <c r="G471" s="2069"/>
      <c r="H471" s="2069"/>
      <c r="I471"/>
      <c r="J471"/>
      <c r="K471"/>
    </row>
    <row r="472" spans="2:11" x14ac:dyDescent="0.2">
      <c r="B472" s="2069"/>
      <c r="C472" s="2069"/>
      <c r="D472" s="2069"/>
      <c r="E472" s="2069"/>
      <c r="F472" s="2069"/>
      <c r="G472" s="2069"/>
      <c r="H472" s="2069"/>
      <c r="I472"/>
      <c r="J472"/>
      <c r="K472"/>
    </row>
    <row r="473" spans="2:11" x14ac:dyDescent="0.2">
      <c r="B473" s="2069"/>
      <c r="C473" s="2069"/>
      <c r="D473" s="2069"/>
      <c r="E473" s="2069"/>
      <c r="F473" s="2069"/>
      <c r="G473" s="2069"/>
      <c r="H473" s="2069"/>
      <c r="I473"/>
      <c r="J473"/>
      <c r="K473"/>
    </row>
    <row r="474" spans="2:11" x14ac:dyDescent="0.2">
      <c r="B474" s="2069"/>
      <c r="C474" s="2069"/>
      <c r="D474" s="2069"/>
      <c r="E474" s="2069"/>
      <c r="F474" s="2069"/>
      <c r="G474" s="2069"/>
      <c r="H474" s="2069"/>
      <c r="I474"/>
      <c r="J474"/>
      <c r="K474"/>
    </row>
    <row r="475" spans="2:11" x14ac:dyDescent="0.2">
      <c r="B475" s="2069"/>
      <c r="C475" s="2069"/>
      <c r="D475" s="2069"/>
      <c r="E475" s="2069"/>
      <c r="F475" s="2069"/>
      <c r="G475" s="2069"/>
      <c r="H475" s="2069"/>
      <c r="I475"/>
      <c r="J475"/>
      <c r="K475"/>
    </row>
    <row r="476" spans="2:11" x14ac:dyDescent="0.2">
      <c r="B476" s="2069"/>
      <c r="C476" s="2069"/>
      <c r="D476" s="2069"/>
      <c r="E476" s="2069"/>
      <c r="F476" s="2069"/>
      <c r="G476" s="2069"/>
      <c r="H476" s="2069"/>
      <c r="I476"/>
      <c r="J476"/>
      <c r="K476"/>
    </row>
    <row r="477" spans="2:11" x14ac:dyDescent="0.2">
      <c r="B477" s="2069"/>
      <c r="C477" s="2069"/>
      <c r="D477" s="2069"/>
      <c r="E477" s="2069"/>
      <c r="F477" s="2069"/>
      <c r="G477" s="2069"/>
      <c r="H477" s="2069"/>
      <c r="I477"/>
      <c r="J477"/>
      <c r="K477"/>
    </row>
    <row r="478" spans="2:11" x14ac:dyDescent="0.2">
      <c r="B478" s="2069"/>
      <c r="C478" s="2069"/>
      <c r="D478" s="2069"/>
      <c r="E478" s="2069"/>
      <c r="F478" s="2069"/>
      <c r="G478" s="2069"/>
      <c r="H478" s="2069"/>
      <c r="I478"/>
      <c r="J478"/>
      <c r="K478"/>
    </row>
    <row r="479" spans="2:11" x14ac:dyDescent="0.2">
      <c r="B479" s="2069"/>
      <c r="C479" s="2069"/>
      <c r="D479" s="2069"/>
      <c r="E479" s="2069"/>
      <c r="F479" s="2069"/>
      <c r="G479" s="2069"/>
      <c r="H479" s="2069"/>
      <c r="I479"/>
      <c r="J479"/>
      <c r="K479"/>
    </row>
    <row r="480" spans="2:11" x14ac:dyDescent="0.2">
      <c r="B480" s="2069"/>
      <c r="C480" s="2069"/>
      <c r="D480" s="2069"/>
      <c r="E480" s="2069"/>
      <c r="F480" s="2069"/>
      <c r="G480" s="2069"/>
      <c r="H480" s="2069"/>
      <c r="I480"/>
      <c r="J480"/>
      <c r="K480"/>
    </row>
    <row r="481" spans="2:11" x14ac:dyDescent="0.2">
      <c r="B481" s="2069"/>
      <c r="C481" s="2069"/>
      <c r="D481" s="2069"/>
      <c r="E481" s="2069"/>
      <c r="F481" s="2069"/>
      <c r="G481" s="2069"/>
      <c r="H481" s="2069"/>
      <c r="I481"/>
      <c r="J481"/>
      <c r="K481"/>
    </row>
    <row r="482" spans="2:11" x14ac:dyDescent="0.2">
      <c r="B482" s="2069"/>
      <c r="C482" s="2069"/>
      <c r="D482" s="2069"/>
      <c r="E482" s="2069"/>
      <c r="F482" s="2069"/>
      <c r="G482" s="2069"/>
      <c r="H482" s="2069"/>
      <c r="I482"/>
      <c r="J482"/>
      <c r="K482"/>
    </row>
    <row r="483" spans="2:11" x14ac:dyDescent="0.2">
      <c r="B483" s="2069"/>
      <c r="C483" s="2069"/>
      <c r="D483" s="2069"/>
      <c r="E483" s="2069"/>
      <c r="F483" s="2069"/>
      <c r="G483" s="2069"/>
      <c r="H483" s="2069"/>
      <c r="I483"/>
      <c r="J483"/>
      <c r="K483"/>
    </row>
    <row r="484" spans="2:11" x14ac:dyDescent="0.2">
      <c r="B484" s="2069"/>
      <c r="C484" s="2069"/>
      <c r="D484" s="2069"/>
      <c r="E484" s="2069"/>
      <c r="F484" s="2069"/>
      <c r="G484" s="2069"/>
      <c r="H484" s="2069"/>
      <c r="I484"/>
      <c r="J484"/>
      <c r="K484"/>
    </row>
    <row r="485" spans="2:11" x14ac:dyDescent="0.2">
      <c r="B485" s="2069"/>
      <c r="C485" s="2069"/>
      <c r="D485" s="2069"/>
      <c r="E485" s="2069"/>
      <c r="F485" s="2069"/>
      <c r="G485" s="2069"/>
      <c r="H485" s="2069"/>
      <c r="I485"/>
      <c r="J485"/>
      <c r="K485"/>
    </row>
    <row r="486" spans="2:11" x14ac:dyDescent="0.2">
      <c r="B486" s="2069"/>
      <c r="C486" s="2069"/>
      <c r="D486" s="2069"/>
      <c r="E486" s="2069"/>
      <c r="F486" s="2069"/>
      <c r="G486" s="2069"/>
      <c r="H486" s="2069"/>
      <c r="I486"/>
      <c r="J486"/>
      <c r="K486"/>
    </row>
    <row r="487" spans="2:11" x14ac:dyDescent="0.2">
      <c r="B487" s="2069"/>
      <c r="C487" s="2069"/>
      <c r="D487" s="2069"/>
      <c r="E487" s="2069"/>
      <c r="F487" s="2069"/>
      <c r="G487" s="2069"/>
      <c r="H487" s="2069"/>
      <c r="I487"/>
      <c r="J487"/>
      <c r="K487"/>
    </row>
    <row r="488" spans="2:11" x14ac:dyDescent="0.2">
      <c r="B488" s="2069"/>
      <c r="C488" s="2069"/>
      <c r="D488" s="2069"/>
      <c r="E488" s="2069"/>
      <c r="F488" s="2069"/>
      <c r="G488" s="2069"/>
      <c r="H488" s="2069"/>
      <c r="I488"/>
      <c r="J488"/>
      <c r="K488"/>
    </row>
    <row r="489" spans="2:11" x14ac:dyDescent="0.2">
      <c r="B489" s="2069"/>
      <c r="C489" s="2069"/>
      <c r="D489" s="2069"/>
      <c r="E489" s="2069"/>
      <c r="F489" s="2069"/>
      <c r="G489" s="2069"/>
      <c r="H489" s="2069"/>
      <c r="I489"/>
      <c r="J489"/>
      <c r="K489"/>
    </row>
    <row r="490" spans="2:11" x14ac:dyDescent="0.2">
      <c r="B490" s="2069"/>
      <c r="C490" s="2069"/>
      <c r="D490" s="2069"/>
      <c r="E490" s="2069"/>
      <c r="F490" s="2069"/>
      <c r="G490" s="2069"/>
      <c r="H490" s="2069"/>
      <c r="I490"/>
      <c r="J490"/>
      <c r="K490"/>
    </row>
    <row r="491" spans="2:11" x14ac:dyDescent="0.2">
      <c r="B491" s="2069"/>
      <c r="C491" s="2069"/>
      <c r="D491" s="2069"/>
      <c r="E491" s="2069"/>
      <c r="F491" s="2069"/>
      <c r="G491" s="2069"/>
      <c r="H491" s="2069"/>
      <c r="I491"/>
      <c r="J491"/>
      <c r="K491"/>
    </row>
    <row r="492" spans="2:11" x14ac:dyDescent="0.2">
      <c r="B492" s="2069"/>
      <c r="C492" s="2069"/>
      <c r="D492" s="2069"/>
      <c r="E492" s="2069"/>
      <c r="F492" s="2069"/>
      <c r="G492" s="2069"/>
      <c r="H492" s="2069"/>
      <c r="I492"/>
      <c r="J492"/>
      <c r="K492"/>
    </row>
    <row r="493" spans="2:11" x14ac:dyDescent="0.2">
      <c r="B493" s="2069"/>
      <c r="C493" s="2069"/>
      <c r="D493" s="2069"/>
      <c r="E493" s="2069"/>
      <c r="F493" s="2069"/>
      <c r="G493" s="2069"/>
      <c r="H493" s="2069"/>
      <c r="I493"/>
      <c r="J493"/>
      <c r="K493"/>
    </row>
    <row r="494" spans="2:11" x14ac:dyDescent="0.2">
      <c r="B494" s="2069"/>
      <c r="C494" s="2069"/>
      <c r="D494" s="2069"/>
      <c r="E494" s="2069"/>
      <c r="F494" s="2069"/>
      <c r="G494" s="2069"/>
      <c r="H494" s="2069"/>
      <c r="I494"/>
      <c r="J494"/>
      <c r="K494"/>
    </row>
    <row r="495" spans="2:11" x14ac:dyDescent="0.2">
      <c r="B495" s="2069"/>
      <c r="C495" s="2069"/>
      <c r="D495" s="2069"/>
      <c r="E495" s="2069"/>
      <c r="F495" s="2069"/>
      <c r="G495" s="2069"/>
      <c r="H495" s="2069"/>
      <c r="I495"/>
      <c r="J495"/>
      <c r="K495"/>
    </row>
    <row r="496" spans="2:11" x14ac:dyDescent="0.2">
      <c r="B496" s="2069"/>
      <c r="C496" s="2069"/>
      <c r="D496" s="2069"/>
      <c r="E496" s="2069"/>
      <c r="F496" s="2069"/>
      <c r="G496" s="2069"/>
      <c r="H496" s="2069"/>
      <c r="I496"/>
      <c r="J496"/>
      <c r="K496"/>
    </row>
    <row r="497" spans="2:11" x14ac:dyDescent="0.2">
      <c r="B497" s="2069"/>
      <c r="C497" s="2069"/>
      <c r="D497" s="2069"/>
      <c r="E497" s="2069"/>
      <c r="F497" s="2069"/>
      <c r="G497" s="2069"/>
      <c r="H497" s="2069"/>
      <c r="I497"/>
      <c r="J497"/>
      <c r="K497"/>
    </row>
    <row r="498" spans="2:11" x14ac:dyDescent="0.2">
      <c r="B498" s="2069"/>
      <c r="C498" s="2069"/>
      <c r="D498" s="2069"/>
      <c r="E498" s="2069"/>
      <c r="F498" s="2069"/>
      <c r="G498" s="2069"/>
      <c r="H498" s="2069"/>
      <c r="I498"/>
      <c r="J498"/>
      <c r="K498"/>
    </row>
    <row r="499" spans="2:11" x14ac:dyDescent="0.2">
      <c r="B499" s="2069"/>
      <c r="C499" s="2069"/>
      <c r="D499" s="2069"/>
      <c r="E499" s="2069"/>
      <c r="F499" s="2069"/>
      <c r="G499" s="2069"/>
      <c r="H499" s="2069"/>
      <c r="I499"/>
      <c r="J499"/>
      <c r="K499"/>
    </row>
    <row r="500" spans="2:11" x14ac:dyDescent="0.2">
      <c r="B500" s="2069"/>
      <c r="C500" s="2069"/>
      <c r="D500" s="2069"/>
      <c r="E500" s="2069"/>
      <c r="F500" s="2069"/>
      <c r="G500" s="2069"/>
      <c r="H500" s="2069"/>
      <c r="I500"/>
      <c r="J500"/>
      <c r="K500"/>
    </row>
    <row r="501" spans="2:11" x14ac:dyDescent="0.2">
      <c r="B501" s="2069"/>
      <c r="C501" s="2069"/>
      <c r="D501" s="2069"/>
      <c r="E501" s="2069"/>
      <c r="F501" s="2069"/>
      <c r="G501" s="2069"/>
      <c r="H501" s="2069"/>
      <c r="I501"/>
      <c r="J501"/>
      <c r="K501"/>
    </row>
    <row r="502" spans="2:11" x14ac:dyDescent="0.2">
      <c r="B502" s="2069"/>
      <c r="C502" s="2069"/>
      <c r="D502" s="2069"/>
      <c r="E502" s="2069"/>
      <c r="F502" s="2069"/>
      <c r="G502" s="2069"/>
      <c r="H502" s="2069"/>
      <c r="I502"/>
      <c r="J502"/>
      <c r="K502"/>
    </row>
    <row r="503" spans="2:11" x14ac:dyDescent="0.2">
      <c r="B503" s="2069"/>
      <c r="C503" s="2069"/>
      <c r="D503" s="2069"/>
      <c r="E503" s="2069"/>
      <c r="F503" s="2069"/>
      <c r="G503" s="2069"/>
      <c r="H503" s="2069"/>
      <c r="I503"/>
      <c r="J503"/>
      <c r="K503"/>
    </row>
    <row r="504" spans="2:11" x14ac:dyDescent="0.2">
      <c r="B504" s="2069"/>
      <c r="C504" s="2069"/>
      <c r="D504" s="2069"/>
      <c r="E504" s="2069"/>
      <c r="F504" s="2069"/>
      <c r="G504" s="2069"/>
      <c r="H504" s="2069"/>
      <c r="I504"/>
      <c r="J504"/>
      <c r="K504"/>
    </row>
    <row r="505" spans="2:11" x14ac:dyDescent="0.2">
      <c r="B505" s="2069"/>
      <c r="C505" s="2069"/>
      <c r="D505" s="2069"/>
      <c r="E505" s="2069"/>
      <c r="F505" s="2069"/>
      <c r="G505" s="2069"/>
      <c r="H505" s="2069"/>
      <c r="I505"/>
      <c r="J505"/>
      <c r="K505"/>
    </row>
    <row r="506" spans="2:11" x14ac:dyDescent="0.2">
      <c r="B506" s="2069"/>
      <c r="C506" s="2069"/>
      <c r="D506" s="2069"/>
      <c r="E506" s="2069"/>
      <c r="F506" s="2069"/>
      <c r="G506" s="2069"/>
      <c r="H506" s="2069"/>
      <c r="I506"/>
      <c r="J506"/>
      <c r="K506"/>
    </row>
    <row r="507" spans="2:11" x14ac:dyDescent="0.2">
      <c r="B507" s="2069"/>
      <c r="C507" s="2069"/>
      <c r="D507" s="2069"/>
      <c r="E507" s="2069"/>
      <c r="F507" s="2069"/>
      <c r="G507" s="2069"/>
      <c r="H507" s="2069"/>
      <c r="I507"/>
      <c r="J507"/>
      <c r="K507"/>
    </row>
    <row r="508" spans="2:11" x14ac:dyDescent="0.2">
      <c r="B508" s="2069"/>
      <c r="C508" s="2069"/>
      <c r="D508" s="2069"/>
      <c r="E508" s="2069"/>
      <c r="F508" s="2069"/>
      <c r="G508" s="2069"/>
      <c r="H508" s="2069"/>
      <c r="I508"/>
      <c r="J508"/>
      <c r="K508"/>
    </row>
    <row r="509" spans="2:11" x14ac:dyDescent="0.2">
      <c r="B509" s="2069"/>
      <c r="C509" s="2069"/>
      <c r="D509" s="2069"/>
      <c r="E509" s="2069"/>
      <c r="F509" s="2069"/>
      <c r="G509" s="2069"/>
      <c r="H509" s="2069"/>
      <c r="I509"/>
      <c r="J509"/>
      <c r="K509"/>
    </row>
    <row r="510" spans="2:11" x14ac:dyDescent="0.2">
      <c r="B510" s="2069"/>
      <c r="C510" s="2069"/>
      <c r="D510" s="2069"/>
      <c r="E510" s="2069"/>
      <c r="F510" s="2069"/>
      <c r="G510" s="2069"/>
      <c r="H510" s="2069"/>
      <c r="I510"/>
      <c r="J510"/>
      <c r="K510"/>
    </row>
    <row r="511" spans="2:11" x14ac:dyDescent="0.2">
      <c r="B511" s="2069"/>
      <c r="C511" s="2069"/>
      <c r="D511" s="2069"/>
      <c r="E511" s="2069"/>
      <c r="F511" s="2069"/>
      <c r="G511" s="2069"/>
      <c r="H511" s="2069"/>
      <c r="I511"/>
      <c r="J511"/>
      <c r="K511"/>
    </row>
    <row r="512" spans="2:11" x14ac:dyDescent="0.2">
      <c r="B512" s="2069"/>
      <c r="C512" s="2069"/>
      <c r="D512" s="2069"/>
      <c r="E512" s="2069"/>
      <c r="F512" s="2069"/>
      <c r="G512" s="2069"/>
      <c r="H512" s="2069"/>
      <c r="I512"/>
      <c r="J512"/>
      <c r="K512"/>
    </row>
    <row r="513" spans="2:11" x14ac:dyDescent="0.2">
      <c r="B513" s="2069"/>
      <c r="C513" s="2069"/>
      <c r="D513" s="2069"/>
      <c r="E513" s="2069"/>
      <c r="F513" s="2069"/>
      <c r="G513" s="2069"/>
      <c r="H513" s="2069"/>
      <c r="I513"/>
      <c r="J513"/>
      <c r="K513"/>
    </row>
    <row r="514" spans="2:11" x14ac:dyDescent="0.2">
      <c r="B514" s="2069"/>
      <c r="C514" s="2069"/>
      <c r="D514" s="2069"/>
      <c r="E514" s="2069"/>
      <c r="F514" s="2069"/>
      <c r="G514" s="2069"/>
      <c r="H514" s="2069"/>
      <c r="I514"/>
      <c r="J514"/>
      <c r="K514"/>
    </row>
    <row r="515" spans="2:11" x14ac:dyDescent="0.2">
      <c r="B515" s="2069"/>
      <c r="C515" s="2069"/>
      <c r="D515" s="2069"/>
      <c r="E515" s="2069"/>
      <c r="F515" s="2069"/>
      <c r="G515" s="2069"/>
      <c r="H515" s="2069"/>
      <c r="I515"/>
      <c r="J515"/>
      <c r="K515"/>
    </row>
    <row r="516" spans="2:11" x14ac:dyDescent="0.2">
      <c r="B516" s="2069"/>
      <c r="C516" s="2069"/>
      <c r="D516" s="2069"/>
      <c r="E516" s="2069"/>
      <c r="F516" s="2069"/>
      <c r="G516" s="2069"/>
      <c r="H516" s="2069"/>
      <c r="I516"/>
      <c r="J516"/>
      <c r="K516"/>
    </row>
    <row r="517" spans="2:11" x14ac:dyDescent="0.2">
      <c r="B517" s="2069"/>
      <c r="C517" s="2069"/>
      <c r="D517" s="2069"/>
      <c r="E517" s="2069"/>
      <c r="F517" s="2069"/>
      <c r="G517" s="2069"/>
      <c r="H517" s="2069"/>
      <c r="I517"/>
      <c r="J517"/>
      <c r="K517"/>
    </row>
    <row r="518" spans="2:11" x14ac:dyDescent="0.2">
      <c r="B518" s="2069"/>
      <c r="C518" s="2069"/>
      <c r="D518" s="2069"/>
      <c r="E518" s="2069"/>
      <c r="F518" s="2069"/>
      <c r="G518" s="2069"/>
      <c r="H518" s="2069"/>
      <c r="I518"/>
      <c r="J518"/>
      <c r="K518"/>
    </row>
    <row r="519" spans="2:11" x14ac:dyDescent="0.2">
      <c r="B519" s="2069"/>
      <c r="C519" s="2069"/>
      <c r="D519" s="2069"/>
      <c r="E519" s="2069"/>
      <c r="F519" s="2069"/>
      <c r="G519" s="2069"/>
      <c r="H519" s="2069"/>
      <c r="I519"/>
      <c r="J519"/>
      <c r="K519"/>
    </row>
    <row r="520" spans="2:11" x14ac:dyDescent="0.2">
      <c r="B520" s="2069"/>
      <c r="C520" s="2069"/>
      <c r="D520" s="2069"/>
      <c r="E520" s="2069"/>
      <c r="F520" s="2069"/>
      <c r="G520" s="2069"/>
      <c r="H520" s="2069"/>
      <c r="I520"/>
      <c r="J520"/>
      <c r="K520"/>
    </row>
    <row r="521" spans="2:11" x14ac:dyDescent="0.2">
      <c r="B521" s="2069"/>
      <c r="C521" s="2069"/>
      <c r="D521" s="2069"/>
      <c r="E521" s="2069"/>
      <c r="F521" s="2069"/>
      <c r="G521" s="2069"/>
      <c r="H521" s="2069"/>
      <c r="I521"/>
      <c r="J521"/>
      <c r="K521"/>
    </row>
    <row r="522" spans="2:11" x14ac:dyDescent="0.2">
      <c r="B522" s="2069"/>
      <c r="C522" s="2069"/>
      <c r="D522" s="2069"/>
      <c r="E522" s="2069"/>
      <c r="F522" s="2069"/>
      <c r="G522" s="2069"/>
      <c r="H522" s="2069"/>
      <c r="I522"/>
      <c r="J522"/>
      <c r="K522"/>
    </row>
    <row r="523" spans="2:11" x14ac:dyDescent="0.2">
      <c r="B523" s="2069"/>
      <c r="C523" s="2069"/>
      <c r="D523" s="2069"/>
      <c r="E523" s="2069"/>
      <c r="F523" s="2069"/>
      <c r="G523" s="2069"/>
      <c r="H523" s="2069"/>
      <c r="I523"/>
      <c r="J523"/>
      <c r="K523"/>
    </row>
    <row r="524" spans="2:11" x14ac:dyDescent="0.2">
      <c r="B524" s="2069"/>
      <c r="C524" s="2069"/>
      <c r="D524" s="2069"/>
      <c r="E524" s="2069"/>
      <c r="F524" s="2069"/>
      <c r="G524" s="2069"/>
      <c r="H524" s="2069"/>
      <c r="I524"/>
      <c r="J524"/>
      <c r="K524"/>
    </row>
    <row r="525" spans="2:11" x14ac:dyDescent="0.2">
      <c r="B525" s="2069"/>
      <c r="C525" s="2069"/>
      <c r="D525" s="2069"/>
      <c r="E525" s="2069"/>
      <c r="F525" s="2069"/>
      <c r="G525" s="2069"/>
      <c r="H525" s="2069"/>
      <c r="I525"/>
      <c r="J525"/>
      <c r="K525"/>
    </row>
    <row r="526" spans="2:11" x14ac:dyDescent="0.2">
      <c r="B526" s="2069"/>
      <c r="C526" s="2069"/>
      <c r="D526" s="2069"/>
      <c r="E526" s="2069"/>
      <c r="F526" s="2069"/>
      <c r="G526" s="2069"/>
      <c r="H526" s="2069"/>
      <c r="I526"/>
      <c r="J526"/>
      <c r="K526"/>
    </row>
    <row r="527" spans="2:11" x14ac:dyDescent="0.2">
      <c r="B527" s="2069"/>
      <c r="C527" s="2069"/>
      <c r="D527" s="2069"/>
      <c r="E527" s="2069"/>
      <c r="F527" s="2069"/>
      <c r="G527" s="2069"/>
      <c r="H527" s="2069"/>
      <c r="I527"/>
      <c r="J527"/>
      <c r="K527"/>
    </row>
    <row r="528" spans="2:11" x14ac:dyDescent="0.2">
      <c r="B528" s="2069"/>
      <c r="C528" s="2069"/>
      <c r="D528" s="2069"/>
      <c r="E528" s="2069"/>
      <c r="F528" s="2069"/>
      <c r="G528" s="2069"/>
      <c r="H528" s="2069"/>
      <c r="I528"/>
      <c r="J528"/>
      <c r="K528"/>
    </row>
    <row r="529" spans="2:11" x14ac:dyDescent="0.2">
      <c r="B529" s="2069"/>
      <c r="C529" s="2069"/>
      <c r="D529" s="2069"/>
      <c r="E529" s="2069"/>
      <c r="F529" s="2069"/>
      <c r="G529" s="2069"/>
      <c r="H529" s="2069"/>
      <c r="I529"/>
      <c r="J529"/>
      <c r="K529"/>
    </row>
    <row r="530" spans="2:11" x14ac:dyDescent="0.2">
      <c r="B530" s="2069"/>
      <c r="C530" s="2069"/>
      <c r="D530" s="2069"/>
      <c r="E530" s="2069"/>
      <c r="F530" s="2069"/>
      <c r="G530" s="2069"/>
      <c r="H530" s="2069"/>
      <c r="I530"/>
      <c r="J530"/>
      <c r="K530"/>
    </row>
    <row r="531" spans="2:11" x14ac:dyDescent="0.2">
      <c r="B531" s="2069"/>
      <c r="C531" s="2069"/>
      <c r="D531" s="2069"/>
      <c r="E531" s="2069"/>
      <c r="F531" s="2069"/>
      <c r="G531" s="2069"/>
      <c r="H531" s="2069"/>
      <c r="I531"/>
      <c r="J531"/>
      <c r="K531"/>
    </row>
    <row r="532" spans="2:11" x14ac:dyDescent="0.2">
      <c r="B532" s="2069"/>
      <c r="C532" s="2069"/>
      <c r="D532" s="2069"/>
      <c r="E532" s="2069"/>
      <c r="F532" s="2069"/>
      <c r="G532" s="2069"/>
      <c r="H532" s="2069"/>
      <c r="I532"/>
      <c r="J532"/>
      <c r="K532"/>
    </row>
    <row r="533" spans="2:11" x14ac:dyDescent="0.2">
      <c r="B533" s="2069"/>
      <c r="C533" s="2069"/>
      <c r="D533" s="2069"/>
      <c r="E533" s="2069"/>
      <c r="F533" s="2069"/>
      <c r="G533" s="2069"/>
      <c r="H533" s="2069"/>
      <c r="I533"/>
      <c r="J533"/>
      <c r="K533"/>
    </row>
    <row r="534" spans="2:11" x14ac:dyDescent="0.2">
      <c r="B534" s="2069"/>
      <c r="C534" s="2069"/>
      <c r="D534" s="2069"/>
      <c r="E534" s="2069"/>
      <c r="F534" s="2069"/>
      <c r="G534" s="2069"/>
      <c r="H534" s="2069"/>
      <c r="I534"/>
      <c r="J534"/>
      <c r="K534"/>
    </row>
    <row r="535" spans="2:11" x14ac:dyDescent="0.2">
      <c r="B535" s="2069"/>
      <c r="C535" s="2069"/>
      <c r="D535" s="2069"/>
      <c r="E535" s="2069"/>
      <c r="F535" s="2069"/>
      <c r="G535" s="2069"/>
      <c r="H535" s="2069"/>
      <c r="I535"/>
      <c r="J535"/>
      <c r="K535"/>
    </row>
    <row r="536" spans="2:11" x14ac:dyDescent="0.2">
      <c r="B536" s="2069"/>
      <c r="C536" s="2069"/>
      <c r="D536" s="2069"/>
      <c r="E536" s="2069"/>
      <c r="F536" s="2069"/>
      <c r="G536" s="2069"/>
      <c r="H536" s="2069"/>
      <c r="I536"/>
      <c r="J536"/>
      <c r="K536"/>
    </row>
    <row r="537" spans="2:11" x14ac:dyDescent="0.2">
      <c r="B537" s="2069"/>
      <c r="C537" s="2069"/>
      <c r="D537" s="2069"/>
      <c r="E537" s="2069"/>
      <c r="F537" s="2069"/>
      <c r="G537" s="2069"/>
      <c r="H537" s="2069"/>
      <c r="I537"/>
      <c r="J537"/>
      <c r="K537"/>
    </row>
    <row r="538" spans="2:11" x14ac:dyDescent="0.2">
      <c r="B538" s="2069"/>
      <c r="C538" s="2069"/>
      <c r="D538" s="2069"/>
      <c r="E538" s="2069"/>
      <c r="F538" s="2069"/>
      <c r="G538" s="2069"/>
      <c r="H538" s="2069"/>
      <c r="I538"/>
      <c r="J538"/>
      <c r="K538"/>
    </row>
    <row r="539" spans="2:11" x14ac:dyDescent="0.2">
      <c r="B539" s="2069"/>
      <c r="C539" s="2069"/>
      <c r="D539" s="2069"/>
      <c r="E539" s="2069"/>
      <c r="F539" s="2069"/>
      <c r="G539" s="2069"/>
      <c r="H539" s="2069"/>
      <c r="I539"/>
      <c r="J539"/>
      <c r="K539"/>
    </row>
    <row r="540" spans="2:11" x14ac:dyDescent="0.2">
      <c r="B540" s="2069"/>
      <c r="C540" s="2069"/>
      <c r="D540" s="2069"/>
      <c r="E540" s="2069"/>
      <c r="F540" s="2069"/>
      <c r="G540" s="2069"/>
      <c r="H540" s="2069"/>
      <c r="I540"/>
      <c r="J540"/>
      <c r="K540"/>
    </row>
    <row r="541" spans="2:11" x14ac:dyDescent="0.2">
      <c r="B541" s="2069"/>
      <c r="C541" s="2069"/>
      <c r="D541" s="2069"/>
      <c r="E541" s="2069"/>
      <c r="F541" s="2069"/>
      <c r="G541" s="2069"/>
      <c r="H541" s="2069"/>
      <c r="I541"/>
      <c r="J541"/>
      <c r="K541"/>
    </row>
    <row r="542" spans="2:11" x14ac:dyDescent="0.2">
      <c r="B542" s="2069"/>
      <c r="C542" s="2069"/>
      <c r="D542" s="2069"/>
      <c r="E542" s="2069"/>
      <c r="F542" s="2069"/>
      <c r="G542" s="2069"/>
      <c r="H542" s="2069"/>
      <c r="I542"/>
      <c r="J542"/>
      <c r="K542"/>
    </row>
    <row r="543" spans="2:11" x14ac:dyDescent="0.2">
      <c r="B543" s="2069"/>
      <c r="C543" s="2069"/>
      <c r="D543" s="2069"/>
      <c r="E543" s="2069"/>
      <c r="F543" s="2069"/>
      <c r="G543" s="2069"/>
      <c r="H543" s="2069"/>
      <c r="I543"/>
      <c r="J543"/>
      <c r="K543"/>
    </row>
    <row r="544" spans="2:11" x14ac:dyDescent="0.2">
      <c r="B544" s="2069"/>
      <c r="C544" s="2069"/>
      <c r="D544" s="2069"/>
      <c r="E544" s="2069"/>
      <c r="F544" s="2069"/>
      <c r="G544" s="2069"/>
      <c r="H544" s="2069"/>
      <c r="I544"/>
      <c r="J544"/>
      <c r="K544"/>
    </row>
    <row r="545" spans="2:11" x14ac:dyDescent="0.2">
      <c r="B545" s="2069"/>
      <c r="C545" s="2069"/>
      <c r="D545" s="2069"/>
      <c r="E545" s="2069"/>
      <c r="F545" s="2069"/>
      <c r="G545" s="2069"/>
      <c r="H545" s="2069"/>
      <c r="I545"/>
      <c r="J545"/>
      <c r="K545"/>
    </row>
    <row r="546" spans="2:11" x14ac:dyDescent="0.2">
      <c r="B546" s="2069"/>
      <c r="C546" s="2069"/>
      <c r="D546" s="2069"/>
      <c r="E546" s="2069"/>
      <c r="F546" s="2069"/>
      <c r="G546" s="2069"/>
      <c r="H546" s="2069"/>
      <c r="I546"/>
      <c r="J546"/>
      <c r="K546"/>
    </row>
    <row r="547" spans="2:11" x14ac:dyDescent="0.2">
      <c r="B547" s="2069"/>
      <c r="C547" s="2069"/>
      <c r="D547" s="2069"/>
      <c r="E547" s="2069"/>
      <c r="F547" s="2069"/>
      <c r="G547" s="2069"/>
      <c r="H547" s="2069"/>
      <c r="I547"/>
      <c r="J547"/>
      <c r="K547"/>
    </row>
    <row r="548" spans="2:11" x14ac:dyDescent="0.2">
      <c r="B548" s="2069"/>
      <c r="C548" s="2069"/>
      <c r="D548" s="2069"/>
      <c r="E548" s="2069"/>
      <c r="F548" s="2069"/>
      <c r="G548" s="2069"/>
      <c r="H548" s="2069"/>
      <c r="I548"/>
      <c r="J548"/>
      <c r="K548"/>
    </row>
    <row r="549" spans="2:11" x14ac:dyDescent="0.2">
      <c r="B549" s="2069"/>
      <c r="C549" s="2069"/>
      <c r="D549" s="2069"/>
      <c r="E549" s="2069"/>
      <c r="F549" s="2069"/>
      <c r="G549" s="2069"/>
      <c r="H549" s="2069"/>
      <c r="I549"/>
      <c r="J549"/>
      <c r="K549"/>
    </row>
    <row r="550" spans="2:11" x14ac:dyDescent="0.2">
      <c r="B550" s="2069"/>
      <c r="C550" s="2069"/>
      <c r="D550" s="2069"/>
      <c r="E550" s="2069"/>
      <c r="F550" s="2069"/>
      <c r="G550" s="2069"/>
      <c r="H550" s="2069"/>
      <c r="I550"/>
      <c r="J550"/>
      <c r="K550"/>
    </row>
    <row r="551" spans="2:11" x14ac:dyDescent="0.2">
      <c r="B551" s="2069"/>
      <c r="C551" s="2069"/>
      <c r="D551" s="2069"/>
      <c r="E551" s="2069"/>
      <c r="F551" s="2069"/>
      <c r="G551" s="2069"/>
      <c r="H551" s="2069"/>
      <c r="I551"/>
      <c r="J551"/>
      <c r="K551"/>
    </row>
    <row r="552" spans="2:11" x14ac:dyDescent="0.2">
      <c r="B552" s="2069"/>
      <c r="C552" s="2069"/>
      <c r="D552" s="2069"/>
      <c r="E552" s="2069"/>
      <c r="F552" s="2069"/>
      <c r="G552" s="2069"/>
      <c r="H552" s="2069"/>
      <c r="I552"/>
      <c r="J552"/>
      <c r="K552"/>
    </row>
    <row r="553" spans="2:11" x14ac:dyDescent="0.2">
      <c r="B553" s="2069"/>
      <c r="C553" s="2069"/>
      <c r="D553" s="2069"/>
      <c r="E553" s="2069"/>
      <c r="F553" s="2069"/>
      <c r="G553" s="2069"/>
      <c r="H553" s="2069"/>
      <c r="I553"/>
      <c r="J553"/>
      <c r="K553"/>
    </row>
    <row r="554" spans="2:11" x14ac:dyDescent="0.2">
      <c r="B554" s="2069"/>
      <c r="C554" s="2069"/>
      <c r="D554" s="2069"/>
      <c r="E554" s="2069"/>
      <c r="F554" s="2069"/>
      <c r="G554" s="2069"/>
      <c r="H554" s="2069"/>
      <c r="I554"/>
      <c r="J554"/>
      <c r="K554"/>
    </row>
    <row r="555" spans="2:11" x14ac:dyDescent="0.2">
      <c r="B555" s="2069"/>
      <c r="C555" s="2069"/>
      <c r="D555" s="2069"/>
      <c r="E555" s="2069"/>
      <c r="F555" s="2069"/>
      <c r="G555" s="2069"/>
      <c r="H555" s="2069"/>
      <c r="I555"/>
      <c r="J555"/>
      <c r="K555"/>
    </row>
    <row r="556" spans="2:11" x14ac:dyDescent="0.2">
      <c r="B556" s="2069"/>
      <c r="C556" s="2069"/>
      <c r="D556" s="2069"/>
      <c r="E556" s="2069"/>
      <c r="F556" s="2069"/>
      <c r="G556" s="2069"/>
      <c r="H556" s="2069"/>
      <c r="I556"/>
      <c r="J556"/>
      <c r="K556"/>
    </row>
    <row r="557" spans="2:11" x14ac:dyDescent="0.2">
      <c r="B557" s="2069"/>
      <c r="C557" s="2069"/>
      <c r="D557" s="2069"/>
      <c r="E557" s="2069"/>
      <c r="F557" s="2069"/>
      <c r="G557" s="2069"/>
      <c r="H557" s="2069"/>
      <c r="I557"/>
      <c r="J557"/>
      <c r="K557"/>
    </row>
    <row r="558" spans="2:11" x14ac:dyDescent="0.2">
      <c r="B558" s="2069"/>
      <c r="C558" s="2069"/>
      <c r="D558" s="2069"/>
      <c r="E558" s="2069"/>
      <c r="F558" s="2069"/>
      <c r="G558" s="2069"/>
      <c r="H558" s="2069"/>
      <c r="I558"/>
      <c r="J558"/>
      <c r="K558"/>
    </row>
    <row r="559" spans="2:11" x14ac:dyDescent="0.2">
      <c r="B559" s="2069"/>
      <c r="C559" s="2069"/>
      <c r="D559" s="2069"/>
      <c r="E559" s="2069"/>
      <c r="F559" s="2069"/>
      <c r="G559" s="2069"/>
      <c r="H559" s="2069"/>
      <c r="I559"/>
      <c r="J559"/>
      <c r="K559"/>
    </row>
    <row r="560" spans="2:11" x14ac:dyDescent="0.2">
      <c r="B560" s="2069"/>
      <c r="C560" s="2069"/>
      <c r="D560" s="2069"/>
      <c r="E560" s="2069"/>
      <c r="F560" s="2069"/>
      <c r="G560" s="2069"/>
      <c r="H560" s="2069"/>
      <c r="I560"/>
      <c r="J560"/>
      <c r="K560"/>
    </row>
    <row r="561" spans="2:11" x14ac:dyDescent="0.2">
      <c r="B561" s="2069"/>
      <c r="C561" s="2069"/>
      <c r="D561" s="2069"/>
      <c r="E561" s="2069"/>
      <c r="F561" s="2069"/>
      <c r="G561" s="2069"/>
      <c r="H561" s="2069"/>
      <c r="I561"/>
      <c r="J561"/>
      <c r="K561"/>
    </row>
    <row r="562" spans="2:11" x14ac:dyDescent="0.2">
      <c r="B562" s="2069"/>
      <c r="C562" s="2069"/>
      <c r="D562" s="2069"/>
      <c r="E562" s="2069"/>
      <c r="F562" s="2069"/>
      <c r="G562" s="2069"/>
      <c r="H562" s="2069"/>
      <c r="I562"/>
      <c r="J562"/>
      <c r="K562"/>
    </row>
    <row r="563" spans="2:11" x14ac:dyDescent="0.2">
      <c r="B563" s="2069"/>
      <c r="C563" s="2069"/>
      <c r="D563" s="2069"/>
      <c r="E563" s="2069"/>
      <c r="F563" s="2069"/>
      <c r="G563" s="2069"/>
      <c r="H563" s="2069"/>
      <c r="I563"/>
      <c r="J563"/>
      <c r="K563"/>
    </row>
    <row r="564" spans="2:11" x14ac:dyDescent="0.2">
      <c r="B564" s="2069"/>
      <c r="C564" s="2069"/>
      <c r="D564" s="2069"/>
      <c r="E564" s="2069"/>
      <c r="F564" s="2069"/>
      <c r="G564" s="2069"/>
      <c r="H564" s="2069"/>
      <c r="I564"/>
      <c r="J564"/>
      <c r="K564"/>
    </row>
    <row r="565" spans="2:11" x14ac:dyDescent="0.2">
      <c r="B565" s="2069"/>
      <c r="C565" s="2069"/>
      <c r="D565" s="2069"/>
      <c r="E565" s="2069"/>
      <c r="F565" s="2069"/>
      <c r="G565" s="2069"/>
      <c r="H565" s="2069"/>
      <c r="I565"/>
      <c r="J565"/>
      <c r="K565"/>
    </row>
    <row r="566" spans="2:11" x14ac:dyDescent="0.2">
      <c r="B566" s="2069"/>
      <c r="C566" s="2069"/>
      <c r="D566" s="2069"/>
      <c r="E566" s="2069"/>
      <c r="F566" s="2069"/>
      <c r="G566" s="2069"/>
      <c r="H566" s="2069"/>
      <c r="I566"/>
      <c r="J566"/>
      <c r="K566"/>
    </row>
    <row r="567" spans="2:11" x14ac:dyDescent="0.2">
      <c r="B567" s="2069"/>
      <c r="C567" s="2069"/>
      <c r="D567" s="2069"/>
      <c r="E567" s="2069"/>
      <c r="F567" s="2069"/>
      <c r="G567" s="2069"/>
      <c r="H567" s="2069"/>
      <c r="I567"/>
      <c r="J567"/>
      <c r="K567"/>
    </row>
    <row r="568" spans="2:11" x14ac:dyDescent="0.2">
      <c r="B568" s="2069"/>
      <c r="C568" s="2069"/>
      <c r="D568" s="2069"/>
      <c r="E568" s="2069"/>
      <c r="F568" s="2069"/>
      <c r="G568" s="2069"/>
      <c r="H568" s="2069"/>
      <c r="I568"/>
      <c r="J568"/>
      <c r="K568"/>
    </row>
    <row r="569" spans="2:11" x14ac:dyDescent="0.2">
      <c r="B569" s="2069"/>
      <c r="C569" s="2069"/>
      <c r="D569" s="2069"/>
      <c r="E569" s="2069"/>
      <c r="F569" s="2069"/>
      <c r="G569" s="2069"/>
      <c r="H569" s="2069"/>
      <c r="I569"/>
      <c r="J569"/>
      <c r="K569"/>
    </row>
    <row r="570" spans="2:11" x14ac:dyDescent="0.2">
      <c r="B570" s="2069"/>
      <c r="C570" s="2069"/>
      <c r="D570" s="2069"/>
      <c r="E570" s="2069"/>
      <c r="F570" s="2069"/>
      <c r="G570" s="2069"/>
      <c r="H570" s="2069"/>
      <c r="I570"/>
      <c r="J570"/>
      <c r="K570"/>
    </row>
    <row r="571" spans="2:11" x14ac:dyDescent="0.2">
      <c r="B571" s="2069"/>
      <c r="C571" s="2069"/>
      <c r="D571" s="2069"/>
      <c r="E571" s="2069"/>
      <c r="F571" s="2069"/>
      <c r="G571" s="2069"/>
      <c r="H571" s="2069"/>
      <c r="I571"/>
      <c r="J571"/>
      <c r="K571"/>
    </row>
    <row r="572" spans="2:11" x14ac:dyDescent="0.2">
      <c r="B572" s="2069"/>
      <c r="C572" s="2069"/>
      <c r="D572" s="2069"/>
      <c r="E572" s="2069"/>
      <c r="F572" s="2069"/>
      <c r="G572" s="2069"/>
      <c r="H572" s="2069"/>
      <c r="I572"/>
      <c r="J572"/>
      <c r="K572"/>
    </row>
    <row r="573" spans="2:11" x14ac:dyDescent="0.2">
      <c r="B573" s="2069"/>
      <c r="C573" s="2069"/>
      <c r="D573" s="2069"/>
      <c r="E573" s="2069"/>
      <c r="F573" s="2069"/>
      <c r="G573" s="2069"/>
      <c r="H573" s="2069"/>
      <c r="I573"/>
      <c r="J573"/>
      <c r="K573"/>
    </row>
    <row r="574" spans="2:11" x14ac:dyDescent="0.2">
      <c r="B574" s="2069"/>
      <c r="C574" s="2069"/>
      <c r="D574" s="2069"/>
      <c r="E574" s="2069"/>
      <c r="F574" s="2069"/>
      <c r="G574" s="2069"/>
      <c r="H574" s="2069"/>
      <c r="I574"/>
      <c r="J574"/>
      <c r="K574"/>
    </row>
    <row r="575" spans="2:11" x14ac:dyDescent="0.2">
      <c r="B575" s="2069"/>
      <c r="C575" s="2069"/>
      <c r="D575" s="2069"/>
      <c r="E575" s="2069"/>
      <c r="F575" s="2069"/>
      <c r="G575" s="2069"/>
      <c r="H575" s="2069"/>
      <c r="I575"/>
      <c r="J575"/>
      <c r="K575"/>
    </row>
    <row r="576" spans="2:11" x14ac:dyDescent="0.2">
      <c r="B576" s="2069"/>
      <c r="C576" s="2069"/>
      <c r="D576" s="2069"/>
      <c r="E576" s="2069"/>
      <c r="F576" s="2069"/>
      <c r="G576" s="2069"/>
      <c r="H576" s="2069"/>
      <c r="I576"/>
      <c r="J576"/>
      <c r="K576"/>
    </row>
    <row r="577" spans="2:11" x14ac:dyDescent="0.2">
      <c r="B577" s="2069"/>
      <c r="C577" s="2069"/>
      <c r="D577" s="2069"/>
      <c r="E577" s="2069"/>
      <c r="F577" s="2069"/>
      <c r="G577" s="2069"/>
      <c r="H577" s="2069"/>
      <c r="I577"/>
      <c r="J577"/>
      <c r="K577"/>
    </row>
    <row r="578" spans="2:11" x14ac:dyDescent="0.2">
      <c r="B578" s="2069"/>
      <c r="C578" s="2069"/>
      <c r="D578" s="2069"/>
      <c r="E578" s="2069"/>
      <c r="F578" s="2069"/>
      <c r="G578" s="2069"/>
      <c r="H578" s="2069"/>
      <c r="I578"/>
      <c r="J578"/>
      <c r="K578"/>
    </row>
    <row r="579" spans="2:11" x14ac:dyDescent="0.2">
      <c r="B579" s="2069"/>
      <c r="C579" s="2069"/>
      <c r="D579" s="2069"/>
      <c r="E579" s="2069"/>
      <c r="F579" s="2069"/>
      <c r="G579" s="2069"/>
      <c r="H579" s="2069"/>
      <c r="I579"/>
      <c r="J579"/>
      <c r="K579"/>
    </row>
    <row r="580" spans="2:11" x14ac:dyDescent="0.2">
      <c r="B580" s="2069"/>
      <c r="C580" s="2069"/>
      <c r="D580" s="2069"/>
      <c r="E580" s="2069"/>
      <c r="F580" s="2069"/>
      <c r="G580" s="2069"/>
      <c r="H580" s="2069"/>
      <c r="I580"/>
      <c r="J580"/>
      <c r="K580"/>
    </row>
    <row r="581" spans="2:11" x14ac:dyDescent="0.2">
      <c r="B581" s="2069"/>
      <c r="C581" s="2069"/>
      <c r="D581" s="2069"/>
      <c r="E581" s="2069"/>
      <c r="F581" s="2069"/>
      <c r="G581" s="2069"/>
      <c r="H581" s="2069"/>
      <c r="I581"/>
      <c r="J581"/>
      <c r="K581"/>
    </row>
    <row r="582" spans="2:11" x14ac:dyDescent="0.2">
      <c r="B582" s="2069"/>
      <c r="C582" s="2069"/>
      <c r="D582" s="2069"/>
      <c r="E582" s="2069"/>
      <c r="F582" s="2069"/>
      <c r="G582" s="2069"/>
      <c r="H582" s="2069"/>
      <c r="I582"/>
      <c r="J582"/>
      <c r="K582"/>
    </row>
    <row r="583" spans="2:11" x14ac:dyDescent="0.2">
      <c r="B583" s="2069"/>
      <c r="C583" s="2069"/>
      <c r="D583" s="2069"/>
      <c r="E583" s="2069"/>
      <c r="F583" s="2069"/>
      <c r="G583" s="2069"/>
      <c r="H583" s="2069"/>
      <c r="I583"/>
      <c r="J583"/>
      <c r="K583"/>
    </row>
    <row r="584" spans="2:11" x14ac:dyDescent="0.2">
      <c r="B584" s="2069"/>
      <c r="C584" s="2069"/>
      <c r="D584" s="2069"/>
      <c r="E584" s="2069"/>
      <c r="F584" s="2069"/>
      <c r="G584" s="2069"/>
      <c r="H584" s="2069"/>
      <c r="I584"/>
      <c r="J584"/>
      <c r="K584"/>
    </row>
    <row r="585" spans="2:11" x14ac:dyDescent="0.2">
      <c r="B585" s="2069"/>
      <c r="C585" s="2069"/>
      <c r="D585" s="2069"/>
      <c r="E585" s="2069"/>
      <c r="F585" s="2069"/>
      <c r="G585" s="2069"/>
      <c r="H585" s="2069"/>
      <c r="I585"/>
      <c r="J585"/>
      <c r="K585"/>
    </row>
    <row r="586" spans="2:11" x14ac:dyDescent="0.2">
      <c r="B586" s="2069"/>
      <c r="C586" s="2069"/>
      <c r="D586" s="2069"/>
      <c r="E586" s="2069"/>
      <c r="F586" s="2069"/>
      <c r="G586" s="2069"/>
      <c r="H586" s="2069"/>
      <c r="I586"/>
      <c r="J586"/>
      <c r="K586"/>
    </row>
    <row r="587" spans="2:11" x14ac:dyDescent="0.2">
      <c r="B587" s="2069"/>
      <c r="C587" s="2069"/>
      <c r="D587" s="2069"/>
      <c r="E587" s="2069"/>
      <c r="F587" s="2069"/>
      <c r="G587" s="2069"/>
      <c r="H587" s="2069"/>
      <c r="I587"/>
      <c r="J587"/>
      <c r="K587"/>
    </row>
    <row r="588" spans="2:11" x14ac:dyDescent="0.2">
      <c r="B588" s="2069"/>
      <c r="C588" s="2069"/>
      <c r="D588" s="2069"/>
      <c r="E588" s="2069"/>
      <c r="F588" s="2069"/>
      <c r="G588" s="2069"/>
      <c r="H588" s="2069"/>
      <c r="I588"/>
      <c r="J588"/>
      <c r="K588"/>
    </row>
    <row r="589" spans="2:11" x14ac:dyDescent="0.2">
      <c r="B589" s="2069"/>
      <c r="C589" s="2069"/>
      <c r="D589" s="2069"/>
      <c r="E589" s="2069"/>
      <c r="F589" s="2069"/>
      <c r="G589" s="2069"/>
      <c r="H589" s="2069"/>
      <c r="I589"/>
      <c r="J589"/>
      <c r="K589"/>
    </row>
    <row r="590" spans="2:11" x14ac:dyDescent="0.2">
      <c r="B590" s="2069"/>
      <c r="C590" s="2069"/>
      <c r="D590" s="2069"/>
      <c r="E590" s="2069"/>
      <c r="F590" s="2069"/>
      <c r="G590" s="2069"/>
      <c r="H590" s="2069"/>
      <c r="I590"/>
      <c r="J590"/>
      <c r="K590"/>
    </row>
    <row r="591" spans="2:11" x14ac:dyDescent="0.2">
      <c r="B591" s="2069"/>
      <c r="C591" s="2069"/>
      <c r="D591" s="2069"/>
      <c r="E591" s="2069"/>
      <c r="F591" s="2069"/>
      <c r="G591" s="2069"/>
      <c r="H591" s="2069"/>
      <c r="I591"/>
      <c r="J591"/>
      <c r="K591"/>
    </row>
    <row r="592" spans="2:11" x14ac:dyDescent="0.2">
      <c r="B592" s="2069"/>
      <c r="C592" s="2069"/>
      <c r="D592" s="2069"/>
      <c r="E592" s="2069"/>
      <c r="F592" s="2069"/>
      <c r="G592" s="2069"/>
      <c r="H592" s="2069"/>
      <c r="I592"/>
      <c r="J592"/>
      <c r="K592"/>
    </row>
    <row r="593" spans="2:11" x14ac:dyDescent="0.2">
      <c r="B593" s="2069"/>
      <c r="C593" s="2069"/>
      <c r="D593" s="2069"/>
      <c r="E593" s="2069"/>
      <c r="F593" s="2069"/>
      <c r="G593" s="2069"/>
      <c r="H593" s="2069"/>
      <c r="I593"/>
      <c r="J593"/>
      <c r="K593"/>
    </row>
    <row r="594" spans="2:11" x14ac:dyDescent="0.2">
      <c r="B594" s="2069"/>
      <c r="C594" s="2069"/>
      <c r="D594" s="2069"/>
      <c r="E594" s="2069"/>
      <c r="F594" s="2069"/>
      <c r="G594" s="2069"/>
      <c r="H594" s="2069"/>
      <c r="I594"/>
      <c r="J594"/>
      <c r="K594"/>
    </row>
    <row r="595" spans="2:11" x14ac:dyDescent="0.2">
      <c r="B595" s="2069"/>
      <c r="C595" s="2069"/>
      <c r="D595" s="2069"/>
      <c r="E595" s="2069"/>
      <c r="F595" s="2069"/>
      <c r="G595" s="2069"/>
      <c r="H595" s="2069"/>
      <c r="I595"/>
      <c r="J595"/>
      <c r="K595"/>
    </row>
    <row r="596" spans="2:11" x14ac:dyDescent="0.2">
      <c r="B596" s="2069"/>
      <c r="C596" s="2069"/>
      <c r="D596" s="2069"/>
      <c r="E596" s="2069"/>
      <c r="F596" s="2069"/>
      <c r="G596" s="2069"/>
      <c r="H596" s="2069"/>
      <c r="I596"/>
      <c r="J596"/>
      <c r="K596"/>
    </row>
    <row r="597" spans="2:11" x14ac:dyDescent="0.2">
      <c r="B597" s="2069"/>
      <c r="C597" s="2069"/>
      <c r="D597" s="2069"/>
      <c r="E597" s="2069"/>
      <c r="F597" s="2069"/>
      <c r="G597" s="2069"/>
      <c r="H597" s="2069"/>
      <c r="I597"/>
      <c r="J597"/>
      <c r="K597"/>
    </row>
    <row r="598" spans="2:11" x14ac:dyDescent="0.2">
      <c r="B598" s="2069"/>
      <c r="C598" s="2069"/>
      <c r="D598" s="2069"/>
      <c r="E598" s="2069"/>
      <c r="F598" s="2069"/>
      <c r="G598" s="2069"/>
      <c r="H598" s="2069"/>
      <c r="I598"/>
      <c r="J598"/>
      <c r="K598"/>
    </row>
    <row r="599" spans="2:11" x14ac:dyDescent="0.2">
      <c r="B599" s="2069"/>
      <c r="C599" s="2069"/>
      <c r="D599" s="2069"/>
      <c r="E599" s="2069"/>
      <c r="F599" s="2069"/>
      <c r="G599" s="2069"/>
      <c r="H599" s="2069"/>
      <c r="I599"/>
      <c r="J599"/>
      <c r="K599"/>
    </row>
    <row r="600" spans="2:11" x14ac:dyDescent="0.2">
      <c r="B600" s="2069"/>
      <c r="C600" s="2069"/>
      <c r="D600" s="2069"/>
      <c r="E600" s="2069"/>
      <c r="F600" s="2069"/>
      <c r="G600" s="2069"/>
      <c r="H600" s="2069"/>
      <c r="I600"/>
      <c r="J600"/>
      <c r="K600"/>
    </row>
    <row r="601" spans="2:11" x14ac:dyDescent="0.2">
      <c r="B601" s="2069"/>
      <c r="C601" s="2069"/>
      <c r="D601" s="2069"/>
      <c r="E601" s="2069"/>
      <c r="F601" s="2069"/>
      <c r="G601" s="2069"/>
      <c r="H601" s="2069"/>
      <c r="I601"/>
      <c r="J601"/>
      <c r="K601"/>
    </row>
    <row r="602" spans="2:11" x14ac:dyDescent="0.2">
      <c r="B602" s="2069"/>
      <c r="C602" s="2069"/>
      <c r="D602" s="2069"/>
      <c r="E602" s="2069"/>
      <c r="F602" s="2069"/>
      <c r="G602" s="2069"/>
      <c r="H602" s="2069"/>
      <c r="I602"/>
      <c r="J602"/>
      <c r="K602"/>
    </row>
    <row r="603" spans="2:11" x14ac:dyDescent="0.2">
      <c r="B603" s="2069"/>
      <c r="C603" s="2069"/>
      <c r="D603" s="2069"/>
      <c r="E603" s="2069"/>
      <c r="F603" s="2069"/>
      <c r="G603" s="2069"/>
      <c r="H603" s="2069"/>
      <c r="I603"/>
      <c r="J603"/>
      <c r="K603"/>
    </row>
    <row r="604" spans="2:11" x14ac:dyDescent="0.2">
      <c r="B604" s="2069"/>
      <c r="C604" s="2069"/>
      <c r="D604" s="2069"/>
      <c r="E604" s="2069"/>
      <c r="F604" s="2069"/>
      <c r="G604" s="2069"/>
      <c r="H604" s="2069"/>
      <c r="I604"/>
      <c r="J604"/>
      <c r="K604"/>
    </row>
    <row r="605" spans="2:11" x14ac:dyDescent="0.2">
      <c r="B605" s="2069"/>
      <c r="C605" s="2069"/>
      <c r="D605" s="2069"/>
      <c r="E605" s="2069"/>
      <c r="F605" s="2069"/>
      <c r="G605" s="2069"/>
      <c r="H605" s="2069"/>
      <c r="I605"/>
      <c r="J605"/>
      <c r="K605"/>
    </row>
    <row r="606" spans="2:11" x14ac:dyDescent="0.2">
      <c r="B606" s="2069"/>
      <c r="C606" s="2069"/>
      <c r="D606" s="2069"/>
      <c r="E606" s="2069"/>
      <c r="F606" s="2069"/>
      <c r="G606" s="2069"/>
      <c r="H606" s="2069"/>
      <c r="I606"/>
      <c r="J606"/>
      <c r="K606"/>
    </row>
    <row r="607" spans="2:11" x14ac:dyDescent="0.2">
      <c r="B607" s="2069"/>
      <c r="C607" s="2069"/>
      <c r="D607" s="2069"/>
      <c r="E607" s="2069"/>
      <c r="F607" s="2069"/>
      <c r="G607" s="2069"/>
      <c r="H607" s="2069"/>
      <c r="I607"/>
      <c r="J607"/>
      <c r="K607"/>
    </row>
    <row r="608" spans="2:11" x14ac:dyDescent="0.2">
      <c r="B608" s="2069"/>
      <c r="C608" s="2069"/>
      <c r="D608" s="2069"/>
      <c r="E608" s="2069"/>
      <c r="F608" s="2069"/>
      <c r="G608" s="2069"/>
      <c r="H608" s="2069"/>
      <c r="I608"/>
      <c r="J608"/>
      <c r="K608"/>
    </row>
    <row r="609" spans="2:11" x14ac:dyDescent="0.2">
      <c r="B609" s="2069"/>
      <c r="C609" s="2069"/>
      <c r="D609" s="2069"/>
      <c r="E609" s="2069"/>
      <c r="F609" s="2069"/>
      <c r="G609" s="2069"/>
      <c r="H609" s="2069"/>
      <c r="I609"/>
      <c r="J609"/>
      <c r="K609"/>
    </row>
    <row r="610" spans="2:11" x14ac:dyDescent="0.2">
      <c r="B610" s="2069"/>
      <c r="C610" s="2069"/>
      <c r="D610" s="2069"/>
      <c r="E610" s="2069"/>
      <c r="F610" s="2069"/>
      <c r="G610" s="2069"/>
      <c r="H610" s="2069"/>
      <c r="I610"/>
      <c r="J610"/>
      <c r="K610"/>
    </row>
    <row r="611" spans="2:11" x14ac:dyDescent="0.2">
      <c r="B611" s="2069"/>
      <c r="C611" s="2069"/>
      <c r="D611" s="2069"/>
      <c r="E611" s="2069"/>
      <c r="F611" s="2069"/>
      <c r="G611" s="2069"/>
      <c r="H611" s="2069"/>
      <c r="I611"/>
      <c r="J611"/>
      <c r="K611"/>
    </row>
    <row r="612" spans="2:11" x14ac:dyDescent="0.2">
      <c r="B612" s="2069"/>
      <c r="C612" s="2069"/>
      <c r="D612" s="2069"/>
      <c r="E612" s="2069"/>
      <c r="F612" s="2069"/>
      <c r="G612" s="2069"/>
      <c r="H612" s="2069"/>
      <c r="I612"/>
      <c r="J612"/>
      <c r="K612"/>
    </row>
    <row r="613" spans="2:11" x14ac:dyDescent="0.2">
      <c r="B613" s="2069"/>
      <c r="C613" s="2069"/>
      <c r="D613" s="2069"/>
      <c r="E613" s="2069"/>
      <c r="F613" s="2069"/>
      <c r="G613" s="2069"/>
      <c r="H613" s="2069"/>
      <c r="I613"/>
      <c r="J613"/>
      <c r="K613"/>
    </row>
    <row r="614" spans="2:11" x14ac:dyDescent="0.2">
      <c r="B614" s="2069"/>
      <c r="C614" s="2069"/>
      <c r="D614" s="2069"/>
      <c r="E614" s="2069"/>
      <c r="F614" s="2069"/>
      <c r="G614" s="2069"/>
      <c r="H614" s="2069"/>
      <c r="I614"/>
      <c r="J614"/>
      <c r="K614"/>
    </row>
    <row r="615" spans="2:11" x14ac:dyDescent="0.2">
      <c r="B615" s="2069"/>
      <c r="C615" s="2069"/>
      <c r="D615" s="2069"/>
      <c r="E615" s="2069"/>
      <c r="F615" s="2069"/>
      <c r="G615" s="2069"/>
      <c r="H615" s="2069"/>
      <c r="I615"/>
      <c r="J615"/>
      <c r="K615"/>
    </row>
    <row r="616" spans="2:11" x14ac:dyDescent="0.2">
      <c r="B616" s="2069"/>
      <c r="C616" s="2069"/>
      <c r="D616" s="2069"/>
      <c r="E616" s="2069"/>
      <c r="F616" s="2069"/>
      <c r="G616" s="2069"/>
      <c r="H616" s="2069"/>
      <c r="I616"/>
      <c r="J616"/>
      <c r="K616"/>
    </row>
    <row r="617" spans="2:11" x14ac:dyDescent="0.2">
      <c r="B617" s="2069"/>
      <c r="C617" s="2069"/>
      <c r="D617" s="2069"/>
      <c r="E617" s="2069"/>
      <c r="F617" s="2069"/>
      <c r="G617" s="2069"/>
      <c r="H617" s="2069"/>
      <c r="I617"/>
      <c r="J617"/>
      <c r="K617"/>
    </row>
    <row r="618" spans="2:11" x14ac:dyDescent="0.2">
      <c r="B618" s="2069"/>
      <c r="C618" s="2069"/>
      <c r="D618" s="2069"/>
      <c r="E618" s="2069"/>
      <c r="F618" s="2069"/>
      <c r="G618" s="2069"/>
      <c r="H618" s="2069"/>
      <c r="I618"/>
      <c r="J618"/>
      <c r="K618"/>
    </row>
    <row r="619" spans="2:11" x14ac:dyDescent="0.2">
      <c r="B619" s="2069"/>
      <c r="C619" s="2069"/>
      <c r="D619" s="2069"/>
      <c r="E619" s="2069"/>
      <c r="F619" s="2069"/>
      <c r="G619" s="2069"/>
      <c r="H619" s="2069"/>
      <c r="I619"/>
      <c r="J619"/>
      <c r="K619"/>
    </row>
    <row r="620" spans="2:11" x14ac:dyDescent="0.2">
      <c r="B620" s="2069"/>
      <c r="C620" s="2069"/>
      <c r="D620" s="2069"/>
      <c r="E620" s="2069"/>
      <c r="F620" s="2069"/>
      <c r="G620" s="2069"/>
      <c r="H620" s="2069"/>
      <c r="I620"/>
      <c r="J620"/>
      <c r="K620"/>
    </row>
    <row r="621" spans="2:11" x14ac:dyDescent="0.2">
      <c r="B621" s="2069"/>
      <c r="C621" s="2069"/>
      <c r="D621" s="2069"/>
      <c r="E621" s="2069"/>
      <c r="F621" s="2069"/>
      <c r="G621" s="2069"/>
      <c r="H621" s="2069"/>
      <c r="I621"/>
      <c r="J621"/>
      <c r="K621"/>
    </row>
    <row r="622" spans="2:11" x14ac:dyDescent="0.2">
      <c r="B622" s="2069"/>
      <c r="C622" s="2069"/>
      <c r="D622" s="2069"/>
      <c r="E622" s="2069"/>
      <c r="F622" s="2069"/>
      <c r="G622" s="2069"/>
      <c r="H622" s="2069"/>
      <c r="I622"/>
      <c r="J622"/>
      <c r="K622"/>
    </row>
    <row r="623" spans="2:11" x14ac:dyDescent="0.2">
      <c r="B623" s="2069"/>
      <c r="C623" s="2069"/>
      <c r="D623" s="2069"/>
      <c r="E623" s="2069"/>
      <c r="F623" s="2069"/>
      <c r="G623" s="2069"/>
      <c r="H623" s="2069"/>
      <c r="I623"/>
      <c r="J623"/>
      <c r="K623"/>
    </row>
    <row r="624" spans="2:11" x14ac:dyDescent="0.2">
      <c r="B624" s="2069"/>
      <c r="C624" s="2069"/>
      <c r="D624" s="2069"/>
      <c r="E624" s="2069"/>
      <c r="F624" s="2069"/>
      <c r="G624" s="2069"/>
      <c r="H624" s="2069"/>
      <c r="I624"/>
      <c r="J624"/>
      <c r="K624"/>
    </row>
    <row r="625" spans="2:11" x14ac:dyDescent="0.2">
      <c r="B625" s="2069"/>
      <c r="C625" s="2069"/>
      <c r="D625" s="2069"/>
      <c r="E625" s="2069"/>
      <c r="F625" s="2069"/>
      <c r="G625" s="2069"/>
      <c r="H625" s="2069"/>
      <c r="I625"/>
      <c r="J625"/>
      <c r="K625"/>
    </row>
    <row r="626" spans="2:11" x14ac:dyDescent="0.2">
      <c r="B626" s="2069"/>
      <c r="C626" s="2069"/>
      <c r="D626" s="2069"/>
      <c r="E626" s="2069"/>
      <c r="F626" s="2069"/>
      <c r="G626" s="2069"/>
      <c r="H626" s="2069"/>
      <c r="I626"/>
      <c r="J626"/>
      <c r="K626"/>
    </row>
    <row r="627" spans="2:11" x14ac:dyDescent="0.2">
      <c r="B627" s="2069"/>
      <c r="C627" s="2069"/>
      <c r="D627" s="2069"/>
      <c r="E627" s="2069"/>
      <c r="F627" s="2069"/>
      <c r="G627" s="2069"/>
      <c r="H627" s="2069"/>
      <c r="I627"/>
      <c r="J627"/>
      <c r="K627"/>
    </row>
    <row r="628" spans="2:11" x14ac:dyDescent="0.2">
      <c r="B628" s="2069"/>
      <c r="C628" s="2069"/>
      <c r="D628" s="2069"/>
      <c r="E628" s="2069"/>
      <c r="F628" s="2069"/>
      <c r="G628" s="2069"/>
      <c r="H628" s="2069"/>
      <c r="I628"/>
      <c r="J628"/>
      <c r="K628"/>
    </row>
    <row r="629" spans="2:11" x14ac:dyDescent="0.2">
      <c r="B629" s="2069"/>
      <c r="C629" s="2069"/>
      <c r="D629" s="2069"/>
      <c r="E629" s="2069"/>
      <c r="F629" s="2069"/>
      <c r="G629" s="2069"/>
      <c r="H629" s="2069"/>
      <c r="I629"/>
      <c r="J629"/>
      <c r="K629"/>
    </row>
    <row r="630" spans="2:11" x14ac:dyDescent="0.2">
      <c r="B630" s="2069"/>
      <c r="C630" s="2069"/>
      <c r="D630" s="2069"/>
      <c r="E630" s="2069"/>
      <c r="F630" s="2069"/>
      <c r="G630" s="2069"/>
      <c r="H630" s="2069"/>
      <c r="I630"/>
      <c r="J630"/>
      <c r="K630"/>
    </row>
    <row r="631" spans="2:11" x14ac:dyDescent="0.2">
      <c r="B631" s="2069"/>
      <c r="C631" s="2069"/>
      <c r="D631" s="2069"/>
      <c r="E631" s="2069"/>
      <c r="F631" s="2069"/>
      <c r="G631" s="2069"/>
      <c r="H631" s="2069"/>
      <c r="I631"/>
      <c r="J631"/>
      <c r="K631"/>
    </row>
    <row r="632" spans="2:11" x14ac:dyDescent="0.2">
      <c r="B632" s="2069"/>
      <c r="C632" s="2069"/>
      <c r="D632" s="2069"/>
      <c r="E632" s="2069"/>
      <c r="F632" s="2069"/>
      <c r="G632" s="2069"/>
      <c r="H632" s="2069"/>
      <c r="I632"/>
      <c r="J632"/>
      <c r="K632"/>
    </row>
    <row r="633" spans="2:11" x14ac:dyDescent="0.2">
      <c r="B633" s="2069"/>
      <c r="C633" s="2069"/>
      <c r="D633" s="2069"/>
      <c r="E633" s="2069"/>
      <c r="F633" s="2069"/>
      <c r="G633" s="2069"/>
      <c r="H633" s="2069"/>
      <c r="I633"/>
      <c r="J633"/>
      <c r="K633"/>
    </row>
    <row r="634" spans="2:11" x14ac:dyDescent="0.2">
      <c r="B634" s="2069"/>
      <c r="C634" s="2069"/>
      <c r="D634" s="2069"/>
      <c r="E634" s="2069"/>
      <c r="F634" s="2069"/>
      <c r="G634" s="2069"/>
      <c r="H634" s="2069"/>
      <c r="I634"/>
      <c r="J634"/>
      <c r="K634"/>
    </row>
    <row r="635" spans="2:11" x14ac:dyDescent="0.2">
      <c r="B635" s="2069"/>
      <c r="C635" s="2069"/>
      <c r="D635" s="2069"/>
      <c r="E635" s="2069"/>
      <c r="F635" s="2069"/>
      <c r="G635" s="2069"/>
      <c r="H635" s="2069"/>
      <c r="I635"/>
      <c r="J635"/>
      <c r="K635"/>
    </row>
    <row r="636" spans="2:11" x14ac:dyDescent="0.2">
      <c r="B636" s="2069"/>
      <c r="C636" s="2069"/>
      <c r="D636" s="2069"/>
      <c r="E636" s="2069"/>
      <c r="F636" s="2069"/>
      <c r="G636" s="2069"/>
      <c r="H636" s="2069"/>
      <c r="I636"/>
      <c r="J636"/>
      <c r="K636"/>
    </row>
    <row r="637" spans="2:11" x14ac:dyDescent="0.2">
      <c r="B637" s="2069"/>
      <c r="C637" s="2069"/>
      <c r="D637" s="2069"/>
      <c r="E637" s="2069"/>
      <c r="F637" s="2069"/>
      <c r="G637" s="2069"/>
      <c r="H637" s="2069"/>
      <c r="I637"/>
      <c r="J637"/>
      <c r="K637"/>
    </row>
    <row r="638" spans="2:11" x14ac:dyDescent="0.2">
      <c r="B638" s="2069"/>
      <c r="C638" s="2069"/>
      <c r="D638" s="2069"/>
      <c r="E638" s="2069"/>
      <c r="F638" s="2069"/>
      <c r="G638" s="2069"/>
      <c r="H638" s="2069"/>
      <c r="I638"/>
      <c r="J638"/>
      <c r="K638"/>
    </row>
    <row r="639" spans="2:11" x14ac:dyDescent="0.2">
      <c r="B639" s="2069"/>
      <c r="C639" s="2069"/>
      <c r="D639" s="2069"/>
      <c r="E639" s="2069"/>
      <c r="F639" s="2069"/>
      <c r="G639" s="2069"/>
      <c r="H639" s="2069"/>
      <c r="I639"/>
      <c r="J639"/>
      <c r="K639"/>
    </row>
    <row r="640" spans="2:11" x14ac:dyDescent="0.2">
      <c r="B640" s="2069"/>
      <c r="C640" s="2069"/>
      <c r="D640" s="2069"/>
      <c r="E640" s="2069"/>
      <c r="F640" s="2069"/>
      <c r="G640" s="2069"/>
      <c r="H640" s="2069"/>
      <c r="I640"/>
      <c r="J640"/>
      <c r="K640"/>
    </row>
    <row r="641" spans="2:11" x14ac:dyDescent="0.2">
      <c r="B641" s="2069"/>
      <c r="C641" s="2069"/>
      <c r="D641" s="2069"/>
      <c r="E641" s="2069"/>
      <c r="F641" s="2069"/>
      <c r="G641" s="2069"/>
      <c r="H641" s="2069"/>
      <c r="I641"/>
      <c r="J641"/>
      <c r="K641"/>
    </row>
    <row r="642" spans="2:11" x14ac:dyDescent="0.2">
      <c r="B642" s="2069"/>
      <c r="C642" s="2069"/>
      <c r="D642" s="2069"/>
      <c r="E642" s="2069"/>
      <c r="F642" s="2069"/>
      <c r="G642" s="2069"/>
      <c r="H642" s="2069"/>
      <c r="I642"/>
      <c r="J642"/>
      <c r="K642"/>
    </row>
    <row r="643" spans="2:11" x14ac:dyDescent="0.2">
      <c r="B643" s="2069"/>
      <c r="C643" s="2069"/>
      <c r="D643" s="2069"/>
      <c r="E643" s="2069"/>
      <c r="F643" s="2069"/>
      <c r="G643" s="2069"/>
      <c r="H643" s="2069"/>
      <c r="I643"/>
      <c r="J643"/>
      <c r="K643"/>
    </row>
    <row r="644" spans="2:11" x14ac:dyDescent="0.2">
      <c r="B644" s="2069"/>
      <c r="C644" s="2069"/>
      <c r="D644" s="2069"/>
      <c r="E644" s="2069"/>
      <c r="F644" s="2069"/>
      <c r="G644" s="2069"/>
      <c r="H644" s="2069"/>
      <c r="I644"/>
      <c r="J644"/>
      <c r="K644"/>
    </row>
    <row r="645" spans="2:11" x14ac:dyDescent="0.2">
      <c r="B645" s="2069"/>
      <c r="C645" s="2069"/>
      <c r="D645" s="2069"/>
      <c r="E645" s="2069"/>
      <c r="F645" s="2069"/>
      <c r="G645" s="2069"/>
      <c r="H645" s="2069"/>
      <c r="I645"/>
      <c r="J645"/>
      <c r="K645"/>
    </row>
    <row r="646" spans="2:11" x14ac:dyDescent="0.2">
      <c r="B646" s="2069"/>
      <c r="C646" s="2069"/>
      <c r="D646" s="2069"/>
      <c r="E646" s="2069"/>
      <c r="F646" s="2069"/>
      <c r="G646" s="2069"/>
      <c r="H646" s="2069"/>
      <c r="I646"/>
      <c r="J646"/>
      <c r="K646"/>
    </row>
    <row r="647" spans="2:11" x14ac:dyDescent="0.2">
      <c r="B647" s="2069"/>
      <c r="C647" s="2069"/>
      <c r="D647" s="2069"/>
      <c r="E647" s="2069"/>
      <c r="F647" s="2069"/>
      <c r="G647" s="2069"/>
      <c r="H647" s="2069"/>
      <c r="I647"/>
      <c r="J647"/>
      <c r="K647"/>
    </row>
    <row r="648" spans="2:11" x14ac:dyDescent="0.2">
      <c r="B648" s="2069"/>
      <c r="C648" s="2069"/>
      <c r="D648" s="2069"/>
      <c r="E648" s="2069"/>
      <c r="F648" s="2069"/>
      <c r="G648" s="2069"/>
      <c r="H648" s="2069"/>
      <c r="I648"/>
      <c r="J648"/>
      <c r="K648"/>
    </row>
    <row r="649" spans="2:11" x14ac:dyDescent="0.2">
      <c r="B649" s="2069"/>
      <c r="C649" s="2069"/>
      <c r="D649" s="2069"/>
      <c r="E649" s="2069"/>
      <c r="F649" s="2069"/>
      <c r="G649" s="2069"/>
      <c r="H649" s="2069"/>
      <c r="I649"/>
      <c r="J649"/>
      <c r="K649"/>
    </row>
    <row r="650" spans="2:11" x14ac:dyDescent="0.2">
      <c r="B650" s="2069"/>
      <c r="C650" s="2069"/>
      <c r="D650" s="2069"/>
      <c r="E650" s="2069"/>
      <c r="F650" s="2069"/>
      <c r="G650" s="2069"/>
      <c r="H650" s="2069"/>
      <c r="I650"/>
      <c r="J650"/>
      <c r="K650"/>
    </row>
    <row r="651" spans="2:11" x14ac:dyDescent="0.2">
      <c r="B651" s="2069"/>
      <c r="C651" s="2069"/>
      <c r="D651" s="2069"/>
      <c r="E651" s="2069"/>
      <c r="F651" s="2069"/>
      <c r="G651" s="2069"/>
      <c r="H651" s="2069"/>
      <c r="I651"/>
      <c r="J651"/>
      <c r="K651"/>
    </row>
    <row r="652" spans="2:11" x14ac:dyDescent="0.2">
      <c r="B652" s="2069"/>
      <c r="C652" s="2069"/>
      <c r="D652" s="2069"/>
      <c r="E652" s="2069"/>
      <c r="F652" s="2069"/>
      <c r="G652" s="2069"/>
      <c r="H652" s="2069"/>
      <c r="I652"/>
      <c r="J652"/>
      <c r="K652"/>
    </row>
    <row r="653" spans="2:11" x14ac:dyDescent="0.2">
      <c r="B653" s="2069"/>
      <c r="C653" s="2069"/>
      <c r="D653" s="2069"/>
      <c r="E653" s="2069"/>
      <c r="F653" s="2069"/>
      <c r="G653" s="2069"/>
      <c r="H653" s="2069"/>
      <c r="I653"/>
      <c r="J653"/>
      <c r="K653"/>
    </row>
    <row r="654" spans="2:11" x14ac:dyDescent="0.2">
      <c r="B654" s="2069"/>
      <c r="C654" s="2069"/>
      <c r="D654" s="2069"/>
      <c r="E654" s="2069"/>
      <c r="F654" s="2069"/>
      <c r="G654" s="2069"/>
      <c r="H654" s="2069"/>
      <c r="I654"/>
      <c r="J654"/>
      <c r="K654"/>
    </row>
    <row r="655" spans="2:11" x14ac:dyDescent="0.2">
      <c r="B655" s="2069"/>
      <c r="C655" s="2069"/>
      <c r="D655" s="2069"/>
      <c r="E655" s="2069"/>
      <c r="F655" s="2069"/>
      <c r="G655" s="2069"/>
      <c r="H655" s="2069"/>
      <c r="I655"/>
      <c r="J655"/>
      <c r="K655"/>
    </row>
    <row r="656" spans="2:11" x14ac:dyDescent="0.2">
      <c r="B656" s="2069"/>
      <c r="C656" s="2069"/>
      <c r="D656" s="2069"/>
      <c r="E656" s="2069"/>
      <c r="F656" s="2069"/>
      <c r="G656" s="2069"/>
      <c r="H656" s="2069"/>
      <c r="I656"/>
      <c r="J656"/>
      <c r="K656"/>
    </row>
    <row r="657" spans="2:11" x14ac:dyDescent="0.2">
      <c r="B657" s="2069"/>
      <c r="C657" s="2069"/>
      <c r="D657" s="2069"/>
      <c r="E657" s="2069"/>
      <c r="F657" s="2069"/>
      <c r="G657" s="2069"/>
      <c r="H657" s="2069"/>
      <c r="I657"/>
      <c r="J657"/>
      <c r="K657"/>
    </row>
    <row r="658" spans="2:11" x14ac:dyDescent="0.2">
      <c r="B658" s="2069"/>
      <c r="C658" s="2069"/>
      <c r="D658" s="2069"/>
      <c r="E658" s="2069"/>
      <c r="F658" s="2069"/>
      <c r="G658" s="2069"/>
      <c r="H658" s="2069"/>
      <c r="I658"/>
      <c r="J658"/>
      <c r="K658"/>
    </row>
    <row r="659" spans="2:11" x14ac:dyDescent="0.2">
      <c r="B659" s="2069"/>
      <c r="C659" s="2069"/>
      <c r="D659" s="2069"/>
      <c r="E659" s="2069"/>
      <c r="F659" s="2069"/>
      <c r="G659" s="2069"/>
      <c r="H659" s="2069"/>
      <c r="I659"/>
      <c r="J659"/>
      <c r="K659"/>
    </row>
    <row r="660" spans="2:11" x14ac:dyDescent="0.2">
      <c r="B660" s="2069"/>
      <c r="C660" s="2069"/>
      <c r="D660" s="2069"/>
      <c r="E660" s="2069"/>
      <c r="F660" s="2069"/>
      <c r="G660" s="2069"/>
      <c r="H660" s="2069"/>
      <c r="I660"/>
      <c r="J660"/>
      <c r="K660"/>
    </row>
    <row r="661" spans="2:11" x14ac:dyDescent="0.2">
      <c r="B661" s="2069"/>
      <c r="C661" s="2069"/>
      <c r="D661" s="2069"/>
      <c r="E661" s="2069"/>
      <c r="F661" s="2069"/>
      <c r="G661" s="2069"/>
      <c r="H661" s="2069"/>
      <c r="I661"/>
      <c r="J661"/>
      <c r="K661"/>
    </row>
    <row r="662" spans="2:11" x14ac:dyDescent="0.2">
      <c r="B662" s="2069"/>
      <c r="C662" s="2069"/>
      <c r="D662" s="2069"/>
      <c r="E662" s="2069"/>
      <c r="F662" s="2069"/>
      <c r="G662" s="2069"/>
      <c r="H662" s="2069"/>
      <c r="I662"/>
      <c r="J662"/>
      <c r="K662"/>
    </row>
    <row r="663" spans="2:11" x14ac:dyDescent="0.2">
      <c r="B663" s="2069"/>
      <c r="C663" s="2069"/>
      <c r="D663" s="2069"/>
      <c r="E663" s="2069"/>
      <c r="F663" s="2069"/>
      <c r="G663" s="2069"/>
      <c r="H663" s="2069"/>
      <c r="I663"/>
      <c r="J663"/>
      <c r="K663"/>
    </row>
    <row r="664" spans="2:11" x14ac:dyDescent="0.2">
      <c r="B664" s="2069"/>
      <c r="C664" s="2069"/>
      <c r="D664" s="2069"/>
      <c r="E664" s="2069"/>
      <c r="F664" s="2069"/>
      <c r="G664" s="2069"/>
      <c r="H664" s="2069"/>
      <c r="I664"/>
      <c r="J664"/>
      <c r="K664"/>
    </row>
    <row r="665" spans="2:11" x14ac:dyDescent="0.2">
      <c r="B665" s="2069"/>
      <c r="C665" s="2069"/>
      <c r="D665" s="2069"/>
      <c r="E665" s="2069"/>
      <c r="F665" s="2069"/>
      <c r="G665" s="2069"/>
      <c r="H665" s="2069"/>
      <c r="I665"/>
      <c r="J665"/>
      <c r="K665"/>
    </row>
    <row r="666" spans="2:11" x14ac:dyDescent="0.2">
      <c r="B666" s="2069"/>
      <c r="C666" s="2069"/>
      <c r="D666" s="2069"/>
      <c r="E666" s="2069"/>
      <c r="F666" s="2069"/>
      <c r="G666" s="2069"/>
      <c r="H666" s="2069"/>
      <c r="I666"/>
      <c r="J666"/>
      <c r="K666"/>
    </row>
    <row r="667" spans="2:11" x14ac:dyDescent="0.2">
      <c r="B667" s="2069"/>
      <c r="C667" s="2069"/>
      <c r="D667" s="2069"/>
      <c r="E667" s="2069"/>
      <c r="F667" s="2069"/>
      <c r="G667" s="2069"/>
      <c r="H667" s="2069"/>
      <c r="I667"/>
      <c r="J667"/>
      <c r="K667"/>
    </row>
    <row r="668" spans="2:11" x14ac:dyDescent="0.2">
      <c r="B668" s="2069"/>
      <c r="C668" s="2069"/>
      <c r="D668" s="2069"/>
      <c r="E668" s="2069"/>
      <c r="F668" s="2069"/>
      <c r="G668" s="2069"/>
      <c r="H668" s="2069"/>
      <c r="I668"/>
      <c r="J668"/>
      <c r="K668"/>
    </row>
    <row r="669" spans="2:11" x14ac:dyDescent="0.2">
      <c r="B669" s="2069"/>
      <c r="C669" s="2069"/>
      <c r="D669" s="2069"/>
      <c r="E669" s="2069"/>
      <c r="F669" s="2069"/>
      <c r="G669" s="2069"/>
      <c r="H669" s="2069"/>
      <c r="I669"/>
      <c r="J669"/>
      <c r="K669"/>
    </row>
    <row r="670" spans="2:11" x14ac:dyDescent="0.2">
      <c r="B670" s="2069"/>
      <c r="C670" s="2069"/>
      <c r="D670" s="2069"/>
      <c r="E670" s="2069"/>
      <c r="F670" s="2069"/>
      <c r="G670" s="2069"/>
      <c r="H670" s="2069"/>
      <c r="I670"/>
      <c r="J670"/>
      <c r="K670"/>
    </row>
    <row r="671" spans="2:11" x14ac:dyDescent="0.2">
      <c r="B671" s="2069"/>
      <c r="C671" s="2069"/>
      <c r="D671" s="2069"/>
      <c r="E671" s="2069"/>
      <c r="F671" s="2069"/>
      <c r="G671" s="2069"/>
      <c r="H671" s="2069"/>
      <c r="I671"/>
      <c r="J671"/>
      <c r="K671"/>
    </row>
    <row r="672" spans="2:11" x14ac:dyDescent="0.2">
      <c r="B672" s="2069"/>
      <c r="C672" s="2069"/>
      <c r="D672" s="2069"/>
      <c r="E672" s="2069"/>
      <c r="F672" s="2069"/>
      <c r="G672" s="2069"/>
      <c r="H672" s="2069"/>
      <c r="I672"/>
      <c r="J672"/>
      <c r="K672"/>
    </row>
    <row r="673" spans="2:11" x14ac:dyDescent="0.2">
      <c r="B673" s="2069"/>
      <c r="C673" s="2069"/>
      <c r="D673" s="2069"/>
      <c r="E673" s="2069"/>
      <c r="F673" s="2069"/>
      <c r="G673" s="2069"/>
      <c r="H673" s="2069"/>
      <c r="I673"/>
      <c r="J673"/>
      <c r="K673"/>
    </row>
    <row r="674" spans="2:11" x14ac:dyDescent="0.2">
      <c r="B674" s="2069"/>
      <c r="C674" s="2069"/>
      <c r="D674" s="2069"/>
      <c r="E674" s="2069"/>
      <c r="F674" s="2069"/>
      <c r="G674" s="2069"/>
      <c r="H674" s="2069"/>
      <c r="I674"/>
      <c r="J674"/>
      <c r="K674"/>
    </row>
    <row r="675" spans="2:11" x14ac:dyDescent="0.2">
      <c r="B675" s="2069"/>
      <c r="C675" s="2069"/>
      <c r="D675" s="2069"/>
      <c r="E675" s="2069"/>
      <c r="F675" s="2069"/>
      <c r="G675" s="2069"/>
      <c r="H675" s="2069"/>
      <c r="I675"/>
      <c r="J675"/>
      <c r="K675"/>
    </row>
    <row r="676" spans="2:11" x14ac:dyDescent="0.2">
      <c r="B676" s="2069"/>
      <c r="C676" s="2069"/>
      <c r="D676" s="2069"/>
      <c r="E676" s="2069"/>
      <c r="F676" s="2069"/>
      <c r="G676" s="2069"/>
      <c r="H676" s="2069"/>
      <c r="I676"/>
      <c r="J676"/>
      <c r="K676"/>
    </row>
    <row r="677" spans="2:11" x14ac:dyDescent="0.2">
      <c r="B677" s="2069"/>
      <c r="C677" s="2069"/>
      <c r="D677" s="2069"/>
      <c r="E677" s="2069"/>
      <c r="F677" s="2069"/>
      <c r="G677" s="2069"/>
      <c r="H677" s="2069"/>
      <c r="I677"/>
      <c r="J677"/>
      <c r="K677"/>
    </row>
    <row r="678" spans="2:11" x14ac:dyDescent="0.2">
      <c r="B678" s="2069"/>
      <c r="C678" s="2069"/>
      <c r="D678" s="2069"/>
      <c r="E678" s="2069"/>
      <c r="F678" s="2069"/>
      <c r="G678" s="2069"/>
      <c r="H678" s="2069"/>
      <c r="I678"/>
      <c r="J678"/>
      <c r="K678"/>
    </row>
    <row r="679" spans="2:11" x14ac:dyDescent="0.2">
      <c r="B679" s="2069"/>
      <c r="C679" s="2069"/>
      <c r="D679" s="2069"/>
      <c r="E679" s="2069"/>
      <c r="F679" s="2069"/>
      <c r="G679" s="2069"/>
      <c r="H679" s="2069"/>
      <c r="I679"/>
      <c r="J679"/>
      <c r="K679"/>
    </row>
    <row r="680" spans="2:11" x14ac:dyDescent="0.2">
      <c r="B680" s="2069"/>
      <c r="C680" s="2069"/>
      <c r="D680" s="2069"/>
      <c r="E680" s="2069"/>
      <c r="F680" s="2069"/>
      <c r="G680" s="2069"/>
      <c r="H680" s="2069"/>
      <c r="I680"/>
      <c r="J680"/>
      <c r="K680"/>
    </row>
    <row r="681" spans="2:11" x14ac:dyDescent="0.2">
      <c r="B681" s="2069"/>
      <c r="C681" s="2069"/>
      <c r="D681" s="2069"/>
      <c r="E681" s="2069"/>
      <c r="F681" s="2069"/>
      <c r="G681" s="2069"/>
      <c r="H681" s="2069"/>
      <c r="I681"/>
      <c r="J681"/>
      <c r="K681"/>
    </row>
    <row r="682" spans="2:11" x14ac:dyDescent="0.2">
      <c r="B682" s="2069"/>
      <c r="C682" s="2069"/>
      <c r="D682" s="2069"/>
      <c r="E682" s="2069"/>
      <c r="F682" s="2069"/>
      <c r="G682" s="2069"/>
      <c r="H682" s="2069"/>
      <c r="I682"/>
      <c r="J682"/>
      <c r="K682"/>
    </row>
    <row r="683" spans="2:11" x14ac:dyDescent="0.2">
      <c r="B683" s="2069"/>
      <c r="C683" s="2069"/>
      <c r="D683" s="2069"/>
      <c r="E683" s="2069"/>
      <c r="F683" s="2069"/>
      <c r="G683" s="2069"/>
      <c r="H683" s="2069"/>
      <c r="I683"/>
      <c r="J683"/>
      <c r="K683"/>
    </row>
    <row r="684" spans="2:11" x14ac:dyDescent="0.2">
      <c r="B684" s="2069"/>
      <c r="C684" s="2069"/>
      <c r="D684" s="2069"/>
      <c r="E684" s="2069"/>
      <c r="F684" s="2069"/>
      <c r="G684" s="2069"/>
      <c r="H684" s="2069"/>
      <c r="I684"/>
      <c r="J684"/>
      <c r="K684"/>
    </row>
    <row r="685" spans="2:11" x14ac:dyDescent="0.2">
      <c r="B685" s="2069"/>
      <c r="C685" s="2069"/>
      <c r="D685" s="2069"/>
      <c r="E685" s="2069"/>
      <c r="F685" s="2069"/>
      <c r="G685" s="2069"/>
      <c r="H685" s="2069"/>
      <c r="I685"/>
      <c r="J685"/>
      <c r="K685"/>
    </row>
    <row r="686" spans="2:11" x14ac:dyDescent="0.2">
      <c r="B686" s="2069"/>
      <c r="C686" s="2069"/>
      <c r="D686" s="2069"/>
      <c r="E686" s="2069"/>
      <c r="F686" s="2069"/>
      <c r="G686" s="2069"/>
      <c r="H686" s="2069"/>
      <c r="I686"/>
      <c r="J686"/>
      <c r="K686"/>
    </row>
    <row r="687" spans="2:11" x14ac:dyDescent="0.2">
      <c r="B687" s="2069"/>
      <c r="C687" s="2069"/>
      <c r="D687" s="2069"/>
      <c r="E687" s="2069"/>
      <c r="F687" s="2069"/>
      <c r="G687" s="2069"/>
      <c r="H687" s="2069"/>
      <c r="I687"/>
      <c r="J687"/>
      <c r="K687"/>
    </row>
    <row r="688" spans="2:11" x14ac:dyDescent="0.2">
      <c r="B688" s="2069"/>
      <c r="C688" s="2069"/>
      <c r="D688" s="2069"/>
      <c r="E688" s="2069"/>
      <c r="F688" s="2069"/>
      <c r="G688" s="2069"/>
      <c r="H688" s="2069"/>
      <c r="I688"/>
      <c r="J688"/>
      <c r="K688"/>
    </row>
    <row r="689" spans="2:11" x14ac:dyDescent="0.2">
      <c r="B689" s="2069"/>
      <c r="C689" s="2069"/>
      <c r="D689" s="2069"/>
      <c r="E689" s="2069"/>
      <c r="F689" s="2069"/>
      <c r="G689" s="2069"/>
      <c r="H689" s="2069"/>
      <c r="I689"/>
      <c r="J689"/>
      <c r="K689"/>
    </row>
    <row r="690" spans="2:11" x14ac:dyDescent="0.2">
      <c r="B690" s="2069"/>
      <c r="C690" s="2069"/>
      <c r="D690" s="2069"/>
      <c r="E690" s="2069"/>
      <c r="F690" s="2069"/>
      <c r="G690" s="2069"/>
      <c r="H690" s="2069"/>
      <c r="I690"/>
      <c r="J690"/>
      <c r="K690"/>
    </row>
    <row r="691" spans="2:11" x14ac:dyDescent="0.2">
      <c r="B691" s="2069"/>
      <c r="C691" s="2069"/>
      <c r="D691" s="2069"/>
      <c r="E691" s="2069"/>
      <c r="F691" s="2069"/>
      <c r="G691" s="2069"/>
      <c r="H691" s="2069"/>
      <c r="I691"/>
      <c r="J691"/>
      <c r="K691"/>
    </row>
    <row r="692" spans="2:11" x14ac:dyDescent="0.2">
      <c r="B692" s="2069"/>
      <c r="C692" s="2069"/>
      <c r="D692" s="2069"/>
      <c r="E692" s="2069"/>
      <c r="F692" s="2069"/>
      <c r="G692" s="2069"/>
      <c r="H692" s="2069"/>
      <c r="I692"/>
      <c r="J692"/>
      <c r="K692"/>
    </row>
    <row r="693" spans="2:11" x14ac:dyDescent="0.2">
      <c r="B693" s="2069"/>
      <c r="C693" s="2069"/>
      <c r="D693" s="2069"/>
      <c r="E693" s="2069"/>
      <c r="F693" s="2069"/>
      <c r="G693" s="2069"/>
      <c r="H693" s="2069"/>
      <c r="I693"/>
      <c r="J693"/>
      <c r="K693"/>
    </row>
    <row r="694" spans="2:11" x14ac:dyDescent="0.2">
      <c r="B694" s="2069"/>
      <c r="C694" s="2069"/>
      <c r="D694" s="2069"/>
      <c r="E694" s="2069"/>
      <c r="F694" s="2069"/>
      <c r="G694" s="2069"/>
      <c r="H694" s="2069"/>
      <c r="I694"/>
      <c r="J694"/>
      <c r="K694"/>
    </row>
    <row r="695" spans="2:11" x14ac:dyDescent="0.2">
      <c r="B695" s="2069"/>
      <c r="C695" s="2069"/>
      <c r="D695" s="2069"/>
      <c r="E695" s="2069"/>
      <c r="F695" s="2069"/>
      <c r="G695" s="2069"/>
      <c r="H695" s="2069"/>
      <c r="I695"/>
      <c r="J695"/>
      <c r="K695"/>
    </row>
    <row r="696" spans="2:11" x14ac:dyDescent="0.2">
      <c r="B696" s="2069"/>
      <c r="C696" s="2069"/>
      <c r="D696" s="2069"/>
      <c r="E696" s="2069"/>
      <c r="F696" s="2069"/>
      <c r="G696" s="2069"/>
      <c r="H696" s="2069"/>
      <c r="I696"/>
      <c r="J696"/>
      <c r="K696"/>
    </row>
    <row r="697" spans="2:11" x14ac:dyDescent="0.2">
      <c r="B697" s="2069"/>
      <c r="C697" s="2069"/>
      <c r="D697" s="2069"/>
      <c r="E697" s="2069"/>
      <c r="F697" s="2069"/>
      <c r="G697" s="2069"/>
      <c r="H697" s="2069"/>
      <c r="I697"/>
      <c r="J697"/>
      <c r="K697"/>
    </row>
    <row r="698" spans="2:11" x14ac:dyDescent="0.2">
      <c r="B698" s="2069"/>
      <c r="C698" s="2069"/>
      <c r="D698" s="2069"/>
      <c r="E698" s="2069"/>
      <c r="F698" s="2069"/>
      <c r="G698" s="2069"/>
      <c r="H698" s="2069"/>
      <c r="I698"/>
      <c r="J698"/>
      <c r="K698"/>
    </row>
    <row r="699" spans="2:11" x14ac:dyDescent="0.2">
      <c r="B699" s="2069"/>
      <c r="C699" s="2069"/>
      <c r="D699" s="2069"/>
      <c r="E699" s="2069"/>
      <c r="F699" s="2069"/>
      <c r="G699" s="2069"/>
      <c r="H699" s="2069"/>
      <c r="I699"/>
      <c r="J699"/>
      <c r="K699"/>
    </row>
    <row r="700" spans="2:11" x14ac:dyDescent="0.2">
      <c r="B700" s="2069"/>
      <c r="C700" s="2069"/>
      <c r="D700" s="2069"/>
      <c r="E700" s="2069"/>
      <c r="F700" s="2069"/>
      <c r="G700" s="2069"/>
      <c r="H700" s="2069"/>
      <c r="I700"/>
      <c r="J700"/>
      <c r="K700"/>
    </row>
    <row r="701" spans="2:11" x14ac:dyDescent="0.2">
      <c r="B701" s="2069"/>
      <c r="C701" s="2069"/>
      <c r="D701" s="2069"/>
      <c r="E701" s="2069"/>
      <c r="F701" s="2069"/>
      <c r="G701" s="2069"/>
      <c r="H701" s="2069"/>
      <c r="I701"/>
      <c r="J701"/>
      <c r="K701"/>
    </row>
    <row r="702" spans="2:11" x14ac:dyDescent="0.2">
      <c r="B702" s="2069"/>
      <c r="C702" s="2069"/>
      <c r="D702" s="2069"/>
      <c r="E702" s="2069"/>
      <c r="F702" s="2069"/>
      <c r="G702" s="2069"/>
      <c r="H702" s="2069"/>
      <c r="I702"/>
      <c r="J702"/>
      <c r="K702"/>
    </row>
    <row r="703" spans="2:11" x14ac:dyDescent="0.2">
      <c r="B703" s="2069"/>
      <c r="C703" s="2069"/>
      <c r="D703" s="2069"/>
      <c r="E703" s="2069"/>
      <c r="F703" s="2069"/>
      <c r="G703" s="2069"/>
      <c r="H703" s="2069"/>
      <c r="I703"/>
      <c r="J703"/>
      <c r="K703"/>
    </row>
    <row r="704" spans="2:11" x14ac:dyDescent="0.2">
      <c r="B704" s="2069"/>
      <c r="C704" s="2069"/>
      <c r="D704" s="2069"/>
      <c r="E704" s="2069"/>
      <c r="F704" s="2069"/>
      <c r="G704" s="2069"/>
      <c r="H704" s="2069"/>
      <c r="I704"/>
      <c r="J704"/>
      <c r="K704"/>
    </row>
    <row r="705" spans="2:11" x14ac:dyDescent="0.2">
      <c r="B705" s="2069"/>
      <c r="C705" s="2069"/>
      <c r="D705" s="2069"/>
      <c r="E705" s="2069"/>
      <c r="F705" s="2069"/>
      <c r="G705" s="2069"/>
      <c r="H705" s="2069"/>
      <c r="I705"/>
      <c r="J705"/>
      <c r="K705"/>
    </row>
    <row r="706" spans="2:11" x14ac:dyDescent="0.2">
      <c r="B706" s="2069"/>
      <c r="C706" s="2069"/>
      <c r="D706" s="2069"/>
      <c r="E706" s="2069"/>
      <c r="F706" s="2069"/>
      <c r="G706" s="2069"/>
      <c r="H706" s="2069"/>
      <c r="I706"/>
      <c r="J706"/>
      <c r="K706"/>
    </row>
    <row r="707" spans="2:11" x14ac:dyDescent="0.2">
      <c r="B707" s="2069"/>
      <c r="C707" s="2069"/>
      <c r="D707" s="2069"/>
      <c r="E707" s="2069"/>
      <c r="F707" s="2069"/>
      <c r="G707" s="2069"/>
      <c r="H707" s="2069"/>
      <c r="I707"/>
      <c r="J707"/>
      <c r="K707"/>
    </row>
    <row r="708" spans="2:11" x14ac:dyDescent="0.2">
      <c r="B708" s="2069"/>
      <c r="C708" s="2069"/>
      <c r="D708" s="2069"/>
      <c r="E708" s="2069"/>
      <c r="F708" s="2069"/>
      <c r="G708" s="2069"/>
      <c r="H708" s="2069"/>
      <c r="I708"/>
      <c r="J708"/>
      <c r="K708"/>
    </row>
    <row r="709" spans="2:11" x14ac:dyDescent="0.2">
      <c r="B709" s="2069"/>
      <c r="C709" s="2069"/>
      <c r="D709" s="2069"/>
      <c r="E709" s="2069"/>
      <c r="F709" s="2069"/>
      <c r="G709" s="2069"/>
      <c r="H709" s="2069"/>
      <c r="I709"/>
      <c r="J709"/>
      <c r="K709"/>
    </row>
    <row r="710" spans="2:11" x14ac:dyDescent="0.2">
      <c r="B710" s="2069"/>
      <c r="C710" s="2069"/>
      <c r="D710" s="2069"/>
      <c r="E710" s="2069"/>
      <c r="F710" s="2069"/>
      <c r="G710" s="2069"/>
      <c r="H710" s="2069"/>
      <c r="I710"/>
      <c r="J710"/>
      <c r="K710"/>
    </row>
    <row r="711" spans="2:11" x14ac:dyDescent="0.2">
      <c r="B711" s="2069"/>
      <c r="C711" s="2069"/>
      <c r="D711" s="2069"/>
      <c r="E711" s="2069"/>
      <c r="F711" s="2069"/>
      <c r="G711" s="2069"/>
      <c r="H711" s="2069"/>
      <c r="I711"/>
      <c r="J711"/>
      <c r="K711"/>
    </row>
    <row r="712" spans="2:11" x14ac:dyDescent="0.2">
      <c r="B712" s="2069"/>
      <c r="C712" s="2069"/>
      <c r="D712" s="2069"/>
      <c r="E712" s="2069"/>
      <c r="F712" s="2069"/>
      <c r="G712" s="2069"/>
      <c r="H712" s="2069"/>
      <c r="I712"/>
      <c r="J712"/>
      <c r="K712"/>
    </row>
    <row r="713" spans="2:11" x14ac:dyDescent="0.2">
      <c r="B713" s="2069"/>
      <c r="C713" s="2069"/>
      <c r="D713" s="2069"/>
      <c r="E713" s="2069"/>
      <c r="F713" s="2069"/>
      <c r="G713" s="2069"/>
      <c r="H713" s="2069"/>
      <c r="I713"/>
      <c r="J713"/>
      <c r="K713"/>
    </row>
    <row r="714" spans="2:11" x14ac:dyDescent="0.2">
      <c r="B714" s="2069"/>
      <c r="C714" s="2069"/>
      <c r="D714" s="2069"/>
      <c r="E714" s="2069"/>
      <c r="F714" s="2069"/>
      <c r="G714" s="2069"/>
      <c r="H714" s="2069"/>
      <c r="I714"/>
      <c r="J714"/>
      <c r="K714"/>
    </row>
    <row r="715" spans="2:11" x14ac:dyDescent="0.2">
      <c r="B715" s="2069"/>
      <c r="C715" s="2069"/>
      <c r="D715" s="2069"/>
      <c r="E715" s="2069"/>
      <c r="F715" s="2069"/>
      <c r="G715" s="2069"/>
      <c r="H715" s="2069"/>
      <c r="I715"/>
      <c r="J715"/>
      <c r="K715"/>
    </row>
    <row r="716" spans="2:11" x14ac:dyDescent="0.2">
      <c r="B716" s="2069"/>
      <c r="C716" s="2069"/>
      <c r="D716" s="2069"/>
      <c r="E716" s="2069"/>
      <c r="F716" s="2069"/>
      <c r="G716" s="2069"/>
      <c r="H716" s="2069"/>
      <c r="I716"/>
      <c r="J716"/>
      <c r="K716"/>
    </row>
    <row r="717" spans="2:11" x14ac:dyDescent="0.2">
      <c r="B717" s="2069"/>
      <c r="C717" s="2069"/>
      <c r="D717" s="2069"/>
      <c r="E717" s="2069"/>
      <c r="F717" s="2069"/>
      <c r="G717" s="2069"/>
      <c r="H717" s="2069"/>
      <c r="I717"/>
      <c r="J717"/>
      <c r="K717"/>
    </row>
    <row r="718" spans="2:11" x14ac:dyDescent="0.2">
      <c r="B718" s="2069"/>
      <c r="C718" s="2069"/>
      <c r="D718" s="2069"/>
      <c r="E718" s="2069"/>
      <c r="F718" s="2069"/>
      <c r="G718" s="2069"/>
      <c r="H718" s="2069"/>
      <c r="I718"/>
      <c r="J718"/>
      <c r="K718"/>
    </row>
    <row r="719" spans="2:11" x14ac:dyDescent="0.2">
      <c r="B719" s="2069"/>
      <c r="C719" s="2069"/>
      <c r="D719" s="2069"/>
      <c r="E719" s="2069"/>
      <c r="F719" s="2069"/>
      <c r="G719" s="2069"/>
      <c r="H719" s="2069"/>
      <c r="I719"/>
      <c r="J719"/>
      <c r="K719"/>
    </row>
    <row r="720" spans="2:11" x14ac:dyDescent="0.2">
      <c r="B720" s="2069"/>
      <c r="C720" s="2069"/>
      <c r="D720" s="2069"/>
      <c r="E720" s="2069"/>
      <c r="F720" s="2069"/>
      <c r="G720" s="2069"/>
      <c r="H720" s="2069"/>
      <c r="I720"/>
      <c r="J720"/>
      <c r="K720"/>
    </row>
    <row r="721" spans="2:11" x14ac:dyDescent="0.2">
      <c r="B721" s="2069"/>
      <c r="C721" s="2069"/>
      <c r="D721" s="2069"/>
      <c r="E721" s="2069"/>
      <c r="F721" s="2069"/>
      <c r="G721" s="2069"/>
      <c r="H721" s="2069"/>
      <c r="I721"/>
      <c r="J721"/>
      <c r="K721"/>
    </row>
    <row r="722" spans="2:11" x14ac:dyDescent="0.2">
      <c r="B722" s="2069"/>
      <c r="C722" s="2069"/>
      <c r="D722" s="2069"/>
      <c r="E722" s="2069"/>
      <c r="F722" s="2069"/>
      <c r="G722" s="2069"/>
      <c r="H722" s="2069"/>
      <c r="I722"/>
      <c r="J722"/>
      <c r="K722"/>
    </row>
    <row r="723" spans="2:11" x14ac:dyDescent="0.2">
      <c r="B723" s="2069"/>
      <c r="C723" s="2069"/>
      <c r="D723" s="2069"/>
      <c r="E723" s="2069"/>
      <c r="F723" s="2069"/>
      <c r="G723" s="2069"/>
      <c r="H723" s="2069"/>
      <c r="I723"/>
      <c r="J723"/>
      <c r="K723"/>
    </row>
    <row r="724" spans="2:11" x14ac:dyDescent="0.2">
      <c r="B724" s="2069"/>
      <c r="C724" s="2069"/>
      <c r="D724" s="2069"/>
      <c r="E724" s="2069"/>
      <c r="F724" s="2069"/>
      <c r="G724" s="2069"/>
      <c r="H724" s="2069"/>
      <c r="I724"/>
      <c r="J724"/>
      <c r="K724"/>
    </row>
    <row r="725" spans="2:11" x14ac:dyDescent="0.2">
      <c r="B725" s="2069"/>
      <c r="C725" s="2069"/>
      <c r="D725" s="2069"/>
      <c r="E725" s="2069"/>
      <c r="F725" s="2069"/>
      <c r="G725" s="2069"/>
      <c r="H725" s="2069"/>
      <c r="I725"/>
      <c r="J725"/>
      <c r="K725"/>
    </row>
    <row r="726" spans="2:11" x14ac:dyDescent="0.2">
      <c r="B726" s="2069"/>
      <c r="C726" s="2069"/>
      <c r="D726" s="2069"/>
      <c r="E726" s="2069"/>
      <c r="F726" s="2069"/>
      <c r="G726" s="2069"/>
      <c r="H726" s="2069"/>
      <c r="I726"/>
      <c r="J726"/>
      <c r="K726"/>
    </row>
    <row r="727" spans="2:11" x14ac:dyDescent="0.2">
      <c r="B727" s="2069"/>
      <c r="C727" s="2069"/>
      <c r="D727" s="2069"/>
      <c r="E727" s="2069"/>
      <c r="F727" s="2069"/>
      <c r="G727" s="2069"/>
      <c r="H727" s="2069"/>
      <c r="I727"/>
      <c r="J727"/>
      <c r="K727"/>
    </row>
    <row r="728" spans="2:11" x14ac:dyDescent="0.2">
      <c r="B728" s="2069"/>
      <c r="C728" s="2069"/>
      <c r="D728" s="2069"/>
      <c r="E728" s="2069"/>
      <c r="F728" s="2069"/>
      <c r="G728" s="2069"/>
      <c r="H728" s="2069"/>
      <c r="I728"/>
      <c r="J728"/>
      <c r="K728"/>
    </row>
    <row r="729" spans="2:11" x14ac:dyDescent="0.2">
      <c r="B729" s="2069"/>
      <c r="C729" s="2069"/>
      <c r="D729" s="2069"/>
      <c r="E729" s="2069"/>
      <c r="F729" s="2069"/>
      <c r="G729" s="2069"/>
      <c r="H729" s="2069"/>
      <c r="I729"/>
      <c r="J729"/>
      <c r="K729"/>
    </row>
    <row r="730" spans="2:11" x14ac:dyDescent="0.2">
      <c r="B730" s="2069"/>
      <c r="C730" s="2069"/>
      <c r="D730" s="2069"/>
      <c r="E730" s="2069"/>
      <c r="F730" s="2069"/>
      <c r="G730" s="2069"/>
      <c r="H730" s="2069"/>
      <c r="I730"/>
      <c r="J730"/>
      <c r="K730"/>
    </row>
    <row r="731" spans="2:11" x14ac:dyDescent="0.2">
      <c r="B731" s="2069"/>
      <c r="C731" s="2069"/>
      <c r="D731" s="2069"/>
      <c r="E731" s="2069"/>
      <c r="F731" s="2069"/>
      <c r="G731" s="2069"/>
      <c r="H731" s="2069"/>
      <c r="I731"/>
      <c r="J731"/>
      <c r="K731"/>
    </row>
    <row r="732" spans="2:11" x14ac:dyDescent="0.2">
      <c r="B732" s="2069"/>
      <c r="C732" s="2069"/>
      <c r="D732" s="2069"/>
      <c r="E732" s="2069"/>
      <c r="F732" s="2069"/>
      <c r="G732" s="2069"/>
      <c r="H732" s="2069"/>
      <c r="I732"/>
      <c r="J732"/>
      <c r="K732"/>
    </row>
    <row r="733" spans="2:11" x14ac:dyDescent="0.2">
      <c r="B733" s="2069"/>
      <c r="C733" s="2069"/>
      <c r="D733" s="2069"/>
      <c r="E733" s="2069"/>
      <c r="F733" s="2069"/>
      <c r="G733" s="2069"/>
      <c r="H733" s="2069"/>
      <c r="I733"/>
      <c r="J733"/>
      <c r="K733"/>
    </row>
    <row r="734" spans="2:11" x14ac:dyDescent="0.2">
      <c r="B734" s="2069"/>
      <c r="C734" s="2069"/>
      <c r="D734" s="2069"/>
      <c r="E734" s="2069"/>
      <c r="F734" s="2069"/>
      <c r="G734" s="2069"/>
      <c r="H734" s="2069"/>
      <c r="I734"/>
      <c r="J734"/>
      <c r="K734"/>
    </row>
    <row r="735" spans="2:11" x14ac:dyDescent="0.2">
      <c r="B735" s="2069"/>
      <c r="C735" s="2069"/>
      <c r="D735" s="2069"/>
      <c r="E735" s="2069"/>
      <c r="F735" s="2069"/>
      <c r="G735" s="2069"/>
      <c r="H735" s="2069"/>
      <c r="I735"/>
      <c r="J735"/>
      <c r="K735"/>
    </row>
    <row r="736" spans="2:11" x14ac:dyDescent="0.2">
      <c r="B736" s="2069"/>
      <c r="C736" s="2069"/>
      <c r="D736" s="2069"/>
      <c r="E736" s="2069"/>
      <c r="F736" s="2069"/>
      <c r="G736" s="2069"/>
      <c r="H736" s="2069"/>
      <c r="I736"/>
      <c r="J736"/>
      <c r="K736"/>
    </row>
    <row r="737" spans="2:11" x14ac:dyDescent="0.2">
      <c r="B737" s="2069"/>
      <c r="C737" s="2069"/>
      <c r="D737" s="2069"/>
      <c r="E737" s="2069"/>
      <c r="F737" s="2069"/>
      <c r="G737" s="2069"/>
      <c r="H737" s="2069"/>
      <c r="I737"/>
      <c r="J737"/>
      <c r="K737"/>
    </row>
    <row r="738" spans="2:11" x14ac:dyDescent="0.2">
      <c r="B738" s="2069"/>
      <c r="C738" s="2069"/>
      <c r="D738" s="2069"/>
      <c r="E738" s="2069"/>
      <c r="F738" s="2069"/>
      <c r="G738" s="2069"/>
      <c r="H738" s="2069"/>
      <c r="I738"/>
      <c r="J738"/>
      <c r="K738"/>
    </row>
    <row r="739" spans="2:11" x14ac:dyDescent="0.2">
      <c r="B739" s="2069"/>
      <c r="C739" s="2069"/>
      <c r="D739" s="2069"/>
      <c r="E739" s="2069"/>
      <c r="F739" s="2069"/>
      <c r="G739" s="2069"/>
      <c r="H739" s="2069"/>
      <c r="I739"/>
      <c r="J739"/>
      <c r="K739"/>
    </row>
    <row r="740" spans="2:11" x14ac:dyDescent="0.2">
      <c r="B740" s="2069"/>
      <c r="C740" s="2069"/>
      <c r="D740" s="2069"/>
      <c r="E740" s="2069"/>
      <c r="F740" s="2069"/>
      <c r="G740" s="2069"/>
      <c r="H740" s="2069"/>
      <c r="I740"/>
      <c r="J740"/>
      <c r="K740"/>
    </row>
    <row r="741" spans="2:11" x14ac:dyDescent="0.2">
      <c r="B741" s="2069"/>
      <c r="C741" s="2069"/>
      <c r="D741" s="2069"/>
      <c r="E741" s="2069"/>
      <c r="F741" s="2069"/>
      <c r="G741" s="2069"/>
      <c r="H741" s="2069"/>
      <c r="I741"/>
      <c r="J741"/>
      <c r="K741"/>
    </row>
    <row r="742" spans="2:11" x14ac:dyDescent="0.2">
      <c r="B742" s="2069"/>
      <c r="C742" s="2069"/>
      <c r="D742" s="2069"/>
      <c r="E742" s="2069"/>
      <c r="F742" s="2069"/>
      <c r="G742" s="2069"/>
      <c r="H742" s="2069"/>
      <c r="I742"/>
      <c r="J742"/>
      <c r="K742"/>
    </row>
    <row r="743" spans="2:11" x14ac:dyDescent="0.2">
      <c r="B743" s="2069"/>
      <c r="C743" s="2069"/>
      <c r="D743" s="2069"/>
      <c r="E743" s="2069"/>
      <c r="F743" s="2069"/>
      <c r="G743" s="2069"/>
      <c r="H743" s="2069"/>
      <c r="I743"/>
      <c r="J743"/>
      <c r="K743"/>
    </row>
    <row r="744" spans="2:11" x14ac:dyDescent="0.2">
      <c r="B744" s="2069"/>
      <c r="C744" s="2069"/>
      <c r="D744" s="2069"/>
      <c r="E744" s="2069"/>
      <c r="F744" s="2069"/>
      <c r="G744" s="2069"/>
      <c r="H744" s="2069"/>
      <c r="I744"/>
      <c r="J744"/>
      <c r="K744"/>
    </row>
    <row r="745" spans="2:11" x14ac:dyDescent="0.2">
      <c r="B745" s="2069"/>
      <c r="C745" s="2069"/>
      <c r="D745" s="2069"/>
      <c r="E745" s="2069"/>
      <c r="F745" s="2069"/>
      <c r="G745" s="2069"/>
      <c r="H745" s="2069"/>
      <c r="I745"/>
      <c r="J745"/>
      <c r="K745"/>
    </row>
    <row r="746" spans="2:11" x14ac:dyDescent="0.2">
      <c r="B746" s="2069"/>
      <c r="C746" s="2069"/>
      <c r="D746" s="2069"/>
      <c r="E746" s="2069"/>
      <c r="F746" s="2069"/>
      <c r="G746" s="2069"/>
      <c r="H746" s="2069"/>
      <c r="I746"/>
      <c r="J746"/>
      <c r="K746"/>
    </row>
    <row r="747" spans="2:11" x14ac:dyDescent="0.2">
      <c r="B747" s="2069"/>
      <c r="C747" s="2069"/>
      <c r="D747" s="2069"/>
      <c r="E747" s="2069"/>
      <c r="F747" s="2069"/>
      <c r="G747" s="2069"/>
      <c r="H747" s="2069"/>
      <c r="I747"/>
      <c r="J747"/>
      <c r="K747"/>
    </row>
    <row r="748" spans="2:11" x14ac:dyDescent="0.2">
      <c r="B748" s="2069"/>
      <c r="C748" s="2069"/>
      <c r="D748" s="2069"/>
      <c r="E748" s="2069"/>
      <c r="F748" s="2069"/>
      <c r="G748" s="2069"/>
      <c r="H748" s="2069"/>
      <c r="I748"/>
      <c r="J748"/>
      <c r="K748"/>
    </row>
    <row r="749" spans="2:11" x14ac:dyDescent="0.2">
      <c r="B749" s="2069"/>
      <c r="C749" s="2069"/>
      <c r="D749" s="2069"/>
      <c r="E749" s="2069"/>
      <c r="F749" s="2069"/>
      <c r="G749" s="2069"/>
      <c r="H749" s="2069"/>
      <c r="I749"/>
      <c r="J749"/>
      <c r="K749"/>
    </row>
    <row r="750" spans="2:11" x14ac:dyDescent="0.2">
      <c r="B750" s="2069"/>
      <c r="C750" s="2069"/>
      <c r="D750" s="2069"/>
      <c r="E750" s="2069"/>
      <c r="F750" s="2069"/>
      <c r="G750" s="2069"/>
      <c r="H750" s="2069"/>
      <c r="I750"/>
      <c r="J750"/>
      <c r="K750"/>
    </row>
    <row r="751" spans="2:11" x14ac:dyDescent="0.2">
      <c r="B751" s="2069"/>
      <c r="C751" s="2069"/>
      <c r="D751" s="2069"/>
      <c r="E751" s="2069"/>
      <c r="F751" s="2069"/>
      <c r="G751" s="2069"/>
      <c r="H751" s="2069"/>
      <c r="I751"/>
      <c r="J751"/>
      <c r="K751"/>
    </row>
    <row r="752" spans="2:11" x14ac:dyDescent="0.2">
      <c r="B752" s="2069"/>
      <c r="C752" s="2069"/>
      <c r="D752" s="2069"/>
      <c r="E752" s="2069"/>
      <c r="F752" s="2069"/>
      <c r="G752" s="2069"/>
      <c r="H752" s="2069"/>
      <c r="I752"/>
      <c r="J752"/>
      <c r="K752"/>
    </row>
    <row r="753" spans="2:11" x14ac:dyDescent="0.2">
      <c r="B753" s="2069"/>
      <c r="C753" s="2069"/>
      <c r="D753" s="2069"/>
      <c r="E753" s="2069"/>
      <c r="F753" s="2069"/>
      <c r="G753" s="2069"/>
      <c r="H753" s="2069"/>
      <c r="I753"/>
      <c r="J753"/>
      <c r="K753"/>
    </row>
    <row r="754" spans="2:11" x14ac:dyDescent="0.2">
      <c r="B754" s="2069"/>
      <c r="C754" s="2069"/>
      <c r="D754" s="2069"/>
      <c r="E754" s="2069"/>
      <c r="F754" s="2069"/>
      <c r="G754" s="2069"/>
      <c r="H754" s="2069"/>
      <c r="I754"/>
      <c r="J754"/>
      <c r="K754"/>
    </row>
    <row r="755" spans="2:11" x14ac:dyDescent="0.2">
      <c r="B755" s="2069"/>
      <c r="C755" s="2069"/>
      <c r="D755" s="2069"/>
      <c r="E755" s="2069"/>
      <c r="F755" s="2069"/>
      <c r="G755" s="2069"/>
      <c r="H755" s="2069"/>
      <c r="I755"/>
      <c r="J755"/>
      <c r="K755"/>
    </row>
    <row r="756" spans="2:11" x14ac:dyDescent="0.2">
      <c r="B756" s="2069"/>
      <c r="C756" s="2069"/>
      <c r="D756" s="2069"/>
      <c r="E756" s="2069"/>
      <c r="F756" s="2069"/>
      <c r="G756" s="2069"/>
      <c r="H756" s="2069"/>
      <c r="I756"/>
      <c r="J756"/>
      <c r="K756"/>
    </row>
    <row r="757" spans="2:11" x14ac:dyDescent="0.2">
      <c r="B757" s="2069"/>
      <c r="C757" s="2069"/>
      <c r="D757" s="2069"/>
      <c r="E757" s="2069"/>
      <c r="F757" s="2069"/>
      <c r="G757" s="2069"/>
      <c r="H757" s="2069"/>
      <c r="I757"/>
      <c r="J757"/>
      <c r="K757"/>
    </row>
    <row r="758" spans="2:11" x14ac:dyDescent="0.2">
      <c r="B758" s="2069"/>
      <c r="C758" s="2069"/>
      <c r="D758" s="2069"/>
      <c r="E758" s="2069"/>
      <c r="F758" s="2069"/>
      <c r="G758" s="2069"/>
      <c r="H758" s="2069"/>
      <c r="I758"/>
      <c r="J758"/>
      <c r="K758"/>
    </row>
    <row r="759" spans="2:11" x14ac:dyDescent="0.2">
      <c r="B759" s="2069"/>
      <c r="C759" s="2069"/>
      <c r="D759" s="2069"/>
      <c r="E759" s="2069"/>
      <c r="F759" s="2069"/>
      <c r="G759" s="2069"/>
      <c r="H759" s="2069"/>
      <c r="I759"/>
      <c r="J759"/>
      <c r="K759"/>
    </row>
    <row r="760" spans="2:11" x14ac:dyDescent="0.2">
      <c r="B760" s="2069"/>
      <c r="C760" s="2069"/>
      <c r="D760" s="2069"/>
      <c r="E760" s="2069"/>
      <c r="F760" s="2069"/>
      <c r="G760" s="2069"/>
      <c r="H760" s="2069"/>
      <c r="I760"/>
      <c r="J760"/>
      <c r="K760"/>
    </row>
    <row r="761" spans="2:11" x14ac:dyDescent="0.2">
      <c r="B761" s="2069"/>
      <c r="C761" s="2069"/>
      <c r="D761" s="2069"/>
      <c r="E761" s="2069"/>
      <c r="F761" s="2069"/>
      <c r="G761" s="2069"/>
      <c r="H761" s="2069"/>
      <c r="I761"/>
      <c r="J761"/>
      <c r="K761"/>
    </row>
    <row r="762" spans="2:11" x14ac:dyDescent="0.2">
      <c r="B762" s="2069"/>
      <c r="C762" s="2069"/>
      <c r="D762" s="2069"/>
      <c r="E762" s="2069"/>
      <c r="F762" s="2069"/>
      <c r="G762" s="2069"/>
      <c r="H762" s="2069"/>
      <c r="I762"/>
      <c r="J762"/>
      <c r="K762"/>
    </row>
    <row r="763" spans="2:11" x14ac:dyDescent="0.2">
      <c r="B763" s="2069"/>
      <c r="C763" s="2069"/>
      <c r="D763" s="2069"/>
      <c r="E763" s="2069"/>
      <c r="F763" s="2069"/>
      <c r="G763" s="2069"/>
      <c r="H763" s="2069"/>
      <c r="I763"/>
      <c r="J763"/>
      <c r="K763"/>
    </row>
    <row r="764" spans="2:11" x14ac:dyDescent="0.2">
      <c r="B764" s="2069"/>
      <c r="C764" s="2069"/>
      <c r="D764" s="2069"/>
      <c r="E764" s="2069"/>
      <c r="F764" s="2069"/>
      <c r="G764" s="2069"/>
      <c r="H764" s="2069"/>
      <c r="I764"/>
      <c r="J764"/>
      <c r="K764"/>
    </row>
    <row r="765" spans="2:11" x14ac:dyDescent="0.2">
      <c r="B765" s="2069"/>
      <c r="C765" s="2069"/>
      <c r="D765" s="2069"/>
      <c r="E765" s="2069"/>
      <c r="F765" s="2069"/>
      <c r="G765" s="2069"/>
      <c r="H765" s="2069"/>
      <c r="I765"/>
      <c r="J765"/>
      <c r="K765"/>
    </row>
    <row r="766" spans="2:11" x14ac:dyDescent="0.2">
      <c r="B766" s="2069"/>
      <c r="C766" s="2069"/>
      <c r="D766" s="2069"/>
      <c r="E766" s="2069"/>
      <c r="F766" s="2069"/>
      <c r="G766" s="2069"/>
      <c r="H766" s="2069"/>
      <c r="I766"/>
      <c r="J766"/>
      <c r="K766"/>
    </row>
    <row r="767" spans="2:11" x14ac:dyDescent="0.2">
      <c r="B767" s="2069"/>
      <c r="C767" s="2069"/>
      <c r="D767" s="2069"/>
      <c r="E767" s="2069"/>
      <c r="F767" s="2069"/>
      <c r="G767" s="2069"/>
      <c r="H767" s="2069"/>
      <c r="I767"/>
      <c r="J767"/>
      <c r="K767"/>
    </row>
    <row r="768" spans="2:11" x14ac:dyDescent="0.2">
      <c r="B768" s="2069"/>
      <c r="C768" s="2069"/>
      <c r="D768" s="2069"/>
      <c r="E768" s="2069"/>
      <c r="F768" s="2069"/>
      <c r="G768" s="2069"/>
      <c r="H768" s="2069"/>
      <c r="I768"/>
      <c r="J768"/>
      <c r="K768"/>
    </row>
    <row r="769" spans="2:11" x14ac:dyDescent="0.2">
      <c r="B769" s="2069"/>
      <c r="C769" s="2069"/>
      <c r="D769" s="2069"/>
      <c r="E769" s="2069"/>
      <c r="F769" s="2069"/>
      <c r="G769" s="2069"/>
      <c r="H769" s="2069"/>
      <c r="I769"/>
      <c r="J769"/>
      <c r="K769"/>
    </row>
    <row r="770" spans="2:11" x14ac:dyDescent="0.2">
      <c r="B770" s="2069"/>
      <c r="C770" s="2069"/>
      <c r="D770" s="2069"/>
      <c r="E770" s="2069"/>
      <c r="F770" s="2069"/>
      <c r="G770" s="2069"/>
      <c r="H770" s="2069"/>
      <c r="I770"/>
      <c r="J770"/>
      <c r="K770"/>
    </row>
    <row r="771" spans="2:11" x14ac:dyDescent="0.2">
      <c r="B771" s="2069"/>
      <c r="C771" s="2069"/>
      <c r="D771" s="2069"/>
      <c r="E771" s="2069"/>
      <c r="F771" s="2069"/>
      <c r="G771" s="2069"/>
      <c r="H771" s="2069"/>
      <c r="I771"/>
      <c r="J771"/>
      <c r="K771"/>
    </row>
    <row r="772" spans="2:11" x14ac:dyDescent="0.2">
      <c r="B772" s="2069"/>
      <c r="C772" s="2069"/>
      <c r="D772" s="2069"/>
      <c r="E772" s="2069"/>
      <c r="F772" s="2069"/>
      <c r="G772" s="2069"/>
      <c r="H772" s="2069"/>
      <c r="I772"/>
      <c r="J772"/>
      <c r="K772"/>
    </row>
    <row r="773" spans="2:11" x14ac:dyDescent="0.2">
      <c r="B773" s="2069"/>
      <c r="C773" s="2069"/>
      <c r="D773" s="2069"/>
      <c r="E773" s="2069"/>
      <c r="F773" s="2069"/>
      <c r="G773" s="2069"/>
      <c r="H773" s="2069"/>
      <c r="I773"/>
      <c r="J773"/>
      <c r="K773"/>
    </row>
    <row r="774" spans="2:11" x14ac:dyDescent="0.2">
      <c r="B774" s="2069"/>
      <c r="C774" s="2069"/>
      <c r="D774" s="2069"/>
      <c r="E774" s="2069"/>
      <c r="F774" s="2069"/>
      <c r="G774" s="2069"/>
      <c r="H774" s="2069"/>
      <c r="I774"/>
      <c r="J774"/>
      <c r="K774"/>
    </row>
    <row r="775" spans="2:11" x14ac:dyDescent="0.2">
      <c r="B775" s="2069"/>
      <c r="C775" s="2069"/>
      <c r="D775" s="2069"/>
      <c r="E775" s="2069"/>
      <c r="F775" s="2069"/>
      <c r="G775" s="2069"/>
      <c r="H775" s="2069"/>
      <c r="I775"/>
      <c r="J775"/>
      <c r="K775"/>
    </row>
    <row r="776" spans="2:11" x14ac:dyDescent="0.2">
      <c r="B776" s="2069"/>
      <c r="C776" s="2069"/>
      <c r="D776" s="2069"/>
      <c r="E776" s="2069"/>
      <c r="F776" s="2069"/>
      <c r="G776" s="2069"/>
      <c r="H776" s="2069"/>
      <c r="I776"/>
      <c r="J776"/>
      <c r="K776"/>
    </row>
    <row r="777" spans="2:11" x14ac:dyDescent="0.2">
      <c r="B777" s="2069"/>
      <c r="C777" s="2069"/>
      <c r="D777" s="2069"/>
      <c r="E777" s="2069"/>
      <c r="F777" s="2069"/>
      <c r="G777" s="2069"/>
      <c r="H777" s="2069"/>
      <c r="I777"/>
      <c r="J777"/>
      <c r="K777"/>
    </row>
    <row r="778" spans="2:11" x14ac:dyDescent="0.2">
      <c r="B778" s="2069"/>
      <c r="C778" s="2069"/>
      <c r="D778" s="2069"/>
      <c r="E778" s="2069"/>
      <c r="F778" s="2069"/>
      <c r="G778" s="2069"/>
      <c r="H778" s="2069"/>
      <c r="I778"/>
      <c r="J778"/>
      <c r="K778"/>
    </row>
    <row r="779" spans="2:11" x14ac:dyDescent="0.2">
      <c r="B779" s="2069"/>
      <c r="C779" s="2069"/>
      <c r="D779" s="2069"/>
      <c r="E779" s="2069"/>
      <c r="F779" s="2069"/>
      <c r="G779" s="2069"/>
      <c r="H779" s="2069"/>
      <c r="I779"/>
      <c r="J779"/>
      <c r="K779"/>
    </row>
    <row r="780" spans="2:11" x14ac:dyDescent="0.2">
      <c r="B780" s="2069"/>
      <c r="C780" s="2069"/>
      <c r="D780" s="2069"/>
      <c r="E780" s="2069"/>
      <c r="F780" s="2069"/>
      <c r="G780" s="2069"/>
      <c r="H780" s="2069"/>
      <c r="I780"/>
      <c r="J780"/>
      <c r="K780"/>
    </row>
    <row r="781" spans="2:11" x14ac:dyDescent="0.2">
      <c r="B781" s="2069"/>
      <c r="C781" s="2069"/>
      <c r="D781" s="2069"/>
      <c r="E781" s="2069"/>
      <c r="F781" s="2069"/>
      <c r="G781" s="2069"/>
      <c r="H781" s="2069"/>
      <c r="I781"/>
      <c r="J781"/>
      <c r="K781"/>
    </row>
    <row r="782" spans="2:11" x14ac:dyDescent="0.2">
      <c r="B782" s="2069"/>
      <c r="C782" s="2069"/>
      <c r="D782" s="2069"/>
      <c r="E782" s="2069"/>
      <c r="F782" s="2069"/>
      <c r="G782" s="2069"/>
      <c r="H782" s="2069"/>
      <c r="I782"/>
      <c r="J782"/>
      <c r="K782"/>
    </row>
    <row r="783" spans="2:11" x14ac:dyDescent="0.2">
      <c r="B783" s="2069"/>
      <c r="C783" s="2069"/>
      <c r="D783" s="2069"/>
      <c r="E783" s="2069"/>
      <c r="F783" s="2069"/>
      <c r="G783" s="2069"/>
      <c r="H783" s="2069"/>
      <c r="I783"/>
      <c r="J783"/>
      <c r="K783"/>
    </row>
    <row r="784" spans="2:11" x14ac:dyDescent="0.2">
      <c r="B784" s="2069"/>
      <c r="C784" s="2069"/>
      <c r="D784" s="2069"/>
      <c r="E784" s="2069"/>
      <c r="F784" s="2069"/>
      <c r="G784" s="2069"/>
      <c r="H784" s="2069"/>
      <c r="I784"/>
      <c r="J784"/>
      <c r="K784"/>
    </row>
    <row r="785" spans="2:11" x14ac:dyDescent="0.2">
      <c r="B785" s="2069"/>
      <c r="C785" s="2069"/>
      <c r="D785" s="2069"/>
      <c r="E785" s="2069"/>
      <c r="F785" s="2069"/>
      <c r="G785" s="2069"/>
      <c r="H785" s="2069"/>
      <c r="I785"/>
      <c r="J785"/>
      <c r="K785"/>
    </row>
    <row r="786" spans="2:11" x14ac:dyDescent="0.2">
      <c r="B786" s="2069"/>
      <c r="C786" s="2069"/>
      <c r="D786" s="2069"/>
      <c r="E786" s="2069"/>
      <c r="F786" s="2069"/>
      <c r="G786" s="2069"/>
      <c r="H786" s="2069"/>
      <c r="I786"/>
      <c r="J786"/>
      <c r="K786"/>
    </row>
    <row r="787" spans="2:11" x14ac:dyDescent="0.2">
      <c r="B787" s="2069"/>
      <c r="C787" s="2069"/>
      <c r="D787" s="2069"/>
      <c r="E787" s="2069"/>
      <c r="F787" s="2069"/>
      <c r="G787" s="2069"/>
      <c r="H787" s="2069"/>
      <c r="I787"/>
      <c r="J787"/>
      <c r="K787"/>
    </row>
    <row r="788" spans="2:11" x14ac:dyDescent="0.2">
      <c r="B788" s="2069"/>
      <c r="C788" s="2069"/>
      <c r="D788" s="2069"/>
      <c r="E788" s="2069"/>
      <c r="F788" s="2069"/>
      <c r="G788" s="2069"/>
      <c r="H788" s="2069"/>
      <c r="I788"/>
      <c r="J788"/>
      <c r="K788"/>
    </row>
    <row r="789" spans="2:11" x14ac:dyDescent="0.2">
      <c r="B789" s="2069"/>
      <c r="C789" s="2069"/>
      <c r="D789" s="2069"/>
      <c r="E789" s="2069"/>
      <c r="F789" s="2069"/>
      <c r="G789" s="2069"/>
      <c r="H789" s="2069"/>
      <c r="I789"/>
      <c r="J789"/>
      <c r="K789"/>
    </row>
    <row r="790" spans="2:11" x14ac:dyDescent="0.2">
      <c r="B790" s="2069"/>
      <c r="C790" s="2069"/>
      <c r="D790" s="2069"/>
      <c r="E790" s="2069"/>
      <c r="F790" s="2069"/>
      <c r="G790" s="2069"/>
      <c r="H790" s="2069"/>
      <c r="I790"/>
      <c r="J790"/>
      <c r="K790"/>
    </row>
    <row r="791" spans="2:11" x14ac:dyDescent="0.2">
      <c r="B791" s="2069"/>
      <c r="C791" s="2069"/>
      <c r="D791" s="2069"/>
      <c r="E791" s="2069"/>
      <c r="F791" s="2069"/>
      <c r="G791" s="2069"/>
      <c r="H791" s="2069"/>
      <c r="I791"/>
      <c r="J791"/>
      <c r="K791"/>
    </row>
    <row r="792" spans="2:11" x14ac:dyDescent="0.2">
      <c r="B792" s="2069"/>
      <c r="C792" s="2069"/>
      <c r="D792" s="2069"/>
      <c r="E792" s="2069"/>
      <c r="F792" s="2069"/>
      <c r="G792" s="2069"/>
      <c r="H792" s="2069"/>
      <c r="I792"/>
      <c r="J792"/>
      <c r="K792"/>
    </row>
    <row r="793" spans="2:11" x14ac:dyDescent="0.2">
      <c r="B793" s="2069"/>
      <c r="C793" s="2069"/>
      <c r="D793" s="2069"/>
      <c r="E793" s="2069"/>
      <c r="F793" s="2069"/>
      <c r="G793" s="2069"/>
      <c r="H793" s="2069"/>
      <c r="I793"/>
      <c r="J793"/>
      <c r="K793"/>
    </row>
    <row r="794" spans="2:11" x14ac:dyDescent="0.2">
      <c r="B794" s="2069"/>
      <c r="C794" s="2069"/>
      <c r="D794" s="2069"/>
      <c r="E794" s="2069"/>
      <c r="F794" s="2069"/>
      <c r="G794" s="2069"/>
      <c r="H794" s="2069"/>
      <c r="I794"/>
      <c r="J794"/>
      <c r="K794"/>
    </row>
    <row r="795" spans="2:11" x14ac:dyDescent="0.2">
      <c r="B795" s="2069"/>
      <c r="C795" s="2069"/>
      <c r="D795" s="2069"/>
      <c r="E795" s="2069"/>
      <c r="F795" s="2069"/>
      <c r="G795" s="2069"/>
      <c r="H795" s="2069"/>
      <c r="I795"/>
      <c r="J795"/>
      <c r="K795"/>
    </row>
    <row r="796" spans="2:11" x14ac:dyDescent="0.2">
      <c r="B796" s="2069"/>
      <c r="C796" s="2069"/>
      <c r="D796" s="2069"/>
      <c r="E796" s="2069"/>
      <c r="F796" s="2069"/>
      <c r="G796" s="2069"/>
      <c r="H796" s="2069"/>
      <c r="I796"/>
      <c r="J796"/>
      <c r="K796"/>
    </row>
    <row r="797" spans="2:11" x14ac:dyDescent="0.2">
      <c r="B797" s="2069"/>
      <c r="C797" s="2069"/>
      <c r="D797" s="2069"/>
      <c r="E797" s="2069"/>
      <c r="F797" s="2069"/>
      <c r="G797" s="2069"/>
      <c r="H797" s="2069"/>
      <c r="I797"/>
      <c r="J797"/>
      <c r="K797"/>
    </row>
    <row r="798" spans="2:11" x14ac:dyDescent="0.2">
      <c r="B798" s="2069"/>
      <c r="C798" s="2069"/>
      <c r="D798" s="2069"/>
      <c r="E798" s="2069"/>
      <c r="F798" s="2069"/>
      <c r="G798" s="2069"/>
      <c r="H798" s="2069"/>
      <c r="I798"/>
      <c r="J798"/>
      <c r="K798"/>
    </row>
    <row r="799" spans="2:11" x14ac:dyDescent="0.2">
      <c r="B799" s="2069"/>
      <c r="C799" s="2069"/>
      <c r="D799" s="2069"/>
      <c r="E799" s="2069"/>
      <c r="F799" s="2069"/>
      <c r="G799" s="2069"/>
      <c r="H799" s="2069"/>
      <c r="I799"/>
      <c r="J799"/>
      <c r="K799"/>
    </row>
    <row r="800" spans="2:11" x14ac:dyDescent="0.2">
      <c r="B800" s="2069"/>
      <c r="C800" s="2069"/>
      <c r="D800" s="2069"/>
      <c r="E800" s="2069"/>
      <c r="F800" s="2069"/>
      <c r="G800" s="2069"/>
      <c r="H800" s="2069"/>
      <c r="I800"/>
      <c r="J800"/>
      <c r="K800"/>
    </row>
    <row r="801" spans="2:11" x14ac:dyDescent="0.2">
      <c r="B801" s="2069"/>
      <c r="C801" s="2069"/>
      <c r="D801" s="2069"/>
      <c r="E801" s="2069"/>
      <c r="F801" s="2069"/>
      <c r="G801" s="2069"/>
      <c r="H801" s="2069"/>
      <c r="I801"/>
      <c r="J801"/>
      <c r="K801"/>
    </row>
    <row r="802" spans="2:11" x14ac:dyDescent="0.2">
      <c r="B802" s="2069"/>
      <c r="C802" s="2069"/>
      <c r="D802" s="2069"/>
      <c r="E802" s="2069"/>
      <c r="F802" s="2069"/>
      <c r="G802" s="2069"/>
      <c r="H802" s="2069"/>
      <c r="I802"/>
      <c r="J802"/>
      <c r="K802"/>
    </row>
    <row r="803" spans="2:11" x14ac:dyDescent="0.2">
      <c r="B803" s="2069"/>
      <c r="C803" s="2069"/>
      <c r="D803" s="2069"/>
      <c r="E803" s="2069"/>
      <c r="F803" s="2069"/>
      <c r="G803" s="2069"/>
      <c r="H803" s="2069"/>
      <c r="I803"/>
      <c r="J803"/>
      <c r="K803"/>
    </row>
    <row r="804" spans="2:11" x14ac:dyDescent="0.2">
      <c r="B804" s="2069"/>
      <c r="C804" s="2069"/>
      <c r="D804" s="2069"/>
      <c r="E804" s="2069"/>
      <c r="F804" s="2069"/>
      <c r="G804" s="2069"/>
      <c r="H804" s="2069"/>
      <c r="I804"/>
      <c r="J804"/>
      <c r="K804"/>
    </row>
    <row r="805" spans="2:11" x14ac:dyDescent="0.2">
      <c r="B805" s="2069"/>
      <c r="C805" s="2069"/>
      <c r="D805" s="2069"/>
      <c r="E805" s="2069"/>
      <c r="F805" s="2069"/>
      <c r="G805" s="2069"/>
      <c r="H805" s="2069"/>
      <c r="I805"/>
      <c r="J805"/>
      <c r="K805"/>
    </row>
    <row r="806" spans="2:11" x14ac:dyDescent="0.2">
      <c r="B806" s="2069"/>
      <c r="C806" s="2069"/>
      <c r="D806" s="2069"/>
      <c r="E806" s="2069"/>
      <c r="F806" s="2069"/>
      <c r="G806" s="2069"/>
      <c r="H806" s="2069"/>
      <c r="I806"/>
      <c r="J806"/>
      <c r="K806"/>
    </row>
    <row r="807" spans="2:11" x14ac:dyDescent="0.2">
      <c r="B807" s="2069"/>
      <c r="C807" s="2069"/>
      <c r="D807" s="2069"/>
      <c r="E807" s="2069"/>
      <c r="F807" s="2069"/>
      <c r="G807" s="2069"/>
      <c r="H807" s="2069"/>
      <c r="I807"/>
      <c r="J807"/>
      <c r="K807"/>
    </row>
    <row r="808" spans="2:11" x14ac:dyDescent="0.2">
      <c r="B808" s="2069"/>
      <c r="C808" s="2069"/>
      <c r="D808" s="2069"/>
      <c r="E808" s="2069"/>
      <c r="F808" s="2069"/>
      <c r="G808" s="2069"/>
      <c r="H808" s="2069"/>
      <c r="I808"/>
      <c r="J808"/>
      <c r="K808"/>
    </row>
    <row r="809" spans="2:11" x14ac:dyDescent="0.2">
      <c r="B809" s="2069"/>
      <c r="C809" s="2069"/>
      <c r="D809" s="2069"/>
      <c r="E809" s="2069"/>
      <c r="F809" s="2069"/>
      <c r="G809" s="2069"/>
      <c r="H809" s="2069"/>
      <c r="I809"/>
      <c r="J809"/>
      <c r="K809"/>
    </row>
    <row r="810" spans="2:11" x14ac:dyDescent="0.2">
      <c r="B810" s="2069"/>
      <c r="C810" s="2069"/>
      <c r="D810" s="2069"/>
      <c r="E810" s="2069"/>
      <c r="F810" s="2069"/>
      <c r="G810" s="2069"/>
      <c r="H810" s="2069"/>
      <c r="I810"/>
      <c r="J810"/>
      <c r="K810"/>
    </row>
    <row r="811" spans="2:11" x14ac:dyDescent="0.2">
      <c r="B811" s="2069"/>
      <c r="C811" s="2069"/>
      <c r="D811" s="2069"/>
      <c r="E811" s="2069"/>
      <c r="F811" s="2069"/>
      <c r="G811" s="2069"/>
      <c r="H811" s="2069"/>
      <c r="I811"/>
      <c r="J811"/>
      <c r="K811"/>
    </row>
    <row r="812" spans="2:11" x14ac:dyDescent="0.2">
      <c r="B812" s="2069"/>
      <c r="C812" s="2069"/>
      <c r="D812" s="2069"/>
      <c r="E812" s="2069"/>
      <c r="F812" s="2069"/>
      <c r="G812" s="2069"/>
      <c r="H812" s="2069"/>
      <c r="I812"/>
      <c r="J812"/>
      <c r="K812"/>
    </row>
    <row r="813" spans="2:11" x14ac:dyDescent="0.2">
      <c r="B813" s="2069"/>
      <c r="C813" s="2069"/>
      <c r="D813" s="2069"/>
      <c r="E813" s="2069"/>
      <c r="F813" s="2069"/>
      <c r="G813" s="2069"/>
      <c r="H813" s="2069"/>
      <c r="I813"/>
      <c r="J813"/>
      <c r="K813"/>
    </row>
    <row r="814" spans="2:11" x14ac:dyDescent="0.2">
      <c r="B814" s="2069"/>
      <c r="C814" s="2069"/>
      <c r="D814" s="2069"/>
      <c r="E814" s="2069"/>
      <c r="F814" s="2069"/>
      <c r="G814" s="2069"/>
      <c r="H814" s="2069"/>
      <c r="I814"/>
      <c r="J814"/>
      <c r="K814"/>
    </row>
    <row r="815" spans="2:11" x14ac:dyDescent="0.2">
      <c r="B815" s="2069"/>
      <c r="C815" s="2069"/>
      <c r="D815" s="2069"/>
      <c r="E815" s="2069"/>
      <c r="F815" s="2069"/>
      <c r="G815" s="2069"/>
      <c r="H815" s="2069"/>
      <c r="I815"/>
      <c r="J815"/>
      <c r="K815"/>
    </row>
    <row r="816" spans="2:11" x14ac:dyDescent="0.2">
      <c r="B816" s="2069"/>
      <c r="C816" s="2069"/>
      <c r="D816" s="2069"/>
      <c r="E816" s="2069"/>
      <c r="F816" s="2069"/>
      <c r="G816" s="2069"/>
      <c r="H816" s="2069"/>
      <c r="I816"/>
      <c r="J816"/>
      <c r="K816"/>
    </row>
    <row r="817" spans="2:11" x14ac:dyDescent="0.2">
      <c r="B817" s="2069"/>
      <c r="C817" s="2069"/>
      <c r="D817" s="2069"/>
      <c r="E817" s="2069"/>
      <c r="F817" s="2069"/>
      <c r="G817" s="2069"/>
      <c r="H817" s="2069"/>
      <c r="I817"/>
      <c r="J817"/>
      <c r="K817"/>
    </row>
    <row r="818" spans="2:11" x14ac:dyDescent="0.2">
      <c r="B818" s="2069"/>
      <c r="C818" s="2069"/>
      <c r="D818" s="2069"/>
      <c r="E818" s="2069"/>
      <c r="F818" s="2069"/>
      <c r="G818" s="2069"/>
      <c r="H818" s="2069"/>
      <c r="I818"/>
      <c r="J818"/>
      <c r="K818"/>
    </row>
    <row r="819" spans="2:11" x14ac:dyDescent="0.2">
      <c r="B819" s="2069"/>
      <c r="C819" s="2069"/>
      <c r="D819" s="2069"/>
      <c r="E819" s="2069"/>
      <c r="F819" s="2069"/>
      <c r="G819" s="2069"/>
      <c r="H819" s="2069"/>
      <c r="I819"/>
      <c r="J819"/>
      <c r="K819"/>
    </row>
    <row r="820" spans="2:11" x14ac:dyDescent="0.2">
      <c r="B820" s="2069"/>
      <c r="C820" s="2069"/>
      <c r="D820" s="2069"/>
      <c r="E820" s="2069"/>
      <c r="F820" s="2069"/>
      <c r="G820" s="2069"/>
      <c r="H820" s="2069"/>
      <c r="I820"/>
      <c r="J820"/>
      <c r="K820"/>
    </row>
    <row r="821" spans="2:11" x14ac:dyDescent="0.2">
      <c r="B821" s="2069"/>
      <c r="C821" s="2069"/>
      <c r="D821" s="2069"/>
      <c r="E821" s="2069"/>
      <c r="F821" s="2069"/>
      <c r="G821" s="2069"/>
      <c r="H821" s="2069"/>
      <c r="I821"/>
      <c r="J821"/>
      <c r="K821"/>
    </row>
    <row r="822" spans="2:11" x14ac:dyDescent="0.2">
      <c r="B822" s="2069"/>
      <c r="C822" s="2069"/>
      <c r="D822" s="2069"/>
      <c r="E822" s="2069"/>
      <c r="F822" s="2069"/>
      <c r="G822" s="2069"/>
      <c r="H822" s="2069"/>
      <c r="I822"/>
      <c r="J822"/>
      <c r="K822"/>
    </row>
    <row r="823" spans="2:11" x14ac:dyDescent="0.2">
      <c r="B823" s="2069"/>
      <c r="C823" s="2069"/>
      <c r="D823" s="2069"/>
      <c r="E823" s="2069"/>
      <c r="F823" s="2069"/>
      <c r="G823" s="2069"/>
      <c r="H823" s="2069"/>
      <c r="I823"/>
      <c r="J823"/>
      <c r="K823"/>
    </row>
    <row r="824" spans="2:11" x14ac:dyDescent="0.2">
      <c r="B824" s="2069"/>
      <c r="C824" s="2069"/>
      <c r="D824" s="2069"/>
      <c r="E824" s="2069"/>
      <c r="F824" s="2069"/>
      <c r="G824" s="2069"/>
      <c r="H824" s="2069"/>
      <c r="I824"/>
      <c r="J824"/>
      <c r="K824"/>
    </row>
    <row r="825" spans="2:11" x14ac:dyDescent="0.2">
      <c r="B825" s="2069"/>
      <c r="C825" s="2069"/>
      <c r="D825" s="2069"/>
      <c r="E825" s="2069"/>
      <c r="F825" s="2069"/>
      <c r="G825" s="2069"/>
      <c r="H825" s="2069"/>
      <c r="I825"/>
      <c r="J825"/>
      <c r="K825"/>
    </row>
    <row r="826" spans="2:11" x14ac:dyDescent="0.2">
      <c r="B826" s="2069"/>
      <c r="C826" s="2069"/>
      <c r="D826" s="2069"/>
      <c r="E826" s="2069"/>
      <c r="F826" s="2069"/>
      <c r="G826" s="2069"/>
      <c r="H826" s="2069"/>
      <c r="I826"/>
      <c r="J826"/>
      <c r="K826"/>
    </row>
    <row r="827" spans="2:11" x14ac:dyDescent="0.2">
      <c r="B827" s="2069"/>
      <c r="C827" s="2069"/>
      <c r="D827" s="2069"/>
      <c r="E827" s="2069"/>
      <c r="F827" s="2069"/>
      <c r="G827" s="2069"/>
      <c r="H827" s="2069"/>
      <c r="I827"/>
      <c r="J827"/>
      <c r="K827"/>
    </row>
    <row r="828" spans="2:11" x14ac:dyDescent="0.2">
      <c r="B828" s="2069"/>
      <c r="C828" s="2069"/>
      <c r="D828" s="2069"/>
      <c r="E828" s="2069"/>
      <c r="F828" s="2069"/>
      <c r="G828" s="2069"/>
      <c r="H828" s="2069"/>
      <c r="I828"/>
      <c r="J828"/>
      <c r="K828"/>
    </row>
    <row r="829" spans="2:11" x14ac:dyDescent="0.2">
      <c r="B829" s="2069"/>
      <c r="C829" s="2069"/>
      <c r="D829" s="2069"/>
      <c r="E829" s="2069"/>
      <c r="F829" s="2069"/>
      <c r="G829" s="2069"/>
      <c r="H829" s="2069"/>
      <c r="I829"/>
      <c r="J829"/>
      <c r="K829"/>
    </row>
    <row r="830" spans="2:11" x14ac:dyDescent="0.2">
      <c r="B830" s="2069"/>
      <c r="C830" s="2069"/>
      <c r="D830" s="2069"/>
      <c r="E830" s="2069"/>
      <c r="F830" s="2069"/>
      <c r="G830" s="2069"/>
      <c r="H830" s="2069"/>
      <c r="I830"/>
      <c r="J830"/>
      <c r="K830"/>
    </row>
    <row r="831" spans="2:11" x14ac:dyDescent="0.2">
      <c r="B831" s="2069"/>
      <c r="C831" s="2069"/>
      <c r="D831" s="2069"/>
      <c r="E831" s="2069"/>
      <c r="F831" s="2069"/>
      <c r="G831" s="2069"/>
      <c r="H831" s="2069"/>
      <c r="I831"/>
      <c r="J831"/>
      <c r="K831"/>
    </row>
    <row r="832" spans="2:11" x14ac:dyDescent="0.2">
      <c r="B832" s="2069"/>
      <c r="C832" s="2069"/>
      <c r="D832" s="2069"/>
      <c r="E832" s="2069"/>
      <c r="F832" s="2069"/>
      <c r="G832" s="2069"/>
      <c r="H832" s="2069"/>
      <c r="I832"/>
      <c r="J832"/>
      <c r="K832"/>
    </row>
    <row r="833" spans="2:11" x14ac:dyDescent="0.2">
      <c r="B833" s="2069"/>
      <c r="C833" s="2069"/>
      <c r="D833" s="2069"/>
      <c r="E833" s="2069"/>
      <c r="F833" s="2069"/>
      <c r="G833" s="2069"/>
      <c r="H833" s="2069"/>
      <c r="I833"/>
      <c r="J833"/>
      <c r="K833"/>
    </row>
    <row r="834" spans="2:11" x14ac:dyDescent="0.2">
      <c r="B834" s="2069"/>
      <c r="C834" s="2069"/>
      <c r="D834" s="2069"/>
      <c r="E834" s="2069"/>
      <c r="F834" s="2069"/>
      <c r="G834" s="2069"/>
      <c r="H834" s="2069"/>
      <c r="I834"/>
      <c r="J834"/>
      <c r="K834"/>
    </row>
    <row r="835" spans="2:11" x14ac:dyDescent="0.2">
      <c r="B835" s="2069"/>
      <c r="C835" s="2069"/>
      <c r="D835" s="2069"/>
      <c r="E835" s="2069"/>
      <c r="F835" s="2069"/>
      <c r="G835" s="2069"/>
      <c r="H835" s="2069"/>
      <c r="I835"/>
      <c r="J835"/>
      <c r="K835"/>
    </row>
    <row r="836" spans="2:11" x14ac:dyDescent="0.2">
      <c r="B836" s="2069"/>
      <c r="C836" s="2069"/>
      <c r="D836" s="2069"/>
      <c r="E836" s="2069"/>
      <c r="F836" s="2069"/>
      <c r="G836" s="2069"/>
      <c r="H836" s="2069"/>
      <c r="I836"/>
      <c r="J836"/>
      <c r="K836"/>
    </row>
    <row r="837" spans="2:11" x14ac:dyDescent="0.2">
      <c r="B837" s="2069"/>
      <c r="C837" s="2069"/>
      <c r="D837" s="2069"/>
      <c r="E837" s="2069"/>
      <c r="F837" s="2069"/>
      <c r="G837" s="2069"/>
      <c r="H837" s="2069"/>
      <c r="I837"/>
      <c r="J837"/>
      <c r="K837"/>
    </row>
    <row r="838" spans="2:11" x14ac:dyDescent="0.2">
      <c r="B838" s="2069"/>
      <c r="C838" s="2069"/>
      <c r="D838" s="2069"/>
      <c r="E838" s="2069"/>
      <c r="F838" s="2069"/>
      <c r="G838" s="2069"/>
      <c r="H838" s="2069"/>
      <c r="I838"/>
      <c r="J838"/>
      <c r="K838"/>
    </row>
    <row r="839" spans="2:11" x14ac:dyDescent="0.2">
      <c r="B839" s="2069"/>
      <c r="C839" s="2069"/>
      <c r="D839" s="2069"/>
      <c r="E839" s="2069"/>
      <c r="F839" s="2069"/>
      <c r="G839" s="2069"/>
      <c r="H839" s="2069"/>
      <c r="I839"/>
      <c r="J839"/>
      <c r="K839"/>
    </row>
    <row r="840" spans="2:11" x14ac:dyDescent="0.2">
      <c r="B840" s="2069"/>
      <c r="C840" s="2069"/>
      <c r="D840" s="2069"/>
      <c r="E840" s="2069"/>
      <c r="F840" s="2069"/>
      <c r="G840" s="2069"/>
      <c r="H840" s="2069"/>
      <c r="I840"/>
      <c r="J840"/>
      <c r="K840"/>
    </row>
    <row r="841" spans="2:11" x14ac:dyDescent="0.2">
      <c r="B841" s="2069"/>
      <c r="C841" s="2069"/>
      <c r="D841" s="2069"/>
      <c r="E841" s="2069"/>
      <c r="F841" s="2069"/>
      <c r="G841" s="2069"/>
      <c r="H841" s="2069"/>
      <c r="I841"/>
      <c r="J841"/>
      <c r="K841"/>
    </row>
    <row r="842" spans="2:11" x14ac:dyDescent="0.2">
      <c r="B842" s="2069"/>
      <c r="C842" s="2069"/>
      <c r="D842" s="2069"/>
      <c r="E842" s="2069"/>
      <c r="F842" s="2069"/>
      <c r="G842" s="2069"/>
      <c r="H842" s="2069"/>
      <c r="I842"/>
      <c r="J842"/>
      <c r="K842"/>
    </row>
    <row r="843" spans="2:11" x14ac:dyDescent="0.2">
      <c r="B843" s="2069"/>
      <c r="C843" s="2069"/>
      <c r="D843" s="2069"/>
      <c r="E843" s="2069"/>
      <c r="F843" s="2069"/>
      <c r="G843" s="2069"/>
      <c r="H843" s="2069"/>
      <c r="I843"/>
      <c r="J843"/>
      <c r="K843"/>
    </row>
    <row r="844" spans="2:11" x14ac:dyDescent="0.2">
      <c r="B844" s="2069"/>
      <c r="C844" s="2069"/>
      <c r="D844" s="2069"/>
      <c r="E844" s="2069"/>
      <c r="F844" s="2069"/>
      <c r="G844" s="2069"/>
      <c r="H844" s="2069"/>
      <c r="I844"/>
      <c r="J844"/>
      <c r="K844"/>
    </row>
    <row r="845" spans="2:11" x14ac:dyDescent="0.2">
      <c r="B845" s="2069"/>
      <c r="C845" s="2069"/>
      <c r="D845" s="2069"/>
      <c r="E845" s="2069"/>
      <c r="F845" s="2069"/>
      <c r="G845" s="2069"/>
      <c r="H845" s="2069"/>
      <c r="I845"/>
      <c r="J845"/>
      <c r="K845"/>
    </row>
    <row r="846" spans="2:11" x14ac:dyDescent="0.2">
      <c r="B846" s="2069"/>
      <c r="C846" s="2069"/>
      <c r="D846" s="2069"/>
      <c r="E846" s="2069"/>
      <c r="F846" s="2069"/>
      <c r="G846" s="2069"/>
      <c r="H846" s="2069"/>
      <c r="I846"/>
      <c r="J846"/>
      <c r="K846"/>
    </row>
    <row r="847" spans="2:11" x14ac:dyDescent="0.2">
      <c r="B847" s="2069"/>
      <c r="C847" s="2069"/>
      <c r="D847" s="2069"/>
      <c r="E847" s="2069"/>
      <c r="F847" s="2069"/>
      <c r="G847" s="2069"/>
      <c r="H847" s="2069"/>
      <c r="I847"/>
      <c r="J847"/>
      <c r="K847"/>
    </row>
    <row r="848" spans="2:11" x14ac:dyDescent="0.2">
      <c r="B848" s="2069"/>
      <c r="C848" s="2069"/>
      <c r="D848" s="2069"/>
      <c r="E848" s="2069"/>
      <c r="F848" s="2069"/>
      <c r="G848" s="2069"/>
      <c r="H848" s="2069"/>
      <c r="I848"/>
      <c r="J848"/>
      <c r="K848"/>
    </row>
    <row r="849" spans="2:11" x14ac:dyDescent="0.2">
      <c r="B849" s="2069"/>
      <c r="C849" s="2069"/>
      <c r="D849" s="2069"/>
      <c r="E849" s="2069"/>
      <c r="F849" s="2069"/>
      <c r="G849" s="2069"/>
      <c r="H849" s="2069"/>
      <c r="I849"/>
      <c r="J849"/>
      <c r="K849"/>
    </row>
    <row r="850" spans="2:11" x14ac:dyDescent="0.2">
      <c r="B850" s="2069"/>
      <c r="C850" s="2069"/>
      <c r="D850" s="2069"/>
      <c r="E850" s="2069"/>
      <c r="F850" s="2069"/>
      <c r="G850" s="2069"/>
      <c r="H850" s="2069"/>
      <c r="I850"/>
      <c r="J850"/>
      <c r="K850"/>
    </row>
    <row r="851" spans="2:11" x14ac:dyDescent="0.2">
      <c r="B851" s="2069"/>
      <c r="C851" s="2069"/>
      <c r="D851" s="2069"/>
      <c r="E851" s="2069"/>
      <c r="F851" s="2069"/>
      <c r="G851" s="2069"/>
      <c r="H851" s="2069"/>
      <c r="I851"/>
      <c r="J851"/>
      <c r="K851"/>
    </row>
    <row r="852" spans="2:11" x14ac:dyDescent="0.2">
      <c r="B852" s="2069"/>
      <c r="C852" s="2069"/>
      <c r="D852" s="2069"/>
      <c r="E852" s="2069"/>
      <c r="F852" s="2069"/>
      <c r="G852" s="2069"/>
      <c r="H852" s="2069"/>
      <c r="I852"/>
      <c r="J852"/>
      <c r="K852"/>
    </row>
    <row r="853" spans="2:11" x14ac:dyDescent="0.2">
      <c r="B853" s="2069"/>
      <c r="C853" s="2069"/>
      <c r="D853" s="2069"/>
      <c r="E853" s="2069"/>
      <c r="F853" s="2069"/>
      <c r="G853" s="2069"/>
      <c r="H853" s="2069"/>
      <c r="I853"/>
      <c r="J853"/>
      <c r="K853"/>
    </row>
    <row r="854" spans="2:11" x14ac:dyDescent="0.2">
      <c r="B854" s="2069"/>
      <c r="C854" s="2069"/>
      <c r="D854" s="2069"/>
      <c r="E854" s="2069"/>
      <c r="F854" s="2069"/>
      <c r="G854" s="2069"/>
      <c r="H854" s="2069"/>
      <c r="I854"/>
      <c r="J854"/>
      <c r="K854"/>
    </row>
    <row r="855" spans="2:11" x14ac:dyDescent="0.2">
      <c r="B855" s="2069"/>
      <c r="C855" s="2069"/>
      <c r="D855" s="2069"/>
      <c r="E855" s="2069"/>
      <c r="F855" s="2069"/>
      <c r="G855" s="2069"/>
      <c r="H855" s="2069"/>
      <c r="I855"/>
      <c r="J855"/>
      <c r="K855"/>
    </row>
    <row r="856" spans="2:11" x14ac:dyDescent="0.2">
      <c r="B856" s="2069"/>
      <c r="C856" s="2069"/>
      <c r="D856" s="2069"/>
      <c r="E856" s="2069"/>
      <c r="F856" s="2069"/>
      <c r="G856" s="2069"/>
      <c r="H856" s="2069"/>
      <c r="I856"/>
      <c r="J856"/>
      <c r="K856"/>
    </row>
    <row r="857" spans="2:11" x14ac:dyDescent="0.2">
      <c r="B857" s="2069"/>
      <c r="C857" s="2069"/>
      <c r="D857" s="2069"/>
      <c r="E857" s="2069"/>
      <c r="F857" s="2069"/>
      <c r="G857" s="2069"/>
      <c r="H857" s="2069"/>
      <c r="I857"/>
      <c r="J857"/>
      <c r="K857"/>
    </row>
    <row r="858" spans="2:11" x14ac:dyDescent="0.2">
      <c r="B858" s="2069"/>
      <c r="C858" s="2069"/>
      <c r="D858" s="2069"/>
      <c r="E858" s="2069"/>
      <c r="F858" s="2069"/>
      <c r="G858" s="2069"/>
      <c r="H858" s="2069"/>
      <c r="I858"/>
      <c r="J858"/>
      <c r="K858"/>
    </row>
    <row r="859" spans="2:11" x14ac:dyDescent="0.2">
      <c r="B859" s="2069"/>
      <c r="C859" s="2069"/>
      <c r="D859" s="2069"/>
      <c r="E859" s="2069"/>
      <c r="F859" s="2069"/>
      <c r="G859" s="2069"/>
      <c r="H859" s="2069"/>
      <c r="I859"/>
      <c r="J859"/>
      <c r="K859"/>
    </row>
    <row r="860" spans="2:11" x14ac:dyDescent="0.2">
      <c r="B860" s="2069"/>
      <c r="C860" s="2069"/>
      <c r="D860" s="2069"/>
      <c r="E860" s="2069"/>
      <c r="F860" s="2069"/>
      <c r="G860" s="2069"/>
      <c r="H860" s="2069"/>
      <c r="I860"/>
      <c r="J860"/>
      <c r="K860"/>
    </row>
    <row r="861" spans="2:11" x14ac:dyDescent="0.2">
      <c r="B861" s="2069"/>
      <c r="C861" s="2069"/>
      <c r="D861" s="2069"/>
      <c r="E861" s="2069"/>
      <c r="F861" s="2069"/>
      <c r="G861" s="2069"/>
      <c r="H861" s="2069"/>
      <c r="I861"/>
      <c r="J861"/>
      <c r="K861"/>
    </row>
    <row r="862" spans="2:11" x14ac:dyDescent="0.2">
      <c r="B862" s="2069"/>
      <c r="C862" s="2069"/>
      <c r="D862" s="2069"/>
      <c r="E862" s="2069"/>
      <c r="F862" s="2069"/>
      <c r="G862" s="2069"/>
      <c r="H862" s="2069"/>
      <c r="I862"/>
      <c r="J862"/>
      <c r="K862"/>
    </row>
    <row r="863" spans="2:11" x14ac:dyDescent="0.2">
      <c r="B863" s="2069"/>
      <c r="C863" s="2069"/>
      <c r="D863" s="2069"/>
      <c r="E863" s="2069"/>
      <c r="F863" s="2069"/>
      <c r="G863" s="2069"/>
      <c r="H863" s="2069"/>
      <c r="I863"/>
      <c r="J863"/>
      <c r="K863"/>
    </row>
    <row r="864" spans="2:11" x14ac:dyDescent="0.2">
      <c r="B864" s="2069"/>
      <c r="C864" s="2069"/>
      <c r="D864" s="2069"/>
      <c r="E864" s="2069"/>
      <c r="F864" s="2069"/>
      <c r="G864" s="2069"/>
      <c r="H864" s="2069"/>
      <c r="I864"/>
      <c r="J864"/>
      <c r="K864"/>
    </row>
    <row r="865" spans="2:11" x14ac:dyDescent="0.2">
      <c r="B865" s="2069"/>
      <c r="C865" s="2069"/>
      <c r="D865" s="2069"/>
      <c r="E865" s="2069"/>
      <c r="F865" s="2069"/>
      <c r="G865" s="2069"/>
      <c r="H865" s="2069"/>
      <c r="I865"/>
      <c r="J865"/>
      <c r="K865"/>
    </row>
    <row r="866" spans="2:11" x14ac:dyDescent="0.2">
      <c r="B866" s="2069"/>
      <c r="C866" s="2069"/>
      <c r="D866" s="2069"/>
      <c r="E866" s="2069"/>
      <c r="F866" s="2069"/>
      <c r="G866" s="2069"/>
      <c r="H866" s="2069"/>
      <c r="I866"/>
      <c r="J866"/>
      <c r="K866"/>
    </row>
    <row r="867" spans="2:11" x14ac:dyDescent="0.2">
      <c r="B867" s="2069"/>
      <c r="C867" s="2069"/>
      <c r="D867" s="2069"/>
      <c r="E867" s="2069"/>
      <c r="F867" s="2069"/>
      <c r="G867" s="2069"/>
      <c r="H867" s="2069"/>
      <c r="I867"/>
      <c r="J867"/>
      <c r="K867"/>
    </row>
    <row r="868" spans="2:11" x14ac:dyDescent="0.2">
      <c r="B868" s="2069"/>
      <c r="C868" s="2069"/>
      <c r="D868" s="2069"/>
      <c r="E868" s="2069"/>
      <c r="F868" s="2069"/>
      <c r="G868" s="2069"/>
      <c r="H868" s="2069"/>
      <c r="I868"/>
      <c r="J868"/>
      <c r="K868"/>
    </row>
    <row r="869" spans="2:11" x14ac:dyDescent="0.2">
      <c r="B869" s="2069"/>
      <c r="C869" s="2069"/>
      <c r="D869" s="2069"/>
      <c r="E869" s="2069"/>
      <c r="F869" s="2069"/>
      <c r="G869" s="2069"/>
      <c r="H869" s="2069"/>
      <c r="I869"/>
      <c r="J869"/>
      <c r="K869"/>
    </row>
    <row r="870" spans="2:11" x14ac:dyDescent="0.2">
      <c r="B870" s="2069"/>
      <c r="C870" s="2069"/>
      <c r="D870" s="2069"/>
      <c r="E870" s="2069"/>
      <c r="F870" s="2069"/>
      <c r="G870" s="2069"/>
      <c r="H870" s="2069"/>
      <c r="I870"/>
      <c r="J870"/>
      <c r="K870"/>
    </row>
    <row r="871" spans="2:11" x14ac:dyDescent="0.2">
      <c r="B871" s="2069"/>
      <c r="C871" s="2069"/>
      <c r="D871" s="2069"/>
      <c r="E871" s="2069"/>
      <c r="F871" s="2069"/>
      <c r="G871" s="2069"/>
      <c r="H871" s="2069"/>
      <c r="I871"/>
      <c r="J871"/>
      <c r="K871"/>
    </row>
    <row r="872" spans="2:11" x14ac:dyDescent="0.2">
      <c r="B872" s="2069"/>
      <c r="C872" s="2069"/>
      <c r="D872" s="2069"/>
      <c r="E872" s="2069"/>
      <c r="F872" s="2069"/>
      <c r="G872" s="2069"/>
      <c r="H872" s="2069"/>
      <c r="I872"/>
      <c r="J872"/>
      <c r="K872"/>
    </row>
    <row r="873" spans="2:11" x14ac:dyDescent="0.2">
      <c r="B873" s="2069"/>
      <c r="C873" s="2069"/>
      <c r="D873" s="2069"/>
      <c r="E873" s="2069"/>
      <c r="F873" s="2069"/>
      <c r="G873" s="2069"/>
      <c r="H873" s="2069"/>
      <c r="I873"/>
      <c r="J873"/>
      <c r="K873"/>
    </row>
    <row r="874" spans="2:11" x14ac:dyDescent="0.2">
      <c r="B874" s="2069"/>
      <c r="C874" s="2069"/>
      <c r="D874" s="2069"/>
      <c r="E874" s="2069"/>
      <c r="F874" s="2069"/>
      <c r="G874" s="2069"/>
      <c r="H874" s="2069"/>
      <c r="I874"/>
      <c r="J874"/>
      <c r="K874"/>
    </row>
    <row r="875" spans="2:11" x14ac:dyDescent="0.2">
      <c r="B875" s="2069"/>
      <c r="C875" s="2069"/>
      <c r="D875" s="2069"/>
      <c r="E875" s="2069"/>
      <c r="F875" s="2069"/>
      <c r="G875" s="2069"/>
      <c r="H875" s="2069"/>
      <c r="I875"/>
      <c r="J875"/>
      <c r="K875"/>
    </row>
    <row r="876" spans="2:11" x14ac:dyDescent="0.2">
      <c r="B876" s="2069"/>
      <c r="C876" s="2069"/>
      <c r="D876" s="2069"/>
      <c r="E876" s="2069"/>
      <c r="F876" s="2069"/>
      <c r="G876" s="2069"/>
      <c r="H876" s="2069"/>
      <c r="I876"/>
      <c r="J876"/>
      <c r="K876"/>
    </row>
    <row r="877" spans="2:11" x14ac:dyDescent="0.2">
      <c r="B877" s="2069"/>
      <c r="C877" s="2069"/>
      <c r="D877" s="2069"/>
      <c r="E877" s="2069"/>
      <c r="F877" s="2069"/>
      <c r="G877" s="2069"/>
      <c r="H877" s="2069"/>
      <c r="I877"/>
      <c r="J877"/>
      <c r="K877"/>
    </row>
    <row r="878" spans="2:11" x14ac:dyDescent="0.2">
      <c r="B878" s="2069"/>
      <c r="C878" s="2069"/>
      <c r="D878" s="2069"/>
      <c r="E878" s="2069"/>
      <c r="F878" s="2069"/>
      <c r="G878" s="2069"/>
      <c r="H878" s="2069"/>
      <c r="I878"/>
      <c r="J878"/>
      <c r="K878"/>
    </row>
    <row r="879" spans="2:11" x14ac:dyDescent="0.2">
      <c r="B879" s="2069"/>
      <c r="C879" s="2069"/>
      <c r="D879" s="2069"/>
      <c r="E879" s="2069"/>
      <c r="F879" s="2069"/>
      <c r="G879" s="2069"/>
      <c r="H879" s="2069"/>
      <c r="I879"/>
      <c r="J879"/>
      <c r="K879"/>
    </row>
    <row r="880" spans="2:11" x14ac:dyDescent="0.2">
      <c r="B880" s="2069"/>
      <c r="C880" s="2069"/>
      <c r="D880" s="2069"/>
      <c r="E880" s="2069"/>
      <c r="F880" s="2069"/>
      <c r="G880" s="2069"/>
      <c r="H880" s="2069"/>
      <c r="I880"/>
      <c r="J880"/>
      <c r="K880"/>
    </row>
    <row r="881" spans="2:11" x14ac:dyDescent="0.2">
      <c r="B881" s="2069"/>
      <c r="C881" s="2069"/>
      <c r="D881" s="2069"/>
      <c r="E881" s="2069"/>
      <c r="F881" s="2069"/>
      <c r="G881" s="2069"/>
      <c r="H881" s="2069"/>
      <c r="I881"/>
      <c r="J881"/>
      <c r="K881"/>
    </row>
    <row r="882" spans="2:11" x14ac:dyDescent="0.2">
      <c r="B882" s="2069"/>
      <c r="C882" s="2069"/>
      <c r="D882" s="2069"/>
      <c r="E882" s="2069"/>
      <c r="F882" s="2069"/>
      <c r="G882" s="2069"/>
      <c r="H882" s="2069"/>
      <c r="I882"/>
      <c r="J882"/>
      <c r="K882"/>
    </row>
    <row r="883" spans="2:11" x14ac:dyDescent="0.2">
      <c r="B883" s="2069"/>
      <c r="C883" s="2069"/>
      <c r="D883" s="2069"/>
      <c r="E883" s="2069"/>
      <c r="F883" s="2069"/>
      <c r="G883" s="2069"/>
      <c r="H883" s="2069"/>
      <c r="I883"/>
      <c r="J883"/>
      <c r="K883"/>
    </row>
    <row r="884" spans="2:11" x14ac:dyDescent="0.2">
      <c r="B884" s="2069"/>
      <c r="C884" s="2069"/>
      <c r="D884" s="2069"/>
      <c r="E884" s="2069"/>
      <c r="F884" s="2069"/>
      <c r="G884" s="2069"/>
      <c r="H884" s="2069"/>
      <c r="I884"/>
      <c r="J884"/>
      <c r="K884"/>
    </row>
    <row r="885" spans="2:11" x14ac:dyDescent="0.2">
      <c r="B885" s="2069"/>
      <c r="C885" s="2069"/>
      <c r="D885" s="2069"/>
      <c r="E885" s="2069"/>
      <c r="F885" s="2069"/>
      <c r="G885" s="2069"/>
      <c r="H885" s="2069"/>
      <c r="I885"/>
      <c r="J885"/>
      <c r="K885"/>
    </row>
    <row r="886" spans="2:11" x14ac:dyDescent="0.2">
      <c r="B886" s="2069"/>
      <c r="C886" s="2069"/>
      <c r="D886" s="2069"/>
      <c r="E886" s="2069"/>
      <c r="F886" s="2069"/>
      <c r="G886" s="2069"/>
      <c r="H886" s="2069"/>
      <c r="I886"/>
      <c r="J886"/>
      <c r="K886"/>
    </row>
    <row r="887" spans="2:11" x14ac:dyDescent="0.2">
      <c r="B887" s="2069"/>
      <c r="C887" s="2069"/>
      <c r="D887" s="2069"/>
      <c r="E887" s="2069"/>
      <c r="F887" s="2069"/>
      <c r="G887" s="2069"/>
      <c r="H887" s="2069"/>
      <c r="I887"/>
      <c r="J887"/>
      <c r="K887"/>
    </row>
    <row r="888" spans="2:11" x14ac:dyDescent="0.2">
      <c r="B888" s="2069"/>
      <c r="C888" s="2069"/>
      <c r="D888" s="2069"/>
      <c r="E888" s="2069"/>
      <c r="F888" s="2069"/>
      <c r="G888" s="2069"/>
      <c r="H888" s="2069"/>
      <c r="I888"/>
      <c r="J888"/>
      <c r="K888"/>
    </row>
    <row r="889" spans="2:11" x14ac:dyDescent="0.2">
      <c r="B889" s="2069"/>
      <c r="C889" s="2069"/>
      <c r="D889" s="2069"/>
      <c r="E889" s="2069"/>
      <c r="F889" s="2069"/>
      <c r="G889" s="2069"/>
      <c r="H889" s="2069"/>
      <c r="I889"/>
      <c r="J889"/>
      <c r="K889"/>
    </row>
    <row r="890" spans="2:11" x14ac:dyDescent="0.2">
      <c r="B890" s="2069"/>
      <c r="C890" s="2069"/>
      <c r="D890" s="2069"/>
      <c r="E890" s="2069"/>
      <c r="F890" s="2069"/>
      <c r="G890" s="2069"/>
      <c r="H890" s="2069"/>
      <c r="I890"/>
      <c r="J890"/>
      <c r="K890"/>
    </row>
    <row r="891" spans="2:11" x14ac:dyDescent="0.2">
      <c r="B891" s="2069"/>
      <c r="C891" s="2069"/>
      <c r="D891" s="2069"/>
      <c r="E891" s="2069"/>
      <c r="F891" s="2069"/>
      <c r="G891" s="2069"/>
      <c r="H891" s="2069"/>
      <c r="I891"/>
      <c r="J891"/>
      <c r="K891"/>
    </row>
    <row r="892" spans="2:11" x14ac:dyDescent="0.2">
      <c r="B892" s="2069"/>
      <c r="C892" s="2069"/>
      <c r="D892" s="2069"/>
      <c r="E892" s="2069"/>
      <c r="F892" s="2069"/>
      <c r="G892" s="2069"/>
      <c r="H892" s="2069"/>
      <c r="I892"/>
      <c r="J892"/>
      <c r="K892"/>
    </row>
    <row r="893" spans="2:11" x14ac:dyDescent="0.2">
      <c r="B893" s="2069"/>
      <c r="C893" s="2069"/>
      <c r="D893" s="2069"/>
      <c r="E893" s="2069"/>
      <c r="F893" s="2069"/>
      <c r="G893" s="2069"/>
      <c r="H893" s="2069"/>
      <c r="I893"/>
      <c r="J893"/>
      <c r="K893"/>
    </row>
    <row r="894" spans="2:11" x14ac:dyDescent="0.2">
      <c r="B894" s="2069"/>
      <c r="C894" s="2069"/>
      <c r="D894" s="2069"/>
      <c r="E894" s="2069"/>
      <c r="F894" s="2069"/>
      <c r="G894" s="2069"/>
      <c r="H894" s="2069"/>
      <c r="I894"/>
      <c r="J894"/>
      <c r="K894"/>
    </row>
    <row r="895" spans="2:11" x14ac:dyDescent="0.2">
      <c r="B895" s="2069"/>
      <c r="C895" s="2069"/>
      <c r="D895" s="2069"/>
      <c r="E895" s="2069"/>
      <c r="F895" s="2069"/>
      <c r="G895" s="2069"/>
      <c r="H895" s="2069"/>
      <c r="I895"/>
      <c r="J895"/>
      <c r="K895"/>
    </row>
    <row r="896" spans="2:11" x14ac:dyDescent="0.2">
      <c r="B896" s="2069"/>
      <c r="C896" s="2069"/>
      <c r="D896" s="2069"/>
      <c r="E896" s="2069"/>
      <c r="F896" s="2069"/>
      <c r="G896" s="2069"/>
      <c r="H896" s="2069"/>
      <c r="I896"/>
      <c r="J896"/>
      <c r="K896"/>
    </row>
    <row r="897" spans="2:11" x14ac:dyDescent="0.2">
      <c r="B897" s="2069"/>
      <c r="C897" s="2069"/>
      <c r="D897" s="2069"/>
      <c r="E897" s="2069"/>
      <c r="F897" s="2069"/>
      <c r="G897" s="2069"/>
      <c r="H897" s="2069"/>
      <c r="I897"/>
      <c r="J897"/>
      <c r="K897"/>
    </row>
    <row r="898" spans="2:11" x14ac:dyDescent="0.2">
      <c r="B898" s="2069"/>
      <c r="C898" s="2069"/>
      <c r="D898" s="2069"/>
      <c r="E898" s="2069"/>
      <c r="F898" s="2069"/>
      <c r="G898" s="2069"/>
      <c r="H898" s="2069"/>
      <c r="I898"/>
      <c r="J898"/>
      <c r="K898"/>
    </row>
    <row r="899" spans="2:11" x14ac:dyDescent="0.2">
      <c r="B899" s="2069"/>
      <c r="C899" s="2069"/>
      <c r="D899" s="2069"/>
      <c r="E899" s="2069"/>
      <c r="F899" s="2069"/>
      <c r="G899" s="2069"/>
      <c r="H899" s="2069"/>
      <c r="I899"/>
      <c r="J899"/>
      <c r="K899"/>
    </row>
    <row r="900" spans="2:11" x14ac:dyDescent="0.2">
      <c r="B900" s="2069"/>
      <c r="C900" s="2069"/>
      <c r="D900" s="2069"/>
      <c r="E900" s="2069"/>
      <c r="F900" s="2069"/>
      <c r="G900" s="2069"/>
      <c r="H900" s="2069"/>
      <c r="I900"/>
      <c r="J900"/>
      <c r="K900"/>
    </row>
    <row r="901" spans="2:11" x14ac:dyDescent="0.2">
      <c r="B901" s="2069"/>
      <c r="C901" s="2069"/>
      <c r="D901" s="2069"/>
      <c r="E901" s="2069"/>
      <c r="F901" s="2069"/>
      <c r="G901" s="2069"/>
      <c r="H901" s="2069"/>
      <c r="I901"/>
      <c r="J901"/>
      <c r="K901"/>
    </row>
    <row r="902" spans="2:11" x14ac:dyDescent="0.2">
      <c r="B902" s="2069"/>
      <c r="C902" s="2069"/>
      <c r="D902" s="2069"/>
      <c r="E902" s="2069"/>
      <c r="F902" s="2069"/>
      <c r="G902" s="2069"/>
      <c r="H902" s="2069"/>
      <c r="I902"/>
      <c r="J902"/>
      <c r="K902"/>
    </row>
    <row r="903" spans="2:11" x14ac:dyDescent="0.2">
      <c r="B903" s="2069"/>
      <c r="C903" s="2069"/>
      <c r="D903" s="2069"/>
      <c r="E903" s="2069"/>
      <c r="F903" s="2069"/>
      <c r="G903" s="2069"/>
      <c r="H903" s="2069"/>
      <c r="I903"/>
      <c r="J903"/>
      <c r="K903"/>
    </row>
    <row r="904" spans="2:11" x14ac:dyDescent="0.2">
      <c r="B904" s="2069"/>
      <c r="C904" s="2069"/>
      <c r="D904" s="2069"/>
      <c r="E904" s="2069"/>
      <c r="F904" s="2069"/>
      <c r="G904" s="2069"/>
      <c r="H904" s="2069"/>
      <c r="I904"/>
      <c r="J904"/>
      <c r="K904"/>
    </row>
    <row r="905" spans="2:11" x14ac:dyDescent="0.2">
      <c r="B905" s="2069"/>
      <c r="C905" s="2069"/>
      <c r="D905" s="2069"/>
      <c r="E905" s="2069"/>
      <c r="F905" s="2069"/>
      <c r="G905" s="2069"/>
      <c r="H905" s="2069"/>
      <c r="I905"/>
      <c r="J905"/>
      <c r="K905"/>
    </row>
    <row r="906" spans="2:11" x14ac:dyDescent="0.2">
      <c r="B906" s="2069"/>
      <c r="C906" s="2069"/>
      <c r="D906" s="2069"/>
      <c r="E906" s="2069"/>
      <c r="F906" s="2069"/>
      <c r="G906" s="2069"/>
      <c r="H906" s="2069"/>
      <c r="I906"/>
      <c r="J906"/>
      <c r="K906"/>
    </row>
    <row r="907" spans="2:11" x14ac:dyDescent="0.2">
      <c r="B907" s="2069"/>
      <c r="C907" s="2069"/>
      <c r="D907" s="2069"/>
      <c r="E907" s="2069"/>
      <c r="F907" s="2069"/>
      <c r="G907" s="2069"/>
      <c r="H907" s="2069"/>
      <c r="I907"/>
      <c r="J907"/>
      <c r="K907"/>
    </row>
    <row r="908" spans="2:11" x14ac:dyDescent="0.2">
      <c r="B908" s="2069"/>
      <c r="C908" s="2069"/>
      <c r="D908" s="2069"/>
      <c r="E908" s="2069"/>
      <c r="F908" s="2069"/>
      <c r="G908" s="2069"/>
      <c r="H908" s="2069"/>
      <c r="I908"/>
      <c r="J908"/>
      <c r="K908"/>
    </row>
    <row r="909" spans="2:11" x14ac:dyDescent="0.2">
      <c r="B909" s="2069"/>
      <c r="C909" s="2069"/>
      <c r="D909" s="2069"/>
      <c r="E909" s="2069"/>
      <c r="F909" s="2069"/>
      <c r="G909" s="2069"/>
      <c r="H909" s="2069"/>
      <c r="I909"/>
      <c r="J909"/>
      <c r="K909"/>
    </row>
    <row r="910" spans="2:11" x14ac:dyDescent="0.2">
      <c r="B910" s="2069"/>
      <c r="C910" s="2069"/>
      <c r="D910" s="2069"/>
      <c r="E910" s="2069"/>
      <c r="F910" s="2069"/>
      <c r="G910" s="2069"/>
      <c r="H910" s="2069"/>
      <c r="I910"/>
      <c r="J910"/>
      <c r="K910"/>
    </row>
    <row r="911" spans="2:11" x14ac:dyDescent="0.2">
      <c r="B911" s="2069"/>
      <c r="C911" s="2069"/>
      <c r="D911" s="2069"/>
      <c r="E911" s="2069"/>
      <c r="F911" s="2069"/>
      <c r="G911" s="2069"/>
      <c r="H911" s="2069"/>
      <c r="I911"/>
      <c r="J911"/>
      <c r="K911"/>
    </row>
    <row r="912" spans="2:11" x14ac:dyDescent="0.2">
      <c r="B912" s="2069"/>
      <c r="C912" s="2069"/>
      <c r="D912" s="2069"/>
      <c r="E912" s="2069"/>
      <c r="F912" s="2069"/>
      <c r="G912" s="2069"/>
      <c r="H912" s="2069"/>
      <c r="I912"/>
      <c r="J912"/>
      <c r="K912"/>
    </row>
    <row r="913" spans="2:11" x14ac:dyDescent="0.2">
      <c r="B913" s="2069"/>
      <c r="C913" s="2069"/>
      <c r="D913" s="2069"/>
      <c r="E913" s="2069"/>
      <c r="F913" s="2069"/>
      <c r="G913" s="2069"/>
      <c r="H913" s="2069"/>
      <c r="I913"/>
      <c r="J913"/>
      <c r="K913"/>
    </row>
    <row r="914" spans="2:11" x14ac:dyDescent="0.2">
      <c r="B914" s="2069"/>
      <c r="C914" s="2069"/>
      <c r="D914" s="2069"/>
      <c r="E914" s="2069"/>
      <c r="F914" s="2069"/>
      <c r="G914" s="2069"/>
      <c r="H914" s="2069"/>
      <c r="I914"/>
      <c r="J914"/>
      <c r="K914"/>
    </row>
    <row r="915" spans="2:11" x14ac:dyDescent="0.2">
      <c r="B915" s="2069"/>
      <c r="C915" s="2069"/>
      <c r="D915" s="2069"/>
      <c r="E915" s="2069"/>
      <c r="F915" s="2069"/>
      <c r="G915" s="2069"/>
      <c r="H915" s="2069"/>
      <c r="I915"/>
      <c r="J915"/>
      <c r="K915"/>
    </row>
    <row r="916" spans="2:11" x14ac:dyDescent="0.2">
      <c r="B916" s="2069"/>
      <c r="C916" s="2069"/>
      <c r="D916" s="2069"/>
      <c r="E916" s="2069"/>
      <c r="F916" s="2069"/>
      <c r="G916" s="2069"/>
      <c r="H916" s="2069"/>
      <c r="I916"/>
      <c r="J916"/>
      <c r="K916"/>
    </row>
    <row r="917" spans="2:11" x14ac:dyDescent="0.2">
      <c r="B917" s="2069"/>
      <c r="C917" s="2069"/>
      <c r="D917" s="2069"/>
      <c r="E917" s="2069"/>
      <c r="F917" s="2069"/>
      <c r="G917" s="2069"/>
      <c r="H917" s="2069"/>
      <c r="I917"/>
      <c r="J917"/>
      <c r="K917"/>
    </row>
    <row r="918" spans="2:11" x14ac:dyDescent="0.2">
      <c r="B918" s="2069"/>
      <c r="C918" s="2069"/>
      <c r="D918" s="2069"/>
      <c r="E918" s="2069"/>
      <c r="F918" s="2069"/>
      <c r="G918" s="2069"/>
      <c r="H918" s="2069"/>
      <c r="I918"/>
      <c r="J918"/>
      <c r="K918"/>
    </row>
    <row r="919" spans="2:11" x14ac:dyDescent="0.2">
      <c r="B919" s="2069"/>
      <c r="C919" s="2069"/>
      <c r="D919" s="2069"/>
      <c r="E919" s="2069"/>
      <c r="F919" s="2069"/>
      <c r="G919" s="2069"/>
      <c r="H919" s="2069"/>
      <c r="I919"/>
      <c r="J919"/>
      <c r="K919"/>
    </row>
    <row r="920" spans="2:11" x14ac:dyDescent="0.2">
      <c r="B920" s="2069"/>
      <c r="C920" s="2069"/>
      <c r="D920" s="2069"/>
      <c r="E920" s="2069"/>
      <c r="F920" s="2069"/>
      <c r="G920" s="2069"/>
      <c r="H920" s="2069"/>
      <c r="I920"/>
      <c r="J920"/>
      <c r="K920"/>
    </row>
    <row r="921" spans="2:11" x14ac:dyDescent="0.2">
      <c r="B921" s="2069"/>
      <c r="C921" s="2069"/>
      <c r="D921" s="2069"/>
      <c r="E921" s="2069"/>
      <c r="F921" s="2069"/>
      <c r="G921" s="2069"/>
      <c r="H921" s="2069"/>
      <c r="I921"/>
      <c r="J921"/>
      <c r="K921"/>
    </row>
    <row r="922" spans="2:11" x14ac:dyDescent="0.2">
      <c r="B922" s="2069"/>
      <c r="C922" s="2069"/>
      <c r="D922" s="2069"/>
      <c r="E922" s="2069"/>
      <c r="F922" s="2069"/>
      <c r="G922" s="2069"/>
      <c r="H922" s="2069"/>
      <c r="I922"/>
      <c r="J922"/>
      <c r="K922"/>
    </row>
    <row r="923" spans="2:11" x14ac:dyDescent="0.2">
      <c r="B923" s="2069"/>
      <c r="C923" s="2069"/>
      <c r="D923" s="2069"/>
      <c r="E923" s="2069"/>
      <c r="F923" s="2069"/>
      <c r="G923" s="2069"/>
      <c r="H923" s="2069"/>
      <c r="I923"/>
      <c r="J923"/>
      <c r="K923"/>
    </row>
    <row r="924" spans="2:11" x14ac:dyDescent="0.2">
      <c r="B924" s="2069"/>
      <c r="C924" s="2069"/>
      <c r="D924" s="2069"/>
      <c r="E924" s="2069"/>
      <c r="F924" s="2069"/>
      <c r="G924" s="2069"/>
      <c r="H924" s="2069"/>
      <c r="I924"/>
      <c r="J924"/>
      <c r="K924"/>
    </row>
    <row r="925" spans="2:11" x14ac:dyDescent="0.2">
      <c r="B925" s="2069"/>
      <c r="C925" s="2069"/>
      <c r="D925" s="2069"/>
      <c r="E925" s="2069"/>
      <c r="F925" s="2069"/>
      <c r="G925" s="2069"/>
      <c r="H925" s="2069"/>
      <c r="I925"/>
      <c r="J925"/>
      <c r="K925"/>
    </row>
    <row r="926" spans="2:11" x14ac:dyDescent="0.2">
      <c r="B926" s="2069"/>
      <c r="C926" s="2069"/>
      <c r="D926" s="2069"/>
      <c r="E926" s="2069"/>
      <c r="F926" s="2069"/>
      <c r="G926" s="2069"/>
      <c r="H926" s="2069"/>
      <c r="I926"/>
      <c r="J926"/>
      <c r="K926"/>
    </row>
    <row r="927" spans="2:11" x14ac:dyDescent="0.2">
      <c r="B927" s="2069"/>
      <c r="C927" s="2069"/>
      <c r="D927" s="2069"/>
      <c r="E927" s="2069"/>
      <c r="F927" s="2069"/>
      <c r="G927" s="2069"/>
      <c r="H927" s="2069"/>
      <c r="I927"/>
      <c r="J927"/>
      <c r="K927"/>
    </row>
    <row r="928" spans="2:11" x14ac:dyDescent="0.2">
      <c r="B928" s="2069"/>
      <c r="C928" s="2069"/>
      <c r="D928" s="2069"/>
      <c r="E928" s="2069"/>
      <c r="F928" s="2069"/>
      <c r="G928" s="2069"/>
      <c r="H928" s="2069"/>
      <c r="I928"/>
      <c r="J928"/>
      <c r="K928"/>
    </row>
    <row r="929" spans="2:11" x14ac:dyDescent="0.2">
      <c r="B929" s="2069"/>
      <c r="C929" s="2069"/>
      <c r="D929" s="2069"/>
      <c r="E929" s="2069"/>
      <c r="F929" s="2069"/>
      <c r="G929" s="2069"/>
      <c r="H929" s="2069"/>
      <c r="I929"/>
      <c r="J929"/>
      <c r="K929"/>
    </row>
    <row r="930" spans="2:11" x14ac:dyDescent="0.2">
      <c r="B930" s="2069"/>
      <c r="C930" s="2069"/>
      <c r="D930" s="2069"/>
      <c r="E930" s="2069"/>
      <c r="F930" s="2069"/>
      <c r="G930" s="2069"/>
      <c r="H930" s="2069"/>
      <c r="I930"/>
      <c r="J930"/>
      <c r="K930"/>
    </row>
    <row r="931" spans="2:11" x14ac:dyDescent="0.2">
      <c r="B931" s="2069"/>
      <c r="C931" s="2069"/>
      <c r="D931" s="2069"/>
      <c r="E931" s="2069"/>
      <c r="F931" s="2069"/>
      <c r="G931" s="2069"/>
      <c r="H931" s="2069"/>
      <c r="I931"/>
      <c r="J931"/>
      <c r="K931"/>
    </row>
    <row r="932" spans="2:11" x14ac:dyDescent="0.2">
      <c r="B932" s="2069"/>
      <c r="C932" s="2069"/>
      <c r="D932" s="2069"/>
      <c r="E932" s="2069"/>
      <c r="F932" s="2069"/>
      <c r="G932" s="2069"/>
      <c r="H932" s="2069"/>
      <c r="I932"/>
      <c r="J932"/>
      <c r="K932"/>
    </row>
    <row r="933" spans="2:11" x14ac:dyDescent="0.2">
      <c r="B933" s="2069"/>
      <c r="C933" s="2069"/>
      <c r="D933" s="2069"/>
      <c r="E933" s="2069"/>
      <c r="F933" s="2069"/>
      <c r="G933" s="2069"/>
      <c r="H933" s="2069"/>
      <c r="I933"/>
      <c r="J933"/>
      <c r="K933"/>
    </row>
    <row r="934" spans="2:11" x14ac:dyDescent="0.2">
      <c r="B934" s="2069"/>
      <c r="C934" s="2069"/>
      <c r="D934" s="2069"/>
      <c r="E934" s="2069"/>
      <c r="F934" s="2069"/>
      <c r="G934" s="2069"/>
      <c r="H934" s="2069"/>
      <c r="I934"/>
      <c r="J934"/>
      <c r="K934"/>
    </row>
    <row r="935" spans="2:11" x14ac:dyDescent="0.2">
      <c r="B935" s="2069"/>
      <c r="C935" s="2069"/>
      <c r="D935" s="2069"/>
      <c r="E935" s="2069"/>
      <c r="F935" s="2069"/>
      <c r="G935" s="2069"/>
      <c r="H935" s="2069"/>
      <c r="I935"/>
      <c r="J935"/>
      <c r="K935"/>
    </row>
    <row r="936" spans="2:11" x14ac:dyDescent="0.2">
      <c r="B936" s="2069"/>
      <c r="C936" s="2069"/>
      <c r="D936" s="2069"/>
      <c r="E936" s="2069"/>
      <c r="F936" s="2069"/>
      <c r="G936" s="2069"/>
      <c r="H936" s="2069"/>
      <c r="I936"/>
      <c r="J936"/>
      <c r="K936"/>
    </row>
    <row r="937" spans="2:11" x14ac:dyDescent="0.2">
      <c r="B937" s="2069"/>
      <c r="C937" s="2069"/>
      <c r="D937" s="2069"/>
      <c r="E937" s="2069"/>
      <c r="F937" s="2069"/>
      <c r="G937" s="2069"/>
      <c r="H937" s="2069"/>
      <c r="I937"/>
      <c r="J937"/>
      <c r="K937"/>
    </row>
    <row r="938" spans="2:11" x14ac:dyDescent="0.2">
      <c r="B938" s="2069"/>
      <c r="C938" s="2069"/>
      <c r="D938" s="2069"/>
      <c r="E938" s="2069"/>
      <c r="F938" s="2069"/>
      <c r="G938" s="2069"/>
      <c r="H938" s="2069"/>
      <c r="I938"/>
      <c r="J938"/>
      <c r="K938"/>
    </row>
    <row r="939" spans="2:11" x14ac:dyDescent="0.2">
      <c r="B939" s="2069"/>
      <c r="C939" s="2069"/>
      <c r="D939" s="2069"/>
      <c r="E939" s="2069"/>
      <c r="F939" s="2069"/>
      <c r="G939" s="2069"/>
      <c r="H939" s="2069"/>
      <c r="I939"/>
      <c r="J939"/>
      <c r="K939"/>
    </row>
    <row r="940" spans="2:11" x14ac:dyDescent="0.2">
      <c r="B940" s="2069"/>
      <c r="C940" s="2069"/>
      <c r="D940" s="2069"/>
      <c r="E940" s="2069"/>
      <c r="F940" s="2069"/>
      <c r="G940" s="2069"/>
      <c r="H940" s="2069"/>
      <c r="I940"/>
      <c r="J940"/>
      <c r="K940"/>
    </row>
    <row r="941" spans="2:11" x14ac:dyDescent="0.2">
      <c r="B941" s="2069"/>
      <c r="C941" s="2069"/>
      <c r="D941" s="2069"/>
      <c r="E941" s="2069"/>
      <c r="F941" s="2069"/>
      <c r="G941" s="2069"/>
      <c r="H941" s="2069"/>
      <c r="I941"/>
      <c r="J941"/>
      <c r="K941"/>
    </row>
    <row r="942" spans="2:11" x14ac:dyDescent="0.2">
      <c r="B942" s="2069"/>
      <c r="C942" s="2069"/>
      <c r="D942" s="2069"/>
      <c r="E942" s="2069"/>
      <c r="F942" s="2069"/>
      <c r="G942" s="2069"/>
      <c r="H942" s="2069"/>
      <c r="I942"/>
      <c r="J942"/>
      <c r="K942"/>
    </row>
    <row r="943" spans="2:11" x14ac:dyDescent="0.2">
      <c r="B943" s="2069"/>
      <c r="C943" s="2069"/>
      <c r="D943" s="2069"/>
      <c r="E943" s="2069"/>
      <c r="F943" s="2069"/>
      <c r="G943" s="2069"/>
      <c r="H943" s="2069"/>
      <c r="I943"/>
      <c r="J943"/>
      <c r="K943"/>
    </row>
    <row r="944" spans="2:11" x14ac:dyDescent="0.2">
      <c r="B944" s="2069"/>
      <c r="C944" s="2069"/>
      <c r="D944" s="2069"/>
      <c r="E944" s="2069"/>
      <c r="F944" s="2069"/>
      <c r="G944" s="2069"/>
      <c r="H944" s="2069"/>
      <c r="I944"/>
      <c r="J944"/>
      <c r="K944"/>
    </row>
    <row r="945" spans="2:11" x14ac:dyDescent="0.2">
      <c r="B945" s="2069"/>
      <c r="C945" s="2069"/>
      <c r="D945" s="2069"/>
      <c r="E945" s="2069"/>
      <c r="F945" s="2069"/>
      <c r="G945" s="2069"/>
      <c r="H945" s="2069"/>
      <c r="I945"/>
      <c r="J945"/>
      <c r="K945"/>
    </row>
    <row r="946" spans="2:11" x14ac:dyDescent="0.2">
      <c r="B946" s="2069"/>
      <c r="C946" s="2069"/>
      <c r="D946" s="2069"/>
      <c r="E946" s="2069"/>
      <c r="F946" s="2069"/>
      <c r="G946" s="2069"/>
      <c r="H946" s="2069"/>
      <c r="I946"/>
      <c r="J946"/>
      <c r="K946"/>
    </row>
    <row r="947" spans="2:11" x14ac:dyDescent="0.2">
      <c r="B947" s="2069"/>
      <c r="C947" s="2069"/>
      <c r="D947" s="2069"/>
      <c r="E947" s="2069"/>
      <c r="F947" s="2069"/>
      <c r="G947" s="2069"/>
      <c r="H947" s="2069"/>
      <c r="I947"/>
      <c r="J947"/>
      <c r="K947"/>
    </row>
    <row r="948" spans="2:11" x14ac:dyDescent="0.2">
      <c r="B948" s="2069"/>
      <c r="C948" s="2069"/>
      <c r="D948" s="2069"/>
      <c r="E948" s="2069"/>
      <c r="F948" s="2069"/>
      <c r="G948" s="2069"/>
      <c r="H948" s="2069"/>
      <c r="I948"/>
      <c r="J948"/>
      <c r="K948"/>
    </row>
    <row r="949" spans="2:11" x14ac:dyDescent="0.2">
      <c r="B949" s="2069"/>
      <c r="C949" s="2069"/>
      <c r="D949" s="2069"/>
      <c r="E949" s="2069"/>
      <c r="F949" s="2069"/>
      <c r="G949" s="2069"/>
      <c r="H949" s="2069"/>
      <c r="I949"/>
      <c r="J949"/>
      <c r="K949"/>
    </row>
    <row r="950" spans="2:11" x14ac:dyDescent="0.2">
      <c r="B950" s="2069"/>
      <c r="C950" s="2069"/>
      <c r="D950" s="2069"/>
      <c r="E950" s="2069"/>
      <c r="F950" s="2069"/>
      <c r="G950" s="2069"/>
      <c r="H950" s="2069"/>
      <c r="I950"/>
      <c r="J950"/>
      <c r="K950"/>
    </row>
    <row r="951" spans="2:11" x14ac:dyDescent="0.2">
      <c r="B951" s="2069"/>
      <c r="C951" s="2069"/>
      <c r="D951" s="2069"/>
      <c r="E951" s="2069"/>
      <c r="F951" s="2069"/>
      <c r="G951" s="2069"/>
      <c r="H951" s="2069"/>
      <c r="I951"/>
      <c r="J951"/>
      <c r="K951"/>
    </row>
    <row r="952" spans="2:11" x14ac:dyDescent="0.2">
      <c r="B952" s="2069"/>
      <c r="C952" s="2069"/>
      <c r="D952" s="2069"/>
      <c r="E952" s="2069"/>
      <c r="F952" s="2069"/>
      <c r="G952" s="2069"/>
      <c r="H952" s="2069"/>
      <c r="I952"/>
      <c r="J952"/>
      <c r="K952"/>
    </row>
    <row r="953" spans="2:11" x14ac:dyDescent="0.2">
      <c r="B953" s="2069"/>
      <c r="C953" s="2069"/>
      <c r="D953" s="2069"/>
      <c r="E953" s="2069"/>
      <c r="F953" s="2069"/>
      <c r="G953" s="2069"/>
      <c r="H953" s="2069"/>
      <c r="I953"/>
      <c r="J953"/>
      <c r="K953"/>
    </row>
    <row r="954" spans="2:11" x14ac:dyDescent="0.2">
      <c r="B954" s="2069"/>
      <c r="C954" s="2069"/>
      <c r="D954" s="2069"/>
      <c r="E954" s="2069"/>
      <c r="F954" s="2069"/>
      <c r="G954" s="2069"/>
      <c r="H954" s="2069"/>
      <c r="I954"/>
      <c r="J954"/>
      <c r="K954"/>
    </row>
    <row r="955" spans="2:11" x14ac:dyDescent="0.2">
      <c r="B955" s="2069"/>
      <c r="C955" s="2069"/>
      <c r="D955" s="2069"/>
      <c r="E955" s="2069"/>
      <c r="F955" s="2069"/>
      <c r="G955" s="2069"/>
      <c r="H955" s="2069"/>
      <c r="I955"/>
      <c r="J955"/>
      <c r="K955"/>
    </row>
    <row r="956" spans="2:11" x14ac:dyDescent="0.2">
      <c r="B956" s="2069"/>
      <c r="C956" s="2069"/>
      <c r="D956" s="2069"/>
      <c r="E956" s="2069"/>
      <c r="F956" s="2069"/>
      <c r="G956" s="2069"/>
      <c r="H956" s="2069"/>
      <c r="I956"/>
      <c r="J956"/>
      <c r="K956"/>
    </row>
    <row r="957" spans="2:11" x14ac:dyDescent="0.2">
      <c r="B957" s="2069"/>
      <c r="C957" s="2069"/>
      <c r="D957" s="2069"/>
      <c r="E957" s="2069"/>
      <c r="F957" s="2069"/>
      <c r="G957" s="2069"/>
      <c r="H957" s="2069"/>
      <c r="I957"/>
      <c r="J957"/>
      <c r="K957"/>
    </row>
    <row r="958" spans="2:11" x14ac:dyDescent="0.2">
      <c r="B958" s="2069"/>
      <c r="C958" s="2069"/>
      <c r="D958" s="2069"/>
      <c r="E958" s="2069"/>
      <c r="F958" s="2069"/>
      <c r="G958" s="2069"/>
      <c r="H958" s="2069"/>
      <c r="I958"/>
      <c r="J958"/>
      <c r="K958"/>
    </row>
    <row r="959" spans="2:11" x14ac:dyDescent="0.2">
      <c r="B959" s="2069"/>
      <c r="C959" s="2069"/>
      <c r="D959" s="2069"/>
      <c r="E959" s="2069"/>
      <c r="F959" s="2069"/>
      <c r="G959" s="2069"/>
      <c r="H959" s="2069"/>
      <c r="I959"/>
      <c r="J959"/>
      <c r="K959"/>
    </row>
    <row r="960" spans="2:11" x14ac:dyDescent="0.2">
      <c r="B960" s="2069"/>
      <c r="C960" s="2069"/>
      <c r="D960" s="2069"/>
      <c r="E960" s="2069"/>
      <c r="F960" s="2069"/>
      <c r="G960" s="2069"/>
      <c r="H960" s="2069"/>
      <c r="I960"/>
      <c r="J960"/>
      <c r="K960"/>
    </row>
    <row r="961" spans="2:11" x14ac:dyDescent="0.2">
      <c r="B961" s="2069"/>
      <c r="C961" s="2069"/>
      <c r="D961" s="2069"/>
      <c r="E961" s="2069"/>
      <c r="F961" s="2069"/>
      <c r="G961" s="2069"/>
      <c r="H961" s="2069"/>
      <c r="I961"/>
      <c r="J961"/>
      <c r="K961"/>
    </row>
    <row r="962" spans="2:11" x14ac:dyDescent="0.2">
      <c r="B962" s="2069"/>
      <c r="C962" s="2069"/>
      <c r="D962" s="2069"/>
      <c r="E962" s="2069"/>
      <c r="F962" s="2069"/>
      <c r="G962" s="2069"/>
      <c r="H962" s="2069"/>
      <c r="I962"/>
      <c r="J962"/>
      <c r="K962"/>
    </row>
    <row r="963" spans="2:11" x14ac:dyDescent="0.2">
      <c r="B963" s="2069"/>
      <c r="C963" s="2069"/>
      <c r="D963" s="2069"/>
      <c r="E963" s="2069"/>
      <c r="F963" s="2069"/>
      <c r="G963" s="2069"/>
      <c r="H963" s="2069"/>
      <c r="I963"/>
      <c r="J963"/>
      <c r="K963"/>
    </row>
    <row r="964" spans="2:11" x14ac:dyDescent="0.2">
      <c r="B964" s="2069"/>
      <c r="C964" s="2069"/>
      <c r="D964" s="2069"/>
      <c r="E964" s="2069"/>
      <c r="F964" s="2069"/>
      <c r="G964" s="2069"/>
      <c r="H964" s="2069"/>
      <c r="I964"/>
      <c r="J964"/>
      <c r="K964"/>
    </row>
    <row r="965" spans="2:11" x14ac:dyDescent="0.2">
      <c r="B965" s="2069"/>
      <c r="C965" s="2069"/>
      <c r="D965" s="2069"/>
      <c r="E965" s="2069"/>
      <c r="F965" s="2069"/>
      <c r="G965" s="2069"/>
      <c r="H965" s="2069"/>
      <c r="I965"/>
      <c r="J965"/>
      <c r="K965"/>
    </row>
    <row r="966" spans="2:11" x14ac:dyDescent="0.2">
      <c r="B966" s="2069"/>
      <c r="C966" s="2069"/>
      <c r="D966" s="2069"/>
      <c r="E966" s="2069"/>
      <c r="F966" s="2069"/>
      <c r="G966" s="2069"/>
      <c r="H966" s="2069"/>
      <c r="I966"/>
      <c r="J966"/>
      <c r="K966"/>
    </row>
    <row r="967" spans="2:11" x14ac:dyDescent="0.2">
      <c r="B967" s="2069"/>
      <c r="C967" s="2069"/>
      <c r="D967" s="2069"/>
      <c r="E967" s="2069"/>
      <c r="F967" s="2069"/>
      <c r="G967" s="2069"/>
      <c r="H967" s="2069"/>
      <c r="I967"/>
      <c r="J967"/>
      <c r="K967"/>
    </row>
    <row r="968" spans="2:11" x14ac:dyDescent="0.2">
      <c r="B968" s="2069"/>
      <c r="C968" s="2069"/>
      <c r="D968" s="2069"/>
      <c r="E968" s="2069"/>
      <c r="F968" s="2069"/>
      <c r="G968" s="2069"/>
      <c r="H968" s="2069"/>
      <c r="I968"/>
      <c r="J968"/>
      <c r="K968"/>
    </row>
    <row r="969" spans="2:11" x14ac:dyDescent="0.2">
      <c r="B969" s="2069"/>
      <c r="C969" s="2069"/>
      <c r="D969" s="2069"/>
      <c r="E969" s="2069"/>
      <c r="F969" s="2069"/>
      <c r="G969" s="2069"/>
      <c r="H969" s="2069"/>
      <c r="I969"/>
      <c r="J969"/>
      <c r="K969"/>
    </row>
    <row r="970" spans="2:11" x14ac:dyDescent="0.2">
      <c r="B970" s="2069"/>
      <c r="C970" s="2069"/>
      <c r="D970" s="2069"/>
      <c r="E970" s="2069"/>
      <c r="F970" s="2069"/>
      <c r="G970" s="2069"/>
      <c r="H970" s="2069"/>
      <c r="I970"/>
      <c r="J970"/>
      <c r="K970"/>
    </row>
    <row r="971" spans="2:11" x14ac:dyDescent="0.2">
      <c r="B971" s="2069"/>
      <c r="C971" s="2069"/>
      <c r="D971" s="2069"/>
      <c r="E971" s="2069"/>
      <c r="F971" s="2069"/>
      <c r="G971" s="2069"/>
      <c r="H971" s="2069"/>
      <c r="I971"/>
      <c r="J971"/>
      <c r="K971"/>
    </row>
    <row r="972" spans="2:11" x14ac:dyDescent="0.2">
      <c r="B972" s="2069"/>
      <c r="C972" s="2069"/>
      <c r="D972" s="2069"/>
      <c r="E972" s="2069"/>
      <c r="F972" s="2069"/>
      <c r="G972" s="2069"/>
      <c r="H972" s="2069"/>
      <c r="I972"/>
      <c r="J972"/>
      <c r="K972"/>
    </row>
    <row r="973" spans="2:11" x14ac:dyDescent="0.2">
      <c r="B973" s="2069"/>
      <c r="C973" s="2069"/>
      <c r="D973" s="2069"/>
      <c r="E973" s="2069"/>
      <c r="F973" s="2069"/>
      <c r="G973" s="2069"/>
      <c r="H973" s="2069"/>
      <c r="I973"/>
      <c r="J973"/>
      <c r="K973"/>
    </row>
    <row r="974" spans="2:11" x14ac:dyDescent="0.2">
      <c r="B974" s="2069"/>
      <c r="C974" s="2069"/>
      <c r="D974" s="2069"/>
      <c r="E974" s="2069"/>
      <c r="F974" s="2069"/>
      <c r="G974" s="2069"/>
      <c r="H974" s="2069"/>
      <c r="I974"/>
      <c r="J974"/>
      <c r="K974"/>
    </row>
    <row r="975" spans="2:11" x14ac:dyDescent="0.2">
      <c r="B975" s="2069"/>
      <c r="C975" s="2069"/>
      <c r="D975" s="2069"/>
      <c r="E975" s="2069"/>
      <c r="F975" s="2069"/>
      <c r="G975" s="2069"/>
      <c r="H975" s="2069"/>
      <c r="I975"/>
      <c r="J975"/>
      <c r="K975"/>
    </row>
    <row r="976" spans="2:11" x14ac:dyDescent="0.2">
      <c r="B976" s="2069"/>
      <c r="C976" s="2069"/>
      <c r="D976" s="2069"/>
      <c r="E976" s="2069"/>
      <c r="F976" s="2069"/>
      <c r="G976" s="2069"/>
      <c r="H976" s="2069"/>
      <c r="I976"/>
      <c r="J976"/>
      <c r="K976"/>
    </row>
    <row r="977" spans="2:11" x14ac:dyDescent="0.2">
      <c r="B977" s="2069"/>
      <c r="C977" s="2069"/>
      <c r="D977" s="2069"/>
      <c r="E977" s="2069"/>
      <c r="F977" s="2069"/>
      <c r="G977" s="2069"/>
      <c r="H977" s="2069"/>
      <c r="I977"/>
      <c r="J977"/>
      <c r="K977"/>
    </row>
    <row r="978" spans="2:11" x14ac:dyDescent="0.2">
      <c r="B978" s="2069"/>
      <c r="C978" s="2069"/>
      <c r="D978" s="2069"/>
      <c r="E978" s="2069"/>
      <c r="F978" s="2069"/>
      <c r="G978" s="2069"/>
      <c r="H978" s="2069"/>
      <c r="I978"/>
      <c r="J978"/>
      <c r="K978"/>
    </row>
    <row r="979" spans="2:11" x14ac:dyDescent="0.2">
      <c r="B979" s="2069"/>
      <c r="C979" s="2069"/>
      <c r="D979" s="2069"/>
      <c r="E979" s="2069"/>
      <c r="F979" s="2069"/>
      <c r="G979" s="2069"/>
      <c r="H979" s="2069"/>
      <c r="I979"/>
      <c r="J979"/>
      <c r="K979"/>
    </row>
    <row r="980" spans="2:11" x14ac:dyDescent="0.2">
      <c r="B980" s="2069"/>
      <c r="C980" s="2069"/>
      <c r="D980" s="2069"/>
      <c r="E980" s="2069"/>
      <c r="F980" s="2069"/>
      <c r="G980" s="2069"/>
      <c r="H980" s="2069"/>
      <c r="I980"/>
      <c r="J980"/>
      <c r="K980"/>
    </row>
    <row r="981" spans="2:11" x14ac:dyDescent="0.2">
      <c r="B981" s="2069"/>
      <c r="C981" s="2069"/>
      <c r="D981" s="2069"/>
      <c r="E981" s="2069"/>
      <c r="F981" s="2069"/>
      <c r="G981" s="2069"/>
      <c r="H981" s="2069"/>
      <c r="I981"/>
      <c r="J981"/>
      <c r="K981"/>
    </row>
    <row r="982" spans="2:11" x14ac:dyDescent="0.2">
      <c r="B982" s="2069"/>
      <c r="C982" s="2069"/>
      <c r="D982" s="2069"/>
      <c r="E982" s="2069"/>
      <c r="F982" s="2069"/>
      <c r="G982" s="2069"/>
      <c r="H982" s="2069"/>
      <c r="I982"/>
      <c r="J982"/>
      <c r="K982"/>
    </row>
    <row r="983" spans="2:11" x14ac:dyDescent="0.2">
      <c r="B983" s="2069"/>
      <c r="C983" s="2069"/>
      <c r="D983" s="2069"/>
      <c r="E983" s="2069"/>
      <c r="F983" s="2069"/>
      <c r="G983" s="2069"/>
      <c r="H983" s="2069"/>
      <c r="I983"/>
      <c r="J983"/>
      <c r="K983"/>
    </row>
    <row r="984" spans="2:11" x14ac:dyDescent="0.2">
      <c r="B984" s="2069"/>
      <c r="C984" s="2069"/>
      <c r="D984" s="2069"/>
      <c r="E984" s="2069"/>
      <c r="F984" s="2069"/>
      <c r="G984" s="2069"/>
      <c r="H984" s="2069"/>
      <c r="I984"/>
      <c r="J984"/>
      <c r="K984"/>
    </row>
    <row r="985" spans="2:11" x14ac:dyDescent="0.2">
      <c r="B985" s="2069"/>
      <c r="C985" s="2069"/>
      <c r="D985" s="2069"/>
      <c r="E985" s="2069"/>
      <c r="F985" s="2069"/>
      <c r="G985" s="2069"/>
      <c r="H985" s="2069"/>
      <c r="I985"/>
      <c r="J985"/>
      <c r="K985"/>
    </row>
    <row r="986" spans="2:11" x14ac:dyDescent="0.2">
      <c r="B986" s="2069"/>
      <c r="C986" s="2069"/>
      <c r="D986" s="2069"/>
      <c r="E986" s="2069"/>
      <c r="F986" s="2069"/>
      <c r="G986" s="2069"/>
      <c r="H986" s="2069"/>
      <c r="I986"/>
      <c r="J986"/>
      <c r="K986"/>
    </row>
    <row r="987" spans="2:11" x14ac:dyDescent="0.2">
      <c r="B987" s="2069"/>
      <c r="C987" s="2069"/>
      <c r="D987" s="2069"/>
      <c r="E987" s="2069"/>
      <c r="F987" s="2069"/>
      <c r="G987" s="2069"/>
      <c r="H987" s="2069"/>
      <c r="I987"/>
      <c r="J987"/>
      <c r="K987"/>
    </row>
    <row r="988" spans="2:11" x14ac:dyDescent="0.2">
      <c r="B988" s="2069"/>
      <c r="C988" s="2069"/>
      <c r="D988" s="2069"/>
      <c r="E988" s="2069"/>
      <c r="F988" s="2069"/>
      <c r="G988" s="2069"/>
      <c r="H988" s="2069"/>
      <c r="I988"/>
      <c r="J988"/>
      <c r="K988"/>
    </row>
    <row r="989" spans="2:11" x14ac:dyDescent="0.2">
      <c r="B989" s="2069"/>
      <c r="C989" s="2069"/>
      <c r="D989" s="2069"/>
      <c r="E989" s="2069"/>
      <c r="F989" s="2069"/>
      <c r="G989" s="2069"/>
      <c r="H989" s="2069"/>
      <c r="I989"/>
      <c r="J989"/>
      <c r="K989"/>
    </row>
    <row r="990" spans="2:11" x14ac:dyDescent="0.2">
      <c r="B990" s="2069"/>
      <c r="C990" s="2069"/>
      <c r="D990" s="2069"/>
      <c r="E990" s="2069"/>
      <c r="F990" s="2069"/>
      <c r="G990" s="2069"/>
      <c r="H990" s="2069"/>
      <c r="I990"/>
      <c r="J990"/>
      <c r="K990"/>
    </row>
    <row r="991" spans="2:11" x14ac:dyDescent="0.2">
      <c r="B991" s="2069"/>
      <c r="C991" s="2069"/>
      <c r="D991" s="2069"/>
      <c r="E991" s="2069"/>
      <c r="F991" s="2069"/>
      <c r="G991" s="2069"/>
      <c r="H991" s="2069"/>
      <c r="I991"/>
      <c r="J991"/>
      <c r="K991"/>
    </row>
    <row r="992" spans="2:11" x14ac:dyDescent="0.2">
      <c r="B992" s="2069"/>
      <c r="C992" s="2069"/>
      <c r="D992" s="2069"/>
      <c r="E992" s="2069"/>
      <c r="F992" s="2069"/>
      <c r="G992" s="2069"/>
      <c r="H992" s="2069"/>
      <c r="I992"/>
      <c r="J992"/>
      <c r="K992"/>
    </row>
    <row r="993" spans="2:11" x14ac:dyDescent="0.2">
      <c r="B993" s="2069"/>
      <c r="C993" s="2069"/>
      <c r="D993" s="2069"/>
      <c r="E993" s="2069"/>
      <c r="F993" s="2069"/>
      <c r="G993" s="2069"/>
      <c r="H993" s="2069"/>
      <c r="I993"/>
      <c r="J993"/>
      <c r="K993"/>
    </row>
    <row r="994" spans="2:11" x14ac:dyDescent="0.2">
      <c r="B994" s="2069"/>
      <c r="C994" s="2069"/>
      <c r="D994" s="2069"/>
      <c r="E994" s="2069"/>
      <c r="F994" s="2069"/>
      <c r="G994" s="2069"/>
      <c r="H994" s="2069"/>
      <c r="I994"/>
      <c r="J994"/>
      <c r="K994"/>
    </row>
    <row r="995" spans="2:11" x14ac:dyDescent="0.2">
      <c r="B995" s="2069"/>
      <c r="C995" s="2069"/>
      <c r="D995" s="2069"/>
      <c r="E995" s="2069"/>
      <c r="F995" s="2069"/>
      <c r="G995" s="2069"/>
      <c r="H995" s="2069"/>
      <c r="I995"/>
      <c r="J995"/>
      <c r="K995"/>
    </row>
    <row r="996" spans="2:11" x14ac:dyDescent="0.2">
      <c r="B996" s="2069"/>
      <c r="C996" s="2069"/>
      <c r="D996" s="2069"/>
      <c r="E996" s="2069"/>
      <c r="F996" s="2069"/>
      <c r="G996" s="2069"/>
      <c r="H996" s="2069"/>
      <c r="I996"/>
      <c r="J996"/>
      <c r="K996"/>
    </row>
    <row r="997" spans="2:11" x14ac:dyDescent="0.2">
      <c r="B997" s="2069"/>
      <c r="C997" s="2069"/>
      <c r="D997" s="2069"/>
      <c r="E997" s="2069"/>
      <c r="F997" s="2069"/>
      <c r="G997" s="2069"/>
      <c r="H997" s="2069"/>
      <c r="I997"/>
      <c r="J997"/>
      <c r="K997"/>
    </row>
    <row r="998" spans="2:11" x14ac:dyDescent="0.2">
      <c r="B998" s="2069"/>
      <c r="C998" s="2069"/>
      <c r="D998" s="2069"/>
      <c r="E998" s="2069"/>
      <c r="F998" s="2069"/>
      <c r="G998" s="2069"/>
      <c r="H998" s="2069"/>
      <c r="I998"/>
      <c r="J998"/>
      <c r="K998"/>
    </row>
    <row r="999" spans="2:11" x14ac:dyDescent="0.2">
      <c r="B999" s="2069"/>
      <c r="C999" s="2069"/>
      <c r="D999" s="2069"/>
      <c r="E999" s="2069"/>
      <c r="F999" s="2069"/>
      <c r="G999" s="2069"/>
      <c r="H999" s="2069"/>
      <c r="I999"/>
      <c r="J999"/>
      <c r="K999"/>
    </row>
    <row r="1000" spans="2:11" x14ac:dyDescent="0.2">
      <c r="B1000" s="2069"/>
      <c r="C1000" s="2069"/>
      <c r="D1000" s="2069"/>
      <c r="E1000" s="2069"/>
      <c r="F1000" s="2069"/>
      <c r="G1000" s="2069"/>
      <c r="H1000" s="2069"/>
      <c r="I1000"/>
      <c r="J1000"/>
      <c r="K1000"/>
    </row>
    <row r="1001" spans="2:11" x14ac:dyDescent="0.2">
      <c r="B1001" s="2069"/>
      <c r="C1001" s="2069"/>
      <c r="D1001" s="2069"/>
      <c r="E1001" s="2069"/>
      <c r="F1001" s="2069"/>
      <c r="G1001" s="2069"/>
      <c r="H1001" s="2069"/>
      <c r="I1001"/>
      <c r="J1001"/>
      <c r="K1001"/>
    </row>
    <row r="1002" spans="2:11" x14ac:dyDescent="0.2">
      <c r="B1002" s="2069"/>
      <c r="C1002" s="2069"/>
      <c r="D1002" s="2069"/>
      <c r="E1002" s="2069"/>
      <c r="F1002" s="2069"/>
      <c r="G1002" s="2069"/>
      <c r="H1002" s="2069"/>
      <c r="I1002"/>
      <c r="J1002"/>
      <c r="K1002"/>
    </row>
    <row r="1003" spans="2:11" x14ac:dyDescent="0.2">
      <c r="B1003" s="2069"/>
      <c r="C1003" s="2069"/>
      <c r="D1003" s="2069"/>
      <c r="E1003" s="2069"/>
      <c r="F1003" s="2069"/>
      <c r="G1003" s="2069"/>
      <c r="H1003" s="2069"/>
      <c r="I1003"/>
      <c r="J1003"/>
      <c r="K1003"/>
    </row>
    <row r="1004" spans="2:11" x14ac:dyDescent="0.2">
      <c r="B1004" s="2069"/>
      <c r="C1004" s="2069"/>
      <c r="D1004" s="2069"/>
      <c r="E1004" s="2069"/>
      <c r="F1004" s="2069"/>
      <c r="G1004" s="2069"/>
      <c r="H1004" s="2069"/>
      <c r="I1004"/>
      <c r="J1004"/>
      <c r="K1004"/>
    </row>
    <row r="1005" spans="2:11" x14ac:dyDescent="0.2">
      <c r="B1005" s="2069"/>
      <c r="C1005" s="2069"/>
      <c r="D1005" s="2069"/>
      <c r="E1005" s="2069"/>
      <c r="F1005" s="2069"/>
      <c r="G1005" s="2069"/>
      <c r="H1005" s="2069"/>
      <c r="I1005"/>
      <c r="J1005"/>
      <c r="K1005"/>
    </row>
    <row r="1006" spans="2:11" x14ac:dyDescent="0.2">
      <c r="B1006" s="2069"/>
      <c r="C1006" s="2069"/>
      <c r="D1006" s="2069"/>
      <c r="E1006" s="2069"/>
      <c r="F1006" s="2069"/>
      <c r="G1006" s="2069"/>
      <c r="H1006" s="2069"/>
      <c r="I1006"/>
      <c r="J1006"/>
      <c r="K1006"/>
    </row>
    <row r="1007" spans="2:11" x14ac:dyDescent="0.2">
      <c r="B1007" s="2069"/>
      <c r="C1007" s="2069"/>
      <c r="D1007" s="2069"/>
      <c r="E1007" s="2069"/>
      <c r="F1007" s="2069"/>
      <c r="G1007" s="2069"/>
      <c r="H1007" s="2069"/>
      <c r="I1007"/>
      <c r="J1007"/>
      <c r="K1007"/>
    </row>
    <row r="1008" spans="2:11" x14ac:dyDescent="0.2">
      <c r="B1008" s="2069"/>
      <c r="C1008" s="2069"/>
      <c r="D1008" s="2069"/>
      <c r="E1008" s="2069"/>
      <c r="F1008" s="2069"/>
      <c r="G1008" s="2069"/>
      <c r="H1008" s="2069"/>
      <c r="I1008"/>
      <c r="J1008"/>
      <c r="K1008"/>
    </row>
    <row r="1009" spans="2:11" x14ac:dyDescent="0.2">
      <c r="B1009" s="2069"/>
      <c r="C1009" s="2069"/>
      <c r="D1009" s="2069"/>
      <c r="E1009" s="2069"/>
      <c r="F1009" s="2069"/>
      <c r="G1009" s="2069"/>
      <c r="H1009" s="2069"/>
      <c r="I1009"/>
      <c r="J1009"/>
      <c r="K1009"/>
    </row>
    <row r="1010" spans="2:11" x14ac:dyDescent="0.2">
      <c r="B1010" s="2069"/>
      <c r="C1010" s="2069"/>
      <c r="D1010" s="2069"/>
      <c r="E1010" s="2069"/>
      <c r="F1010" s="2069"/>
      <c r="G1010" s="2069"/>
      <c r="H1010" s="2069"/>
      <c r="I1010"/>
      <c r="J1010"/>
      <c r="K1010"/>
    </row>
    <row r="1011" spans="2:11" x14ac:dyDescent="0.2">
      <c r="B1011" s="2069"/>
      <c r="C1011" s="2069"/>
      <c r="D1011" s="2069"/>
      <c r="E1011" s="2069"/>
      <c r="F1011" s="2069"/>
      <c r="G1011" s="2069"/>
      <c r="H1011" s="2069"/>
      <c r="I1011"/>
      <c r="J1011"/>
      <c r="K1011"/>
    </row>
    <row r="1012" spans="2:11" x14ac:dyDescent="0.2">
      <c r="B1012" s="2069"/>
      <c r="C1012" s="2069"/>
      <c r="D1012" s="2069"/>
      <c r="E1012" s="2069"/>
      <c r="F1012" s="2069"/>
      <c r="G1012" s="2069"/>
      <c r="H1012" s="2069"/>
      <c r="I1012"/>
      <c r="J1012"/>
      <c r="K1012"/>
    </row>
    <row r="1013" spans="2:11" x14ac:dyDescent="0.2">
      <c r="B1013" s="2069"/>
      <c r="C1013" s="2069"/>
      <c r="D1013" s="2069"/>
      <c r="E1013" s="2069"/>
      <c r="F1013" s="2069"/>
      <c r="G1013" s="2069"/>
      <c r="H1013" s="2069"/>
      <c r="I1013"/>
      <c r="J1013"/>
      <c r="K1013"/>
    </row>
    <row r="1014" spans="2:11" x14ac:dyDescent="0.2">
      <c r="B1014" s="2069"/>
      <c r="C1014" s="2069"/>
      <c r="D1014" s="2069"/>
      <c r="E1014" s="2069"/>
      <c r="F1014" s="2069"/>
      <c r="G1014" s="2069"/>
      <c r="H1014" s="2069"/>
      <c r="I1014"/>
      <c r="J1014"/>
      <c r="K1014"/>
    </row>
    <row r="1015" spans="2:11" x14ac:dyDescent="0.2">
      <c r="B1015" s="2069"/>
      <c r="C1015" s="2069"/>
      <c r="D1015" s="2069"/>
      <c r="E1015" s="2069"/>
      <c r="F1015" s="2069"/>
      <c r="G1015" s="2069"/>
      <c r="H1015" s="2069"/>
      <c r="I1015"/>
      <c r="J1015"/>
      <c r="K1015"/>
    </row>
    <row r="1016" spans="2:11" x14ac:dyDescent="0.2">
      <c r="B1016" s="2069"/>
      <c r="C1016" s="2069"/>
      <c r="D1016" s="2069"/>
      <c r="E1016" s="2069"/>
      <c r="F1016" s="2069"/>
      <c r="G1016" s="2069"/>
      <c r="H1016" s="2069"/>
      <c r="I1016"/>
      <c r="J1016"/>
      <c r="K1016"/>
    </row>
    <row r="1017" spans="2:11" x14ac:dyDescent="0.2">
      <c r="B1017" s="2069"/>
      <c r="C1017" s="2069"/>
      <c r="D1017" s="2069"/>
      <c r="E1017" s="2069"/>
      <c r="F1017" s="2069"/>
      <c r="G1017" s="2069"/>
      <c r="H1017" s="2069"/>
      <c r="I1017"/>
      <c r="J1017"/>
      <c r="K1017"/>
    </row>
    <row r="1018" spans="2:11" x14ac:dyDescent="0.2">
      <c r="B1018" s="2069"/>
      <c r="C1018" s="2069"/>
      <c r="D1018" s="2069"/>
      <c r="E1018" s="2069"/>
      <c r="F1018" s="2069"/>
      <c r="G1018" s="2069"/>
      <c r="H1018" s="2069"/>
      <c r="I1018"/>
      <c r="J1018"/>
      <c r="K1018"/>
    </row>
    <row r="1019" spans="2:11" x14ac:dyDescent="0.2">
      <c r="B1019" s="2069"/>
      <c r="C1019" s="2069"/>
      <c r="D1019" s="2069"/>
      <c r="E1019" s="2069"/>
      <c r="F1019" s="2069"/>
      <c r="G1019" s="2069"/>
      <c r="H1019" s="2069"/>
      <c r="I1019"/>
      <c r="J1019"/>
      <c r="K1019"/>
    </row>
    <row r="1020" spans="2:11" x14ac:dyDescent="0.2">
      <c r="B1020" s="2069"/>
      <c r="C1020" s="2069"/>
      <c r="D1020" s="2069"/>
      <c r="E1020" s="2069"/>
      <c r="F1020" s="2069"/>
      <c r="G1020" s="2069"/>
      <c r="H1020" s="2069"/>
      <c r="I1020"/>
      <c r="J1020"/>
      <c r="K1020"/>
    </row>
    <row r="1021" spans="2:11" x14ac:dyDescent="0.2">
      <c r="B1021" s="2069"/>
      <c r="C1021" s="2069"/>
      <c r="D1021" s="2069"/>
      <c r="E1021" s="2069"/>
      <c r="F1021" s="2069"/>
      <c r="G1021" s="2069"/>
      <c r="H1021" s="2069"/>
      <c r="I1021"/>
      <c r="J1021"/>
      <c r="K1021"/>
    </row>
    <row r="1022" spans="2:11" x14ac:dyDescent="0.2">
      <c r="B1022" s="2069"/>
      <c r="C1022" s="2069"/>
      <c r="D1022" s="2069"/>
      <c r="E1022" s="2069"/>
      <c r="F1022" s="2069"/>
      <c r="G1022" s="2069"/>
      <c r="H1022" s="2069"/>
      <c r="I1022"/>
      <c r="J1022"/>
      <c r="K1022"/>
    </row>
    <row r="1023" spans="2:11" x14ac:dyDescent="0.2">
      <c r="B1023" s="2069"/>
      <c r="C1023" s="2069"/>
      <c r="D1023" s="2069"/>
      <c r="E1023" s="2069"/>
      <c r="F1023" s="2069"/>
      <c r="G1023" s="2069"/>
      <c r="H1023" s="2069"/>
      <c r="I1023"/>
      <c r="J1023"/>
      <c r="K1023"/>
    </row>
    <row r="1024" spans="2:11" x14ac:dyDescent="0.2">
      <c r="B1024" s="2069"/>
      <c r="C1024" s="2069"/>
      <c r="D1024" s="2069"/>
      <c r="E1024" s="2069"/>
      <c r="F1024" s="2069"/>
      <c r="G1024" s="2069"/>
      <c r="H1024" s="2069"/>
      <c r="I1024"/>
      <c r="J1024"/>
      <c r="K1024"/>
    </row>
    <row r="1025" spans="2:11" x14ac:dyDescent="0.2">
      <c r="B1025" s="2069"/>
      <c r="C1025" s="2069"/>
      <c r="D1025" s="2069"/>
      <c r="E1025" s="2069"/>
      <c r="F1025" s="2069"/>
      <c r="G1025" s="2069"/>
      <c r="H1025" s="2069"/>
      <c r="I1025"/>
      <c r="J1025"/>
      <c r="K1025"/>
    </row>
    <row r="1026" spans="2:11" x14ac:dyDescent="0.2">
      <c r="B1026" s="2069"/>
      <c r="C1026" s="2069"/>
      <c r="D1026" s="2069"/>
      <c r="E1026" s="2069"/>
      <c r="F1026" s="2069"/>
      <c r="G1026" s="2069"/>
      <c r="H1026" s="2069"/>
      <c r="I1026"/>
      <c r="J1026"/>
      <c r="K1026"/>
    </row>
    <row r="1027" spans="2:11" x14ac:dyDescent="0.2">
      <c r="B1027" s="2069"/>
      <c r="C1027" s="2069"/>
      <c r="D1027" s="2069"/>
      <c r="E1027" s="2069"/>
      <c r="F1027" s="2069"/>
      <c r="G1027" s="2069"/>
      <c r="H1027" s="2069"/>
      <c r="I1027"/>
      <c r="J1027"/>
      <c r="K1027"/>
    </row>
    <row r="1028" spans="2:11" x14ac:dyDescent="0.2">
      <c r="B1028" s="2069"/>
      <c r="C1028" s="2069"/>
      <c r="D1028" s="2069"/>
      <c r="E1028" s="2069"/>
      <c r="F1028" s="2069"/>
      <c r="G1028" s="2069"/>
      <c r="H1028" s="2069"/>
      <c r="I1028"/>
      <c r="J1028"/>
      <c r="K1028"/>
    </row>
    <row r="1029" spans="2:11" x14ac:dyDescent="0.2">
      <c r="B1029" s="2069"/>
      <c r="C1029" s="2069"/>
      <c r="D1029" s="2069"/>
      <c r="E1029" s="2069"/>
      <c r="F1029" s="2069"/>
      <c r="G1029" s="2069"/>
      <c r="H1029" s="2069"/>
      <c r="I1029"/>
      <c r="J1029"/>
      <c r="K1029"/>
    </row>
    <row r="1030" spans="2:11" x14ac:dyDescent="0.2">
      <c r="B1030" s="2069"/>
      <c r="C1030" s="2069"/>
      <c r="D1030" s="2069"/>
      <c r="E1030" s="2069"/>
      <c r="F1030" s="2069"/>
      <c r="G1030" s="2069"/>
      <c r="H1030" s="2069"/>
      <c r="I1030"/>
      <c r="J1030"/>
      <c r="K1030"/>
    </row>
    <row r="1031" spans="2:11" x14ac:dyDescent="0.2">
      <c r="B1031" s="2069"/>
      <c r="C1031" s="2069"/>
      <c r="D1031" s="2069"/>
      <c r="E1031" s="2069"/>
      <c r="F1031" s="2069"/>
      <c r="G1031" s="2069"/>
      <c r="H1031" s="2069"/>
      <c r="I1031"/>
      <c r="J1031"/>
      <c r="K1031"/>
    </row>
    <row r="1032" spans="2:11" x14ac:dyDescent="0.2">
      <c r="B1032" s="2069"/>
      <c r="C1032" s="2069"/>
      <c r="D1032" s="2069"/>
      <c r="E1032" s="2069"/>
      <c r="F1032" s="2069"/>
      <c r="G1032" s="2069"/>
      <c r="H1032" s="2069"/>
      <c r="I1032"/>
      <c r="J1032"/>
      <c r="K1032"/>
    </row>
    <row r="1033" spans="2:11" x14ac:dyDescent="0.2">
      <c r="B1033" s="2069"/>
      <c r="C1033" s="2069"/>
      <c r="D1033" s="2069"/>
      <c r="E1033" s="2069"/>
      <c r="F1033" s="2069"/>
      <c r="G1033" s="2069"/>
      <c r="H1033" s="2069"/>
      <c r="I1033"/>
      <c r="J1033"/>
      <c r="K1033"/>
    </row>
    <row r="1034" spans="2:11" x14ac:dyDescent="0.2">
      <c r="B1034" s="2069"/>
      <c r="C1034" s="2069"/>
      <c r="D1034" s="2069"/>
      <c r="E1034" s="2069"/>
      <c r="F1034" s="2069"/>
      <c r="G1034" s="2069"/>
      <c r="H1034" s="2069"/>
      <c r="I1034"/>
      <c r="J1034"/>
      <c r="K1034"/>
    </row>
    <row r="1035" spans="2:11" x14ac:dyDescent="0.2">
      <c r="B1035" s="2069"/>
      <c r="C1035" s="2069"/>
      <c r="D1035" s="2069"/>
      <c r="E1035" s="2069"/>
      <c r="F1035" s="2069"/>
      <c r="G1035" s="2069"/>
      <c r="H1035" s="2069"/>
      <c r="I1035"/>
      <c r="J1035"/>
      <c r="K1035"/>
    </row>
    <row r="1036" spans="2:11" x14ac:dyDescent="0.2">
      <c r="B1036" s="2069"/>
      <c r="C1036" s="2069"/>
      <c r="D1036" s="2069"/>
      <c r="E1036" s="2069"/>
      <c r="F1036" s="2069"/>
      <c r="G1036" s="2069"/>
      <c r="H1036" s="2069"/>
      <c r="I1036"/>
      <c r="J1036"/>
      <c r="K1036"/>
    </row>
    <row r="1037" spans="2:11" x14ac:dyDescent="0.2">
      <c r="B1037" s="2069"/>
      <c r="C1037" s="2069"/>
      <c r="D1037" s="2069"/>
      <c r="E1037" s="2069"/>
      <c r="F1037" s="2069"/>
      <c r="G1037" s="2069"/>
      <c r="H1037" s="2069"/>
      <c r="I1037"/>
      <c r="J1037"/>
      <c r="K1037"/>
    </row>
    <row r="1038" spans="2:11" x14ac:dyDescent="0.2">
      <c r="B1038" s="2069"/>
      <c r="C1038" s="2069"/>
      <c r="D1038" s="2069"/>
      <c r="E1038" s="2069"/>
      <c r="F1038" s="2069"/>
      <c r="G1038" s="2069"/>
      <c r="H1038" s="2069"/>
      <c r="I1038"/>
      <c r="J1038"/>
      <c r="K1038"/>
    </row>
    <row r="1039" spans="2:11" x14ac:dyDescent="0.2">
      <c r="B1039" s="2069"/>
      <c r="C1039" s="2069"/>
      <c r="D1039" s="2069"/>
      <c r="E1039" s="2069"/>
      <c r="F1039" s="2069"/>
      <c r="G1039" s="2069"/>
      <c r="H1039" s="2069"/>
      <c r="I1039"/>
      <c r="J1039"/>
      <c r="K1039"/>
    </row>
    <row r="1040" spans="2:11" x14ac:dyDescent="0.2">
      <c r="B1040" s="2069"/>
      <c r="C1040" s="2069"/>
      <c r="D1040" s="2069"/>
      <c r="E1040" s="2069"/>
      <c r="F1040" s="2069"/>
      <c r="G1040" s="2069"/>
      <c r="H1040" s="2069"/>
      <c r="I1040"/>
      <c r="J1040"/>
      <c r="K1040"/>
    </row>
    <row r="1041" spans="2:11" x14ac:dyDescent="0.2">
      <c r="B1041" s="2069"/>
      <c r="C1041" s="2069"/>
      <c r="D1041" s="2069"/>
      <c r="E1041" s="2069"/>
      <c r="F1041" s="2069"/>
      <c r="G1041" s="2069"/>
      <c r="H1041" s="2069"/>
      <c r="I1041"/>
      <c r="J1041"/>
      <c r="K1041"/>
    </row>
    <row r="1042" spans="2:11" x14ac:dyDescent="0.2">
      <c r="B1042" s="2069"/>
      <c r="C1042" s="2069"/>
      <c r="D1042" s="2069"/>
      <c r="E1042" s="2069"/>
      <c r="F1042" s="2069"/>
      <c r="G1042" s="2069"/>
      <c r="H1042" s="2069"/>
      <c r="I1042"/>
      <c r="J1042"/>
      <c r="K1042"/>
    </row>
    <row r="1043" spans="2:11" x14ac:dyDescent="0.2">
      <c r="B1043" s="2069"/>
      <c r="C1043" s="2069"/>
      <c r="D1043" s="2069"/>
      <c r="E1043" s="2069"/>
      <c r="F1043" s="2069"/>
      <c r="G1043" s="2069"/>
      <c r="H1043" s="2069"/>
      <c r="I1043"/>
      <c r="J1043"/>
      <c r="K1043"/>
    </row>
    <row r="1044" spans="2:11" x14ac:dyDescent="0.2">
      <c r="B1044" s="2069"/>
      <c r="C1044" s="2069"/>
      <c r="D1044" s="2069"/>
      <c r="E1044" s="2069"/>
      <c r="F1044" s="2069"/>
      <c r="G1044" s="2069"/>
      <c r="H1044" s="2069"/>
      <c r="I1044"/>
      <c r="J1044"/>
      <c r="K1044"/>
    </row>
    <row r="1045" spans="2:11" x14ac:dyDescent="0.2">
      <c r="B1045" s="2069"/>
      <c r="C1045" s="2069"/>
      <c r="D1045" s="2069"/>
      <c r="E1045" s="2069"/>
      <c r="F1045" s="2069"/>
      <c r="G1045" s="2069"/>
      <c r="H1045" s="2069"/>
      <c r="I1045"/>
      <c r="J1045"/>
      <c r="K1045"/>
    </row>
    <row r="1046" spans="2:11" x14ac:dyDescent="0.2">
      <c r="B1046" s="2069"/>
      <c r="C1046" s="2069"/>
      <c r="D1046" s="2069"/>
      <c r="E1046" s="2069"/>
      <c r="F1046" s="2069"/>
      <c r="G1046" s="2069"/>
      <c r="H1046" s="2069"/>
      <c r="I1046"/>
      <c r="J1046"/>
      <c r="K1046"/>
    </row>
    <row r="1047" spans="2:11" x14ac:dyDescent="0.2">
      <c r="B1047" s="2069"/>
      <c r="C1047" s="2069"/>
      <c r="D1047" s="2069"/>
      <c r="E1047" s="2069"/>
      <c r="F1047" s="2069"/>
      <c r="G1047" s="2069"/>
      <c r="H1047" s="2069"/>
      <c r="I1047"/>
      <c r="J1047"/>
      <c r="K1047"/>
    </row>
    <row r="1048" spans="2:11" x14ac:dyDescent="0.2">
      <c r="B1048" s="2069"/>
      <c r="C1048" s="2069"/>
      <c r="D1048" s="2069"/>
      <c r="E1048" s="2069"/>
      <c r="F1048" s="2069"/>
      <c r="G1048" s="2069"/>
      <c r="H1048" s="2069"/>
      <c r="I1048"/>
      <c r="J1048"/>
      <c r="K1048"/>
    </row>
    <row r="1049" spans="2:11" x14ac:dyDescent="0.2">
      <c r="B1049" s="2069"/>
      <c r="C1049" s="2069"/>
      <c r="D1049" s="2069"/>
      <c r="E1049" s="2069"/>
      <c r="F1049" s="2069"/>
      <c r="G1049" s="2069"/>
      <c r="H1049" s="2069"/>
      <c r="I1049"/>
      <c r="J1049"/>
      <c r="K1049"/>
    </row>
    <row r="1050" spans="2:11" x14ac:dyDescent="0.2">
      <c r="B1050" s="2069"/>
      <c r="C1050" s="2069"/>
      <c r="D1050" s="2069"/>
      <c r="E1050" s="2069"/>
      <c r="F1050" s="2069"/>
      <c r="G1050" s="2069"/>
      <c r="H1050" s="2069"/>
      <c r="I1050"/>
      <c r="J1050"/>
      <c r="K1050"/>
    </row>
    <row r="1051" spans="2:11" x14ac:dyDescent="0.2">
      <c r="B1051" s="2069"/>
      <c r="C1051" s="2069"/>
      <c r="D1051" s="2069"/>
      <c r="E1051" s="2069"/>
      <c r="F1051" s="2069"/>
      <c r="G1051" s="2069"/>
      <c r="H1051" s="2069"/>
      <c r="I1051"/>
      <c r="J1051"/>
      <c r="K1051"/>
    </row>
    <row r="1052" spans="2:11" x14ac:dyDescent="0.2">
      <c r="B1052" s="2069"/>
      <c r="C1052" s="2069"/>
      <c r="D1052" s="2069"/>
      <c r="E1052" s="2069"/>
      <c r="F1052" s="2069"/>
      <c r="G1052" s="2069"/>
      <c r="H1052" s="2069"/>
      <c r="I1052"/>
      <c r="J1052"/>
      <c r="K1052"/>
    </row>
    <row r="1053" spans="2:11" x14ac:dyDescent="0.2">
      <c r="B1053" s="2069"/>
      <c r="C1053" s="2069"/>
      <c r="D1053" s="2069"/>
      <c r="E1053" s="2069"/>
      <c r="F1053" s="2069"/>
      <c r="G1053" s="2069"/>
      <c r="H1053" s="2069"/>
      <c r="I1053"/>
      <c r="J1053"/>
      <c r="K1053"/>
    </row>
    <row r="1054" spans="2:11" x14ac:dyDescent="0.2">
      <c r="B1054" s="2069"/>
      <c r="C1054" s="2069"/>
      <c r="D1054" s="2069"/>
      <c r="E1054" s="2069"/>
      <c r="F1054" s="2069"/>
      <c r="G1054" s="2069"/>
      <c r="H1054" s="2069"/>
      <c r="I1054"/>
      <c r="J1054"/>
      <c r="K1054"/>
    </row>
    <row r="1055" spans="2:11" x14ac:dyDescent="0.2">
      <c r="B1055" s="2069"/>
      <c r="C1055" s="2069"/>
      <c r="D1055" s="2069"/>
      <c r="E1055" s="2069"/>
      <c r="F1055" s="2069"/>
      <c r="G1055" s="2069"/>
      <c r="H1055" s="2069"/>
      <c r="I1055"/>
      <c r="J1055"/>
      <c r="K1055"/>
    </row>
    <row r="1056" spans="2:11" x14ac:dyDescent="0.2">
      <c r="B1056" s="2069"/>
      <c r="C1056" s="2069"/>
      <c r="D1056" s="2069"/>
      <c r="E1056" s="2069"/>
      <c r="F1056" s="2069"/>
      <c r="G1056" s="2069"/>
      <c r="H1056" s="2069"/>
      <c r="I1056"/>
      <c r="J1056"/>
      <c r="K1056"/>
    </row>
    <row r="1057" spans="2:11" x14ac:dyDescent="0.2">
      <c r="B1057" s="2069"/>
      <c r="C1057" s="2069"/>
      <c r="D1057" s="2069"/>
      <c r="E1057" s="2069"/>
      <c r="F1057" s="2069"/>
      <c r="G1057" s="2069"/>
      <c r="H1057" s="2069"/>
      <c r="I1057"/>
      <c r="J1057"/>
      <c r="K1057"/>
    </row>
    <row r="1058" spans="2:11" x14ac:dyDescent="0.2">
      <c r="B1058" s="2069"/>
      <c r="C1058" s="2069"/>
      <c r="D1058" s="2069"/>
      <c r="E1058" s="2069"/>
      <c r="F1058" s="2069"/>
      <c r="G1058" s="2069"/>
      <c r="H1058" s="2069"/>
      <c r="I1058"/>
      <c r="J1058"/>
      <c r="K1058"/>
    </row>
    <row r="1059" spans="2:11" x14ac:dyDescent="0.2">
      <c r="B1059" s="2069"/>
      <c r="C1059" s="2069"/>
      <c r="D1059" s="2069"/>
      <c r="E1059" s="2069"/>
      <c r="F1059" s="2069"/>
      <c r="G1059" s="2069"/>
      <c r="H1059" s="2069"/>
      <c r="I1059"/>
      <c r="J1059"/>
      <c r="K1059"/>
    </row>
    <row r="1060" spans="2:11" x14ac:dyDescent="0.2">
      <c r="B1060" s="2069"/>
      <c r="C1060" s="2069"/>
      <c r="D1060" s="2069"/>
      <c r="E1060" s="2069"/>
      <c r="F1060" s="2069"/>
      <c r="G1060" s="2069"/>
      <c r="H1060" s="2069"/>
      <c r="I1060"/>
      <c r="J1060"/>
      <c r="K1060"/>
    </row>
    <row r="1061" spans="2:11" x14ac:dyDescent="0.2">
      <c r="B1061" s="2069"/>
      <c r="C1061" s="2069"/>
      <c r="D1061" s="2069"/>
      <c r="E1061" s="2069"/>
      <c r="F1061" s="2069"/>
      <c r="G1061" s="2069"/>
      <c r="H1061" s="2069"/>
      <c r="I1061"/>
      <c r="J1061"/>
      <c r="K1061"/>
    </row>
    <row r="1062" spans="2:11" x14ac:dyDescent="0.2">
      <c r="B1062" s="2069"/>
      <c r="C1062" s="2069"/>
      <c r="D1062" s="2069"/>
      <c r="E1062" s="2069"/>
      <c r="F1062" s="2069"/>
      <c r="G1062" s="2069"/>
      <c r="H1062" s="2069"/>
      <c r="I1062"/>
      <c r="J1062"/>
      <c r="K1062"/>
    </row>
    <row r="1063" spans="2:11" x14ac:dyDescent="0.2">
      <c r="B1063" s="2069"/>
      <c r="C1063" s="2069"/>
      <c r="D1063" s="2069"/>
      <c r="E1063" s="2069"/>
      <c r="F1063" s="2069"/>
      <c r="G1063" s="2069"/>
      <c r="H1063" s="2069"/>
      <c r="I1063"/>
      <c r="J1063"/>
      <c r="K1063"/>
    </row>
    <row r="1064" spans="2:11" x14ac:dyDescent="0.2">
      <c r="B1064" s="2069"/>
      <c r="C1064" s="2069"/>
      <c r="D1064" s="2069"/>
      <c r="E1064" s="2069"/>
      <c r="F1064" s="2069"/>
      <c r="G1064" s="2069"/>
      <c r="H1064" s="2069"/>
      <c r="I1064"/>
      <c r="J1064"/>
      <c r="K1064"/>
    </row>
    <row r="1065" spans="2:11" x14ac:dyDescent="0.2">
      <c r="B1065" s="2069"/>
      <c r="C1065" s="2069"/>
      <c r="D1065" s="2069"/>
      <c r="E1065" s="2069"/>
      <c r="F1065" s="2069"/>
      <c r="G1065" s="2069"/>
      <c r="H1065" s="2069"/>
      <c r="I1065"/>
      <c r="J1065"/>
      <c r="K1065"/>
    </row>
    <row r="1066" spans="2:11" x14ac:dyDescent="0.2">
      <c r="B1066" s="2069"/>
      <c r="C1066" s="2069"/>
      <c r="D1066" s="2069"/>
      <c r="E1066" s="2069"/>
      <c r="F1066" s="2069"/>
      <c r="G1066" s="2069"/>
      <c r="H1066" s="2069"/>
      <c r="I1066"/>
      <c r="J1066"/>
      <c r="K1066"/>
    </row>
    <row r="1067" spans="2:11" x14ac:dyDescent="0.2">
      <c r="B1067" s="2069"/>
      <c r="C1067" s="2069"/>
      <c r="D1067" s="2069"/>
      <c r="E1067" s="2069"/>
      <c r="F1067" s="2069"/>
      <c r="G1067" s="2069"/>
      <c r="H1067" s="2069"/>
      <c r="I1067"/>
      <c r="J1067"/>
      <c r="K1067"/>
    </row>
    <row r="1068" spans="2:11" x14ac:dyDescent="0.2">
      <c r="B1068" s="2069"/>
      <c r="C1068" s="2069"/>
      <c r="D1068" s="2069"/>
      <c r="E1068" s="2069"/>
      <c r="F1068" s="2069"/>
      <c r="G1068" s="2069"/>
      <c r="H1068" s="2069"/>
      <c r="I1068"/>
      <c r="J1068"/>
      <c r="K1068"/>
    </row>
    <row r="1069" spans="2:11" x14ac:dyDescent="0.2">
      <c r="B1069" s="2069"/>
      <c r="C1069" s="2069"/>
      <c r="D1069" s="2069"/>
      <c r="E1069" s="2069"/>
      <c r="F1069" s="2069"/>
      <c r="G1069" s="2069"/>
      <c r="H1069" s="2069"/>
      <c r="I1069"/>
      <c r="J1069"/>
      <c r="K1069"/>
    </row>
    <row r="1070" spans="2:11" x14ac:dyDescent="0.2">
      <c r="B1070" s="2069"/>
      <c r="C1070" s="2069"/>
      <c r="D1070" s="2069"/>
      <c r="E1070" s="2069"/>
      <c r="F1070" s="2069"/>
      <c r="G1070" s="2069"/>
      <c r="H1070" s="2069"/>
      <c r="I1070"/>
      <c r="J1070"/>
      <c r="K1070"/>
    </row>
    <row r="1071" spans="2:11" x14ac:dyDescent="0.2">
      <c r="B1071" s="2069"/>
      <c r="C1071" s="2069"/>
      <c r="D1071" s="2069"/>
      <c r="E1071" s="2069"/>
      <c r="F1071" s="2069"/>
      <c r="G1071" s="2069"/>
      <c r="H1071" s="2069"/>
      <c r="I1071"/>
      <c r="J1071"/>
      <c r="K1071"/>
    </row>
    <row r="1072" spans="2:11" x14ac:dyDescent="0.2">
      <c r="B1072" s="2069"/>
      <c r="C1072" s="2069"/>
      <c r="D1072" s="2069"/>
      <c r="E1072" s="2069"/>
      <c r="F1072" s="2069"/>
      <c r="G1072" s="2069"/>
      <c r="H1072" s="2069"/>
      <c r="I1072"/>
      <c r="J1072"/>
      <c r="K1072"/>
    </row>
    <row r="1073" spans="2:11" x14ac:dyDescent="0.2">
      <c r="B1073" s="2069"/>
      <c r="C1073" s="2069"/>
      <c r="D1073" s="2069"/>
      <c r="E1073" s="2069"/>
      <c r="F1073" s="2069"/>
      <c r="G1073" s="2069"/>
      <c r="H1073" s="2069"/>
      <c r="I1073"/>
      <c r="J1073"/>
      <c r="K1073"/>
    </row>
    <row r="1074" spans="2:11" x14ac:dyDescent="0.2">
      <c r="B1074" s="2069"/>
      <c r="C1074" s="2069"/>
      <c r="D1074" s="2069"/>
      <c r="E1074" s="2069"/>
      <c r="F1074" s="2069"/>
      <c r="G1074" s="2069"/>
      <c r="H1074" s="2069"/>
      <c r="I1074"/>
      <c r="J1074"/>
      <c r="K1074"/>
    </row>
    <row r="1075" spans="2:11" x14ac:dyDescent="0.2">
      <c r="B1075" s="2069"/>
      <c r="C1075" s="2069"/>
      <c r="D1075" s="2069"/>
      <c r="E1075" s="2069"/>
      <c r="F1075" s="2069"/>
      <c r="G1075" s="2069"/>
      <c r="H1075" s="2069"/>
      <c r="I1075"/>
      <c r="J1075"/>
      <c r="K1075"/>
    </row>
    <row r="1076" spans="2:11" x14ac:dyDescent="0.2">
      <c r="B1076" s="2069"/>
      <c r="C1076" s="2069"/>
      <c r="D1076" s="2069"/>
      <c r="E1076" s="2069"/>
      <c r="F1076" s="2069"/>
      <c r="G1076" s="2069"/>
      <c r="H1076" s="2069"/>
      <c r="I1076"/>
      <c r="J1076"/>
      <c r="K1076"/>
    </row>
    <row r="1077" spans="2:11" x14ac:dyDescent="0.2">
      <c r="B1077" s="2069"/>
      <c r="C1077" s="2069"/>
      <c r="D1077" s="2069"/>
      <c r="E1077" s="2069"/>
      <c r="F1077" s="2069"/>
      <c r="G1077" s="2069"/>
      <c r="H1077" s="2069"/>
      <c r="I1077"/>
      <c r="J1077"/>
      <c r="K1077"/>
    </row>
    <row r="1078" spans="2:11" x14ac:dyDescent="0.2">
      <c r="B1078" s="2069"/>
      <c r="C1078" s="2069"/>
      <c r="D1078" s="2069"/>
      <c r="E1078" s="2069"/>
      <c r="F1078" s="2069"/>
      <c r="G1078" s="2069"/>
      <c r="H1078" s="2069"/>
      <c r="I1078"/>
      <c r="J1078"/>
      <c r="K1078"/>
    </row>
    <row r="1079" spans="2:11" x14ac:dyDescent="0.2">
      <c r="B1079" s="2069"/>
      <c r="C1079" s="2069"/>
      <c r="D1079" s="2069"/>
      <c r="E1079" s="2069"/>
      <c r="F1079" s="2069"/>
      <c r="G1079" s="2069"/>
      <c r="H1079" s="2069"/>
      <c r="I1079"/>
      <c r="J1079"/>
      <c r="K1079"/>
    </row>
    <row r="1080" spans="2:11" x14ac:dyDescent="0.2">
      <c r="B1080" s="2069"/>
      <c r="C1080" s="2069"/>
      <c r="D1080" s="2069"/>
      <c r="E1080" s="2069"/>
      <c r="F1080" s="2069"/>
      <c r="G1080" s="2069"/>
      <c r="H1080" s="2069"/>
      <c r="I1080"/>
      <c r="J1080"/>
      <c r="K1080"/>
    </row>
    <row r="1081" spans="2:11" x14ac:dyDescent="0.2">
      <c r="B1081" s="2069"/>
      <c r="C1081" s="2069"/>
      <c r="D1081" s="2069"/>
      <c r="E1081" s="2069"/>
      <c r="F1081" s="2069"/>
      <c r="G1081" s="2069"/>
      <c r="H1081" s="2069"/>
      <c r="I1081"/>
      <c r="J1081"/>
      <c r="K1081"/>
    </row>
    <row r="1082" spans="2:11" x14ac:dyDescent="0.2">
      <c r="B1082" s="2069"/>
      <c r="C1082" s="2069"/>
      <c r="D1082" s="2069"/>
      <c r="E1082" s="2069"/>
      <c r="F1082" s="2069"/>
      <c r="G1082" s="2069"/>
      <c r="H1082" s="2069"/>
      <c r="I1082"/>
      <c r="J1082"/>
      <c r="K1082"/>
    </row>
    <row r="1083" spans="2:11" x14ac:dyDescent="0.2">
      <c r="B1083" s="2069"/>
      <c r="C1083" s="2069"/>
      <c r="D1083" s="2069"/>
      <c r="E1083" s="2069"/>
      <c r="F1083" s="2069"/>
      <c r="G1083" s="2069"/>
      <c r="H1083" s="2069"/>
      <c r="I1083"/>
      <c r="J1083"/>
      <c r="K1083"/>
    </row>
    <row r="1084" spans="2:11" x14ac:dyDescent="0.2">
      <c r="B1084" s="2069"/>
      <c r="C1084" s="2069"/>
      <c r="D1084" s="2069"/>
      <c r="E1084" s="2069"/>
      <c r="F1084" s="2069"/>
      <c r="G1084" s="2069"/>
      <c r="H1084" s="2069"/>
      <c r="I1084"/>
      <c r="J1084"/>
      <c r="K1084"/>
    </row>
    <row r="1085" spans="2:11" x14ac:dyDescent="0.2">
      <c r="B1085" s="2069"/>
      <c r="C1085" s="2069"/>
      <c r="D1085" s="2069"/>
      <c r="E1085" s="2069"/>
      <c r="F1085" s="2069"/>
      <c r="G1085" s="2069"/>
      <c r="H1085" s="2069"/>
      <c r="I1085"/>
      <c r="J1085"/>
      <c r="K1085"/>
    </row>
    <row r="1086" spans="2:11" x14ac:dyDescent="0.2">
      <c r="B1086" s="2069"/>
      <c r="C1086" s="2069"/>
      <c r="D1086" s="2069"/>
      <c r="E1086" s="2069"/>
      <c r="F1086" s="2069"/>
      <c r="G1086" s="2069"/>
      <c r="H1086" s="2069"/>
      <c r="I1086"/>
      <c r="J1086"/>
      <c r="K1086"/>
    </row>
    <row r="1087" spans="2:11" x14ac:dyDescent="0.2">
      <c r="B1087" s="2069"/>
      <c r="C1087" s="2069"/>
      <c r="D1087" s="2069"/>
      <c r="E1087" s="2069"/>
      <c r="F1087" s="2069"/>
      <c r="G1087" s="2069"/>
      <c r="H1087" s="2069"/>
      <c r="I1087"/>
      <c r="J1087"/>
      <c r="K1087"/>
    </row>
    <row r="1088" spans="2:11" x14ac:dyDescent="0.2">
      <c r="B1088" s="2069"/>
      <c r="C1088" s="2069"/>
      <c r="D1088" s="2069"/>
      <c r="E1088" s="2069"/>
      <c r="F1088" s="2069"/>
      <c r="G1088" s="2069"/>
      <c r="H1088" s="2069"/>
      <c r="I1088"/>
      <c r="J1088"/>
      <c r="K1088"/>
    </row>
    <row r="1089" spans="2:11" x14ac:dyDescent="0.2">
      <c r="B1089" s="2069"/>
      <c r="C1089" s="2069"/>
      <c r="D1089" s="2069"/>
      <c r="E1089" s="2069"/>
      <c r="F1089" s="2069"/>
      <c r="G1089" s="2069"/>
      <c r="H1089" s="2069"/>
      <c r="I1089"/>
      <c r="J1089"/>
      <c r="K1089"/>
    </row>
    <row r="1090" spans="2:11" x14ac:dyDescent="0.2">
      <c r="B1090" s="2069"/>
      <c r="C1090" s="2069"/>
      <c r="D1090" s="2069"/>
      <c r="E1090" s="2069"/>
      <c r="F1090" s="2069"/>
      <c r="G1090" s="2069"/>
      <c r="H1090" s="2069"/>
      <c r="I1090"/>
      <c r="J1090"/>
      <c r="K1090"/>
    </row>
    <row r="1091" spans="2:11" x14ac:dyDescent="0.2">
      <c r="B1091" s="2069"/>
      <c r="C1091" s="2069"/>
      <c r="D1091" s="2069"/>
      <c r="E1091" s="2069"/>
      <c r="F1091" s="2069"/>
      <c r="G1091" s="2069"/>
      <c r="H1091" s="2069"/>
      <c r="I1091"/>
      <c r="J1091"/>
      <c r="K1091"/>
    </row>
    <row r="1092" spans="2:11" x14ac:dyDescent="0.2">
      <c r="B1092" s="2069"/>
      <c r="C1092" s="2069"/>
      <c r="D1092" s="2069"/>
      <c r="E1092" s="2069"/>
      <c r="F1092" s="2069"/>
      <c r="G1092" s="2069"/>
      <c r="H1092" s="2069"/>
      <c r="I1092"/>
      <c r="J1092"/>
      <c r="K1092"/>
    </row>
    <row r="1093" spans="2:11" x14ac:dyDescent="0.2">
      <c r="B1093" s="2069"/>
      <c r="C1093" s="2069"/>
      <c r="D1093" s="2069"/>
      <c r="E1093" s="2069"/>
      <c r="F1093" s="2069"/>
      <c r="G1093" s="2069"/>
      <c r="H1093" s="2069"/>
      <c r="I1093"/>
      <c r="J1093"/>
      <c r="K1093"/>
    </row>
    <row r="1094" spans="2:11" x14ac:dyDescent="0.2">
      <c r="B1094" s="2069"/>
      <c r="C1094" s="2069"/>
      <c r="D1094" s="2069"/>
      <c r="E1094" s="2069"/>
      <c r="F1094" s="2069"/>
      <c r="G1094" s="2069"/>
      <c r="H1094" s="2069"/>
      <c r="I1094"/>
      <c r="J1094"/>
      <c r="K1094"/>
    </row>
    <row r="1095" spans="2:11" x14ac:dyDescent="0.2">
      <c r="B1095" s="2069"/>
      <c r="C1095" s="2069"/>
      <c r="D1095" s="2069"/>
      <c r="E1095" s="2069"/>
      <c r="F1095" s="2069"/>
      <c r="G1095" s="2069"/>
      <c r="H1095" s="2069"/>
      <c r="I1095"/>
      <c r="J1095"/>
      <c r="K1095"/>
    </row>
    <row r="1096" spans="2:11" x14ac:dyDescent="0.2">
      <c r="B1096" s="2069"/>
      <c r="C1096" s="2069"/>
      <c r="D1096" s="2069"/>
      <c r="E1096" s="2069"/>
      <c r="F1096" s="2069"/>
      <c r="G1096" s="2069"/>
      <c r="H1096" s="2069"/>
      <c r="I1096"/>
      <c r="J1096"/>
      <c r="K1096"/>
    </row>
    <row r="1097" spans="2:11" x14ac:dyDescent="0.2">
      <c r="B1097" s="2069"/>
      <c r="C1097" s="2069"/>
      <c r="D1097" s="2069"/>
      <c r="E1097" s="2069"/>
      <c r="F1097" s="2069"/>
      <c r="G1097" s="2069"/>
      <c r="H1097" s="2069"/>
      <c r="I1097"/>
      <c r="J1097"/>
      <c r="K1097"/>
    </row>
    <row r="1098" spans="2:11" x14ac:dyDescent="0.2">
      <c r="B1098" s="2069"/>
      <c r="C1098" s="2069"/>
      <c r="D1098" s="2069"/>
      <c r="E1098" s="2069"/>
      <c r="F1098" s="2069"/>
      <c r="G1098" s="2069"/>
      <c r="H1098" s="2069"/>
      <c r="I1098"/>
      <c r="J1098"/>
      <c r="K1098"/>
    </row>
    <row r="1099" spans="2:11" x14ac:dyDescent="0.2">
      <c r="B1099" s="2069"/>
      <c r="C1099" s="2069"/>
      <c r="D1099" s="2069"/>
      <c r="E1099" s="2069"/>
      <c r="F1099" s="2069"/>
      <c r="G1099" s="2069"/>
      <c r="H1099" s="2069"/>
      <c r="I1099"/>
      <c r="J1099"/>
      <c r="K1099"/>
    </row>
    <row r="1100" spans="2:11" x14ac:dyDescent="0.2">
      <c r="B1100" s="2069"/>
      <c r="C1100" s="2069"/>
      <c r="D1100" s="2069"/>
      <c r="E1100" s="2069"/>
      <c r="F1100" s="2069"/>
      <c r="G1100" s="2069"/>
      <c r="H1100" s="2069"/>
      <c r="I1100"/>
      <c r="J1100"/>
      <c r="K1100"/>
    </row>
    <row r="1101" spans="2:11" x14ac:dyDescent="0.2">
      <c r="B1101" s="2069"/>
      <c r="C1101" s="2069"/>
      <c r="D1101" s="2069"/>
      <c r="E1101" s="2069"/>
      <c r="F1101" s="2069"/>
      <c r="G1101" s="2069"/>
      <c r="H1101" s="2069"/>
      <c r="I1101"/>
      <c r="J1101"/>
      <c r="K1101"/>
    </row>
    <row r="1102" spans="2:11" x14ac:dyDescent="0.2">
      <c r="B1102" s="2069"/>
      <c r="C1102" s="2069"/>
      <c r="D1102" s="2069"/>
      <c r="E1102" s="2069"/>
      <c r="F1102" s="2069"/>
      <c r="G1102" s="2069"/>
      <c r="H1102" s="2069"/>
      <c r="I1102"/>
      <c r="J1102"/>
      <c r="K1102"/>
    </row>
    <row r="1103" spans="2:11" x14ac:dyDescent="0.2">
      <c r="B1103" s="2069"/>
      <c r="C1103" s="2069"/>
      <c r="D1103" s="2069"/>
      <c r="E1103" s="2069"/>
      <c r="F1103" s="2069"/>
      <c r="G1103" s="2069"/>
      <c r="H1103" s="2069"/>
      <c r="I1103"/>
      <c r="J1103"/>
      <c r="K1103"/>
    </row>
    <row r="1104" spans="2:11" x14ac:dyDescent="0.2">
      <c r="B1104" s="2069"/>
      <c r="C1104" s="2069"/>
      <c r="D1104" s="2069"/>
      <c r="E1104" s="2069"/>
      <c r="F1104" s="2069"/>
      <c r="G1104" s="2069"/>
      <c r="H1104" s="2069"/>
      <c r="I1104"/>
      <c r="J1104"/>
      <c r="K1104"/>
    </row>
    <row r="1105" spans="2:11" x14ac:dyDescent="0.2">
      <c r="B1105" s="2069"/>
      <c r="C1105" s="2069"/>
      <c r="D1105" s="2069"/>
      <c r="E1105" s="2069"/>
      <c r="F1105" s="2069"/>
      <c r="G1105" s="2069"/>
      <c r="H1105" s="2069"/>
      <c r="I1105"/>
      <c r="J1105"/>
      <c r="K1105"/>
    </row>
    <row r="1106" spans="2:11" x14ac:dyDescent="0.2">
      <c r="B1106" s="2069"/>
      <c r="C1106" s="2069"/>
      <c r="D1106" s="2069"/>
      <c r="E1106" s="2069"/>
      <c r="F1106" s="2069"/>
      <c r="G1106" s="2069"/>
      <c r="H1106" s="2069"/>
      <c r="I1106"/>
      <c r="J1106"/>
      <c r="K1106"/>
    </row>
    <row r="1107" spans="2:11" x14ac:dyDescent="0.2">
      <c r="B1107" s="2069"/>
      <c r="C1107" s="2069"/>
      <c r="D1107" s="2069"/>
      <c r="E1107" s="2069"/>
      <c r="F1107" s="2069"/>
      <c r="G1107" s="2069"/>
      <c r="H1107" s="2069"/>
      <c r="I1107"/>
      <c r="J1107"/>
      <c r="K1107"/>
    </row>
    <row r="1108" spans="2:11" x14ac:dyDescent="0.2">
      <c r="B1108" s="2069"/>
      <c r="C1108" s="2069"/>
      <c r="D1108" s="2069"/>
      <c r="E1108" s="2069"/>
      <c r="F1108" s="2069"/>
      <c r="G1108" s="2069"/>
      <c r="H1108" s="2069"/>
      <c r="I1108"/>
      <c r="J1108"/>
      <c r="K1108"/>
    </row>
    <row r="1109" spans="2:11" x14ac:dyDescent="0.2">
      <c r="B1109" s="2069"/>
      <c r="C1109" s="2069"/>
      <c r="D1109" s="2069"/>
      <c r="E1109" s="2069"/>
      <c r="F1109" s="2069"/>
      <c r="G1109" s="2069"/>
      <c r="H1109" s="2069"/>
      <c r="I1109"/>
      <c r="J1109"/>
      <c r="K1109"/>
    </row>
    <row r="1110" spans="2:11" x14ac:dyDescent="0.2">
      <c r="B1110" s="2069"/>
      <c r="C1110" s="2069"/>
      <c r="D1110" s="2069"/>
      <c r="E1110" s="2069"/>
      <c r="F1110" s="2069"/>
      <c r="G1110" s="2069"/>
      <c r="H1110" s="2069"/>
      <c r="I1110"/>
      <c r="J1110"/>
      <c r="K1110"/>
    </row>
    <row r="1111" spans="2:11" x14ac:dyDescent="0.2">
      <c r="B1111" s="2069"/>
      <c r="C1111" s="2069"/>
      <c r="D1111" s="2069"/>
      <c r="E1111" s="2069"/>
      <c r="F1111" s="2069"/>
      <c r="G1111" s="2069"/>
      <c r="H1111" s="2069"/>
      <c r="I1111"/>
      <c r="J1111"/>
      <c r="K1111"/>
    </row>
    <row r="1112" spans="2:11" x14ac:dyDescent="0.2">
      <c r="B1112" s="2069"/>
      <c r="C1112" s="2069"/>
      <c r="D1112" s="2069"/>
      <c r="E1112" s="2069"/>
      <c r="F1112" s="2069"/>
      <c r="G1112" s="2069"/>
      <c r="H1112" s="2069"/>
      <c r="I1112"/>
      <c r="J1112"/>
      <c r="K1112"/>
    </row>
    <row r="1113" spans="2:11" x14ac:dyDescent="0.2">
      <c r="B1113" s="2069"/>
      <c r="C1113" s="2069"/>
      <c r="D1113" s="2069"/>
      <c r="E1113" s="2069"/>
      <c r="F1113" s="2069"/>
      <c r="G1113" s="2069"/>
      <c r="H1113" s="2069"/>
      <c r="I1113"/>
      <c r="J1113"/>
      <c r="K1113"/>
    </row>
    <row r="1114" spans="2:11" x14ac:dyDescent="0.2">
      <c r="B1114" s="2069"/>
      <c r="C1114" s="2069"/>
      <c r="D1114" s="2069"/>
      <c r="E1114" s="2069"/>
      <c r="F1114" s="2069"/>
      <c r="G1114" s="2069"/>
      <c r="H1114" s="2069"/>
      <c r="I1114"/>
      <c r="J1114"/>
      <c r="K1114"/>
    </row>
    <row r="1115" spans="2:11" x14ac:dyDescent="0.2">
      <c r="B1115" s="2069"/>
      <c r="C1115" s="2069"/>
      <c r="D1115" s="2069"/>
      <c r="E1115" s="2069"/>
      <c r="F1115" s="2069"/>
      <c r="G1115" s="2069"/>
      <c r="H1115" s="2069"/>
      <c r="I1115"/>
      <c r="J1115"/>
      <c r="K1115"/>
    </row>
    <row r="1116" spans="2:11" x14ac:dyDescent="0.2">
      <c r="B1116" s="2069"/>
      <c r="C1116" s="2069"/>
      <c r="D1116" s="2069"/>
      <c r="E1116" s="2069"/>
      <c r="F1116" s="2069"/>
      <c r="G1116" s="2069"/>
      <c r="H1116" s="2069"/>
      <c r="I1116"/>
      <c r="J1116"/>
      <c r="K1116"/>
    </row>
    <row r="1117" spans="2:11" x14ac:dyDescent="0.2">
      <c r="B1117" s="2069"/>
      <c r="C1117" s="2069"/>
      <c r="D1117" s="2069"/>
      <c r="E1117" s="2069"/>
      <c r="F1117" s="2069"/>
      <c r="G1117" s="2069"/>
      <c r="H1117" s="2069"/>
      <c r="I1117"/>
      <c r="J1117"/>
      <c r="K1117"/>
    </row>
    <row r="1118" spans="2:11" x14ac:dyDescent="0.2">
      <c r="B1118" s="2069"/>
      <c r="C1118" s="2069"/>
      <c r="D1118" s="2069"/>
      <c r="E1118" s="2069"/>
      <c r="F1118" s="2069"/>
      <c r="G1118" s="2069"/>
      <c r="H1118" s="2069"/>
      <c r="I1118"/>
      <c r="J1118"/>
      <c r="K1118"/>
    </row>
    <row r="1119" spans="2:11" x14ac:dyDescent="0.2">
      <c r="B1119" s="2069"/>
      <c r="C1119" s="2069"/>
      <c r="D1119" s="2069"/>
      <c r="E1119" s="2069"/>
      <c r="F1119" s="2069"/>
      <c r="G1119" s="2069"/>
      <c r="H1119" s="2069"/>
      <c r="I1119"/>
      <c r="J1119"/>
      <c r="K1119"/>
    </row>
    <row r="1120" spans="2:11" x14ac:dyDescent="0.2">
      <c r="B1120" s="2069"/>
      <c r="C1120" s="2069"/>
      <c r="D1120" s="2069"/>
      <c r="E1120" s="2069"/>
      <c r="F1120" s="2069"/>
      <c r="G1120" s="2069"/>
      <c r="H1120" s="2069"/>
      <c r="I1120"/>
      <c r="J1120"/>
      <c r="K1120"/>
    </row>
    <row r="1121" spans="2:11" x14ac:dyDescent="0.2">
      <c r="B1121" s="2069"/>
      <c r="C1121" s="2069"/>
      <c r="D1121" s="2069"/>
      <c r="E1121" s="2069"/>
      <c r="F1121" s="2069"/>
      <c r="G1121" s="2069"/>
      <c r="H1121" s="2069"/>
      <c r="I1121"/>
      <c r="J1121"/>
      <c r="K1121"/>
    </row>
    <row r="1122" spans="2:11" x14ac:dyDescent="0.2">
      <c r="B1122" s="2069"/>
      <c r="C1122" s="2069"/>
      <c r="D1122" s="2069"/>
      <c r="E1122" s="2069"/>
      <c r="F1122" s="2069"/>
      <c r="G1122" s="2069"/>
      <c r="H1122" s="2069"/>
      <c r="I1122"/>
      <c r="J1122"/>
      <c r="K1122"/>
    </row>
    <row r="1123" spans="2:11" x14ac:dyDescent="0.2">
      <c r="B1123" s="2069"/>
      <c r="C1123" s="2069"/>
      <c r="D1123" s="2069"/>
      <c r="E1123" s="2069"/>
      <c r="F1123" s="2069"/>
      <c r="G1123" s="2069"/>
      <c r="H1123" s="2069"/>
      <c r="I1123"/>
      <c r="J1123"/>
      <c r="K1123"/>
    </row>
    <row r="1124" spans="2:11" x14ac:dyDescent="0.2">
      <c r="B1124" s="2069"/>
      <c r="C1124" s="2069"/>
      <c r="D1124" s="2069"/>
      <c r="E1124" s="2069"/>
      <c r="F1124" s="2069"/>
      <c r="G1124" s="2069"/>
      <c r="H1124" s="2069"/>
      <c r="I1124"/>
      <c r="J1124"/>
      <c r="K1124"/>
    </row>
    <row r="1125" spans="2:11" x14ac:dyDescent="0.2">
      <c r="B1125" s="2069"/>
      <c r="C1125" s="2069"/>
      <c r="D1125" s="2069"/>
      <c r="E1125" s="2069"/>
      <c r="F1125" s="2069"/>
      <c r="G1125" s="2069"/>
      <c r="H1125" s="2069"/>
      <c r="I1125"/>
      <c r="J1125"/>
      <c r="K1125"/>
    </row>
    <row r="1126" spans="2:11" x14ac:dyDescent="0.2">
      <c r="B1126" s="2069"/>
      <c r="C1126" s="2069"/>
      <c r="D1126" s="2069"/>
      <c r="E1126" s="2069"/>
      <c r="F1126" s="2069"/>
      <c r="G1126" s="2069"/>
      <c r="H1126" s="2069"/>
      <c r="I1126"/>
      <c r="J1126"/>
      <c r="K1126"/>
    </row>
    <row r="1127" spans="2:11" x14ac:dyDescent="0.2">
      <c r="B1127" s="2069"/>
      <c r="C1127" s="2069"/>
      <c r="D1127" s="2069"/>
      <c r="E1127" s="2069"/>
      <c r="F1127" s="2069"/>
      <c r="G1127" s="2069"/>
      <c r="H1127" s="2069"/>
      <c r="I1127"/>
      <c r="J1127"/>
      <c r="K1127"/>
    </row>
    <row r="1128" spans="2:11" x14ac:dyDescent="0.2">
      <c r="B1128" s="2069"/>
      <c r="C1128" s="2069"/>
      <c r="D1128" s="2069"/>
      <c r="E1128" s="2069"/>
      <c r="F1128" s="2069"/>
      <c r="G1128" s="2069"/>
      <c r="H1128" s="2069"/>
      <c r="I1128"/>
      <c r="J1128"/>
      <c r="K1128"/>
    </row>
    <row r="1129" spans="2:11" x14ac:dyDescent="0.2">
      <c r="B1129" s="2069"/>
      <c r="C1129" s="2069"/>
      <c r="D1129" s="2069"/>
      <c r="E1129" s="2069"/>
      <c r="F1129" s="2069"/>
      <c r="G1129" s="2069"/>
      <c r="H1129" s="2069"/>
      <c r="I1129"/>
      <c r="J1129"/>
      <c r="K1129"/>
    </row>
    <row r="1130" spans="2:11" x14ac:dyDescent="0.2">
      <c r="B1130" s="2069"/>
      <c r="C1130" s="2069"/>
      <c r="D1130" s="2069"/>
      <c r="E1130" s="2069"/>
      <c r="F1130" s="2069"/>
      <c r="G1130" s="2069"/>
      <c r="H1130" s="2069"/>
      <c r="I1130"/>
      <c r="J1130"/>
      <c r="K1130"/>
    </row>
    <row r="1131" spans="2:11" x14ac:dyDescent="0.2">
      <c r="B1131" s="2069"/>
      <c r="C1131" s="2069"/>
      <c r="D1131" s="2069"/>
      <c r="E1131" s="2069"/>
      <c r="F1131" s="2069"/>
      <c r="G1131" s="2069"/>
      <c r="H1131" s="2069"/>
      <c r="I1131"/>
      <c r="J1131"/>
      <c r="K1131"/>
    </row>
    <row r="1132" spans="2:11" x14ac:dyDescent="0.2">
      <c r="B1132" s="2069"/>
      <c r="C1132" s="2069"/>
      <c r="D1132" s="2069"/>
      <c r="E1132" s="2069"/>
      <c r="F1132" s="2069"/>
      <c r="G1132" s="2069"/>
      <c r="H1132" s="2069"/>
      <c r="I1132"/>
      <c r="J1132"/>
      <c r="K1132"/>
    </row>
    <row r="1133" spans="2:11" x14ac:dyDescent="0.2">
      <c r="B1133" s="2069"/>
      <c r="C1133" s="2069"/>
      <c r="D1133" s="2069"/>
      <c r="E1133" s="2069"/>
      <c r="F1133" s="2069"/>
      <c r="G1133" s="2069"/>
      <c r="H1133" s="2069"/>
      <c r="I1133"/>
      <c r="J1133"/>
      <c r="K1133"/>
    </row>
    <row r="1134" spans="2:11" x14ac:dyDescent="0.2">
      <c r="B1134" s="2069"/>
      <c r="C1134" s="2069"/>
      <c r="D1134" s="2069"/>
      <c r="E1134" s="2069"/>
      <c r="F1134" s="2069"/>
      <c r="G1134" s="2069"/>
      <c r="H1134" s="2069"/>
      <c r="I1134"/>
      <c r="J1134"/>
      <c r="K1134"/>
    </row>
    <row r="1135" spans="2:11" x14ac:dyDescent="0.2">
      <c r="B1135" s="2069"/>
      <c r="C1135" s="2069"/>
      <c r="D1135" s="2069"/>
      <c r="E1135" s="2069"/>
      <c r="F1135" s="2069"/>
      <c r="G1135" s="2069"/>
      <c r="H1135" s="2069"/>
      <c r="I1135"/>
      <c r="J1135"/>
      <c r="K1135"/>
    </row>
    <row r="1136" spans="2:11" x14ac:dyDescent="0.2">
      <c r="B1136" s="2069"/>
      <c r="C1136" s="2069"/>
      <c r="D1136" s="2069"/>
      <c r="E1136" s="2069"/>
      <c r="F1136" s="2069"/>
      <c r="G1136" s="2069"/>
      <c r="H1136" s="2069"/>
      <c r="I1136"/>
      <c r="J1136"/>
      <c r="K1136"/>
    </row>
    <row r="1137" spans="2:11" x14ac:dyDescent="0.2">
      <c r="B1137" s="2069"/>
      <c r="C1137" s="2069"/>
      <c r="D1137" s="2069"/>
      <c r="E1137" s="2069"/>
      <c r="F1137" s="2069"/>
      <c r="G1137" s="2069"/>
      <c r="H1137" s="2069"/>
      <c r="I1137"/>
      <c r="J1137"/>
      <c r="K1137"/>
    </row>
    <row r="1138" spans="2:11" x14ac:dyDescent="0.2">
      <c r="B1138" s="2069"/>
      <c r="C1138" s="2069"/>
      <c r="D1138" s="2069"/>
      <c r="E1138" s="2069"/>
      <c r="F1138" s="2069"/>
      <c r="G1138" s="2069"/>
      <c r="H1138" s="2069"/>
      <c r="I1138"/>
      <c r="J1138"/>
      <c r="K1138"/>
    </row>
    <row r="1139" spans="2:11" x14ac:dyDescent="0.2">
      <c r="B1139" s="2069"/>
      <c r="C1139" s="2069"/>
      <c r="D1139" s="2069"/>
      <c r="E1139" s="2069"/>
      <c r="F1139" s="2069"/>
      <c r="G1139" s="2069"/>
      <c r="H1139" s="2069"/>
      <c r="I1139"/>
      <c r="J1139"/>
      <c r="K1139"/>
    </row>
    <row r="1140" spans="2:11" x14ac:dyDescent="0.2">
      <c r="B1140" s="2069"/>
      <c r="C1140" s="2069"/>
      <c r="D1140" s="2069"/>
      <c r="E1140" s="2069"/>
      <c r="F1140" s="2069"/>
      <c r="G1140" s="2069"/>
      <c r="H1140" s="2069"/>
      <c r="I1140"/>
      <c r="J1140"/>
      <c r="K1140"/>
    </row>
    <row r="1141" spans="2:11" x14ac:dyDescent="0.2">
      <c r="B1141" s="2069"/>
      <c r="C1141" s="2069"/>
      <c r="D1141" s="2069"/>
      <c r="E1141" s="2069"/>
      <c r="F1141" s="2069"/>
      <c r="G1141" s="2069"/>
      <c r="H1141" s="2069"/>
      <c r="I1141"/>
      <c r="J1141"/>
      <c r="K1141"/>
    </row>
    <row r="1142" spans="2:11" x14ac:dyDescent="0.2">
      <c r="B1142" s="2069"/>
      <c r="C1142" s="2069"/>
      <c r="D1142" s="2069"/>
      <c r="E1142" s="2069"/>
      <c r="F1142" s="2069"/>
      <c r="G1142" s="2069"/>
      <c r="H1142" s="2069"/>
      <c r="I1142"/>
      <c r="J1142"/>
      <c r="K1142"/>
    </row>
    <row r="1143" spans="2:11" x14ac:dyDescent="0.2">
      <c r="B1143" s="2069"/>
      <c r="C1143" s="2069"/>
      <c r="D1143" s="2069"/>
      <c r="E1143" s="2069"/>
      <c r="F1143" s="2069"/>
      <c r="G1143" s="2069"/>
      <c r="H1143" s="2069"/>
      <c r="I1143"/>
      <c r="J1143"/>
      <c r="K1143"/>
    </row>
    <row r="1144" spans="2:11" x14ac:dyDescent="0.2">
      <c r="B1144" s="2069"/>
      <c r="C1144" s="2069"/>
      <c r="D1144" s="2069"/>
      <c r="E1144" s="2069"/>
      <c r="F1144" s="2069"/>
      <c r="G1144" s="2069"/>
      <c r="H1144" s="2069"/>
      <c r="I1144"/>
      <c r="J1144"/>
      <c r="K1144"/>
    </row>
    <row r="1145" spans="2:11" x14ac:dyDescent="0.2">
      <c r="B1145" s="2069"/>
      <c r="C1145" s="2069"/>
      <c r="D1145" s="2069"/>
      <c r="E1145" s="2069"/>
      <c r="F1145" s="2069"/>
      <c r="G1145" s="2069"/>
      <c r="H1145" s="2069"/>
      <c r="I1145"/>
      <c r="J1145"/>
      <c r="K1145"/>
    </row>
    <row r="1146" spans="2:11" x14ac:dyDescent="0.2">
      <c r="B1146" s="2069"/>
      <c r="C1146" s="2069"/>
      <c r="D1146" s="2069"/>
      <c r="E1146" s="2069"/>
      <c r="F1146" s="2069"/>
      <c r="G1146" s="2069"/>
      <c r="H1146" s="2069"/>
      <c r="I1146"/>
      <c r="J1146"/>
      <c r="K1146"/>
    </row>
    <row r="1147" spans="2:11" x14ac:dyDescent="0.2">
      <c r="B1147" s="2069"/>
      <c r="C1147" s="2069"/>
      <c r="D1147" s="2069"/>
      <c r="E1147" s="2069"/>
      <c r="F1147" s="2069"/>
      <c r="G1147" s="2069"/>
      <c r="H1147" s="2069"/>
      <c r="I1147"/>
      <c r="J1147"/>
      <c r="K1147"/>
    </row>
    <row r="1148" spans="2:11" x14ac:dyDescent="0.2">
      <c r="B1148" s="2069"/>
      <c r="C1148" s="2069"/>
      <c r="D1148" s="2069"/>
      <c r="E1148" s="2069"/>
      <c r="F1148" s="2069"/>
      <c r="G1148" s="2069"/>
      <c r="H1148" s="2069"/>
      <c r="I1148"/>
      <c r="J1148"/>
      <c r="K1148"/>
    </row>
    <row r="1149" spans="2:11" x14ac:dyDescent="0.2">
      <c r="B1149" s="2069"/>
      <c r="C1149" s="2069"/>
      <c r="D1149" s="2069"/>
      <c r="E1149" s="2069"/>
      <c r="F1149" s="2069"/>
      <c r="G1149" s="2069"/>
      <c r="H1149" s="2069"/>
      <c r="I1149"/>
      <c r="J1149"/>
      <c r="K1149"/>
    </row>
    <row r="1150" spans="2:11" x14ac:dyDescent="0.2">
      <c r="B1150" s="2069"/>
      <c r="C1150" s="2069"/>
      <c r="D1150" s="2069"/>
      <c r="E1150" s="2069"/>
      <c r="F1150" s="2069"/>
      <c r="G1150" s="2069"/>
      <c r="H1150" s="2069"/>
      <c r="I1150"/>
      <c r="J1150"/>
      <c r="K1150"/>
    </row>
    <row r="1151" spans="2:11" x14ac:dyDescent="0.2">
      <c r="B1151" s="2069"/>
      <c r="C1151" s="2069"/>
      <c r="D1151" s="2069"/>
      <c r="E1151" s="2069"/>
      <c r="F1151" s="2069"/>
      <c r="G1151" s="2069"/>
      <c r="H1151" s="2069"/>
      <c r="I1151"/>
      <c r="J1151"/>
      <c r="K1151"/>
    </row>
    <row r="1152" spans="2:11" x14ac:dyDescent="0.2">
      <c r="B1152" s="2069"/>
      <c r="C1152" s="2069"/>
      <c r="D1152" s="2069"/>
      <c r="E1152" s="2069"/>
      <c r="F1152" s="2069"/>
      <c r="G1152" s="2069"/>
      <c r="H1152" s="2069"/>
      <c r="I1152"/>
      <c r="J1152"/>
      <c r="K1152"/>
    </row>
    <row r="1153" spans="2:11" x14ac:dyDescent="0.2">
      <c r="B1153" s="2069"/>
      <c r="C1153" s="2069"/>
      <c r="D1153" s="2069"/>
      <c r="E1153" s="2069"/>
      <c r="F1153" s="2069"/>
      <c r="G1153" s="2069"/>
      <c r="H1153" s="2069"/>
      <c r="I1153"/>
      <c r="J1153"/>
      <c r="K1153"/>
    </row>
    <row r="1154" spans="2:11" x14ac:dyDescent="0.2">
      <c r="B1154" s="2069"/>
      <c r="C1154" s="2069"/>
      <c r="D1154" s="2069"/>
      <c r="E1154" s="2069"/>
      <c r="F1154" s="2069"/>
      <c r="G1154" s="2069"/>
      <c r="H1154" s="2069"/>
      <c r="I1154"/>
      <c r="J1154"/>
      <c r="K1154"/>
    </row>
    <row r="1155" spans="2:11" x14ac:dyDescent="0.2">
      <c r="B1155" s="2069"/>
      <c r="C1155" s="2069"/>
      <c r="D1155" s="2069"/>
      <c r="E1155" s="2069"/>
      <c r="F1155" s="2069"/>
      <c r="G1155" s="2069"/>
      <c r="H1155" s="2069"/>
      <c r="I1155"/>
      <c r="J1155"/>
      <c r="K1155"/>
    </row>
    <row r="1156" spans="2:11" x14ac:dyDescent="0.2">
      <c r="B1156" s="2069"/>
      <c r="C1156" s="2069"/>
      <c r="D1156" s="2069"/>
      <c r="E1156" s="2069"/>
      <c r="F1156" s="2069"/>
      <c r="G1156" s="2069"/>
      <c r="H1156" s="2069"/>
      <c r="I1156"/>
      <c r="J1156"/>
      <c r="K1156"/>
    </row>
    <row r="1157" spans="2:11" x14ac:dyDescent="0.2">
      <c r="B1157" s="2069"/>
      <c r="C1157" s="2069"/>
      <c r="D1157" s="2069"/>
      <c r="E1157" s="2069"/>
      <c r="F1157" s="2069"/>
      <c r="G1157" s="2069"/>
      <c r="H1157" s="2069"/>
      <c r="I1157"/>
      <c r="J1157"/>
      <c r="K1157"/>
    </row>
    <row r="1158" spans="2:11" x14ac:dyDescent="0.2">
      <c r="B1158" s="2069"/>
      <c r="C1158" s="2069"/>
      <c r="D1158" s="2069"/>
      <c r="E1158" s="2069"/>
      <c r="F1158" s="2069"/>
      <c r="G1158" s="2069"/>
      <c r="H1158" s="2069"/>
      <c r="I1158"/>
      <c r="J1158"/>
      <c r="K1158"/>
    </row>
    <row r="1159" spans="2:11" x14ac:dyDescent="0.2">
      <c r="B1159" s="2069"/>
      <c r="C1159" s="2069"/>
      <c r="D1159" s="2069"/>
      <c r="E1159" s="2069"/>
      <c r="F1159" s="2069"/>
      <c r="G1159" s="2069"/>
      <c r="H1159" s="2069"/>
      <c r="I1159"/>
      <c r="J1159"/>
      <c r="K1159"/>
    </row>
    <row r="1160" spans="2:11" x14ac:dyDescent="0.2">
      <c r="B1160" s="2069"/>
      <c r="C1160" s="2069"/>
      <c r="D1160" s="2069"/>
      <c r="E1160" s="2069"/>
      <c r="F1160" s="2069"/>
      <c r="G1160" s="2069"/>
      <c r="H1160" s="2069"/>
      <c r="I1160"/>
      <c r="J1160"/>
      <c r="K1160"/>
    </row>
    <row r="1161" spans="2:11" x14ac:dyDescent="0.2">
      <c r="B1161" s="2069"/>
      <c r="C1161" s="2069"/>
      <c r="D1161" s="2069"/>
      <c r="E1161" s="2069"/>
      <c r="F1161" s="2069"/>
      <c r="G1161" s="2069"/>
      <c r="H1161" s="2069"/>
      <c r="I1161"/>
      <c r="J1161"/>
      <c r="K1161"/>
    </row>
    <row r="1162" spans="2:11" x14ac:dyDescent="0.2">
      <c r="B1162" s="2069"/>
      <c r="C1162" s="2069"/>
      <c r="D1162" s="2069"/>
      <c r="E1162" s="2069"/>
      <c r="F1162" s="2069"/>
      <c r="G1162" s="2069"/>
      <c r="H1162" s="2069"/>
      <c r="I1162"/>
      <c r="J1162"/>
      <c r="K1162"/>
    </row>
    <row r="1163" spans="2:11" x14ac:dyDescent="0.2">
      <c r="B1163" s="2069"/>
      <c r="C1163" s="2069"/>
      <c r="D1163" s="2069"/>
      <c r="E1163" s="2069"/>
      <c r="F1163" s="2069"/>
      <c r="G1163" s="2069"/>
      <c r="H1163" s="2069"/>
      <c r="I1163"/>
      <c r="J1163"/>
      <c r="K1163"/>
    </row>
    <row r="1164" spans="2:11" x14ac:dyDescent="0.2">
      <c r="B1164" s="2069"/>
      <c r="C1164" s="2069"/>
      <c r="D1164" s="2069"/>
      <c r="E1164" s="2069"/>
      <c r="F1164" s="2069"/>
      <c r="G1164" s="2069"/>
      <c r="H1164" s="2069"/>
      <c r="I1164"/>
      <c r="J1164"/>
      <c r="K1164"/>
    </row>
    <row r="1165" spans="2:11" x14ac:dyDescent="0.2">
      <c r="B1165" s="2069"/>
      <c r="C1165" s="2069"/>
      <c r="D1165" s="2069"/>
      <c r="E1165" s="2069"/>
      <c r="F1165" s="2069"/>
      <c r="G1165" s="2069"/>
      <c r="H1165" s="2069"/>
      <c r="I1165"/>
      <c r="J1165"/>
      <c r="K1165"/>
    </row>
    <row r="1166" spans="2:11" x14ac:dyDescent="0.2">
      <c r="B1166" s="2069"/>
      <c r="C1166" s="2069"/>
      <c r="D1166" s="2069"/>
      <c r="E1166" s="2069"/>
      <c r="F1166" s="2069"/>
      <c r="G1166" s="2069"/>
      <c r="H1166" s="2069"/>
      <c r="I1166"/>
      <c r="J1166"/>
      <c r="K1166"/>
    </row>
    <row r="1167" spans="2:11" x14ac:dyDescent="0.2">
      <c r="B1167" s="2069"/>
      <c r="C1167" s="2069"/>
      <c r="D1167" s="2069"/>
      <c r="E1167" s="2069"/>
      <c r="F1167" s="2069"/>
      <c r="G1167" s="2069"/>
      <c r="H1167" s="2069"/>
      <c r="I1167"/>
      <c r="J1167"/>
      <c r="K1167"/>
    </row>
    <row r="1168" spans="2:11" x14ac:dyDescent="0.2">
      <c r="B1168" s="2069"/>
      <c r="C1168" s="2069"/>
      <c r="D1168" s="2069"/>
      <c r="E1168" s="2069"/>
      <c r="F1168" s="2069"/>
      <c r="G1168" s="2069"/>
      <c r="H1168" s="2069"/>
      <c r="I1168"/>
      <c r="J1168"/>
      <c r="K1168"/>
    </row>
    <row r="1169" spans="2:11" x14ac:dyDescent="0.2">
      <c r="B1169" s="2069"/>
      <c r="C1169" s="2069"/>
      <c r="D1169" s="2069"/>
      <c r="E1169" s="2069"/>
      <c r="F1169" s="2069"/>
      <c r="G1169" s="2069"/>
      <c r="H1169" s="2069"/>
      <c r="I1169"/>
      <c r="J1169"/>
      <c r="K1169"/>
    </row>
    <row r="1170" spans="2:11" x14ac:dyDescent="0.2">
      <c r="B1170" s="2069"/>
      <c r="C1170" s="2069"/>
      <c r="D1170" s="2069"/>
      <c r="E1170" s="2069"/>
      <c r="F1170" s="2069"/>
      <c r="G1170" s="2069"/>
      <c r="H1170" s="2069"/>
      <c r="I1170"/>
      <c r="J1170"/>
      <c r="K1170"/>
    </row>
    <row r="1171" spans="2:11" x14ac:dyDescent="0.2">
      <c r="B1171" s="2069"/>
      <c r="C1171" s="2069"/>
      <c r="D1171" s="2069"/>
      <c r="E1171" s="2069"/>
      <c r="F1171" s="2069"/>
      <c r="G1171" s="2069"/>
      <c r="H1171" s="2069"/>
      <c r="I1171"/>
      <c r="J1171"/>
      <c r="K1171"/>
    </row>
    <row r="1172" spans="2:11" x14ac:dyDescent="0.2">
      <c r="B1172" s="2069"/>
      <c r="C1172" s="2069"/>
      <c r="D1172" s="2069"/>
      <c r="E1172" s="2069"/>
      <c r="F1172" s="2069"/>
      <c r="G1172" s="2069"/>
      <c r="H1172" s="2069"/>
      <c r="I1172"/>
      <c r="J1172"/>
      <c r="K1172"/>
    </row>
    <row r="1173" spans="2:11" x14ac:dyDescent="0.2">
      <c r="B1173" s="2069"/>
      <c r="C1173" s="2069"/>
      <c r="D1173" s="2069"/>
      <c r="E1173" s="2069"/>
      <c r="F1173" s="2069"/>
      <c r="G1173" s="2069"/>
      <c r="H1173" s="2069"/>
      <c r="I1173"/>
      <c r="J1173"/>
      <c r="K1173"/>
    </row>
    <row r="1174" spans="2:11" x14ac:dyDescent="0.2">
      <c r="B1174" s="2069"/>
      <c r="C1174" s="2069"/>
      <c r="D1174" s="2069"/>
      <c r="E1174" s="2069"/>
      <c r="F1174" s="2069"/>
      <c r="G1174" s="2069"/>
      <c r="H1174" s="2069"/>
      <c r="I1174"/>
      <c r="J1174"/>
      <c r="K1174"/>
    </row>
    <row r="1175" spans="2:11" x14ac:dyDescent="0.2">
      <c r="B1175" s="2069"/>
      <c r="C1175" s="2069"/>
      <c r="D1175" s="2069"/>
      <c r="E1175" s="2069"/>
      <c r="F1175" s="2069"/>
      <c r="G1175" s="2069"/>
      <c r="H1175" s="2069"/>
      <c r="I1175"/>
      <c r="J1175"/>
      <c r="K1175"/>
    </row>
    <row r="1176" spans="2:11" x14ac:dyDescent="0.2">
      <c r="B1176" s="2069"/>
      <c r="C1176" s="2069"/>
      <c r="D1176" s="2069"/>
      <c r="E1176" s="2069"/>
      <c r="F1176" s="2069"/>
      <c r="G1176" s="2069"/>
      <c r="H1176" s="2069"/>
      <c r="I1176"/>
      <c r="J1176"/>
      <c r="K1176"/>
    </row>
    <row r="1177" spans="2:11" x14ac:dyDescent="0.2">
      <c r="B1177" s="2069"/>
      <c r="C1177" s="2069"/>
      <c r="D1177" s="2069"/>
      <c r="E1177" s="2069"/>
      <c r="F1177" s="2069"/>
      <c r="G1177" s="2069"/>
      <c r="H1177" s="2069"/>
      <c r="I1177"/>
      <c r="J1177"/>
      <c r="K1177"/>
    </row>
    <row r="1178" spans="2:11" x14ac:dyDescent="0.2">
      <c r="B1178" s="2069"/>
      <c r="C1178" s="2069"/>
      <c r="D1178" s="2069"/>
      <c r="E1178" s="2069"/>
      <c r="F1178" s="2069"/>
      <c r="G1178" s="2069"/>
      <c r="H1178" s="2069"/>
      <c r="I1178"/>
      <c r="J1178"/>
      <c r="K1178"/>
    </row>
    <row r="1179" spans="2:11" x14ac:dyDescent="0.2">
      <c r="B1179" s="2069"/>
      <c r="C1179" s="2069"/>
      <c r="D1179" s="2069"/>
      <c r="E1179" s="2069"/>
      <c r="F1179" s="2069"/>
      <c r="G1179" s="2069"/>
      <c r="H1179" s="2069"/>
      <c r="I1179"/>
      <c r="J1179"/>
      <c r="K1179"/>
    </row>
    <row r="1180" spans="2:11" x14ac:dyDescent="0.2">
      <c r="B1180" s="2069"/>
      <c r="C1180" s="2069"/>
      <c r="D1180" s="2069"/>
      <c r="E1180" s="2069"/>
      <c r="F1180" s="2069"/>
      <c r="G1180" s="2069"/>
      <c r="H1180" s="2069"/>
      <c r="I1180"/>
      <c r="J1180"/>
      <c r="K1180"/>
    </row>
    <row r="1181" spans="2:11" x14ac:dyDescent="0.2">
      <c r="B1181" s="2069"/>
      <c r="C1181" s="2069"/>
      <c r="D1181" s="2069"/>
      <c r="E1181" s="2069"/>
      <c r="F1181" s="2069"/>
      <c r="G1181" s="2069"/>
      <c r="H1181" s="2069"/>
      <c r="I1181"/>
      <c r="J1181"/>
      <c r="K1181"/>
    </row>
    <row r="1182" spans="2:11" x14ac:dyDescent="0.2">
      <c r="B1182" s="2069"/>
      <c r="C1182" s="2069"/>
      <c r="D1182" s="2069"/>
      <c r="E1182" s="2069"/>
      <c r="F1182" s="2069"/>
      <c r="G1182" s="2069"/>
      <c r="H1182" s="2069"/>
      <c r="I1182"/>
      <c r="J1182"/>
      <c r="K1182"/>
    </row>
    <row r="1183" spans="2:11" x14ac:dyDescent="0.2">
      <c r="B1183" s="2069"/>
      <c r="C1183" s="2069"/>
      <c r="D1183" s="2069"/>
      <c r="E1183" s="2069"/>
      <c r="F1183" s="2069"/>
      <c r="G1183" s="2069"/>
      <c r="H1183" s="2069"/>
      <c r="I1183"/>
      <c r="J1183"/>
      <c r="K1183"/>
    </row>
    <row r="1184" spans="2:11" x14ac:dyDescent="0.2">
      <c r="B1184" s="2069"/>
      <c r="C1184" s="2069"/>
      <c r="D1184" s="2069"/>
      <c r="E1184" s="2069"/>
      <c r="F1184" s="2069"/>
      <c r="G1184" s="2069"/>
      <c r="H1184" s="2069"/>
      <c r="I1184"/>
      <c r="J1184"/>
      <c r="K1184"/>
    </row>
    <row r="1185" spans="2:11" x14ac:dyDescent="0.2">
      <c r="B1185" s="2069"/>
      <c r="C1185" s="2069"/>
      <c r="D1185" s="2069"/>
      <c r="E1185" s="2069"/>
      <c r="F1185" s="2069"/>
      <c r="G1185" s="2069"/>
      <c r="H1185" s="2069"/>
      <c r="I1185"/>
      <c r="J1185"/>
      <c r="K1185"/>
    </row>
    <row r="1186" spans="2:11" x14ac:dyDescent="0.2">
      <c r="B1186" s="2069"/>
      <c r="C1186" s="2069"/>
      <c r="D1186" s="2069"/>
      <c r="E1186" s="2069"/>
      <c r="F1186" s="2069"/>
      <c r="G1186" s="2069"/>
      <c r="H1186" s="2069"/>
      <c r="I1186"/>
      <c r="J1186"/>
      <c r="K1186"/>
    </row>
    <row r="1187" spans="2:11" x14ac:dyDescent="0.2">
      <c r="B1187" s="2069"/>
      <c r="C1187" s="2069"/>
      <c r="D1187" s="2069"/>
      <c r="E1187" s="2069"/>
      <c r="F1187" s="2069"/>
      <c r="G1187" s="2069"/>
      <c r="H1187" s="2069"/>
      <c r="I1187"/>
      <c r="J1187"/>
      <c r="K1187"/>
    </row>
    <row r="1188" spans="2:11" x14ac:dyDescent="0.2">
      <c r="B1188" s="2069"/>
      <c r="C1188" s="2069"/>
      <c r="D1188" s="2069"/>
      <c r="E1188" s="2069"/>
      <c r="F1188" s="2069"/>
      <c r="G1188" s="2069"/>
      <c r="H1188" s="2069"/>
      <c r="I1188"/>
      <c r="J1188"/>
      <c r="K1188"/>
    </row>
    <row r="1189" spans="2:11" x14ac:dyDescent="0.2">
      <c r="B1189" s="2069"/>
      <c r="C1189" s="2069"/>
      <c r="D1189" s="2069"/>
      <c r="E1189" s="2069"/>
      <c r="F1189" s="2069"/>
      <c r="G1189" s="2069"/>
      <c r="H1189" s="2069"/>
      <c r="I1189"/>
      <c r="J1189"/>
      <c r="K1189"/>
    </row>
    <row r="1190" spans="2:11" x14ac:dyDescent="0.2">
      <c r="B1190" s="2069"/>
      <c r="C1190" s="2069"/>
      <c r="D1190" s="2069"/>
      <c r="E1190" s="2069"/>
      <c r="F1190" s="2069"/>
      <c r="G1190" s="2069"/>
      <c r="H1190" s="2069"/>
      <c r="I1190"/>
      <c r="J1190"/>
      <c r="K1190"/>
    </row>
    <row r="1191" spans="2:11" x14ac:dyDescent="0.2">
      <c r="B1191" s="2069"/>
      <c r="C1191" s="2069"/>
      <c r="D1191" s="2069"/>
      <c r="E1191" s="2069"/>
      <c r="F1191" s="2069"/>
      <c r="G1191" s="2069"/>
      <c r="H1191" s="2069"/>
      <c r="I1191"/>
      <c r="J1191"/>
      <c r="K1191"/>
    </row>
    <row r="1192" spans="2:11" x14ac:dyDescent="0.2">
      <c r="B1192" s="2069"/>
      <c r="C1192" s="2069"/>
      <c r="D1192" s="2069"/>
      <c r="E1192" s="2069"/>
      <c r="F1192" s="2069"/>
      <c r="G1192" s="2069"/>
      <c r="H1192" s="2069"/>
      <c r="I1192"/>
      <c r="J1192"/>
      <c r="K1192"/>
    </row>
    <row r="1193" spans="2:11" x14ac:dyDescent="0.2">
      <c r="B1193" s="2069"/>
      <c r="C1193" s="2069"/>
      <c r="D1193" s="2069"/>
      <c r="E1193" s="2069"/>
      <c r="F1193" s="2069"/>
      <c r="G1193" s="2069"/>
      <c r="H1193" s="2069"/>
      <c r="I1193"/>
      <c r="J1193"/>
      <c r="K1193"/>
    </row>
    <row r="1194" spans="2:11" x14ac:dyDescent="0.2">
      <c r="B1194" s="2069"/>
      <c r="C1194" s="2069"/>
      <c r="D1194" s="2069"/>
      <c r="E1194" s="2069"/>
      <c r="F1194" s="2069"/>
      <c r="G1194" s="2069"/>
      <c r="H1194" s="2069"/>
      <c r="I1194"/>
      <c r="J1194"/>
      <c r="K1194"/>
    </row>
    <row r="1195" spans="2:11" x14ac:dyDescent="0.2">
      <c r="B1195" s="2069"/>
      <c r="C1195" s="2069"/>
      <c r="D1195" s="2069"/>
      <c r="E1195" s="2069"/>
      <c r="F1195" s="2069"/>
      <c r="G1195" s="2069"/>
      <c r="H1195" s="2069"/>
      <c r="I1195"/>
      <c r="J1195"/>
      <c r="K1195"/>
    </row>
    <row r="1196" spans="2:11" x14ac:dyDescent="0.2">
      <c r="B1196" s="2069"/>
      <c r="C1196" s="2069"/>
      <c r="D1196" s="2069"/>
      <c r="E1196" s="2069"/>
      <c r="F1196" s="2069"/>
      <c r="G1196" s="2069"/>
      <c r="H1196" s="2069"/>
      <c r="I1196"/>
      <c r="J1196"/>
      <c r="K1196"/>
    </row>
    <row r="1197" spans="2:11" x14ac:dyDescent="0.2">
      <c r="B1197" s="2069"/>
      <c r="C1197" s="2069"/>
      <c r="D1197" s="2069"/>
      <c r="E1197" s="2069"/>
      <c r="F1197" s="2069"/>
      <c r="G1197" s="2069"/>
      <c r="H1197" s="2069"/>
      <c r="I1197"/>
      <c r="J1197"/>
      <c r="K1197"/>
    </row>
    <row r="1198" spans="2:11" x14ac:dyDescent="0.2">
      <c r="B1198" s="2069"/>
      <c r="C1198" s="2069"/>
      <c r="D1198" s="2069"/>
      <c r="E1198" s="2069"/>
      <c r="F1198" s="2069"/>
      <c r="G1198" s="2069"/>
      <c r="H1198" s="2069"/>
      <c r="I1198"/>
      <c r="J1198"/>
      <c r="K1198"/>
    </row>
    <row r="1199" spans="2:11" x14ac:dyDescent="0.2">
      <c r="B1199" s="2069"/>
      <c r="C1199" s="2069"/>
      <c r="D1199" s="2069"/>
      <c r="E1199" s="2069"/>
      <c r="F1199" s="2069"/>
      <c r="G1199" s="2069"/>
      <c r="H1199" s="2069"/>
      <c r="I1199"/>
      <c r="J1199"/>
      <c r="K1199"/>
    </row>
    <row r="1200" spans="2:11" x14ac:dyDescent="0.2">
      <c r="B1200" s="2069"/>
      <c r="C1200" s="2069"/>
      <c r="D1200" s="2069"/>
      <c r="E1200" s="2069"/>
      <c r="F1200" s="2069"/>
      <c r="G1200" s="2069"/>
      <c r="H1200" s="2069"/>
      <c r="I1200"/>
      <c r="J1200"/>
      <c r="K1200"/>
    </row>
    <row r="1201" spans="2:11" x14ac:dyDescent="0.2">
      <c r="B1201" s="2069"/>
      <c r="C1201" s="2069"/>
      <c r="D1201" s="2069"/>
      <c r="E1201" s="2069"/>
      <c r="F1201" s="2069"/>
      <c r="G1201" s="2069"/>
      <c r="H1201" s="2069"/>
      <c r="I1201"/>
      <c r="J1201"/>
      <c r="K1201"/>
    </row>
    <row r="1202" spans="2:11" x14ac:dyDescent="0.2">
      <c r="B1202" s="2069"/>
      <c r="C1202" s="2069"/>
      <c r="D1202" s="2069"/>
      <c r="E1202" s="2069"/>
      <c r="F1202" s="2069"/>
      <c r="G1202" s="2069"/>
      <c r="H1202" s="2069"/>
      <c r="I1202"/>
      <c r="J1202"/>
      <c r="K1202"/>
    </row>
    <row r="1203" spans="2:11" x14ac:dyDescent="0.2">
      <c r="B1203" s="2069"/>
      <c r="C1203" s="2069"/>
      <c r="D1203" s="2069"/>
      <c r="E1203" s="2069"/>
      <c r="F1203" s="2069"/>
      <c r="G1203" s="2069"/>
      <c r="H1203" s="2069"/>
      <c r="I1203"/>
      <c r="J1203"/>
      <c r="K1203"/>
    </row>
    <row r="1204" spans="2:11" x14ac:dyDescent="0.2">
      <c r="B1204" s="2069"/>
      <c r="C1204" s="2069"/>
      <c r="D1204" s="2069"/>
      <c r="E1204" s="2069"/>
      <c r="F1204" s="2069"/>
      <c r="G1204" s="2069"/>
      <c r="H1204" s="2069"/>
      <c r="I1204"/>
      <c r="J1204"/>
      <c r="K1204"/>
    </row>
    <row r="1205" spans="2:11" x14ac:dyDescent="0.2">
      <c r="B1205" s="2069"/>
      <c r="C1205" s="2069"/>
      <c r="D1205" s="2069"/>
      <c r="E1205" s="2069"/>
      <c r="F1205" s="2069"/>
      <c r="G1205" s="2069"/>
      <c r="H1205" s="2069"/>
      <c r="I1205"/>
      <c r="J1205"/>
      <c r="K1205"/>
    </row>
    <row r="1206" spans="2:11" x14ac:dyDescent="0.2">
      <c r="B1206" s="2069"/>
      <c r="C1206" s="2069"/>
      <c r="D1206" s="2069"/>
      <c r="E1206" s="2069"/>
      <c r="F1206" s="2069"/>
      <c r="G1206" s="2069"/>
      <c r="H1206" s="2069"/>
      <c r="I1206"/>
      <c r="J1206"/>
      <c r="K1206"/>
    </row>
    <row r="1207" spans="2:11" x14ac:dyDescent="0.2">
      <c r="B1207" s="2069"/>
      <c r="C1207" s="2069"/>
      <c r="D1207" s="2069"/>
      <c r="E1207" s="2069"/>
      <c r="F1207" s="2069"/>
      <c r="G1207" s="2069"/>
      <c r="H1207" s="2069"/>
      <c r="I1207"/>
      <c r="J1207"/>
      <c r="K1207"/>
    </row>
    <row r="1208" spans="2:11" x14ac:dyDescent="0.2">
      <c r="B1208" s="2069"/>
      <c r="C1208" s="2069"/>
      <c r="D1208" s="2069"/>
      <c r="E1208" s="2069"/>
      <c r="F1208" s="2069"/>
      <c r="G1208" s="2069"/>
      <c r="H1208" s="2069"/>
      <c r="I1208"/>
      <c r="J1208"/>
      <c r="K1208"/>
    </row>
    <row r="1209" spans="2:11" x14ac:dyDescent="0.2">
      <c r="B1209" s="2069"/>
      <c r="C1209" s="2069"/>
      <c r="D1209" s="2069"/>
      <c r="E1209" s="2069"/>
      <c r="F1209" s="2069"/>
      <c r="G1209" s="2069"/>
      <c r="H1209" s="2069"/>
      <c r="I1209"/>
      <c r="J1209"/>
      <c r="K1209"/>
    </row>
    <row r="1210" spans="2:11" x14ac:dyDescent="0.2">
      <c r="B1210" s="2069"/>
      <c r="C1210" s="2069"/>
      <c r="D1210" s="2069"/>
      <c r="E1210" s="2069"/>
      <c r="F1210" s="2069"/>
      <c r="G1210" s="2069"/>
      <c r="H1210" s="2069"/>
      <c r="I1210"/>
      <c r="J1210"/>
      <c r="K1210"/>
    </row>
    <row r="1211" spans="2:11" x14ac:dyDescent="0.2">
      <c r="B1211" s="2069"/>
      <c r="C1211" s="2069"/>
      <c r="D1211" s="2069"/>
      <c r="E1211" s="2069"/>
      <c r="F1211" s="2069"/>
      <c r="G1211" s="2069"/>
      <c r="H1211" s="2069"/>
      <c r="I1211"/>
      <c r="J1211"/>
      <c r="K1211"/>
    </row>
    <row r="1212" spans="2:11" x14ac:dyDescent="0.2">
      <c r="B1212" s="2069"/>
      <c r="C1212" s="2069"/>
      <c r="D1212" s="2069"/>
      <c r="E1212" s="2069"/>
      <c r="F1212" s="2069"/>
      <c r="G1212" s="2069"/>
      <c r="H1212" s="2069"/>
      <c r="I1212"/>
      <c r="J1212"/>
      <c r="K1212"/>
    </row>
    <row r="1213" spans="2:11" x14ac:dyDescent="0.2">
      <c r="B1213" s="2069"/>
      <c r="C1213" s="2069"/>
      <c r="D1213" s="2069"/>
      <c r="E1213" s="2069"/>
      <c r="F1213" s="2069"/>
      <c r="G1213" s="2069"/>
      <c r="H1213" s="2069"/>
      <c r="I1213"/>
      <c r="J1213"/>
      <c r="K1213"/>
    </row>
    <row r="1214" spans="2:11" x14ac:dyDescent="0.2">
      <c r="B1214" s="2069"/>
      <c r="C1214" s="2069"/>
      <c r="D1214" s="2069"/>
      <c r="E1214" s="2069"/>
      <c r="F1214" s="2069"/>
      <c r="G1214" s="2069"/>
      <c r="H1214" s="2069"/>
      <c r="I1214"/>
      <c r="J1214"/>
      <c r="K1214"/>
    </row>
    <row r="1215" spans="2:11" x14ac:dyDescent="0.2">
      <c r="B1215" s="2069"/>
      <c r="C1215" s="2069"/>
      <c r="D1215" s="2069"/>
      <c r="E1215" s="2069"/>
      <c r="F1215" s="2069"/>
      <c r="G1215" s="2069"/>
      <c r="H1215" s="2069"/>
      <c r="I1215"/>
      <c r="J1215"/>
      <c r="K1215"/>
    </row>
    <row r="1216" spans="2:11" x14ac:dyDescent="0.2">
      <c r="B1216" s="2069"/>
      <c r="C1216" s="2069"/>
      <c r="D1216" s="2069"/>
      <c r="E1216" s="2069"/>
      <c r="F1216" s="2069"/>
      <c r="G1216" s="2069"/>
      <c r="H1216" s="2069"/>
      <c r="I1216"/>
      <c r="J1216"/>
      <c r="K1216"/>
    </row>
    <row r="1217" spans="2:11" x14ac:dyDescent="0.2">
      <c r="B1217" s="2069"/>
      <c r="C1217" s="2069"/>
      <c r="D1217" s="2069"/>
      <c r="E1217" s="2069"/>
      <c r="F1217" s="2069"/>
      <c r="G1217" s="2069"/>
      <c r="H1217" s="2069"/>
      <c r="I1217"/>
      <c r="J1217"/>
      <c r="K1217"/>
    </row>
    <row r="1218" spans="2:11" x14ac:dyDescent="0.2">
      <c r="B1218" s="2069"/>
      <c r="C1218" s="2069"/>
      <c r="D1218" s="2069"/>
      <c r="E1218" s="2069"/>
      <c r="F1218" s="2069"/>
      <c r="G1218" s="2069"/>
      <c r="H1218" s="2069"/>
      <c r="I1218"/>
      <c r="J1218"/>
      <c r="K1218"/>
    </row>
    <row r="1219" spans="2:11" x14ac:dyDescent="0.2">
      <c r="B1219" s="2069"/>
      <c r="C1219" s="2069"/>
      <c r="D1219" s="2069"/>
      <c r="E1219" s="2069"/>
      <c r="F1219" s="2069"/>
      <c r="G1219" s="2069"/>
      <c r="H1219" s="2069"/>
      <c r="I1219"/>
      <c r="J1219"/>
      <c r="K1219"/>
    </row>
    <row r="1220" spans="2:11" x14ac:dyDescent="0.2">
      <c r="B1220" s="2069"/>
      <c r="C1220" s="2069"/>
      <c r="D1220" s="2069"/>
      <c r="E1220" s="2069"/>
      <c r="F1220" s="2069"/>
      <c r="G1220" s="2069"/>
      <c r="H1220" s="2069"/>
      <c r="I1220"/>
      <c r="J1220"/>
      <c r="K1220"/>
    </row>
    <row r="1221" spans="2:11" x14ac:dyDescent="0.2">
      <c r="B1221" s="2069"/>
      <c r="C1221" s="2069"/>
      <c r="D1221" s="2069"/>
      <c r="E1221" s="2069"/>
      <c r="F1221" s="2069"/>
      <c r="G1221" s="2069"/>
      <c r="H1221" s="2069"/>
      <c r="I1221"/>
      <c r="J1221"/>
      <c r="K1221"/>
    </row>
    <row r="1222" spans="2:11" x14ac:dyDescent="0.2">
      <c r="B1222" s="2069"/>
      <c r="C1222" s="2069"/>
      <c r="D1222" s="2069"/>
      <c r="E1222" s="2069"/>
      <c r="F1222" s="2069"/>
      <c r="G1222" s="2069"/>
      <c r="H1222" s="2069"/>
      <c r="I1222"/>
      <c r="J1222"/>
      <c r="K1222"/>
    </row>
    <row r="1223" spans="2:11" x14ac:dyDescent="0.2">
      <c r="B1223" s="2069"/>
      <c r="C1223" s="2069"/>
      <c r="D1223" s="2069"/>
      <c r="E1223" s="2069"/>
      <c r="F1223" s="2069"/>
      <c r="G1223" s="2069"/>
      <c r="H1223" s="2069"/>
      <c r="I1223"/>
      <c r="J1223"/>
      <c r="K1223"/>
    </row>
    <row r="1224" spans="2:11" x14ac:dyDescent="0.2">
      <c r="B1224" s="2069"/>
      <c r="C1224" s="2069"/>
      <c r="D1224" s="2069"/>
      <c r="E1224" s="2069"/>
      <c r="F1224" s="2069"/>
      <c r="G1224" s="2069"/>
      <c r="H1224" s="2069"/>
      <c r="I1224"/>
      <c r="J1224"/>
      <c r="K1224"/>
    </row>
    <row r="1225" spans="2:11" x14ac:dyDescent="0.2">
      <c r="B1225" s="2069"/>
      <c r="C1225" s="2069"/>
      <c r="D1225" s="2069"/>
      <c r="E1225" s="2069"/>
      <c r="F1225" s="2069"/>
      <c r="G1225" s="2069"/>
      <c r="H1225" s="2069"/>
      <c r="I1225"/>
      <c r="J1225"/>
      <c r="K1225"/>
    </row>
    <row r="1226" spans="2:11" x14ac:dyDescent="0.2">
      <c r="B1226" s="2069"/>
      <c r="C1226" s="2069"/>
      <c r="D1226" s="2069"/>
      <c r="E1226" s="2069"/>
      <c r="F1226" s="2069"/>
      <c r="G1226" s="2069"/>
      <c r="H1226" s="2069"/>
      <c r="I1226"/>
      <c r="J1226"/>
      <c r="K1226"/>
    </row>
    <row r="1227" spans="2:11" x14ac:dyDescent="0.2">
      <c r="B1227" s="2069"/>
      <c r="C1227" s="2069"/>
      <c r="D1227" s="2069"/>
      <c r="E1227" s="2069"/>
      <c r="F1227" s="2069"/>
      <c r="G1227" s="2069"/>
      <c r="H1227" s="2069"/>
      <c r="I1227"/>
      <c r="J1227"/>
      <c r="K1227"/>
    </row>
    <row r="1228" spans="2:11" x14ac:dyDescent="0.2">
      <c r="B1228" s="2069"/>
      <c r="C1228" s="2069"/>
      <c r="D1228" s="2069"/>
      <c r="E1228" s="2069"/>
      <c r="F1228" s="2069"/>
      <c r="G1228" s="2069"/>
      <c r="H1228" s="2069"/>
      <c r="I1228"/>
      <c r="J1228"/>
      <c r="K1228"/>
    </row>
    <row r="1229" spans="2:11" x14ac:dyDescent="0.2">
      <c r="B1229" s="2069"/>
      <c r="C1229" s="2069"/>
      <c r="D1229" s="2069"/>
      <c r="E1229" s="2069"/>
      <c r="F1229" s="2069"/>
      <c r="G1229" s="2069"/>
      <c r="H1229" s="2069"/>
      <c r="I1229"/>
      <c r="J1229"/>
      <c r="K1229"/>
    </row>
    <row r="1230" spans="2:11" x14ac:dyDescent="0.2">
      <c r="B1230" s="2069"/>
      <c r="C1230" s="2069"/>
      <c r="D1230" s="2069"/>
      <c r="E1230" s="2069"/>
      <c r="F1230" s="2069"/>
      <c r="G1230" s="2069"/>
      <c r="H1230" s="2069"/>
      <c r="I1230"/>
      <c r="J1230"/>
      <c r="K1230"/>
    </row>
    <row r="1231" spans="2:11" x14ac:dyDescent="0.2">
      <c r="B1231" s="2069"/>
      <c r="C1231" s="2069"/>
      <c r="D1231" s="2069"/>
      <c r="E1231" s="2069"/>
      <c r="F1231" s="2069"/>
      <c r="G1231" s="2069"/>
      <c r="H1231" s="2069"/>
      <c r="I1231"/>
      <c r="J1231"/>
      <c r="K1231"/>
    </row>
    <row r="1232" spans="2:11" x14ac:dyDescent="0.2">
      <c r="B1232" s="2069"/>
      <c r="C1232" s="2069"/>
      <c r="D1232" s="2069"/>
      <c r="E1232" s="2069"/>
      <c r="F1232" s="2069"/>
      <c r="G1232" s="2069"/>
      <c r="H1232" s="2069"/>
      <c r="I1232"/>
      <c r="J1232"/>
      <c r="K1232"/>
    </row>
    <row r="1233" spans="2:11" x14ac:dyDescent="0.2">
      <c r="B1233" s="2069"/>
      <c r="C1233" s="2069"/>
      <c r="D1233" s="2069"/>
      <c r="E1233" s="2069"/>
      <c r="F1233" s="2069"/>
      <c r="G1233" s="2069"/>
      <c r="H1233" s="2069"/>
      <c r="I1233"/>
      <c r="J1233"/>
      <c r="K1233"/>
    </row>
    <row r="1234" spans="2:11" x14ac:dyDescent="0.2">
      <c r="B1234" s="2069"/>
      <c r="C1234" s="2069"/>
      <c r="D1234" s="2069"/>
      <c r="E1234" s="2069"/>
      <c r="F1234" s="2069"/>
      <c r="G1234" s="2069"/>
      <c r="H1234" s="2069"/>
      <c r="I1234"/>
      <c r="J1234"/>
      <c r="K1234"/>
    </row>
    <row r="1235" spans="2:11" x14ac:dyDescent="0.2">
      <c r="B1235" s="2069"/>
      <c r="C1235" s="2069"/>
      <c r="D1235" s="2069"/>
      <c r="E1235" s="2069"/>
      <c r="F1235" s="2069"/>
      <c r="G1235" s="2069"/>
      <c r="H1235" s="2069"/>
      <c r="I1235"/>
      <c r="J1235"/>
      <c r="K1235"/>
    </row>
    <row r="1236" spans="2:11" x14ac:dyDescent="0.2">
      <c r="B1236" s="2069"/>
      <c r="C1236" s="2069"/>
      <c r="D1236" s="2069"/>
      <c r="E1236" s="2069"/>
      <c r="F1236" s="2069"/>
      <c r="G1236" s="2069"/>
      <c r="H1236" s="2069"/>
      <c r="I1236"/>
      <c r="J1236"/>
      <c r="K1236"/>
    </row>
    <row r="1237" spans="2:11" x14ac:dyDescent="0.2">
      <c r="B1237" s="2069"/>
      <c r="C1237" s="2069"/>
      <c r="D1237" s="2069"/>
      <c r="E1237" s="2069"/>
      <c r="F1237" s="2069"/>
      <c r="G1237" s="2069"/>
      <c r="H1237" s="2069"/>
      <c r="I1237"/>
      <c r="J1237"/>
      <c r="K1237"/>
    </row>
    <row r="1238" spans="2:11" x14ac:dyDescent="0.2">
      <c r="B1238" s="2069"/>
      <c r="C1238" s="2069"/>
      <c r="D1238" s="2069"/>
      <c r="E1238" s="2069"/>
      <c r="F1238" s="2069"/>
      <c r="G1238" s="2069"/>
      <c r="H1238" s="2069"/>
      <c r="I1238"/>
      <c r="J1238"/>
      <c r="K1238"/>
    </row>
    <row r="1239" spans="2:11" x14ac:dyDescent="0.2">
      <c r="B1239" s="2069"/>
      <c r="C1239" s="2069"/>
      <c r="D1239" s="2069"/>
      <c r="E1239" s="2069"/>
      <c r="F1239" s="2069"/>
      <c r="G1239" s="2069"/>
      <c r="H1239" s="2069"/>
      <c r="I1239"/>
      <c r="J1239"/>
      <c r="K1239"/>
    </row>
    <row r="1240" spans="2:11" x14ac:dyDescent="0.2">
      <c r="B1240" s="2069"/>
      <c r="C1240" s="2069"/>
      <c r="D1240" s="2069"/>
      <c r="E1240" s="2069"/>
      <c r="F1240" s="2069"/>
      <c r="G1240" s="2069"/>
      <c r="H1240" s="2069"/>
      <c r="I1240"/>
      <c r="J1240"/>
      <c r="K1240"/>
    </row>
    <row r="1241" spans="2:11" x14ac:dyDescent="0.2">
      <c r="B1241" s="2069"/>
      <c r="C1241" s="2069"/>
      <c r="D1241" s="2069"/>
      <c r="E1241" s="2069"/>
      <c r="F1241" s="2069"/>
      <c r="G1241" s="2069"/>
      <c r="H1241" s="2069"/>
      <c r="I1241"/>
      <c r="J1241"/>
      <c r="K1241"/>
    </row>
    <row r="1242" spans="2:11" x14ac:dyDescent="0.2">
      <c r="B1242" s="2069"/>
      <c r="C1242" s="2069"/>
      <c r="D1242" s="2069"/>
      <c r="E1242" s="2069"/>
      <c r="F1242" s="2069"/>
      <c r="G1242" s="2069"/>
      <c r="H1242" s="2069"/>
      <c r="I1242"/>
      <c r="J1242"/>
      <c r="K1242"/>
    </row>
    <row r="1243" spans="2:11" x14ac:dyDescent="0.2">
      <c r="B1243" s="2069"/>
      <c r="C1243" s="2069"/>
      <c r="D1243" s="2069"/>
      <c r="E1243" s="2069"/>
      <c r="F1243" s="2069"/>
      <c r="G1243" s="2069"/>
      <c r="H1243" s="2069"/>
      <c r="I1243"/>
      <c r="J1243"/>
      <c r="K1243"/>
    </row>
    <row r="1244" spans="2:11" x14ac:dyDescent="0.2">
      <c r="B1244" s="2069"/>
      <c r="C1244" s="2069"/>
      <c r="D1244" s="2069"/>
      <c r="E1244" s="2069"/>
      <c r="F1244" s="2069"/>
      <c r="G1244" s="2069"/>
      <c r="H1244" s="2069"/>
      <c r="I1244"/>
      <c r="J1244"/>
      <c r="K1244"/>
    </row>
    <row r="1245" spans="2:11" x14ac:dyDescent="0.2">
      <c r="B1245" s="2069"/>
      <c r="C1245" s="2069"/>
      <c r="D1245" s="2069"/>
      <c r="E1245" s="2069"/>
      <c r="F1245" s="2069"/>
      <c r="G1245" s="2069"/>
      <c r="H1245" s="2069"/>
      <c r="I1245"/>
      <c r="J1245"/>
      <c r="K1245"/>
    </row>
    <row r="1246" spans="2:11" x14ac:dyDescent="0.2">
      <c r="B1246" s="2069"/>
      <c r="C1246" s="2069"/>
      <c r="D1246" s="2069"/>
      <c r="E1246" s="2069"/>
      <c r="F1246" s="2069"/>
      <c r="G1246" s="2069"/>
      <c r="H1246" s="2069"/>
      <c r="I1246"/>
      <c r="J1246"/>
      <c r="K1246"/>
    </row>
    <row r="1247" spans="2:11" x14ac:dyDescent="0.2">
      <c r="B1247" s="2069"/>
      <c r="C1247" s="2069"/>
      <c r="D1247" s="2069"/>
      <c r="E1247" s="2069"/>
      <c r="F1247" s="2069"/>
      <c r="G1247" s="2069"/>
      <c r="H1247" s="2069"/>
      <c r="I1247"/>
      <c r="J1247"/>
      <c r="K1247"/>
    </row>
    <row r="1248" spans="2:11" x14ac:dyDescent="0.2">
      <c r="B1248" s="2069"/>
      <c r="C1248" s="2069"/>
      <c r="D1248" s="2069"/>
      <c r="E1248" s="2069"/>
      <c r="F1248" s="2069"/>
      <c r="G1248" s="2069"/>
      <c r="H1248" s="2069"/>
      <c r="I1248"/>
      <c r="J1248"/>
      <c r="K1248"/>
    </row>
    <row r="1249" spans="2:11" x14ac:dyDescent="0.2">
      <c r="B1249" s="2069"/>
      <c r="C1249" s="2069"/>
      <c r="D1249" s="2069"/>
      <c r="E1249" s="2069"/>
      <c r="F1249" s="2069"/>
      <c r="G1249" s="2069"/>
      <c r="H1249" s="2069"/>
      <c r="I1249"/>
      <c r="J1249"/>
      <c r="K1249"/>
    </row>
    <row r="1250" spans="2:11" x14ac:dyDescent="0.2">
      <c r="B1250" s="2069"/>
      <c r="C1250" s="2069"/>
      <c r="D1250" s="2069"/>
      <c r="E1250" s="2069"/>
      <c r="F1250" s="2069"/>
      <c r="G1250" s="2069"/>
      <c r="H1250" s="2069"/>
      <c r="I1250"/>
      <c r="J1250"/>
      <c r="K1250"/>
    </row>
    <row r="1251" spans="2:11" x14ac:dyDescent="0.2">
      <c r="B1251" s="2069"/>
      <c r="C1251" s="2069"/>
      <c r="D1251" s="2069"/>
      <c r="E1251" s="2069"/>
      <c r="F1251" s="2069"/>
      <c r="G1251" s="2069"/>
      <c r="H1251" s="2069"/>
      <c r="I1251"/>
      <c r="J1251"/>
      <c r="K1251"/>
    </row>
    <row r="1252" spans="2:11" x14ac:dyDescent="0.2">
      <c r="B1252" s="2069"/>
      <c r="C1252" s="2069"/>
      <c r="D1252" s="2069"/>
      <c r="E1252" s="2069"/>
      <c r="F1252" s="2069"/>
      <c r="G1252" s="2069"/>
      <c r="H1252" s="2069"/>
      <c r="I1252"/>
      <c r="J1252"/>
      <c r="K1252"/>
    </row>
    <row r="1253" spans="2:11" x14ac:dyDescent="0.2">
      <c r="B1253" s="2069"/>
      <c r="C1253" s="2069"/>
      <c r="D1253" s="2069"/>
      <c r="E1253" s="2069"/>
      <c r="F1253" s="2069"/>
      <c r="G1253" s="2069"/>
      <c r="H1253" s="2069"/>
      <c r="I1253"/>
      <c r="J1253"/>
      <c r="K1253"/>
    </row>
    <row r="1254" spans="2:11" x14ac:dyDescent="0.2">
      <c r="B1254" s="2069"/>
      <c r="C1254" s="2069"/>
      <c r="D1254" s="2069"/>
      <c r="E1254" s="2069"/>
      <c r="F1254" s="2069"/>
      <c r="G1254" s="2069"/>
      <c r="H1254" s="2069"/>
      <c r="I1254"/>
      <c r="J1254"/>
      <c r="K1254"/>
    </row>
    <row r="1255" spans="2:11" x14ac:dyDescent="0.2">
      <c r="B1255" s="2069"/>
      <c r="C1255" s="2069"/>
      <c r="D1255" s="2069"/>
      <c r="E1255" s="2069"/>
      <c r="F1255" s="2069"/>
      <c r="G1255" s="2069"/>
      <c r="H1255" s="2069"/>
      <c r="I1255"/>
      <c r="J1255"/>
      <c r="K1255"/>
    </row>
    <row r="1256" spans="2:11" x14ac:dyDescent="0.2">
      <c r="B1256" s="2069"/>
      <c r="C1256" s="2069"/>
      <c r="D1256" s="2069"/>
      <c r="E1256" s="2069"/>
      <c r="F1256" s="2069"/>
      <c r="G1256" s="2069"/>
      <c r="H1256" s="2069"/>
      <c r="I1256"/>
      <c r="J1256"/>
      <c r="K1256"/>
    </row>
    <row r="1257" spans="2:11" x14ac:dyDescent="0.2">
      <c r="B1257" s="2069"/>
      <c r="C1257" s="2069"/>
      <c r="D1257" s="2069"/>
      <c r="E1257" s="2069"/>
      <c r="F1257" s="2069"/>
      <c r="G1257" s="2069"/>
      <c r="H1257" s="2069"/>
      <c r="I1257"/>
      <c r="J1257"/>
      <c r="K1257"/>
    </row>
    <row r="1258" spans="2:11" x14ac:dyDescent="0.2">
      <c r="B1258" s="2069"/>
      <c r="C1258" s="2069"/>
      <c r="D1258" s="2069"/>
      <c r="E1258" s="2069"/>
      <c r="F1258" s="2069"/>
      <c r="G1258" s="2069"/>
      <c r="H1258" s="2069"/>
      <c r="I1258"/>
      <c r="J1258"/>
      <c r="K1258"/>
    </row>
    <row r="1259" spans="2:11" x14ac:dyDescent="0.2">
      <c r="B1259" s="2069"/>
      <c r="C1259" s="2069"/>
      <c r="D1259" s="2069"/>
      <c r="E1259" s="2069"/>
      <c r="F1259" s="2069"/>
      <c r="G1259" s="2069"/>
      <c r="H1259" s="2069"/>
      <c r="I1259"/>
      <c r="J1259"/>
      <c r="K1259"/>
    </row>
    <row r="1260" spans="2:11" x14ac:dyDescent="0.2">
      <c r="B1260" s="2069"/>
      <c r="C1260" s="2069"/>
      <c r="D1260" s="2069"/>
      <c r="E1260" s="2069"/>
      <c r="F1260" s="2069"/>
      <c r="G1260" s="2069"/>
      <c r="H1260" s="2069"/>
      <c r="I1260"/>
      <c r="J1260"/>
      <c r="K1260"/>
    </row>
    <row r="1261" spans="2:11" x14ac:dyDescent="0.2">
      <c r="B1261" s="2069"/>
      <c r="C1261" s="2069"/>
      <c r="D1261" s="2069"/>
      <c r="E1261" s="2069"/>
      <c r="F1261" s="2069"/>
      <c r="G1261" s="2069"/>
      <c r="H1261" s="2069"/>
      <c r="I1261"/>
      <c r="J1261"/>
      <c r="K1261"/>
    </row>
    <row r="1262" spans="2:11" x14ac:dyDescent="0.2">
      <c r="B1262" s="2069"/>
      <c r="C1262" s="2069"/>
      <c r="D1262" s="2069"/>
      <c r="E1262" s="2069"/>
      <c r="F1262" s="2069"/>
      <c r="G1262" s="2069"/>
      <c r="H1262" s="2069"/>
      <c r="I1262"/>
      <c r="J1262"/>
      <c r="K1262"/>
    </row>
    <row r="1263" spans="2:11" x14ac:dyDescent="0.2">
      <c r="B1263" s="2069"/>
      <c r="C1263" s="2069"/>
      <c r="D1263" s="2069"/>
      <c r="E1263" s="2069"/>
      <c r="F1263" s="2069"/>
      <c r="G1263" s="2069"/>
      <c r="H1263" s="2069"/>
      <c r="I1263"/>
      <c r="J1263"/>
      <c r="K1263"/>
    </row>
    <row r="1264" spans="2:11" x14ac:dyDescent="0.2">
      <c r="B1264" s="2069"/>
      <c r="C1264" s="2069"/>
      <c r="D1264" s="2069"/>
      <c r="E1264" s="2069"/>
      <c r="F1264" s="2069"/>
      <c r="G1264" s="2069"/>
      <c r="H1264" s="2069"/>
      <c r="I1264"/>
      <c r="J1264"/>
      <c r="K1264"/>
    </row>
    <row r="1265" spans="2:11" x14ac:dyDescent="0.2">
      <c r="B1265" s="2069"/>
      <c r="C1265" s="2069"/>
      <c r="D1265" s="2069"/>
      <c r="E1265" s="2069"/>
      <c r="F1265" s="2069"/>
      <c r="G1265" s="2069"/>
      <c r="H1265" s="2069"/>
      <c r="I1265"/>
      <c r="J1265"/>
      <c r="K1265"/>
    </row>
    <row r="1266" spans="2:11" x14ac:dyDescent="0.2">
      <c r="B1266" s="2069"/>
      <c r="C1266" s="2069"/>
      <c r="D1266" s="2069"/>
      <c r="E1266" s="2069"/>
      <c r="F1266" s="2069"/>
      <c r="G1266" s="2069"/>
      <c r="H1266" s="2069"/>
      <c r="I1266"/>
      <c r="J1266"/>
      <c r="K1266"/>
    </row>
    <row r="1267" spans="2:11" x14ac:dyDescent="0.2">
      <c r="B1267" s="2069"/>
      <c r="C1267" s="2069"/>
      <c r="D1267" s="2069"/>
      <c r="E1267" s="2069"/>
      <c r="F1267" s="2069"/>
      <c r="G1267" s="2069"/>
      <c r="H1267" s="2069"/>
      <c r="I1267"/>
      <c r="J1267"/>
      <c r="K1267"/>
    </row>
    <row r="1268" spans="2:11" x14ac:dyDescent="0.2">
      <c r="B1268" s="2069"/>
      <c r="C1268" s="2069"/>
      <c r="D1268" s="2069"/>
      <c r="E1268" s="2069"/>
      <c r="F1268" s="2069"/>
      <c r="G1268" s="2069"/>
      <c r="H1268" s="2069"/>
      <c r="I1268"/>
      <c r="J1268"/>
      <c r="K1268"/>
    </row>
    <row r="1269" spans="2:11" x14ac:dyDescent="0.2">
      <c r="B1269" s="2069"/>
      <c r="C1269" s="2069"/>
      <c r="D1269" s="2069"/>
      <c r="E1269" s="2069"/>
      <c r="F1269" s="2069"/>
      <c r="G1269" s="2069"/>
      <c r="H1269" s="2069"/>
      <c r="I1269"/>
      <c r="J1269"/>
      <c r="K1269"/>
    </row>
    <row r="1270" spans="2:11" x14ac:dyDescent="0.2">
      <c r="B1270" s="2069"/>
      <c r="C1270" s="2069"/>
      <c r="D1270" s="2069"/>
      <c r="E1270" s="2069"/>
      <c r="F1270" s="2069"/>
      <c r="G1270" s="2069"/>
      <c r="H1270" s="2069"/>
      <c r="I1270"/>
      <c r="J1270"/>
      <c r="K1270"/>
    </row>
    <row r="1271" spans="2:11" x14ac:dyDescent="0.2">
      <c r="B1271" s="2069"/>
      <c r="C1271" s="2069"/>
      <c r="D1271" s="2069"/>
      <c r="E1271" s="2069"/>
      <c r="F1271" s="2069"/>
      <c r="G1271" s="2069"/>
      <c r="H1271" s="2069"/>
      <c r="I1271"/>
      <c r="J1271"/>
      <c r="K1271"/>
    </row>
    <row r="1272" spans="2:11" x14ac:dyDescent="0.2">
      <c r="B1272" s="2069"/>
      <c r="C1272" s="2069"/>
      <c r="D1272" s="2069"/>
      <c r="E1272" s="2069"/>
      <c r="F1272" s="2069"/>
      <c r="G1272" s="2069"/>
      <c r="H1272" s="2069"/>
      <c r="I1272"/>
      <c r="J1272"/>
      <c r="K1272"/>
    </row>
    <row r="1273" spans="2:11" x14ac:dyDescent="0.2">
      <c r="B1273" s="2069"/>
      <c r="C1273" s="2069"/>
      <c r="D1273" s="2069"/>
      <c r="E1273" s="2069"/>
      <c r="F1273" s="2069"/>
      <c r="G1273" s="2069"/>
      <c r="H1273" s="2069"/>
      <c r="I1273"/>
      <c r="J1273"/>
      <c r="K1273"/>
    </row>
    <row r="1274" spans="2:11" x14ac:dyDescent="0.2">
      <c r="B1274" s="2069"/>
      <c r="C1274" s="2069"/>
      <c r="D1274" s="2069"/>
      <c r="E1274" s="2069"/>
      <c r="F1274" s="2069"/>
      <c r="G1274" s="2069"/>
      <c r="H1274" s="2069"/>
      <c r="I1274"/>
      <c r="J1274"/>
      <c r="K1274"/>
    </row>
    <row r="1275" spans="2:11" x14ac:dyDescent="0.2">
      <c r="B1275" s="2069"/>
      <c r="C1275" s="2069"/>
      <c r="D1275" s="2069"/>
      <c r="E1275" s="2069"/>
      <c r="F1275" s="2069"/>
      <c r="G1275" s="2069"/>
      <c r="H1275" s="2069"/>
      <c r="I1275"/>
      <c r="J1275"/>
      <c r="K1275"/>
    </row>
    <row r="1276" spans="2:11" x14ac:dyDescent="0.2">
      <c r="B1276" s="2069"/>
      <c r="C1276" s="2069"/>
      <c r="D1276" s="2069"/>
      <c r="E1276" s="2069"/>
      <c r="F1276" s="2069"/>
      <c r="G1276" s="2069"/>
      <c r="H1276" s="2069"/>
      <c r="I1276"/>
      <c r="J1276"/>
      <c r="K1276"/>
    </row>
    <row r="1277" spans="2:11" x14ac:dyDescent="0.2">
      <c r="B1277" s="2069"/>
      <c r="C1277" s="2069"/>
      <c r="D1277" s="2069"/>
      <c r="E1277" s="2069"/>
      <c r="F1277" s="2069"/>
      <c r="G1277" s="2069"/>
      <c r="H1277" s="2069"/>
      <c r="I1277"/>
      <c r="J1277"/>
      <c r="K1277"/>
    </row>
    <row r="1278" spans="2:11" x14ac:dyDescent="0.2">
      <c r="B1278" s="2069"/>
      <c r="C1278" s="2069"/>
      <c r="D1278" s="2069"/>
      <c r="E1278" s="2069"/>
      <c r="F1278" s="2069"/>
      <c r="G1278" s="2069"/>
      <c r="H1278" s="2069"/>
      <c r="I1278"/>
      <c r="J1278"/>
      <c r="K1278"/>
    </row>
    <row r="1279" spans="2:11" x14ac:dyDescent="0.2">
      <c r="B1279" s="2069"/>
      <c r="C1279" s="2069"/>
      <c r="D1279" s="2069"/>
      <c r="E1279" s="2069"/>
      <c r="F1279" s="2069"/>
      <c r="G1279" s="2069"/>
      <c r="H1279" s="2069"/>
      <c r="I1279"/>
      <c r="J1279"/>
      <c r="K1279"/>
    </row>
    <row r="1280" spans="2:11" x14ac:dyDescent="0.2">
      <c r="B1280" s="2069"/>
      <c r="C1280" s="2069"/>
      <c r="D1280" s="2069"/>
      <c r="E1280" s="2069"/>
      <c r="F1280" s="2069"/>
      <c r="G1280" s="2069"/>
      <c r="H1280" s="2069"/>
      <c r="I1280"/>
      <c r="J1280"/>
      <c r="K1280"/>
    </row>
    <row r="1281" spans="2:11" x14ac:dyDescent="0.2">
      <c r="B1281" s="2069"/>
      <c r="C1281" s="2069"/>
      <c r="D1281" s="2069"/>
      <c r="E1281" s="2069"/>
      <c r="F1281" s="2069"/>
      <c r="G1281" s="2069"/>
      <c r="H1281" s="2069"/>
      <c r="I1281"/>
      <c r="J1281"/>
      <c r="K1281"/>
    </row>
    <row r="1282" spans="2:11" x14ac:dyDescent="0.2">
      <c r="B1282" s="2069"/>
      <c r="C1282" s="2069"/>
      <c r="D1282" s="2069"/>
      <c r="E1282" s="2069"/>
      <c r="F1282" s="2069"/>
      <c r="G1282" s="2069"/>
      <c r="H1282" s="2069"/>
      <c r="I1282"/>
      <c r="J1282"/>
      <c r="K1282"/>
    </row>
    <row r="1283" spans="2:11" x14ac:dyDescent="0.2">
      <c r="B1283" s="2069"/>
      <c r="C1283" s="2069"/>
      <c r="D1283" s="2069"/>
      <c r="E1283" s="2069"/>
      <c r="F1283" s="2069"/>
      <c r="G1283" s="2069"/>
      <c r="H1283" s="2069"/>
      <c r="I1283"/>
      <c r="J1283"/>
      <c r="K1283"/>
    </row>
    <row r="1284" spans="2:11" x14ac:dyDescent="0.2">
      <c r="B1284" s="2069"/>
      <c r="C1284" s="2069"/>
      <c r="D1284" s="2069"/>
      <c r="E1284" s="2069"/>
      <c r="F1284" s="2069"/>
      <c r="G1284" s="2069"/>
      <c r="H1284" s="2069"/>
      <c r="I1284"/>
      <c r="J1284"/>
      <c r="K1284"/>
    </row>
    <row r="1285" spans="2:11" x14ac:dyDescent="0.2">
      <c r="B1285" s="2069"/>
      <c r="C1285" s="2069"/>
      <c r="D1285" s="2069"/>
      <c r="E1285" s="2069"/>
      <c r="F1285" s="2069"/>
      <c r="G1285" s="2069"/>
      <c r="H1285" s="2069"/>
      <c r="I1285"/>
      <c r="J1285"/>
      <c r="K1285"/>
    </row>
    <row r="1286" spans="2:11" x14ac:dyDescent="0.2">
      <c r="B1286" s="2069"/>
      <c r="C1286" s="2069"/>
      <c r="D1286" s="2069"/>
      <c r="E1286" s="2069"/>
      <c r="F1286" s="2069"/>
      <c r="G1286" s="2069"/>
      <c r="H1286" s="2069"/>
      <c r="I1286"/>
      <c r="J1286"/>
      <c r="K1286"/>
    </row>
    <row r="1287" spans="2:11" x14ac:dyDescent="0.2">
      <c r="B1287" s="2069"/>
      <c r="C1287" s="2069"/>
      <c r="D1287" s="2069"/>
      <c r="E1287" s="2069"/>
      <c r="F1287" s="2069"/>
      <c r="G1287" s="2069"/>
      <c r="H1287" s="2069"/>
      <c r="I1287"/>
      <c r="J1287"/>
      <c r="K1287"/>
    </row>
    <row r="1288" spans="2:11" x14ac:dyDescent="0.2">
      <c r="B1288" s="2069"/>
      <c r="C1288" s="2069"/>
      <c r="D1288" s="2069"/>
      <c r="E1288" s="2069"/>
      <c r="F1288" s="2069"/>
      <c r="G1288" s="2069"/>
      <c r="H1288" s="2069"/>
      <c r="I1288"/>
      <c r="J1288"/>
      <c r="K1288"/>
    </row>
    <row r="1289" spans="2:11" x14ac:dyDescent="0.2">
      <c r="B1289" s="2069"/>
      <c r="C1289" s="2069"/>
      <c r="D1289" s="2069"/>
      <c r="E1289" s="2069"/>
      <c r="F1289" s="2069"/>
      <c r="G1289" s="2069"/>
      <c r="H1289" s="2069"/>
      <c r="I1289"/>
      <c r="J1289"/>
      <c r="K1289"/>
    </row>
    <row r="1290" spans="2:11" x14ac:dyDescent="0.2">
      <c r="B1290" s="2069"/>
      <c r="C1290" s="2069"/>
      <c r="D1290" s="2069"/>
      <c r="E1290" s="2069"/>
      <c r="F1290" s="2069"/>
      <c r="G1290" s="2069"/>
      <c r="H1290" s="2069"/>
      <c r="I1290"/>
      <c r="J1290"/>
      <c r="K1290"/>
    </row>
    <row r="1291" spans="2:11" x14ac:dyDescent="0.2">
      <c r="B1291" s="2069"/>
      <c r="C1291" s="2069"/>
      <c r="D1291" s="2069"/>
      <c r="E1291" s="2069"/>
      <c r="F1291" s="2069"/>
      <c r="G1291" s="2069"/>
      <c r="H1291" s="2069"/>
      <c r="I1291"/>
      <c r="J1291"/>
      <c r="K1291"/>
    </row>
    <row r="1292" spans="2:11" x14ac:dyDescent="0.2">
      <c r="B1292" s="2069"/>
      <c r="C1292" s="2069"/>
      <c r="D1292" s="2069"/>
      <c r="E1292" s="2069"/>
      <c r="F1292" s="2069"/>
      <c r="G1292" s="2069"/>
      <c r="H1292" s="2069"/>
      <c r="I1292"/>
      <c r="J1292"/>
      <c r="K1292"/>
    </row>
    <row r="1293" spans="2:11" x14ac:dyDescent="0.2">
      <c r="B1293" s="2069"/>
      <c r="C1293" s="2069"/>
      <c r="D1293" s="2069"/>
      <c r="E1293" s="2069"/>
      <c r="F1293" s="2069"/>
      <c r="G1293" s="2069"/>
      <c r="H1293" s="2069"/>
      <c r="I1293"/>
      <c r="J1293"/>
      <c r="K1293"/>
    </row>
    <row r="1294" spans="2:11" x14ac:dyDescent="0.2">
      <c r="B1294" s="2069"/>
      <c r="C1294" s="2069"/>
      <c r="D1294" s="2069"/>
      <c r="E1294" s="2069"/>
      <c r="F1294" s="2069"/>
      <c r="G1294" s="2069"/>
      <c r="H1294" s="2069"/>
      <c r="I1294"/>
      <c r="J1294"/>
      <c r="K1294"/>
    </row>
    <row r="1295" spans="2:11" x14ac:dyDescent="0.2">
      <c r="B1295" s="2069"/>
      <c r="C1295" s="2069"/>
      <c r="D1295" s="2069"/>
      <c r="E1295" s="2069"/>
      <c r="F1295" s="2069"/>
      <c r="G1295" s="2069"/>
      <c r="H1295" s="2069"/>
      <c r="I1295"/>
      <c r="J1295"/>
      <c r="K1295"/>
    </row>
    <row r="1296" spans="2:11" x14ac:dyDescent="0.2">
      <c r="B1296" s="2069"/>
      <c r="C1296" s="2069"/>
      <c r="D1296" s="2069"/>
      <c r="E1296" s="2069"/>
      <c r="F1296" s="2069"/>
      <c r="G1296" s="2069"/>
      <c r="H1296" s="2069"/>
      <c r="I1296"/>
      <c r="J1296"/>
      <c r="K1296"/>
    </row>
    <row r="1297" spans="2:11" x14ac:dyDescent="0.2">
      <c r="B1297" s="2069"/>
      <c r="C1297" s="2069"/>
      <c r="D1297" s="2069"/>
      <c r="E1297" s="2069"/>
      <c r="F1297" s="2069"/>
      <c r="G1297" s="2069"/>
      <c r="H1297" s="2069"/>
      <c r="I1297"/>
      <c r="J1297"/>
      <c r="K1297"/>
    </row>
    <row r="1298" spans="2:11" x14ac:dyDescent="0.2">
      <c r="B1298" s="2069"/>
      <c r="C1298" s="2069"/>
      <c r="D1298" s="2069"/>
      <c r="E1298" s="2069"/>
      <c r="F1298" s="2069"/>
      <c r="G1298" s="2069"/>
      <c r="H1298" s="2069"/>
      <c r="I1298"/>
      <c r="J1298"/>
      <c r="K1298"/>
    </row>
    <row r="1299" spans="2:11" x14ac:dyDescent="0.2">
      <c r="B1299" s="2069"/>
      <c r="C1299" s="2069"/>
      <c r="D1299" s="2069"/>
      <c r="E1299" s="2069"/>
      <c r="F1299" s="2069"/>
      <c r="G1299" s="2069"/>
      <c r="H1299" s="2069"/>
      <c r="I1299"/>
      <c r="J1299"/>
      <c r="K1299"/>
    </row>
    <row r="1300" spans="2:11" x14ac:dyDescent="0.2">
      <c r="B1300" s="2069"/>
      <c r="C1300" s="2069"/>
      <c r="D1300" s="2069"/>
      <c r="E1300" s="2069"/>
      <c r="F1300" s="2069"/>
      <c r="G1300" s="2069"/>
      <c r="H1300" s="2069"/>
      <c r="I1300"/>
      <c r="J1300"/>
      <c r="K1300"/>
    </row>
    <row r="1301" spans="2:11" x14ac:dyDescent="0.2">
      <c r="B1301" s="2069"/>
      <c r="C1301" s="2069"/>
      <c r="D1301" s="2069"/>
      <c r="E1301" s="2069"/>
      <c r="F1301" s="2069"/>
      <c r="G1301" s="2069"/>
      <c r="H1301" s="2069"/>
      <c r="I1301"/>
      <c r="J1301"/>
      <c r="K1301"/>
    </row>
    <row r="1302" spans="2:11" x14ac:dyDescent="0.2">
      <c r="B1302" s="2069"/>
      <c r="C1302" s="2069"/>
      <c r="D1302" s="2069"/>
      <c r="E1302" s="2069"/>
      <c r="F1302" s="2069"/>
      <c r="G1302" s="2069"/>
      <c r="H1302" s="2069"/>
      <c r="I1302"/>
      <c r="J1302"/>
      <c r="K1302"/>
    </row>
    <row r="1303" spans="2:11" x14ac:dyDescent="0.2">
      <c r="B1303" s="2069"/>
      <c r="C1303" s="2069"/>
      <c r="D1303" s="2069"/>
      <c r="E1303" s="2069"/>
      <c r="F1303" s="2069"/>
      <c r="G1303" s="2069"/>
      <c r="H1303" s="2069"/>
      <c r="I1303"/>
      <c r="J1303"/>
      <c r="K1303"/>
    </row>
    <row r="1304" spans="2:11" x14ac:dyDescent="0.2">
      <c r="B1304" s="2069"/>
      <c r="C1304" s="2069"/>
      <c r="D1304" s="2069"/>
      <c r="E1304" s="2069"/>
      <c r="F1304" s="2069"/>
      <c r="G1304" s="2069"/>
      <c r="H1304" s="2069"/>
      <c r="I1304"/>
      <c r="J1304"/>
      <c r="K1304"/>
    </row>
    <row r="1305" spans="2:11" x14ac:dyDescent="0.2">
      <c r="B1305" s="2069"/>
      <c r="C1305" s="2069"/>
      <c r="D1305" s="2069"/>
      <c r="E1305" s="2069"/>
      <c r="F1305" s="2069"/>
      <c r="G1305" s="2069"/>
      <c r="H1305" s="2069"/>
      <c r="I1305"/>
      <c r="J1305"/>
      <c r="K1305"/>
    </row>
    <row r="1306" spans="2:11" x14ac:dyDescent="0.2">
      <c r="B1306" s="2069"/>
      <c r="C1306" s="2069"/>
      <c r="D1306" s="2069"/>
      <c r="E1306" s="2069"/>
      <c r="F1306" s="2069"/>
      <c r="G1306" s="2069"/>
      <c r="H1306" s="2069"/>
      <c r="I1306"/>
      <c r="J1306"/>
      <c r="K1306"/>
    </row>
    <row r="1307" spans="2:11" x14ac:dyDescent="0.2">
      <c r="B1307" s="2069"/>
      <c r="C1307" s="2069"/>
      <c r="D1307" s="2069"/>
      <c r="E1307" s="2069"/>
      <c r="F1307" s="2069"/>
      <c r="G1307" s="2069"/>
      <c r="H1307" s="2069"/>
      <c r="I1307"/>
      <c r="J1307"/>
      <c r="K1307"/>
    </row>
    <row r="1308" spans="2:11" x14ac:dyDescent="0.2">
      <c r="B1308" s="2069"/>
      <c r="C1308" s="2069"/>
      <c r="D1308" s="2069"/>
      <c r="E1308" s="2069"/>
      <c r="F1308" s="2069"/>
      <c r="G1308" s="2069"/>
      <c r="H1308" s="2069"/>
      <c r="I1308"/>
      <c r="J1308"/>
      <c r="K1308"/>
    </row>
    <row r="1309" spans="2:11" x14ac:dyDescent="0.2">
      <c r="B1309" s="2069"/>
      <c r="C1309" s="2069"/>
      <c r="D1309" s="2069"/>
      <c r="E1309" s="2069"/>
      <c r="F1309" s="2069"/>
      <c r="G1309" s="2069"/>
      <c r="H1309" s="2069"/>
      <c r="I1309"/>
      <c r="J1309"/>
      <c r="K1309"/>
    </row>
    <row r="1310" spans="2:11" x14ac:dyDescent="0.2">
      <c r="B1310" s="2069"/>
      <c r="C1310" s="2069"/>
      <c r="D1310" s="2069"/>
      <c r="E1310" s="2069"/>
      <c r="F1310" s="2069"/>
      <c r="G1310" s="2069"/>
      <c r="H1310" s="2069"/>
      <c r="I1310"/>
      <c r="J1310"/>
      <c r="K1310"/>
    </row>
    <row r="1311" spans="2:11" x14ac:dyDescent="0.2">
      <c r="B1311" s="2069"/>
      <c r="C1311" s="2069"/>
      <c r="D1311" s="2069"/>
      <c r="E1311" s="2069"/>
      <c r="F1311" s="2069"/>
      <c r="G1311" s="2069"/>
      <c r="H1311" s="2069"/>
      <c r="I1311"/>
      <c r="J1311"/>
      <c r="K1311"/>
    </row>
    <row r="1312" spans="2:11" x14ac:dyDescent="0.2">
      <c r="B1312" s="2069"/>
      <c r="C1312" s="2069"/>
      <c r="D1312" s="2069"/>
      <c r="E1312" s="2069"/>
      <c r="F1312" s="2069"/>
      <c r="G1312" s="2069"/>
      <c r="H1312" s="2069"/>
      <c r="I1312"/>
      <c r="J1312"/>
      <c r="K1312"/>
    </row>
    <row r="1313" spans="2:11" x14ac:dyDescent="0.2">
      <c r="B1313" s="2069"/>
      <c r="C1313" s="2069"/>
      <c r="D1313" s="2069"/>
      <c r="E1313" s="2069"/>
      <c r="F1313" s="2069"/>
      <c r="G1313" s="2069"/>
      <c r="H1313" s="2069"/>
      <c r="I1313"/>
      <c r="J1313"/>
      <c r="K1313"/>
    </row>
    <row r="1314" spans="2:11" x14ac:dyDescent="0.2">
      <c r="B1314" s="2069"/>
      <c r="C1314" s="2069"/>
      <c r="D1314" s="2069"/>
      <c r="E1314" s="2069"/>
      <c r="F1314" s="2069"/>
      <c r="G1314" s="2069"/>
      <c r="H1314" s="2069"/>
      <c r="I1314"/>
      <c r="J1314"/>
      <c r="K1314"/>
    </row>
    <row r="1315" spans="2:11" x14ac:dyDescent="0.2">
      <c r="B1315" s="2069"/>
      <c r="C1315" s="2069"/>
      <c r="D1315" s="2069"/>
      <c r="E1315" s="2069"/>
      <c r="F1315" s="2069"/>
      <c r="G1315" s="2069"/>
      <c r="H1315" s="2069"/>
      <c r="I1315"/>
      <c r="J1315"/>
      <c r="K1315"/>
    </row>
    <row r="1316" spans="2:11" x14ac:dyDescent="0.2">
      <c r="B1316" s="2069"/>
      <c r="C1316" s="2069"/>
      <c r="D1316" s="2069"/>
      <c r="E1316" s="2069"/>
      <c r="F1316" s="2069"/>
      <c r="G1316" s="2069"/>
      <c r="H1316" s="2069"/>
      <c r="I1316"/>
      <c r="J1316"/>
      <c r="K1316"/>
    </row>
    <row r="1317" spans="2:11" x14ac:dyDescent="0.2">
      <c r="B1317" s="2069"/>
      <c r="C1317" s="2069"/>
      <c r="D1317" s="2069"/>
      <c r="E1317" s="2069"/>
      <c r="F1317" s="2069"/>
      <c r="G1317" s="2069"/>
      <c r="H1317" s="2069"/>
      <c r="I1317"/>
      <c r="J1317"/>
      <c r="K1317"/>
    </row>
    <row r="1318" spans="2:11" x14ac:dyDescent="0.2">
      <c r="B1318" s="2069"/>
      <c r="C1318" s="2069"/>
      <c r="D1318" s="2069"/>
      <c r="E1318" s="2069"/>
      <c r="F1318" s="2069"/>
      <c r="G1318" s="2069"/>
      <c r="H1318" s="2069"/>
      <c r="I1318"/>
      <c r="J1318"/>
      <c r="K1318"/>
    </row>
    <row r="1319" spans="2:11" x14ac:dyDescent="0.2">
      <c r="B1319" s="2069"/>
      <c r="C1319" s="2069"/>
      <c r="D1319" s="2069"/>
      <c r="E1319" s="2069"/>
      <c r="F1319" s="2069"/>
      <c r="G1319" s="2069"/>
      <c r="H1319" s="2069"/>
      <c r="I1319"/>
      <c r="J1319"/>
      <c r="K1319"/>
    </row>
    <row r="1320" spans="2:11" x14ac:dyDescent="0.2">
      <c r="B1320" s="2069"/>
      <c r="C1320" s="2069"/>
      <c r="D1320" s="2069"/>
      <c r="E1320" s="2069"/>
      <c r="F1320" s="2069"/>
      <c r="G1320" s="2069"/>
      <c r="H1320" s="2069"/>
      <c r="I1320"/>
      <c r="J1320"/>
      <c r="K1320"/>
    </row>
    <row r="1321" spans="2:11" x14ac:dyDescent="0.2">
      <c r="B1321" s="2069"/>
      <c r="C1321" s="2069"/>
      <c r="D1321" s="2069"/>
      <c r="E1321" s="2069"/>
      <c r="F1321" s="2069"/>
      <c r="G1321" s="2069"/>
      <c r="H1321" s="2069"/>
      <c r="I1321"/>
      <c r="J1321"/>
      <c r="K1321"/>
    </row>
    <row r="1322" spans="2:11" x14ac:dyDescent="0.2">
      <c r="B1322" s="2069"/>
      <c r="C1322" s="2069"/>
      <c r="D1322" s="2069"/>
      <c r="E1322" s="2069"/>
      <c r="F1322" s="2069"/>
      <c r="G1322" s="2069"/>
      <c r="H1322" s="2069"/>
      <c r="I1322"/>
      <c r="J1322"/>
      <c r="K1322"/>
    </row>
    <row r="1323" spans="2:11" x14ac:dyDescent="0.2">
      <c r="B1323" s="2069"/>
      <c r="C1323" s="2069"/>
      <c r="D1323" s="2069"/>
      <c r="E1323" s="2069"/>
      <c r="F1323" s="2069"/>
      <c r="G1323" s="2069"/>
      <c r="H1323" s="2069"/>
      <c r="I1323"/>
      <c r="J1323"/>
      <c r="K1323"/>
    </row>
    <row r="1324" spans="2:11" x14ac:dyDescent="0.2">
      <c r="B1324" s="2069"/>
      <c r="C1324" s="2069"/>
      <c r="D1324" s="2069"/>
      <c r="E1324" s="2069"/>
      <c r="F1324" s="2069"/>
      <c r="G1324" s="2069"/>
      <c r="H1324" s="2069"/>
      <c r="I1324"/>
      <c r="J1324"/>
      <c r="K1324"/>
    </row>
    <row r="1325" spans="2:11" x14ac:dyDescent="0.2">
      <c r="B1325" s="2069"/>
      <c r="C1325" s="2069"/>
      <c r="D1325" s="2069"/>
      <c r="E1325" s="2069"/>
      <c r="F1325" s="2069"/>
      <c r="G1325" s="2069"/>
      <c r="H1325" s="2069"/>
      <c r="I1325"/>
      <c r="J1325"/>
      <c r="K1325"/>
    </row>
    <row r="1326" spans="2:11" x14ac:dyDescent="0.2">
      <c r="B1326" s="2069"/>
      <c r="C1326" s="2069"/>
      <c r="D1326" s="2069"/>
      <c r="E1326" s="2069"/>
      <c r="F1326" s="2069"/>
      <c r="G1326" s="2069"/>
      <c r="H1326" s="2069"/>
      <c r="I1326"/>
      <c r="J1326"/>
      <c r="K1326"/>
    </row>
    <row r="1327" spans="2:11" x14ac:dyDescent="0.2">
      <c r="B1327" s="2069"/>
      <c r="C1327" s="2069"/>
      <c r="D1327" s="2069"/>
      <c r="E1327" s="2069"/>
      <c r="F1327" s="2069"/>
      <c r="G1327" s="2069"/>
      <c r="H1327" s="2069"/>
      <c r="I1327"/>
      <c r="J1327"/>
      <c r="K1327"/>
    </row>
    <row r="1328" spans="2:11" x14ac:dyDescent="0.2">
      <c r="B1328" s="2069"/>
      <c r="C1328" s="2069"/>
      <c r="D1328" s="2069"/>
      <c r="E1328" s="2069"/>
      <c r="F1328" s="2069"/>
      <c r="G1328" s="2069"/>
      <c r="H1328" s="2069"/>
      <c r="I1328"/>
      <c r="J1328"/>
      <c r="K1328"/>
    </row>
    <row r="1329" spans="2:11" x14ac:dyDescent="0.2">
      <c r="B1329" s="2069"/>
      <c r="C1329" s="2069"/>
      <c r="D1329" s="2069"/>
      <c r="E1329" s="2069"/>
      <c r="F1329" s="2069"/>
      <c r="G1329" s="2069"/>
      <c r="H1329" s="2069"/>
      <c r="I1329"/>
      <c r="J1329"/>
      <c r="K1329"/>
    </row>
    <row r="1330" spans="2:11" x14ac:dyDescent="0.2">
      <c r="B1330" s="2069"/>
      <c r="C1330" s="2069"/>
      <c r="D1330" s="2069"/>
      <c r="E1330" s="2069"/>
      <c r="F1330" s="2069"/>
      <c r="G1330" s="2069"/>
      <c r="H1330" s="2069"/>
      <c r="I1330"/>
      <c r="J1330"/>
      <c r="K1330"/>
    </row>
    <row r="1331" spans="2:11" x14ac:dyDescent="0.2">
      <c r="B1331" s="2069"/>
      <c r="C1331" s="2069"/>
      <c r="D1331" s="2069"/>
      <c r="E1331" s="2069"/>
      <c r="F1331" s="2069"/>
      <c r="G1331" s="2069"/>
      <c r="H1331" s="2069"/>
      <c r="I1331"/>
      <c r="J1331"/>
      <c r="K1331"/>
    </row>
    <row r="1332" spans="2:11" x14ac:dyDescent="0.2">
      <c r="B1332" s="2069"/>
      <c r="C1332" s="2069"/>
      <c r="D1332" s="2069"/>
      <c r="E1332" s="2069"/>
      <c r="F1332" s="2069"/>
      <c r="G1332" s="2069"/>
      <c r="H1332" s="2069"/>
      <c r="I1332"/>
      <c r="J1332"/>
      <c r="K1332"/>
    </row>
    <row r="1333" spans="2:11" x14ac:dyDescent="0.2">
      <c r="B1333" s="2069"/>
      <c r="C1333" s="2069"/>
      <c r="D1333" s="2069"/>
      <c r="E1333" s="2069"/>
      <c r="F1333" s="2069"/>
      <c r="G1333" s="2069"/>
      <c r="H1333" s="2069"/>
      <c r="I1333"/>
      <c r="J1333"/>
      <c r="K1333"/>
    </row>
    <row r="1334" spans="2:11" x14ac:dyDescent="0.2">
      <c r="B1334" s="2069"/>
      <c r="C1334" s="2069"/>
      <c r="D1334" s="2069"/>
      <c r="E1334" s="2069"/>
      <c r="F1334" s="2069"/>
      <c r="G1334" s="2069"/>
      <c r="H1334" s="2069"/>
      <c r="I1334"/>
      <c r="J1334"/>
      <c r="K1334"/>
    </row>
    <row r="1335" spans="2:11" x14ac:dyDescent="0.2">
      <c r="B1335" s="2069"/>
      <c r="C1335" s="2069"/>
      <c r="D1335" s="2069"/>
      <c r="E1335" s="2069"/>
      <c r="F1335" s="2069"/>
      <c r="G1335" s="2069"/>
      <c r="H1335" s="2069"/>
      <c r="I1335"/>
      <c r="J1335"/>
      <c r="K1335"/>
    </row>
    <row r="1336" spans="2:11" x14ac:dyDescent="0.2">
      <c r="B1336" s="2069"/>
      <c r="C1336" s="2069"/>
      <c r="D1336" s="2069"/>
      <c r="E1336" s="2069"/>
      <c r="F1336" s="2069"/>
      <c r="G1336" s="2069"/>
      <c r="H1336" s="2069"/>
      <c r="I1336"/>
      <c r="J1336"/>
      <c r="K1336"/>
    </row>
    <row r="1337" spans="2:11" x14ac:dyDescent="0.2">
      <c r="B1337" s="2069"/>
      <c r="C1337" s="2069"/>
      <c r="D1337" s="2069"/>
      <c r="E1337" s="2069"/>
      <c r="F1337" s="2069"/>
      <c r="G1337" s="2069"/>
      <c r="H1337" s="2069"/>
      <c r="I1337"/>
      <c r="J1337"/>
      <c r="K1337"/>
    </row>
    <row r="1338" spans="2:11" x14ac:dyDescent="0.2">
      <c r="B1338" s="2069"/>
      <c r="C1338" s="2069"/>
      <c r="D1338" s="2069"/>
      <c r="E1338" s="2069"/>
      <c r="F1338" s="2069"/>
      <c r="G1338" s="2069"/>
      <c r="H1338" s="2069"/>
      <c r="I1338"/>
      <c r="J1338"/>
      <c r="K1338"/>
    </row>
    <row r="1339" spans="2:11" x14ac:dyDescent="0.2">
      <c r="B1339" s="2069"/>
      <c r="C1339" s="2069"/>
      <c r="D1339" s="2069"/>
      <c r="E1339" s="2069"/>
      <c r="F1339" s="2069"/>
      <c r="G1339" s="2069"/>
      <c r="H1339" s="2069"/>
      <c r="I1339"/>
      <c r="J1339"/>
      <c r="K1339"/>
    </row>
    <row r="1340" spans="2:11" x14ac:dyDescent="0.2">
      <c r="B1340" s="2069"/>
      <c r="C1340" s="2069"/>
      <c r="D1340" s="2069"/>
      <c r="E1340" s="2069"/>
      <c r="F1340" s="2069"/>
      <c r="G1340" s="2069"/>
      <c r="H1340" s="2069"/>
      <c r="I1340"/>
      <c r="J1340"/>
      <c r="K1340"/>
    </row>
    <row r="1341" spans="2:11" x14ac:dyDescent="0.2">
      <c r="B1341" s="2069"/>
      <c r="C1341" s="2069"/>
      <c r="D1341" s="2069"/>
      <c r="E1341" s="2069"/>
      <c r="F1341" s="2069"/>
      <c r="G1341" s="2069"/>
      <c r="H1341" s="2069"/>
      <c r="I1341"/>
      <c r="J1341"/>
      <c r="K1341"/>
    </row>
    <row r="1342" spans="2:11" x14ac:dyDescent="0.2">
      <c r="B1342" s="2069"/>
      <c r="C1342" s="2069"/>
      <c r="D1342" s="2069"/>
      <c r="E1342" s="2069"/>
      <c r="F1342" s="2069"/>
      <c r="G1342" s="2069"/>
      <c r="H1342" s="2069"/>
      <c r="I1342"/>
      <c r="J1342"/>
      <c r="K1342"/>
    </row>
    <row r="1343" spans="2:11" x14ac:dyDescent="0.2">
      <c r="B1343" s="2069"/>
      <c r="C1343" s="2069"/>
      <c r="D1343" s="2069"/>
      <c r="E1343" s="2069"/>
      <c r="F1343" s="2069"/>
      <c r="G1343" s="2069"/>
      <c r="H1343" s="2069"/>
      <c r="I1343"/>
      <c r="J1343"/>
      <c r="K1343"/>
    </row>
    <row r="1344" spans="2:11" x14ac:dyDescent="0.2">
      <c r="B1344" s="2069"/>
      <c r="C1344" s="2069"/>
      <c r="D1344" s="2069"/>
      <c r="E1344" s="2069"/>
      <c r="F1344" s="2069"/>
      <c r="G1344" s="2069"/>
      <c r="H1344" s="2069"/>
      <c r="I1344"/>
      <c r="J1344"/>
      <c r="K1344"/>
    </row>
    <row r="1345" spans="2:11" x14ac:dyDescent="0.2">
      <c r="B1345" s="2069"/>
      <c r="C1345" s="2069"/>
      <c r="D1345" s="2069"/>
      <c r="E1345" s="2069"/>
      <c r="F1345" s="2069"/>
      <c r="G1345" s="2069"/>
      <c r="H1345" s="2069"/>
      <c r="I1345"/>
      <c r="J1345"/>
      <c r="K1345"/>
    </row>
    <row r="1346" spans="2:11" x14ac:dyDescent="0.2">
      <c r="B1346" s="2069"/>
      <c r="C1346" s="2069"/>
      <c r="D1346" s="2069"/>
      <c r="E1346" s="2069"/>
      <c r="F1346" s="2069"/>
      <c r="G1346" s="2069"/>
      <c r="H1346" s="2069"/>
      <c r="I1346"/>
      <c r="J1346"/>
      <c r="K1346"/>
    </row>
    <row r="1347" spans="2:11" x14ac:dyDescent="0.2">
      <c r="B1347" s="2069"/>
      <c r="C1347" s="2069"/>
      <c r="D1347" s="2069"/>
      <c r="E1347" s="2069"/>
      <c r="F1347" s="2069"/>
      <c r="G1347" s="2069"/>
      <c r="H1347" s="2069"/>
      <c r="I1347"/>
      <c r="J1347"/>
      <c r="K1347"/>
    </row>
    <row r="1348" spans="2:11" x14ac:dyDescent="0.2">
      <c r="B1348" s="2069"/>
      <c r="C1348" s="2069"/>
      <c r="D1348" s="2069"/>
      <c r="E1348" s="2069"/>
      <c r="F1348" s="2069"/>
      <c r="G1348" s="2069"/>
      <c r="H1348" s="2069"/>
      <c r="I1348"/>
      <c r="J1348"/>
      <c r="K1348"/>
    </row>
    <row r="1349" spans="2:11" x14ac:dyDescent="0.2">
      <c r="B1349" s="2069"/>
      <c r="C1349" s="2069"/>
      <c r="D1349" s="2069"/>
      <c r="E1349" s="2069"/>
      <c r="F1349" s="2069"/>
      <c r="G1349" s="2069"/>
      <c r="H1349" s="2069"/>
      <c r="I1349"/>
      <c r="J1349"/>
      <c r="K1349"/>
    </row>
    <row r="1350" spans="2:11" x14ac:dyDescent="0.2">
      <c r="B1350" s="2069"/>
      <c r="C1350" s="2069"/>
      <c r="D1350" s="2069"/>
      <c r="E1350" s="2069"/>
      <c r="F1350" s="2069"/>
      <c r="G1350" s="2069"/>
      <c r="H1350" s="2069"/>
      <c r="I1350"/>
      <c r="J1350"/>
      <c r="K1350"/>
    </row>
    <row r="1351" spans="2:11" x14ac:dyDescent="0.2">
      <c r="B1351" s="2069"/>
      <c r="C1351" s="2069"/>
      <c r="D1351" s="2069"/>
      <c r="E1351" s="2069"/>
      <c r="F1351" s="2069"/>
      <c r="G1351" s="2069"/>
      <c r="H1351" s="2069"/>
      <c r="I1351"/>
      <c r="J1351"/>
      <c r="K1351"/>
    </row>
    <row r="1352" spans="2:11" x14ac:dyDescent="0.2">
      <c r="B1352" s="2069"/>
      <c r="C1352" s="2069"/>
      <c r="D1352" s="2069"/>
      <c r="E1352" s="2069"/>
      <c r="F1352" s="2069"/>
      <c r="G1352" s="2069"/>
      <c r="H1352" s="2069"/>
      <c r="I1352"/>
      <c r="J1352"/>
      <c r="K1352"/>
    </row>
    <row r="1353" spans="2:11" x14ac:dyDescent="0.2">
      <c r="B1353" s="2069"/>
      <c r="C1353" s="2069"/>
      <c r="D1353" s="2069"/>
      <c r="E1353" s="2069"/>
      <c r="F1353" s="2069"/>
      <c r="G1353" s="2069"/>
      <c r="H1353" s="2069"/>
      <c r="I1353"/>
      <c r="J1353"/>
      <c r="K1353"/>
    </row>
    <row r="1354" spans="2:11" x14ac:dyDescent="0.2">
      <c r="B1354" s="2069"/>
      <c r="C1354" s="2069"/>
      <c r="D1354" s="2069"/>
      <c r="E1354" s="2069"/>
      <c r="F1354" s="2069"/>
      <c r="G1354" s="2069"/>
      <c r="H1354" s="2069"/>
      <c r="I1354"/>
      <c r="J1354"/>
      <c r="K1354"/>
    </row>
    <row r="1355" spans="2:11" x14ac:dyDescent="0.2">
      <c r="B1355" s="2069"/>
      <c r="C1355" s="2069"/>
      <c r="D1355" s="2069"/>
      <c r="E1355" s="2069"/>
      <c r="F1355" s="2069"/>
      <c r="G1355" s="2069"/>
      <c r="H1355" s="2069"/>
      <c r="I1355"/>
      <c r="J1355"/>
      <c r="K1355"/>
    </row>
    <row r="1356" spans="2:11" x14ac:dyDescent="0.2">
      <c r="B1356" s="2069"/>
      <c r="C1356" s="2069"/>
      <c r="D1356" s="2069"/>
      <c r="E1356" s="2069"/>
      <c r="F1356" s="2069"/>
      <c r="G1356" s="2069"/>
      <c r="H1356" s="2069"/>
      <c r="I1356"/>
      <c r="J1356"/>
      <c r="K1356"/>
    </row>
    <row r="1357" spans="2:11" x14ac:dyDescent="0.2">
      <c r="B1357" s="2069"/>
      <c r="C1357" s="2069"/>
      <c r="D1357" s="2069"/>
      <c r="E1357" s="2069"/>
      <c r="F1357" s="2069"/>
      <c r="G1357" s="2069"/>
      <c r="H1357" s="2069"/>
      <c r="I1357"/>
      <c r="J1357"/>
      <c r="K1357"/>
    </row>
    <row r="1358" spans="2:11" x14ac:dyDescent="0.2">
      <c r="B1358" s="2069"/>
      <c r="C1358" s="2069"/>
      <c r="D1358" s="2069"/>
      <c r="E1358" s="2069"/>
      <c r="F1358" s="2069"/>
      <c r="G1358" s="2069"/>
      <c r="H1358" s="2069"/>
      <c r="I1358"/>
      <c r="J1358"/>
      <c r="K1358"/>
    </row>
    <row r="1359" spans="2:11" x14ac:dyDescent="0.2">
      <c r="B1359" s="2069"/>
      <c r="C1359" s="2069"/>
      <c r="D1359" s="2069"/>
      <c r="E1359" s="2069"/>
      <c r="F1359" s="2069"/>
      <c r="G1359" s="2069"/>
      <c r="H1359" s="2069"/>
      <c r="I1359"/>
      <c r="J1359"/>
      <c r="K1359"/>
    </row>
    <row r="1360" spans="2:11" x14ac:dyDescent="0.2">
      <c r="B1360" s="2069"/>
      <c r="C1360" s="2069"/>
      <c r="D1360" s="2069"/>
      <c r="E1360" s="2069"/>
      <c r="F1360" s="2069"/>
      <c r="G1360" s="2069"/>
      <c r="H1360" s="2069"/>
      <c r="I1360"/>
      <c r="J1360"/>
      <c r="K1360"/>
    </row>
    <row r="1361" spans="2:11" x14ac:dyDescent="0.2">
      <c r="B1361" s="2069"/>
      <c r="C1361" s="2069"/>
      <c r="D1361" s="2069"/>
      <c r="E1361" s="2069"/>
      <c r="F1361" s="2069"/>
      <c r="G1361" s="2069"/>
      <c r="H1361" s="2069"/>
      <c r="I1361"/>
      <c r="J1361"/>
      <c r="K1361"/>
    </row>
    <row r="1362" spans="2:11" x14ac:dyDescent="0.2">
      <c r="B1362" s="2069"/>
      <c r="C1362" s="2069"/>
      <c r="D1362" s="2069"/>
      <c r="E1362" s="2069"/>
      <c r="F1362" s="2069"/>
      <c r="G1362" s="2069"/>
      <c r="H1362" s="2069"/>
      <c r="I1362"/>
      <c r="J1362"/>
      <c r="K1362"/>
    </row>
    <row r="1363" spans="2:11" x14ac:dyDescent="0.2">
      <c r="B1363" s="2069"/>
      <c r="C1363" s="2069"/>
      <c r="D1363" s="2069"/>
      <c r="E1363" s="2069"/>
      <c r="F1363" s="2069"/>
      <c r="G1363" s="2069"/>
      <c r="H1363" s="2069"/>
      <c r="I1363"/>
      <c r="J1363"/>
      <c r="K1363"/>
    </row>
    <row r="1364" spans="2:11" x14ac:dyDescent="0.2">
      <c r="B1364" s="2069"/>
      <c r="C1364" s="2069"/>
      <c r="D1364" s="2069"/>
      <c r="E1364" s="2069"/>
      <c r="F1364" s="2069"/>
      <c r="G1364" s="2069"/>
      <c r="H1364" s="2069"/>
      <c r="I1364"/>
      <c r="J1364"/>
      <c r="K1364"/>
    </row>
    <row r="1365" spans="2:11" x14ac:dyDescent="0.2">
      <c r="B1365" s="2069"/>
      <c r="C1365" s="2069"/>
      <c r="D1365" s="2069"/>
      <c r="E1365" s="2069"/>
      <c r="F1365" s="2069"/>
      <c r="G1365" s="2069"/>
      <c r="H1365" s="2069"/>
      <c r="I1365"/>
      <c r="J1365"/>
      <c r="K1365"/>
    </row>
    <row r="1366" spans="2:11" x14ac:dyDescent="0.2">
      <c r="B1366" s="2069"/>
      <c r="C1366" s="2069"/>
      <c r="D1366" s="2069"/>
      <c r="E1366" s="2069"/>
      <c r="F1366" s="2069"/>
      <c r="G1366" s="2069"/>
      <c r="H1366" s="2069"/>
      <c r="I1366"/>
      <c r="J1366"/>
      <c r="K1366"/>
    </row>
    <row r="1367" spans="2:11" x14ac:dyDescent="0.2">
      <c r="B1367" s="2069"/>
      <c r="C1367" s="2069"/>
      <c r="D1367" s="2069"/>
      <c r="E1367" s="2069"/>
      <c r="F1367" s="2069"/>
      <c r="G1367" s="2069"/>
      <c r="H1367" s="2069"/>
      <c r="I1367"/>
      <c r="J1367"/>
      <c r="K1367"/>
    </row>
    <row r="1368" spans="2:11" x14ac:dyDescent="0.2">
      <c r="B1368" s="2069"/>
      <c r="C1368" s="2069"/>
      <c r="D1368" s="2069"/>
      <c r="E1368" s="2069"/>
      <c r="F1368" s="2069"/>
      <c r="G1368" s="2069"/>
      <c r="H1368" s="2069"/>
      <c r="I1368"/>
      <c r="J1368"/>
      <c r="K1368"/>
    </row>
    <row r="1369" spans="2:11" x14ac:dyDescent="0.2">
      <c r="B1369" s="2069"/>
      <c r="C1369" s="2069"/>
      <c r="D1369" s="2069"/>
      <c r="E1369" s="2069"/>
      <c r="F1369" s="2069"/>
      <c r="G1369" s="2069"/>
      <c r="H1369" s="2069"/>
      <c r="I1369"/>
      <c r="J1369"/>
      <c r="K1369"/>
    </row>
    <row r="1370" spans="2:11" x14ac:dyDescent="0.2">
      <c r="B1370" s="2069"/>
      <c r="C1370" s="2069"/>
      <c r="D1370" s="2069"/>
      <c r="E1370" s="2069"/>
      <c r="F1370" s="2069"/>
      <c r="G1370" s="2069"/>
      <c r="H1370" s="2069"/>
      <c r="I1370"/>
      <c r="J1370"/>
      <c r="K1370"/>
    </row>
    <row r="1371" spans="2:11" x14ac:dyDescent="0.2">
      <c r="B1371" s="2069"/>
      <c r="C1371" s="2069"/>
      <c r="D1371" s="2069"/>
      <c r="E1371" s="2069"/>
      <c r="F1371" s="2069"/>
      <c r="G1371" s="2069"/>
      <c r="H1371" s="2069"/>
      <c r="I1371"/>
      <c r="J1371"/>
      <c r="K1371"/>
    </row>
    <row r="1372" spans="2:11" x14ac:dyDescent="0.2">
      <c r="B1372" s="2069"/>
      <c r="C1372" s="2069"/>
      <c r="D1372" s="2069"/>
      <c r="E1372" s="2069"/>
      <c r="F1372" s="2069"/>
      <c r="G1372" s="2069"/>
      <c r="H1372" s="2069"/>
      <c r="I1372"/>
      <c r="J1372"/>
      <c r="K1372"/>
    </row>
    <row r="1373" spans="2:11" x14ac:dyDescent="0.2">
      <c r="B1373" s="2069"/>
      <c r="C1373" s="2069"/>
      <c r="D1373" s="2069"/>
      <c r="E1373" s="2069"/>
      <c r="F1373" s="2069"/>
      <c r="G1373" s="2069"/>
      <c r="H1373" s="2069"/>
      <c r="I1373"/>
      <c r="J1373"/>
      <c r="K1373"/>
    </row>
    <row r="1374" spans="2:11" x14ac:dyDescent="0.2">
      <c r="B1374" s="2069"/>
      <c r="C1374" s="2069"/>
      <c r="D1374" s="2069"/>
      <c r="E1374" s="2069"/>
      <c r="F1374" s="2069"/>
      <c r="G1374" s="2069"/>
      <c r="H1374" s="2069"/>
      <c r="I1374"/>
      <c r="J1374"/>
      <c r="K1374"/>
    </row>
    <row r="1375" spans="2:11" x14ac:dyDescent="0.2">
      <c r="B1375" s="2069"/>
      <c r="C1375" s="2069"/>
      <c r="D1375" s="2069"/>
      <c r="E1375" s="2069"/>
      <c r="F1375" s="2069"/>
      <c r="G1375" s="2069"/>
      <c r="H1375" s="2069"/>
      <c r="I1375"/>
      <c r="J1375"/>
      <c r="K1375"/>
    </row>
    <row r="1376" spans="2:11" x14ac:dyDescent="0.2">
      <c r="B1376" s="2069"/>
      <c r="C1376" s="2069"/>
      <c r="D1376" s="2069"/>
      <c r="E1376" s="2069"/>
      <c r="F1376" s="2069"/>
      <c r="G1376" s="2069"/>
      <c r="H1376" s="2069"/>
      <c r="I1376"/>
      <c r="J1376"/>
      <c r="K1376"/>
    </row>
    <row r="1377" spans="2:11" x14ac:dyDescent="0.2">
      <c r="B1377" s="2069"/>
      <c r="C1377" s="2069"/>
      <c r="D1377" s="2069"/>
      <c r="E1377" s="2069"/>
      <c r="F1377" s="2069"/>
      <c r="G1377" s="2069"/>
      <c r="H1377" s="2069"/>
      <c r="I1377"/>
      <c r="J1377"/>
      <c r="K1377"/>
    </row>
    <row r="1378" spans="2:11" x14ac:dyDescent="0.2">
      <c r="B1378" s="2069"/>
      <c r="C1378" s="2069"/>
      <c r="D1378" s="2069"/>
      <c r="E1378" s="2069"/>
      <c r="F1378" s="2069"/>
      <c r="G1378" s="2069"/>
      <c r="H1378" s="2069"/>
      <c r="I1378"/>
      <c r="J1378"/>
      <c r="K1378"/>
    </row>
    <row r="1379" spans="2:11" x14ac:dyDescent="0.2">
      <c r="B1379" s="2069"/>
      <c r="C1379" s="2069"/>
      <c r="D1379" s="2069"/>
      <c r="E1379" s="2069"/>
      <c r="F1379" s="2069"/>
      <c r="G1379" s="2069"/>
      <c r="H1379" s="2069"/>
      <c r="I1379"/>
      <c r="J1379"/>
      <c r="K1379"/>
    </row>
    <row r="1380" spans="2:11" x14ac:dyDescent="0.2">
      <c r="B1380" s="2069"/>
      <c r="C1380" s="2069"/>
      <c r="D1380" s="2069"/>
      <c r="E1380" s="2069"/>
      <c r="F1380" s="2069"/>
      <c r="G1380" s="2069"/>
      <c r="H1380" s="2069"/>
      <c r="I1380"/>
      <c r="J1380"/>
      <c r="K1380"/>
    </row>
    <row r="1381" spans="2:11" x14ac:dyDescent="0.2">
      <c r="B1381" s="2069"/>
      <c r="C1381" s="2069"/>
      <c r="D1381" s="2069"/>
      <c r="E1381" s="2069"/>
      <c r="F1381" s="2069"/>
      <c r="G1381" s="2069"/>
      <c r="H1381" s="2069"/>
      <c r="I1381"/>
      <c r="J1381"/>
      <c r="K1381"/>
    </row>
    <row r="1382" spans="2:11" x14ac:dyDescent="0.2">
      <c r="B1382" s="2069"/>
      <c r="C1382" s="2069"/>
      <c r="D1382" s="2069"/>
      <c r="E1382" s="2069"/>
      <c r="F1382" s="2069"/>
      <c r="G1382" s="2069"/>
      <c r="H1382" s="2069"/>
      <c r="I1382"/>
      <c r="J1382"/>
      <c r="K1382"/>
    </row>
    <row r="1383" spans="2:11" x14ac:dyDescent="0.2">
      <c r="B1383" s="2069"/>
      <c r="C1383" s="2069"/>
      <c r="D1383" s="2069"/>
      <c r="E1383" s="2069"/>
      <c r="F1383" s="2069"/>
      <c r="G1383" s="2069"/>
      <c r="H1383" s="2069"/>
      <c r="I1383"/>
      <c r="J1383"/>
      <c r="K1383"/>
    </row>
    <row r="1384" spans="2:11" x14ac:dyDescent="0.2">
      <c r="B1384" s="2069"/>
      <c r="C1384" s="2069"/>
      <c r="D1384" s="2069"/>
      <c r="E1384" s="2069"/>
      <c r="F1384" s="2069"/>
      <c r="G1384" s="2069"/>
      <c r="H1384" s="2069"/>
      <c r="I1384"/>
      <c r="J1384"/>
      <c r="K1384"/>
    </row>
    <row r="1385" spans="2:11" x14ac:dyDescent="0.2">
      <c r="B1385" s="2069"/>
      <c r="C1385" s="2069"/>
      <c r="D1385" s="2069"/>
      <c r="E1385" s="2069"/>
      <c r="F1385" s="2069"/>
      <c r="G1385" s="2069"/>
      <c r="H1385" s="2069"/>
      <c r="I1385"/>
      <c r="J1385"/>
      <c r="K1385"/>
    </row>
    <row r="1386" spans="2:11" x14ac:dyDescent="0.2">
      <c r="B1386" s="2069"/>
      <c r="C1386" s="2069"/>
      <c r="D1386" s="2069"/>
      <c r="E1386" s="2069"/>
      <c r="F1386" s="2069"/>
      <c r="G1386" s="2069"/>
      <c r="H1386" s="2069"/>
      <c r="I1386"/>
      <c r="J1386"/>
      <c r="K1386"/>
    </row>
    <row r="1387" spans="2:11" x14ac:dyDescent="0.2">
      <c r="B1387" s="2069"/>
      <c r="C1387" s="2069"/>
      <c r="D1387" s="2069"/>
      <c r="E1387" s="2069"/>
      <c r="F1387" s="2069"/>
      <c r="G1387" s="2069"/>
      <c r="H1387" s="2069"/>
      <c r="I1387"/>
      <c r="J1387"/>
      <c r="K1387"/>
    </row>
    <row r="1388" spans="2:11" x14ac:dyDescent="0.2">
      <c r="B1388" s="2069"/>
      <c r="C1388" s="2069"/>
      <c r="D1388" s="2069"/>
      <c r="E1388" s="2069"/>
      <c r="F1388" s="2069"/>
      <c r="G1388" s="2069"/>
      <c r="H1388" s="2069"/>
      <c r="I1388"/>
      <c r="J1388"/>
      <c r="K1388"/>
    </row>
    <row r="1389" spans="2:11" x14ac:dyDescent="0.2">
      <c r="B1389" s="2069"/>
      <c r="C1389" s="2069"/>
      <c r="D1389" s="2069"/>
      <c r="E1389" s="2069"/>
      <c r="F1389" s="2069"/>
      <c r="G1389" s="2069"/>
      <c r="H1389" s="2069"/>
      <c r="I1389"/>
      <c r="J1389"/>
      <c r="K1389"/>
    </row>
    <row r="1390" spans="2:11" x14ac:dyDescent="0.2">
      <c r="B1390" s="2069"/>
      <c r="C1390" s="2069"/>
      <c r="D1390" s="2069"/>
      <c r="E1390" s="2069"/>
      <c r="F1390" s="2069"/>
      <c r="G1390" s="2069"/>
      <c r="H1390" s="2069"/>
      <c r="I1390"/>
      <c r="J1390"/>
      <c r="K1390"/>
    </row>
    <row r="1391" spans="2:11" x14ac:dyDescent="0.2">
      <c r="B1391" s="2069"/>
      <c r="C1391" s="2069"/>
      <c r="D1391" s="2069"/>
      <c r="E1391" s="2069"/>
      <c r="F1391" s="2069"/>
      <c r="G1391" s="2069"/>
      <c r="H1391" s="2069"/>
      <c r="I1391"/>
      <c r="J1391"/>
      <c r="K1391"/>
    </row>
    <row r="1392" spans="2:11" x14ac:dyDescent="0.2">
      <c r="B1392" s="2069"/>
      <c r="C1392" s="2069"/>
      <c r="D1392" s="2069"/>
      <c r="E1392" s="2069"/>
      <c r="F1392" s="2069"/>
      <c r="G1392" s="2069"/>
      <c r="H1392" s="2069"/>
      <c r="I1392"/>
      <c r="J1392"/>
      <c r="K1392"/>
    </row>
    <row r="1393" spans="2:11" x14ac:dyDescent="0.2">
      <c r="B1393" s="2069"/>
      <c r="C1393" s="2069"/>
      <c r="D1393" s="2069"/>
      <c r="E1393" s="2069"/>
      <c r="F1393" s="2069"/>
      <c r="G1393" s="2069"/>
      <c r="H1393" s="2069"/>
      <c r="I1393"/>
      <c r="J1393"/>
      <c r="K1393"/>
    </row>
    <row r="1394" spans="2:11" x14ac:dyDescent="0.2">
      <c r="B1394" s="2069"/>
      <c r="C1394" s="2069"/>
      <c r="D1394" s="2069"/>
      <c r="E1394" s="2069"/>
      <c r="F1394" s="2069"/>
      <c r="G1394" s="2069"/>
      <c r="H1394" s="2069"/>
      <c r="I1394"/>
      <c r="J1394"/>
      <c r="K1394"/>
    </row>
    <row r="1395" spans="2:11" x14ac:dyDescent="0.2">
      <c r="B1395" s="2069"/>
      <c r="C1395" s="2069"/>
      <c r="D1395" s="2069"/>
      <c r="E1395" s="2069"/>
      <c r="F1395" s="2069"/>
      <c r="G1395" s="2069"/>
      <c r="H1395" s="2069"/>
      <c r="I1395"/>
      <c r="J1395"/>
      <c r="K1395"/>
    </row>
    <row r="1396" spans="2:11" x14ac:dyDescent="0.2">
      <c r="B1396" s="2069"/>
      <c r="C1396" s="2069"/>
      <c r="D1396" s="2069"/>
      <c r="E1396" s="2069"/>
      <c r="F1396" s="2069"/>
      <c r="G1396" s="2069"/>
      <c r="H1396" s="2069"/>
      <c r="I1396"/>
      <c r="J1396"/>
      <c r="K1396"/>
    </row>
    <row r="1397" spans="2:11" x14ac:dyDescent="0.2">
      <c r="B1397" s="2069"/>
      <c r="C1397" s="2069"/>
      <c r="D1397" s="2069"/>
      <c r="E1397" s="2069"/>
      <c r="F1397" s="2069"/>
      <c r="G1397" s="2069"/>
      <c r="H1397" s="2069"/>
      <c r="I1397"/>
      <c r="J1397"/>
      <c r="K1397"/>
    </row>
    <row r="1398" spans="2:11" x14ac:dyDescent="0.2">
      <c r="B1398" s="2069"/>
      <c r="C1398" s="2069"/>
      <c r="D1398" s="2069"/>
      <c r="E1398" s="2069"/>
      <c r="F1398" s="2069"/>
      <c r="G1398" s="2069"/>
      <c r="H1398" s="2069"/>
      <c r="I1398"/>
      <c r="J1398"/>
      <c r="K1398"/>
    </row>
    <row r="1399" spans="2:11" x14ac:dyDescent="0.2">
      <c r="B1399" s="2069"/>
      <c r="C1399" s="2069"/>
      <c r="D1399" s="2069"/>
      <c r="E1399" s="2069"/>
      <c r="F1399" s="2069"/>
      <c r="G1399" s="2069"/>
      <c r="H1399" s="2069"/>
      <c r="I1399"/>
      <c r="J1399"/>
      <c r="K1399"/>
    </row>
    <row r="1400" spans="2:11" x14ac:dyDescent="0.2">
      <c r="B1400" s="2069"/>
      <c r="C1400" s="2069"/>
      <c r="D1400" s="2069"/>
      <c r="E1400" s="2069"/>
      <c r="F1400" s="2069"/>
      <c r="G1400" s="2069"/>
      <c r="H1400" s="2069"/>
      <c r="I1400"/>
      <c r="J1400"/>
      <c r="K1400"/>
    </row>
    <row r="1401" spans="2:11" x14ac:dyDescent="0.2">
      <c r="B1401" s="2069"/>
      <c r="C1401" s="2069"/>
      <c r="D1401" s="2069"/>
      <c r="E1401" s="2069"/>
      <c r="F1401" s="2069"/>
      <c r="G1401" s="2069"/>
      <c r="H1401" s="2069"/>
      <c r="I1401"/>
      <c r="J1401"/>
      <c r="K1401"/>
    </row>
    <row r="1402" spans="2:11" x14ac:dyDescent="0.2">
      <c r="B1402" s="2069"/>
      <c r="C1402" s="2069"/>
      <c r="D1402" s="2069"/>
      <c r="E1402" s="2069"/>
      <c r="F1402" s="2069"/>
      <c r="G1402" s="2069"/>
      <c r="H1402" s="2069"/>
      <c r="I1402"/>
      <c r="J1402"/>
      <c r="K1402"/>
    </row>
    <row r="1403" spans="2:11" x14ac:dyDescent="0.2">
      <c r="B1403" s="2069"/>
      <c r="C1403" s="2069"/>
      <c r="D1403" s="2069"/>
      <c r="E1403" s="2069"/>
      <c r="F1403" s="2069"/>
      <c r="G1403" s="2069"/>
      <c r="H1403" s="2069"/>
      <c r="I1403"/>
      <c r="J1403"/>
      <c r="K1403"/>
    </row>
    <row r="1404" spans="2:11" x14ac:dyDescent="0.2">
      <c r="B1404" s="2069"/>
      <c r="C1404" s="2069"/>
      <c r="D1404" s="2069"/>
      <c r="E1404" s="2069"/>
      <c r="F1404" s="2069"/>
      <c r="G1404" s="2069"/>
      <c r="H1404" s="2069"/>
      <c r="I1404"/>
      <c r="J1404"/>
      <c r="K1404"/>
    </row>
    <row r="1405" spans="2:11" x14ac:dyDescent="0.2">
      <c r="B1405" s="2069"/>
      <c r="C1405" s="2069"/>
      <c r="D1405" s="2069"/>
      <c r="E1405" s="2069"/>
      <c r="F1405" s="2069"/>
      <c r="G1405" s="2069"/>
      <c r="H1405" s="2069"/>
      <c r="I1405"/>
      <c r="J1405"/>
      <c r="K1405"/>
    </row>
    <row r="1406" spans="2:11" x14ac:dyDescent="0.2">
      <c r="B1406" s="2069"/>
      <c r="C1406" s="2069"/>
      <c r="D1406" s="2069"/>
      <c r="E1406" s="2069"/>
      <c r="F1406" s="2069"/>
      <c r="G1406" s="2069"/>
      <c r="H1406" s="2069"/>
      <c r="I1406"/>
      <c r="J1406"/>
      <c r="K1406"/>
    </row>
    <row r="1407" spans="2:11" x14ac:dyDescent="0.2">
      <c r="B1407" s="2069"/>
      <c r="C1407" s="2069"/>
      <c r="D1407" s="2069"/>
      <c r="E1407" s="2069"/>
      <c r="F1407" s="2069"/>
      <c r="G1407" s="2069"/>
      <c r="H1407" s="2069"/>
      <c r="I1407"/>
      <c r="J1407"/>
      <c r="K1407"/>
    </row>
    <row r="1408" spans="2:11" x14ac:dyDescent="0.2">
      <c r="B1408" s="2069"/>
      <c r="C1408" s="2069"/>
      <c r="D1408" s="2069"/>
      <c r="E1408" s="2069"/>
      <c r="F1408" s="2069"/>
      <c r="G1408" s="2069"/>
      <c r="H1408" s="2069"/>
      <c r="I1408"/>
      <c r="J1408"/>
      <c r="K1408"/>
    </row>
    <row r="1409" spans="2:11" x14ac:dyDescent="0.2">
      <c r="B1409" s="2069"/>
      <c r="C1409" s="2069"/>
      <c r="D1409" s="2069"/>
      <c r="E1409" s="2069"/>
      <c r="F1409" s="2069"/>
      <c r="G1409" s="2069"/>
      <c r="H1409" s="2069"/>
      <c r="I1409"/>
      <c r="J1409"/>
      <c r="K1409"/>
    </row>
    <row r="1410" spans="2:11" x14ac:dyDescent="0.2">
      <c r="B1410" s="2069"/>
      <c r="C1410" s="2069"/>
      <c r="D1410" s="2069"/>
      <c r="E1410" s="2069"/>
      <c r="F1410" s="2069"/>
      <c r="G1410" s="2069"/>
      <c r="H1410" s="2069"/>
      <c r="I1410"/>
      <c r="J1410"/>
      <c r="K1410"/>
    </row>
    <row r="1411" spans="2:11" x14ac:dyDescent="0.2">
      <c r="B1411" s="2069"/>
      <c r="C1411" s="2069"/>
      <c r="D1411" s="2069"/>
      <c r="E1411" s="2069"/>
      <c r="F1411" s="2069"/>
      <c r="G1411" s="2069"/>
      <c r="H1411" s="2069"/>
      <c r="I1411"/>
      <c r="J1411"/>
      <c r="K1411"/>
    </row>
    <row r="1412" spans="2:11" x14ac:dyDescent="0.2">
      <c r="B1412" s="2069"/>
      <c r="C1412" s="2069"/>
      <c r="D1412" s="2069"/>
      <c r="E1412" s="2069"/>
      <c r="F1412" s="2069"/>
      <c r="G1412" s="2069"/>
      <c r="H1412" s="2069"/>
      <c r="I1412"/>
      <c r="J1412"/>
      <c r="K1412"/>
    </row>
    <row r="1413" spans="2:11" x14ac:dyDescent="0.2">
      <c r="B1413" s="2069"/>
      <c r="C1413" s="2069"/>
      <c r="D1413" s="2069"/>
      <c r="E1413" s="2069"/>
      <c r="F1413" s="2069"/>
      <c r="G1413" s="2069"/>
      <c r="H1413" s="2069"/>
      <c r="I1413"/>
      <c r="J1413"/>
      <c r="K1413"/>
    </row>
    <row r="1414" spans="2:11" x14ac:dyDescent="0.2">
      <c r="B1414" s="2069"/>
      <c r="C1414" s="2069"/>
      <c r="D1414" s="2069"/>
      <c r="E1414" s="2069"/>
      <c r="F1414" s="2069"/>
      <c r="G1414" s="2069"/>
      <c r="H1414" s="2069"/>
      <c r="I1414"/>
      <c r="J1414"/>
      <c r="K1414"/>
    </row>
    <row r="1415" spans="2:11" x14ac:dyDescent="0.2">
      <c r="B1415" s="2069"/>
      <c r="C1415" s="2069"/>
      <c r="D1415" s="2069"/>
      <c r="E1415" s="2069"/>
      <c r="F1415" s="2069"/>
      <c r="G1415" s="2069"/>
      <c r="H1415" s="2069"/>
      <c r="I1415"/>
      <c r="J1415"/>
      <c r="K1415"/>
    </row>
    <row r="1416" spans="2:11" x14ac:dyDescent="0.2">
      <c r="B1416" s="2069"/>
      <c r="C1416" s="2069"/>
      <c r="D1416" s="2069"/>
      <c r="E1416" s="2069"/>
      <c r="F1416" s="2069"/>
      <c r="G1416" s="2069"/>
      <c r="H1416" s="2069"/>
      <c r="I1416"/>
      <c r="J1416"/>
      <c r="K1416"/>
    </row>
    <row r="1417" spans="2:11" x14ac:dyDescent="0.2">
      <c r="B1417" s="2069"/>
      <c r="C1417" s="2069"/>
      <c r="D1417" s="2069"/>
      <c r="E1417" s="2069"/>
      <c r="F1417" s="2069"/>
      <c r="G1417" s="2069"/>
      <c r="H1417" s="2069"/>
      <c r="I1417"/>
      <c r="J1417"/>
      <c r="K1417"/>
    </row>
    <row r="1418" spans="2:11" x14ac:dyDescent="0.2">
      <c r="B1418" s="2069"/>
      <c r="C1418" s="2069"/>
      <c r="D1418" s="2069"/>
      <c r="E1418" s="2069"/>
      <c r="F1418" s="2069"/>
      <c r="G1418" s="2069"/>
      <c r="H1418" s="2069"/>
      <c r="I1418"/>
      <c r="J1418"/>
      <c r="K1418"/>
    </row>
    <row r="1419" spans="2:11" x14ac:dyDescent="0.2">
      <c r="B1419" s="2069"/>
      <c r="C1419" s="2069"/>
      <c r="D1419" s="2069"/>
      <c r="E1419" s="2069"/>
      <c r="F1419" s="2069"/>
      <c r="G1419" s="2069"/>
      <c r="H1419" s="2069"/>
      <c r="I1419"/>
      <c r="J1419"/>
      <c r="K1419"/>
    </row>
    <row r="1420" spans="2:11" x14ac:dyDescent="0.2">
      <c r="B1420" s="2069"/>
      <c r="C1420" s="2069"/>
      <c r="D1420" s="2069"/>
      <c r="E1420" s="2069"/>
      <c r="F1420" s="2069"/>
      <c r="G1420" s="2069"/>
      <c r="H1420" s="2069"/>
      <c r="I1420"/>
      <c r="J1420"/>
      <c r="K1420"/>
    </row>
    <row r="1421" spans="2:11" x14ac:dyDescent="0.2">
      <c r="B1421" s="2069"/>
      <c r="C1421" s="2069"/>
      <c r="D1421" s="2069"/>
      <c r="E1421" s="2069"/>
      <c r="F1421" s="2069"/>
      <c r="G1421" s="2069"/>
      <c r="H1421" s="2069"/>
      <c r="I1421"/>
      <c r="J1421"/>
      <c r="K1421"/>
    </row>
    <row r="1422" spans="2:11" x14ac:dyDescent="0.2">
      <c r="B1422" s="2069"/>
      <c r="C1422" s="2069"/>
      <c r="D1422" s="2069"/>
      <c r="E1422" s="2069"/>
      <c r="F1422" s="2069"/>
      <c r="G1422" s="2069"/>
      <c r="H1422" s="2069"/>
      <c r="I1422"/>
      <c r="J1422"/>
      <c r="K1422"/>
    </row>
    <row r="1423" spans="2:11" x14ac:dyDescent="0.2">
      <c r="B1423" s="2069"/>
      <c r="C1423" s="2069"/>
      <c r="D1423" s="2069"/>
      <c r="E1423" s="2069"/>
      <c r="F1423" s="2069"/>
      <c r="G1423" s="2069"/>
      <c r="H1423" s="2069"/>
      <c r="I1423"/>
      <c r="J1423"/>
      <c r="K1423"/>
    </row>
    <row r="1424" spans="2:11" x14ac:dyDescent="0.2">
      <c r="B1424" s="2069"/>
      <c r="C1424" s="2069"/>
      <c r="D1424" s="2069"/>
      <c r="E1424" s="2069"/>
      <c r="F1424" s="2069"/>
      <c r="G1424" s="2069"/>
      <c r="H1424" s="2069"/>
      <c r="I1424"/>
      <c r="J1424"/>
      <c r="K1424"/>
    </row>
    <row r="1425" spans="2:11" x14ac:dyDescent="0.2">
      <c r="B1425" s="2069"/>
      <c r="C1425" s="2069"/>
      <c r="D1425" s="2069"/>
      <c r="E1425" s="2069"/>
      <c r="F1425" s="2069"/>
      <c r="G1425" s="2069"/>
      <c r="H1425" s="2069"/>
      <c r="I1425"/>
      <c r="J1425"/>
      <c r="K1425"/>
    </row>
    <row r="1426" spans="2:11" x14ac:dyDescent="0.2">
      <c r="B1426" s="2069"/>
      <c r="C1426" s="2069"/>
      <c r="D1426" s="2069"/>
      <c r="E1426" s="2069"/>
      <c r="F1426" s="2069"/>
      <c r="G1426" s="2069"/>
      <c r="H1426" s="2069"/>
      <c r="I1426"/>
      <c r="J1426"/>
      <c r="K1426"/>
    </row>
    <row r="1427" spans="2:11" x14ac:dyDescent="0.2">
      <c r="B1427" s="2069"/>
      <c r="C1427" s="2069"/>
      <c r="D1427" s="2069"/>
      <c r="E1427" s="2069"/>
      <c r="F1427" s="2069"/>
      <c r="G1427" s="2069"/>
      <c r="H1427" s="2069"/>
      <c r="I1427"/>
      <c r="J1427"/>
      <c r="K1427"/>
    </row>
    <row r="1428" spans="2:11" x14ac:dyDescent="0.2">
      <c r="B1428" s="2069"/>
      <c r="C1428" s="2069"/>
      <c r="D1428" s="2069"/>
      <c r="E1428" s="2069"/>
      <c r="F1428" s="2069"/>
      <c r="G1428" s="2069"/>
      <c r="H1428" s="2069"/>
      <c r="I1428"/>
      <c r="J1428"/>
      <c r="K1428"/>
    </row>
    <row r="1429" spans="2:11" x14ac:dyDescent="0.2">
      <c r="B1429" s="2069"/>
      <c r="C1429" s="2069"/>
      <c r="D1429" s="2069"/>
      <c r="E1429" s="2069"/>
      <c r="F1429" s="2069"/>
      <c r="G1429" s="2069"/>
      <c r="H1429" s="2069"/>
      <c r="I1429"/>
      <c r="J1429"/>
      <c r="K1429"/>
    </row>
    <row r="1430" spans="2:11" x14ac:dyDescent="0.2">
      <c r="B1430" s="2069"/>
      <c r="C1430" s="2069"/>
      <c r="D1430" s="2069"/>
      <c r="E1430" s="2069"/>
      <c r="F1430" s="2069"/>
      <c r="G1430" s="2069"/>
      <c r="H1430" s="2069"/>
      <c r="I1430"/>
      <c r="J1430"/>
      <c r="K1430"/>
    </row>
    <row r="1431" spans="2:11" x14ac:dyDescent="0.2">
      <c r="B1431" s="2069"/>
      <c r="C1431" s="2069"/>
      <c r="D1431" s="2069"/>
      <c r="E1431" s="2069"/>
      <c r="F1431" s="2069"/>
      <c r="G1431" s="2069"/>
      <c r="H1431" s="2069"/>
      <c r="I1431"/>
      <c r="J1431"/>
      <c r="K1431"/>
    </row>
    <row r="1432" spans="2:11" x14ac:dyDescent="0.2">
      <c r="B1432" s="2069"/>
      <c r="C1432" s="2069"/>
      <c r="D1432" s="2069"/>
      <c r="E1432" s="2069"/>
      <c r="F1432" s="2069"/>
      <c r="G1432" s="2069"/>
      <c r="H1432" s="2069"/>
      <c r="I1432"/>
      <c r="J1432"/>
      <c r="K1432"/>
    </row>
    <row r="1433" spans="2:11" x14ac:dyDescent="0.2">
      <c r="B1433" s="2069"/>
      <c r="C1433" s="2069"/>
      <c r="D1433" s="2069"/>
      <c r="E1433" s="2069"/>
      <c r="F1433" s="2069"/>
      <c r="G1433" s="2069"/>
      <c r="H1433" s="2069"/>
      <c r="I1433"/>
      <c r="J1433"/>
      <c r="K1433"/>
    </row>
    <row r="1434" spans="2:11" x14ac:dyDescent="0.2">
      <c r="B1434" s="2069"/>
      <c r="C1434" s="2069"/>
      <c r="D1434" s="2069"/>
      <c r="E1434" s="2069"/>
      <c r="F1434" s="2069"/>
      <c r="G1434" s="2069"/>
      <c r="H1434" s="2069"/>
      <c r="I1434"/>
      <c r="J1434"/>
      <c r="K1434"/>
    </row>
    <row r="1435" spans="2:11" x14ac:dyDescent="0.2">
      <c r="B1435" s="2069"/>
      <c r="C1435" s="2069"/>
      <c r="D1435" s="2069"/>
      <c r="E1435" s="2069"/>
      <c r="F1435" s="2069"/>
      <c r="G1435" s="2069"/>
      <c r="H1435" s="2069"/>
      <c r="I1435"/>
      <c r="J1435"/>
      <c r="K1435"/>
    </row>
    <row r="1436" spans="2:11" x14ac:dyDescent="0.2">
      <c r="B1436" s="2069"/>
      <c r="C1436" s="2069"/>
      <c r="D1436" s="2069"/>
      <c r="E1436" s="2069"/>
      <c r="F1436" s="2069"/>
      <c r="G1436" s="2069"/>
      <c r="H1436" s="2069"/>
      <c r="I1436"/>
      <c r="J1436"/>
      <c r="K1436"/>
    </row>
    <row r="1437" spans="2:11" x14ac:dyDescent="0.2">
      <c r="B1437" s="2069"/>
      <c r="C1437" s="2069"/>
      <c r="D1437" s="2069"/>
      <c r="E1437" s="2069"/>
      <c r="F1437" s="2069"/>
      <c r="G1437" s="2069"/>
      <c r="H1437" s="2069"/>
      <c r="I1437"/>
      <c r="J1437"/>
      <c r="K1437"/>
    </row>
    <row r="1438" spans="2:11" x14ac:dyDescent="0.2">
      <c r="B1438" s="2069"/>
      <c r="C1438" s="2069"/>
      <c r="D1438" s="2069"/>
      <c r="E1438" s="2069"/>
      <c r="F1438" s="2069"/>
      <c r="G1438" s="2069"/>
      <c r="H1438" s="2069"/>
      <c r="I1438"/>
      <c r="J1438"/>
      <c r="K1438"/>
    </row>
    <row r="1439" spans="2:11" x14ac:dyDescent="0.2">
      <c r="B1439" s="2069"/>
      <c r="C1439" s="2069"/>
      <c r="D1439" s="2069"/>
      <c r="E1439" s="2069"/>
      <c r="F1439" s="2069"/>
      <c r="G1439" s="2069"/>
      <c r="H1439" s="2069"/>
      <c r="I1439"/>
      <c r="J1439"/>
      <c r="K1439"/>
    </row>
    <row r="1440" spans="2:11" x14ac:dyDescent="0.2">
      <c r="B1440" s="2069"/>
      <c r="C1440" s="2069"/>
      <c r="D1440" s="2069"/>
      <c r="E1440" s="2069"/>
      <c r="F1440" s="2069"/>
      <c r="G1440" s="2069"/>
      <c r="H1440" s="2069"/>
      <c r="I1440"/>
      <c r="J1440"/>
      <c r="K1440"/>
    </row>
    <row r="1441" spans="2:11" x14ac:dyDescent="0.2">
      <c r="B1441" s="2069"/>
      <c r="C1441" s="2069"/>
      <c r="D1441" s="2069"/>
      <c r="E1441" s="2069"/>
      <c r="F1441" s="2069"/>
      <c r="G1441" s="2069"/>
      <c r="H1441" s="2069"/>
      <c r="I1441"/>
      <c r="J1441"/>
      <c r="K1441"/>
    </row>
    <row r="1442" spans="2:11" x14ac:dyDescent="0.2">
      <c r="B1442" s="2069"/>
      <c r="C1442" s="2069"/>
      <c r="D1442" s="2069"/>
      <c r="E1442" s="2069"/>
      <c r="F1442" s="2069"/>
      <c r="G1442" s="2069"/>
      <c r="H1442" s="2069"/>
      <c r="I1442"/>
      <c r="J1442"/>
      <c r="K1442"/>
    </row>
    <row r="1443" spans="2:11" x14ac:dyDescent="0.2">
      <c r="B1443" s="2069"/>
      <c r="C1443" s="2069"/>
      <c r="D1443" s="2069"/>
      <c r="E1443" s="2069"/>
      <c r="F1443" s="2069"/>
      <c r="G1443" s="2069"/>
      <c r="H1443" s="2069"/>
      <c r="I1443"/>
      <c r="J1443"/>
      <c r="K1443"/>
    </row>
    <row r="1444" spans="2:11" x14ac:dyDescent="0.2">
      <c r="B1444" s="2069"/>
      <c r="C1444" s="2069"/>
      <c r="D1444" s="2069"/>
      <c r="E1444" s="2069"/>
      <c r="F1444" s="2069"/>
      <c r="G1444" s="2069"/>
      <c r="H1444" s="2069"/>
      <c r="I1444"/>
      <c r="J1444"/>
      <c r="K1444"/>
    </row>
    <row r="1445" spans="2:11" x14ac:dyDescent="0.2">
      <c r="B1445" s="2069"/>
      <c r="C1445" s="2069"/>
      <c r="D1445" s="2069"/>
      <c r="E1445" s="2069"/>
      <c r="F1445" s="2069"/>
      <c r="G1445" s="2069"/>
      <c r="H1445" s="2069"/>
      <c r="I1445"/>
      <c r="J1445"/>
      <c r="K1445"/>
    </row>
    <row r="1446" spans="2:11" x14ac:dyDescent="0.2">
      <c r="B1446" s="2069"/>
      <c r="C1446" s="2069"/>
      <c r="D1446" s="2069"/>
      <c r="E1446" s="2069"/>
      <c r="F1446" s="2069"/>
      <c r="G1446" s="2069"/>
      <c r="H1446" s="2069"/>
      <c r="I1446"/>
      <c r="J1446"/>
      <c r="K1446"/>
    </row>
    <row r="1447" spans="2:11" x14ac:dyDescent="0.2">
      <c r="B1447" s="2069"/>
      <c r="C1447" s="2069"/>
      <c r="D1447" s="2069"/>
      <c r="E1447" s="2069"/>
      <c r="F1447" s="2069"/>
      <c r="G1447" s="2069"/>
      <c r="H1447" s="2069"/>
      <c r="I1447"/>
      <c r="J1447"/>
      <c r="K1447"/>
    </row>
    <row r="1448" spans="2:11" x14ac:dyDescent="0.2">
      <c r="B1448" s="2069"/>
      <c r="C1448" s="2069"/>
      <c r="D1448" s="2069"/>
      <c r="E1448" s="2069"/>
      <c r="F1448" s="2069"/>
      <c r="G1448" s="2069"/>
      <c r="H1448" s="2069"/>
      <c r="I1448"/>
      <c r="J1448"/>
      <c r="K1448"/>
    </row>
    <row r="1449" spans="2:11" x14ac:dyDescent="0.2">
      <c r="B1449" s="2069"/>
      <c r="C1449" s="2069"/>
      <c r="D1449" s="2069"/>
      <c r="E1449" s="2069"/>
      <c r="F1449" s="2069"/>
      <c r="G1449" s="2069"/>
      <c r="H1449" s="2069"/>
      <c r="I1449"/>
      <c r="J1449"/>
      <c r="K1449"/>
    </row>
    <row r="1450" spans="2:11" x14ac:dyDescent="0.2">
      <c r="B1450" s="2069"/>
      <c r="C1450" s="2069"/>
      <c r="D1450" s="2069"/>
      <c r="E1450" s="2069"/>
      <c r="F1450" s="2069"/>
      <c r="G1450" s="2069"/>
      <c r="H1450" s="2069"/>
      <c r="I1450"/>
      <c r="J1450"/>
      <c r="K1450"/>
    </row>
    <row r="1451" spans="2:11" x14ac:dyDescent="0.2">
      <c r="B1451" s="2069"/>
      <c r="C1451" s="2069"/>
      <c r="D1451" s="2069"/>
      <c r="E1451" s="2069"/>
      <c r="F1451" s="2069"/>
      <c r="G1451" s="2069"/>
      <c r="H1451" s="2069"/>
      <c r="I1451"/>
      <c r="J1451"/>
      <c r="K1451"/>
    </row>
    <row r="1452" spans="2:11" x14ac:dyDescent="0.2">
      <c r="B1452" s="2069"/>
      <c r="C1452" s="2069"/>
      <c r="D1452" s="2069"/>
      <c r="E1452" s="2069"/>
      <c r="F1452" s="2069"/>
      <c r="G1452" s="2069"/>
      <c r="H1452" s="2069"/>
      <c r="I1452"/>
      <c r="J1452"/>
      <c r="K1452"/>
    </row>
    <row r="1453" spans="2:11" x14ac:dyDescent="0.2">
      <c r="B1453" s="2069"/>
      <c r="C1453" s="2069"/>
      <c r="D1453" s="2069"/>
      <c r="E1453" s="2069"/>
      <c r="F1453" s="2069"/>
      <c r="G1453" s="2069"/>
      <c r="H1453" s="2069"/>
      <c r="I1453"/>
      <c r="J1453"/>
      <c r="K1453"/>
    </row>
    <row r="1454" spans="2:11" x14ac:dyDescent="0.2">
      <c r="B1454" s="2069"/>
      <c r="C1454" s="2069"/>
      <c r="D1454" s="2069"/>
      <c r="E1454" s="2069"/>
      <c r="F1454" s="2069"/>
      <c r="G1454" s="2069"/>
      <c r="H1454" s="2069"/>
      <c r="I1454"/>
      <c r="J1454"/>
      <c r="K1454"/>
    </row>
    <row r="1455" spans="2:11" x14ac:dyDescent="0.2">
      <c r="B1455" s="2069"/>
      <c r="C1455" s="2069"/>
      <c r="D1455" s="2069"/>
      <c r="E1455" s="2069"/>
      <c r="F1455" s="2069"/>
      <c r="G1455" s="2069"/>
      <c r="H1455" s="2069"/>
      <c r="I1455"/>
      <c r="J1455"/>
      <c r="K1455"/>
    </row>
    <row r="1456" spans="2:11" x14ac:dyDescent="0.2">
      <c r="B1456" s="2069"/>
      <c r="C1456" s="2069"/>
      <c r="D1456" s="2069"/>
      <c r="E1456" s="2069"/>
      <c r="F1456" s="2069"/>
      <c r="G1456" s="2069"/>
      <c r="H1456" s="2069"/>
      <c r="I1456"/>
      <c r="J1456"/>
      <c r="K1456"/>
    </row>
    <row r="1457" spans="2:11" x14ac:dyDescent="0.2">
      <c r="B1457" s="2069"/>
      <c r="C1457" s="2069"/>
      <c r="D1457" s="2069"/>
      <c r="E1457" s="2069"/>
      <c r="F1457" s="2069"/>
      <c r="G1457" s="2069"/>
      <c r="H1457" s="2069"/>
      <c r="I1457"/>
      <c r="J1457"/>
      <c r="K1457"/>
    </row>
    <row r="1458" spans="2:11" x14ac:dyDescent="0.2">
      <c r="B1458" s="2069"/>
      <c r="C1458" s="2069"/>
      <c r="D1458" s="2069"/>
      <c r="E1458" s="2069"/>
      <c r="F1458" s="2069"/>
      <c r="G1458" s="2069"/>
      <c r="H1458" s="2069"/>
      <c r="I1458"/>
      <c r="J1458"/>
      <c r="K1458"/>
    </row>
    <row r="1459" spans="2:11" x14ac:dyDescent="0.2">
      <c r="B1459" s="2069"/>
      <c r="C1459" s="2069"/>
      <c r="D1459" s="2069"/>
      <c r="E1459" s="2069"/>
      <c r="F1459" s="2069"/>
      <c r="G1459" s="2069"/>
      <c r="H1459" s="2069"/>
      <c r="I1459"/>
      <c r="J1459"/>
      <c r="K1459"/>
    </row>
    <row r="1460" spans="2:11" x14ac:dyDescent="0.2">
      <c r="B1460" s="2069"/>
      <c r="C1460" s="2069"/>
      <c r="D1460" s="2069"/>
      <c r="E1460" s="2069"/>
      <c r="F1460" s="2069"/>
      <c r="G1460" s="2069"/>
      <c r="H1460" s="2069"/>
      <c r="I1460"/>
      <c r="J1460"/>
      <c r="K1460"/>
    </row>
    <row r="1461" spans="2:11" x14ac:dyDescent="0.2">
      <c r="B1461" s="2069"/>
      <c r="C1461" s="2069"/>
      <c r="D1461" s="2069"/>
      <c r="E1461" s="2069"/>
      <c r="F1461" s="2069"/>
      <c r="G1461" s="2069"/>
      <c r="H1461" s="2069"/>
      <c r="I1461"/>
      <c r="J1461"/>
      <c r="K1461"/>
    </row>
    <row r="1462" spans="2:11" x14ac:dyDescent="0.2">
      <c r="B1462" s="2069"/>
      <c r="C1462" s="2069"/>
      <c r="D1462" s="2069"/>
      <c r="E1462" s="2069"/>
      <c r="F1462" s="2069"/>
      <c r="G1462" s="2069"/>
      <c r="H1462" s="2069"/>
      <c r="I1462"/>
      <c r="J1462"/>
      <c r="K1462"/>
    </row>
    <row r="1463" spans="2:11" x14ac:dyDescent="0.2">
      <c r="B1463" s="2069"/>
      <c r="C1463" s="2069"/>
      <c r="D1463" s="2069"/>
      <c r="E1463" s="2069"/>
      <c r="F1463" s="2069"/>
      <c r="G1463" s="2069"/>
      <c r="H1463" s="2069"/>
      <c r="I1463"/>
      <c r="J1463"/>
      <c r="K1463"/>
    </row>
    <row r="1464" spans="2:11" x14ac:dyDescent="0.2">
      <c r="B1464" s="2069"/>
      <c r="C1464" s="2069"/>
      <c r="D1464" s="2069"/>
      <c r="E1464" s="2069"/>
      <c r="F1464" s="2069"/>
      <c r="G1464" s="2069"/>
      <c r="H1464" s="2069"/>
      <c r="I1464"/>
      <c r="J1464"/>
      <c r="K1464"/>
    </row>
    <row r="1465" spans="2:11" x14ac:dyDescent="0.2">
      <c r="B1465" s="2069"/>
      <c r="C1465" s="2069"/>
      <c r="D1465" s="2069"/>
      <c r="E1465" s="2069"/>
      <c r="F1465" s="2069"/>
      <c r="G1465" s="2069"/>
      <c r="H1465" s="2069"/>
      <c r="I1465"/>
      <c r="J1465"/>
      <c r="K1465"/>
    </row>
    <row r="1466" spans="2:11" x14ac:dyDescent="0.2">
      <c r="B1466" s="2069"/>
      <c r="C1466" s="2069"/>
      <c r="D1466" s="2069"/>
      <c r="E1466" s="2069"/>
      <c r="F1466" s="2069"/>
      <c r="G1466" s="2069"/>
      <c r="H1466" s="2069"/>
      <c r="I1466"/>
      <c r="J1466"/>
      <c r="K1466"/>
    </row>
    <row r="1467" spans="2:11" x14ac:dyDescent="0.2">
      <c r="B1467" s="2069"/>
      <c r="C1467" s="2069"/>
      <c r="D1467" s="2069"/>
      <c r="E1467" s="2069"/>
      <c r="F1467" s="2069"/>
      <c r="G1467" s="2069"/>
      <c r="H1467" s="2069"/>
      <c r="I1467"/>
      <c r="J1467"/>
      <c r="K1467"/>
    </row>
    <row r="1468" spans="2:11" x14ac:dyDescent="0.2">
      <c r="B1468" s="2069"/>
      <c r="C1468" s="2069"/>
      <c r="D1468" s="2069"/>
      <c r="E1468" s="2069"/>
      <c r="F1468" s="2069"/>
      <c r="G1468" s="2069"/>
      <c r="H1468" s="2069"/>
      <c r="I1468"/>
      <c r="J1468"/>
      <c r="K1468"/>
    </row>
    <row r="1469" spans="2:11" x14ac:dyDescent="0.2">
      <c r="B1469" s="2069"/>
      <c r="C1469" s="2069"/>
      <c r="D1469" s="2069"/>
      <c r="E1469" s="2069"/>
      <c r="F1469" s="2069"/>
      <c r="G1469" s="2069"/>
      <c r="H1469" s="2069"/>
      <c r="I1469"/>
      <c r="J1469"/>
      <c r="K1469"/>
    </row>
    <row r="1470" spans="2:11" x14ac:dyDescent="0.2">
      <c r="B1470" s="2069"/>
      <c r="C1470" s="2069"/>
      <c r="D1470" s="2069"/>
      <c r="E1470" s="2069"/>
      <c r="F1470" s="2069"/>
      <c r="G1470" s="2069"/>
      <c r="H1470" s="2069"/>
      <c r="I1470"/>
      <c r="J1470"/>
      <c r="K1470"/>
    </row>
    <row r="1471" spans="2:11" x14ac:dyDescent="0.2">
      <c r="B1471" s="2069"/>
      <c r="C1471" s="2069"/>
      <c r="D1471" s="2069"/>
      <c r="E1471" s="2069"/>
      <c r="F1471" s="2069"/>
      <c r="G1471" s="2069"/>
      <c r="H1471" s="2069"/>
      <c r="I1471"/>
      <c r="J1471"/>
      <c r="K1471"/>
    </row>
    <row r="1472" spans="2:11" x14ac:dyDescent="0.2">
      <c r="B1472" s="2069"/>
      <c r="C1472" s="2069"/>
      <c r="D1472" s="2069"/>
      <c r="E1472" s="2069"/>
      <c r="F1472" s="2069"/>
      <c r="G1472" s="2069"/>
      <c r="H1472" s="2069"/>
      <c r="I1472"/>
      <c r="J1472"/>
      <c r="K1472"/>
    </row>
    <row r="1473" spans="2:11" x14ac:dyDescent="0.2">
      <c r="B1473" s="2069"/>
      <c r="C1473" s="2069"/>
      <c r="D1473" s="2069"/>
      <c r="E1473" s="2069"/>
      <c r="F1473" s="2069"/>
      <c r="G1473" s="2069"/>
      <c r="H1473" s="2069"/>
      <c r="I1473"/>
      <c r="J1473"/>
      <c r="K1473"/>
    </row>
    <row r="1474" spans="2:11" x14ac:dyDescent="0.2">
      <c r="B1474" s="2069"/>
      <c r="C1474" s="2069"/>
      <c r="D1474" s="2069"/>
      <c r="E1474" s="2069"/>
      <c r="F1474" s="2069"/>
      <c r="G1474" s="2069"/>
      <c r="H1474" s="2069"/>
      <c r="I1474"/>
      <c r="J1474"/>
      <c r="K1474"/>
    </row>
    <row r="1475" spans="2:11" x14ac:dyDescent="0.2">
      <c r="B1475" s="2069"/>
      <c r="C1475" s="2069"/>
      <c r="D1475" s="2069"/>
      <c r="E1475" s="2069"/>
      <c r="F1475" s="2069"/>
      <c r="G1475" s="2069"/>
      <c r="H1475" s="2069"/>
      <c r="I1475"/>
      <c r="J1475"/>
      <c r="K1475"/>
    </row>
    <row r="1476" spans="2:11" x14ac:dyDescent="0.2">
      <c r="B1476" s="2069"/>
      <c r="C1476" s="2069"/>
      <c r="D1476" s="2069"/>
      <c r="E1476" s="2069"/>
      <c r="F1476" s="2069"/>
      <c r="G1476" s="2069"/>
      <c r="H1476" s="2069"/>
      <c r="I1476"/>
      <c r="J1476"/>
      <c r="K1476"/>
    </row>
    <row r="1477" spans="2:11" x14ac:dyDescent="0.2">
      <c r="B1477" s="2069"/>
      <c r="C1477" s="2069"/>
      <c r="D1477" s="2069"/>
      <c r="E1477" s="2069"/>
      <c r="F1477" s="2069"/>
      <c r="G1477" s="2069"/>
      <c r="H1477" s="2069"/>
      <c r="I1477"/>
      <c r="J1477"/>
      <c r="K1477"/>
    </row>
    <row r="1478" spans="2:11" x14ac:dyDescent="0.2">
      <c r="B1478" s="2069"/>
      <c r="C1478" s="2069"/>
      <c r="D1478" s="2069"/>
      <c r="E1478" s="2069"/>
      <c r="F1478" s="2069"/>
      <c r="G1478" s="2069"/>
      <c r="H1478" s="2069"/>
      <c r="I1478"/>
      <c r="J1478"/>
      <c r="K1478"/>
    </row>
    <row r="1479" spans="2:11" x14ac:dyDescent="0.2">
      <c r="B1479" s="2069"/>
      <c r="C1479" s="2069"/>
      <c r="D1479" s="2069"/>
      <c r="E1479" s="2069"/>
      <c r="F1479" s="2069"/>
      <c r="G1479" s="2069"/>
      <c r="H1479" s="2069"/>
      <c r="I1479"/>
      <c r="J1479"/>
      <c r="K1479"/>
    </row>
    <row r="1480" spans="2:11" x14ac:dyDescent="0.2">
      <c r="B1480" s="2069"/>
      <c r="C1480" s="2069"/>
      <c r="D1480" s="2069"/>
      <c r="E1480" s="2069"/>
      <c r="F1480" s="2069"/>
      <c r="G1480" s="2069"/>
      <c r="H1480" s="2069"/>
      <c r="I1480"/>
      <c r="J1480"/>
      <c r="K1480"/>
    </row>
    <row r="1481" spans="2:11" x14ac:dyDescent="0.2">
      <c r="B1481" s="2069"/>
      <c r="C1481" s="2069"/>
      <c r="D1481" s="2069"/>
      <c r="E1481" s="2069"/>
      <c r="F1481" s="2069"/>
      <c r="G1481" s="2069"/>
      <c r="H1481" s="2069"/>
      <c r="I1481"/>
      <c r="J1481"/>
      <c r="K1481"/>
    </row>
    <row r="1482" spans="2:11" x14ac:dyDescent="0.2">
      <c r="B1482" s="2069"/>
      <c r="C1482" s="2069"/>
      <c r="D1482" s="2069"/>
      <c r="E1482" s="2069"/>
      <c r="F1482" s="2069"/>
      <c r="G1482" s="2069"/>
      <c r="H1482" s="2069"/>
      <c r="I1482"/>
      <c r="J1482"/>
      <c r="K1482"/>
    </row>
    <row r="1483" spans="2:11" x14ac:dyDescent="0.2">
      <c r="B1483" s="2069"/>
      <c r="C1483" s="2069"/>
      <c r="D1483" s="2069"/>
      <c r="E1483" s="2069"/>
      <c r="F1483" s="2069"/>
      <c r="G1483" s="2069"/>
      <c r="H1483" s="2069"/>
      <c r="I1483"/>
      <c r="J1483"/>
      <c r="K1483"/>
    </row>
    <row r="1484" spans="2:11" x14ac:dyDescent="0.2">
      <c r="B1484" s="2069"/>
      <c r="C1484" s="2069"/>
      <c r="D1484" s="2069"/>
      <c r="E1484" s="2069"/>
      <c r="F1484" s="2069"/>
      <c r="G1484" s="2069"/>
      <c r="H1484" s="2069"/>
      <c r="I1484"/>
      <c r="J1484"/>
      <c r="K1484"/>
    </row>
    <row r="1485" spans="2:11" x14ac:dyDescent="0.2">
      <c r="B1485" s="2069"/>
      <c r="C1485" s="2069"/>
      <c r="D1485" s="2069"/>
      <c r="E1485" s="2069"/>
      <c r="F1485" s="2069"/>
      <c r="G1485" s="2069"/>
      <c r="H1485" s="2069"/>
      <c r="I1485"/>
      <c r="J1485"/>
      <c r="K1485"/>
    </row>
    <row r="1486" spans="2:11" x14ac:dyDescent="0.2">
      <c r="B1486" s="2069"/>
      <c r="C1486" s="2069"/>
      <c r="D1486" s="2069"/>
      <c r="E1486" s="2069"/>
      <c r="F1486" s="2069"/>
      <c r="G1486" s="2069"/>
      <c r="H1486" s="2069"/>
      <c r="I1486"/>
      <c r="J1486"/>
      <c r="K1486"/>
    </row>
    <row r="1487" spans="2:11" x14ac:dyDescent="0.2">
      <c r="B1487" s="2069"/>
      <c r="C1487" s="2069"/>
      <c r="D1487" s="2069"/>
      <c r="E1487" s="2069"/>
      <c r="F1487" s="2069"/>
      <c r="G1487" s="2069"/>
      <c r="H1487" s="2069"/>
      <c r="I1487"/>
      <c r="J1487"/>
      <c r="K1487"/>
    </row>
    <row r="1488" spans="2:11" x14ac:dyDescent="0.2">
      <c r="B1488" s="2069"/>
      <c r="C1488" s="2069"/>
      <c r="D1488" s="2069"/>
      <c r="E1488" s="2069"/>
      <c r="F1488" s="2069"/>
      <c r="G1488" s="2069"/>
      <c r="H1488" s="2069"/>
      <c r="I1488"/>
      <c r="J1488"/>
      <c r="K1488"/>
    </row>
    <row r="1489" spans="2:11" x14ac:dyDescent="0.2">
      <c r="B1489" s="2069"/>
      <c r="C1489" s="2069"/>
      <c r="D1489" s="2069"/>
      <c r="E1489" s="2069"/>
      <c r="F1489" s="2069"/>
      <c r="G1489" s="2069"/>
      <c r="H1489" s="2069"/>
      <c r="I1489"/>
      <c r="J1489"/>
      <c r="K1489"/>
    </row>
    <row r="1490" spans="2:11" x14ac:dyDescent="0.2">
      <c r="B1490" s="2069"/>
      <c r="C1490" s="2069"/>
      <c r="D1490" s="2069"/>
      <c r="E1490" s="2069"/>
      <c r="F1490" s="2069"/>
      <c r="G1490" s="2069"/>
      <c r="H1490" s="2069"/>
      <c r="I1490"/>
      <c r="J1490"/>
      <c r="K1490"/>
    </row>
    <row r="1491" spans="2:11" x14ac:dyDescent="0.2">
      <c r="B1491" s="2069"/>
      <c r="C1491" s="2069"/>
      <c r="D1491" s="2069"/>
      <c r="E1491" s="2069"/>
      <c r="F1491" s="2069"/>
      <c r="G1491" s="2069"/>
      <c r="H1491" s="2069"/>
      <c r="I1491"/>
      <c r="J1491"/>
      <c r="K1491"/>
    </row>
    <row r="1492" spans="2:11" x14ac:dyDescent="0.2">
      <c r="B1492" s="2069"/>
      <c r="C1492" s="2069"/>
      <c r="D1492" s="2069"/>
      <c r="E1492" s="2069"/>
      <c r="F1492" s="2069"/>
      <c r="G1492" s="2069"/>
      <c r="H1492" s="2069"/>
      <c r="I1492"/>
      <c r="J1492"/>
      <c r="K1492"/>
    </row>
    <row r="1493" spans="2:11" x14ac:dyDescent="0.2">
      <c r="B1493" s="2069"/>
      <c r="C1493" s="2069"/>
      <c r="D1493" s="2069"/>
      <c r="E1493" s="2069"/>
      <c r="F1493" s="2069"/>
      <c r="G1493" s="2069"/>
      <c r="H1493" s="2069"/>
      <c r="I1493"/>
      <c r="J1493"/>
      <c r="K1493"/>
    </row>
    <row r="1494" spans="2:11" x14ac:dyDescent="0.2">
      <c r="B1494" s="2069"/>
      <c r="C1494" s="2069"/>
      <c r="D1494" s="2069"/>
      <c r="E1494" s="2069"/>
      <c r="F1494" s="2069"/>
      <c r="G1494" s="2069"/>
      <c r="H1494" s="2069"/>
      <c r="I1494"/>
      <c r="J1494"/>
      <c r="K1494"/>
    </row>
    <row r="1495" spans="2:11" x14ac:dyDescent="0.2">
      <c r="B1495" s="2069"/>
      <c r="C1495" s="2069"/>
      <c r="D1495" s="2069"/>
      <c r="E1495" s="2069"/>
      <c r="F1495" s="2069"/>
      <c r="G1495" s="2069"/>
      <c r="H1495" s="2069"/>
      <c r="I1495"/>
      <c r="J1495"/>
      <c r="K1495"/>
    </row>
    <row r="1496" spans="2:11" x14ac:dyDescent="0.2">
      <c r="B1496" s="2069"/>
      <c r="C1496" s="2069"/>
      <c r="D1496" s="2069"/>
      <c r="E1496" s="2069"/>
      <c r="F1496" s="2069"/>
      <c r="G1496" s="2069"/>
      <c r="H1496" s="2069"/>
      <c r="I1496"/>
      <c r="J1496"/>
      <c r="K1496"/>
    </row>
    <row r="1497" spans="2:11" x14ac:dyDescent="0.2">
      <c r="B1497" s="2069"/>
      <c r="C1497" s="2069"/>
      <c r="D1497" s="2069"/>
      <c r="E1497" s="2069"/>
      <c r="F1497" s="2069"/>
      <c r="G1497" s="2069"/>
      <c r="H1497" s="2069"/>
      <c r="I1497"/>
      <c r="J1497"/>
      <c r="K1497"/>
    </row>
    <row r="1498" spans="2:11" x14ac:dyDescent="0.2">
      <c r="B1498" s="2069"/>
      <c r="C1498" s="2069"/>
      <c r="D1498" s="2069"/>
      <c r="E1498" s="2069"/>
      <c r="F1498" s="2069"/>
      <c r="G1498" s="2069"/>
      <c r="H1498" s="2069"/>
      <c r="I1498"/>
      <c r="J1498"/>
      <c r="K1498"/>
    </row>
    <row r="1499" spans="2:11" x14ac:dyDescent="0.2">
      <c r="B1499" s="2069"/>
      <c r="C1499" s="2069"/>
      <c r="D1499" s="2069"/>
      <c r="E1499" s="2069"/>
      <c r="F1499" s="2069"/>
      <c r="G1499" s="2069"/>
      <c r="H1499" s="2069"/>
      <c r="I1499"/>
      <c r="J1499"/>
      <c r="K1499"/>
    </row>
    <row r="1500" spans="2:11" x14ac:dyDescent="0.2">
      <c r="B1500" s="2069"/>
      <c r="C1500" s="2069"/>
      <c r="D1500" s="2069"/>
      <c r="E1500" s="2069"/>
      <c r="F1500" s="2069"/>
      <c r="G1500" s="2069"/>
      <c r="H1500" s="2069"/>
      <c r="I1500"/>
      <c r="J1500"/>
      <c r="K1500"/>
    </row>
    <row r="1501" spans="2:11" x14ac:dyDescent="0.2">
      <c r="B1501" s="2069"/>
      <c r="C1501" s="2069"/>
      <c r="D1501" s="2069"/>
      <c r="E1501" s="2069"/>
      <c r="F1501" s="2069"/>
      <c r="G1501" s="2069"/>
      <c r="H1501" s="2069"/>
      <c r="I1501"/>
      <c r="J1501"/>
      <c r="K1501"/>
    </row>
    <row r="1502" spans="2:11" x14ac:dyDescent="0.2">
      <c r="B1502" s="2069"/>
      <c r="C1502" s="2069"/>
      <c r="D1502" s="2069"/>
      <c r="E1502" s="2069"/>
      <c r="F1502" s="2069"/>
      <c r="G1502" s="2069"/>
      <c r="H1502" s="2069"/>
      <c r="I1502"/>
      <c r="J1502"/>
      <c r="K1502"/>
    </row>
    <row r="1503" spans="2:11" x14ac:dyDescent="0.2">
      <c r="B1503" s="2069"/>
      <c r="C1503" s="2069"/>
      <c r="D1503" s="2069"/>
      <c r="E1503" s="2069"/>
      <c r="F1503" s="2069"/>
      <c r="G1503" s="2069"/>
      <c r="H1503" s="2069"/>
      <c r="I1503"/>
      <c r="J1503"/>
      <c r="K1503"/>
    </row>
    <row r="1504" spans="2:11" x14ac:dyDescent="0.2">
      <c r="B1504" s="2069"/>
      <c r="C1504" s="2069"/>
      <c r="D1504" s="2069"/>
      <c r="E1504" s="2069"/>
      <c r="F1504" s="2069"/>
      <c r="G1504" s="2069"/>
      <c r="H1504" s="2069"/>
      <c r="I1504"/>
      <c r="J1504"/>
      <c r="K1504"/>
    </row>
    <row r="1505" spans="2:11" x14ac:dyDescent="0.2">
      <c r="B1505" s="2069"/>
      <c r="C1505" s="2069"/>
      <c r="D1505" s="2069"/>
      <c r="E1505" s="2069"/>
      <c r="F1505" s="2069"/>
      <c r="G1505" s="2069"/>
      <c r="H1505" s="2069"/>
      <c r="I1505"/>
      <c r="J1505"/>
      <c r="K1505"/>
    </row>
    <row r="1506" spans="2:11" x14ac:dyDescent="0.2">
      <c r="B1506" s="2069"/>
      <c r="C1506" s="2069"/>
      <c r="D1506" s="2069"/>
      <c r="E1506" s="2069"/>
      <c r="F1506" s="2069"/>
      <c r="G1506" s="2069"/>
      <c r="H1506" s="2069"/>
      <c r="I1506"/>
      <c r="J1506"/>
      <c r="K1506"/>
    </row>
    <row r="1507" spans="2:11" x14ac:dyDescent="0.2">
      <c r="B1507" s="2069"/>
      <c r="C1507" s="2069"/>
      <c r="D1507" s="2069"/>
      <c r="E1507" s="2069"/>
      <c r="F1507" s="2069"/>
      <c r="G1507" s="2069"/>
      <c r="H1507" s="2069"/>
      <c r="I1507"/>
      <c r="J1507"/>
      <c r="K1507"/>
    </row>
    <row r="1508" spans="2:11" x14ac:dyDescent="0.2">
      <c r="B1508" s="2069"/>
      <c r="C1508" s="2069"/>
      <c r="D1508" s="2069"/>
      <c r="E1508" s="2069"/>
      <c r="F1508" s="2069"/>
      <c r="G1508" s="2069"/>
      <c r="H1508" s="2069"/>
      <c r="I1508"/>
      <c r="J1508"/>
      <c r="K1508"/>
    </row>
    <row r="1509" spans="2:11" x14ac:dyDescent="0.2">
      <c r="B1509" s="2069"/>
      <c r="C1509" s="2069"/>
      <c r="D1509" s="2069"/>
      <c r="E1509" s="2069"/>
      <c r="F1509" s="2069"/>
      <c r="G1509" s="2069"/>
      <c r="H1509" s="2069"/>
      <c r="I1509"/>
      <c r="J1509"/>
      <c r="K1509"/>
    </row>
    <row r="1510" spans="2:11" x14ac:dyDescent="0.2">
      <c r="B1510" s="2069"/>
      <c r="C1510" s="2069"/>
      <c r="D1510" s="2069"/>
      <c r="E1510" s="2069"/>
      <c r="F1510" s="2069"/>
      <c r="G1510" s="2069"/>
      <c r="H1510" s="2069"/>
      <c r="I1510"/>
      <c r="J1510"/>
      <c r="K1510"/>
    </row>
    <row r="1511" spans="2:11" x14ac:dyDescent="0.2">
      <c r="B1511" s="2069"/>
      <c r="C1511" s="2069"/>
      <c r="D1511" s="2069"/>
      <c r="E1511" s="2069"/>
      <c r="F1511" s="2069"/>
      <c r="G1511" s="2069"/>
      <c r="H1511" s="2069"/>
      <c r="I1511"/>
      <c r="J1511"/>
      <c r="K1511"/>
    </row>
    <row r="1512" spans="2:11" x14ac:dyDescent="0.2">
      <c r="B1512" s="2069"/>
      <c r="C1512" s="2069"/>
      <c r="D1512" s="2069"/>
      <c r="E1512" s="2069"/>
      <c r="F1512" s="2069"/>
      <c r="G1512" s="2069"/>
      <c r="H1512" s="2069"/>
      <c r="I1512"/>
      <c r="J1512"/>
      <c r="K1512"/>
    </row>
    <row r="1513" spans="2:11" x14ac:dyDescent="0.2">
      <c r="B1513" s="2069"/>
      <c r="C1513" s="2069"/>
      <c r="D1513" s="2069"/>
      <c r="E1513" s="2069"/>
      <c r="F1513" s="2069"/>
      <c r="G1513" s="2069"/>
      <c r="H1513" s="2069"/>
      <c r="I1513"/>
      <c r="J1513"/>
      <c r="K1513"/>
    </row>
    <row r="1514" spans="2:11" x14ac:dyDescent="0.2">
      <c r="B1514" s="2069"/>
      <c r="C1514" s="2069"/>
      <c r="D1514" s="2069"/>
      <c r="E1514" s="2069"/>
      <c r="F1514" s="2069"/>
      <c r="G1514" s="2069"/>
      <c r="H1514" s="2069"/>
      <c r="I1514"/>
      <c r="J1514"/>
      <c r="K1514"/>
    </row>
    <row r="1515" spans="2:11" x14ac:dyDescent="0.2">
      <c r="B1515" s="2069"/>
      <c r="C1515" s="2069"/>
      <c r="D1515" s="2069"/>
      <c r="E1515" s="2069"/>
      <c r="F1515" s="2069"/>
      <c r="G1515" s="2069"/>
      <c r="H1515" s="2069"/>
      <c r="I1515"/>
      <c r="J1515"/>
      <c r="K1515"/>
    </row>
    <row r="1516" spans="2:11" x14ac:dyDescent="0.2">
      <c r="B1516" s="2069"/>
      <c r="C1516" s="2069"/>
      <c r="D1516" s="2069"/>
      <c r="E1516" s="2069"/>
      <c r="F1516" s="2069"/>
      <c r="G1516" s="2069"/>
      <c r="H1516" s="2069"/>
      <c r="I1516"/>
      <c r="J1516"/>
      <c r="K1516"/>
    </row>
    <row r="1517" spans="2:11" x14ac:dyDescent="0.2">
      <c r="B1517" s="2069"/>
      <c r="C1517" s="2069"/>
      <c r="D1517" s="2069"/>
      <c r="E1517" s="2069"/>
      <c r="F1517" s="2069"/>
      <c r="G1517" s="2069"/>
      <c r="H1517" s="2069"/>
      <c r="I1517"/>
      <c r="J1517"/>
      <c r="K1517"/>
    </row>
    <row r="1518" spans="2:11" x14ac:dyDescent="0.2">
      <c r="B1518" s="2069"/>
      <c r="C1518" s="2069"/>
      <c r="D1518" s="2069"/>
      <c r="E1518" s="2069"/>
      <c r="F1518" s="2069"/>
      <c r="G1518" s="2069"/>
      <c r="H1518" s="2069"/>
      <c r="I1518"/>
      <c r="J1518"/>
      <c r="K1518"/>
    </row>
    <row r="1519" spans="2:11" x14ac:dyDescent="0.2">
      <c r="B1519" s="2069"/>
      <c r="C1519" s="2069"/>
      <c r="D1519" s="2069"/>
      <c r="E1519" s="2069"/>
      <c r="F1519" s="2069"/>
      <c r="G1519" s="2069"/>
      <c r="H1519" s="2069"/>
      <c r="I1519"/>
      <c r="J1519"/>
      <c r="K1519"/>
    </row>
    <row r="1520" spans="2:11" x14ac:dyDescent="0.2">
      <c r="B1520" s="2069"/>
      <c r="C1520" s="2069"/>
      <c r="D1520" s="2069"/>
      <c r="E1520" s="2069"/>
      <c r="F1520" s="2069"/>
      <c r="G1520" s="2069"/>
      <c r="H1520" s="2069"/>
      <c r="I1520"/>
      <c r="J1520"/>
      <c r="K1520"/>
    </row>
    <row r="1521" spans="2:11" x14ac:dyDescent="0.2">
      <c r="B1521" s="2069"/>
      <c r="C1521" s="2069"/>
      <c r="D1521" s="2069"/>
      <c r="E1521" s="2069"/>
      <c r="F1521" s="2069"/>
      <c r="G1521" s="2069"/>
      <c r="H1521" s="2069"/>
      <c r="I1521"/>
      <c r="J1521"/>
      <c r="K1521"/>
    </row>
    <row r="1522" spans="2:11" x14ac:dyDescent="0.2">
      <c r="B1522" s="2069"/>
      <c r="C1522" s="2069"/>
      <c r="D1522" s="2069"/>
      <c r="E1522" s="2069"/>
      <c r="F1522" s="2069"/>
      <c r="G1522" s="2069"/>
      <c r="H1522" s="2069"/>
      <c r="I1522"/>
      <c r="J1522"/>
      <c r="K1522"/>
    </row>
    <row r="1523" spans="2:11" x14ac:dyDescent="0.2">
      <c r="B1523" s="2069"/>
      <c r="C1523" s="2069"/>
      <c r="D1523" s="2069"/>
      <c r="E1523" s="2069"/>
      <c r="F1523" s="2069"/>
      <c r="G1523" s="2069"/>
      <c r="H1523" s="2069"/>
      <c r="I1523"/>
      <c r="J1523"/>
      <c r="K1523"/>
    </row>
    <row r="1524" spans="2:11" x14ac:dyDescent="0.2">
      <c r="B1524" s="2069"/>
      <c r="C1524" s="2069"/>
      <c r="D1524" s="2069"/>
      <c r="E1524" s="2069"/>
      <c r="F1524" s="2069"/>
      <c r="G1524" s="2069"/>
      <c r="H1524" s="2069"/>
      <c r="I1524"/>
      <c r="J1524"/>
      <c r="K1524"/>
    </row>
    <row r="1525" spans="2:11" x14ac:dyDescent="0.2">
      <c r="B1525" s="2069"/>
      <c r="C1525" s="2069"/>
      <c r="D1525" s="2069"/>
      <c r="E1525" s="2069"/>
      <c r="F1525" s="2069"/>
      <c r="G1525" s="2069"/>
      <c r="H1525" s="2069"/>
      <c r="I1525"/>
      <c r="J1525"/>
      <c r="K1525"/>
    </row>
    <row r="1526" spans="2:11" x14ac:dyDescent="0.2">
      <c r="B1526" s="2069"/>
      <c r="C1526" s="2069"/>
      <c r="D1526" s="2069"/>
      <c r="E1526" s="2069"/>
      <c r="F1526" s="2069"/>
      <c r="G1526" s="2069"/>
      <c r="H1526" s="2069"/>
      <c r="I1526"/>
      <c r="J1526"/>
      <c r="K1526"/>
    </row>
    <row r="1527" spans="2:11" x14ac:dyDescent="0.2">
      <c r="B1527" s="2069"/>
      <c r="C1527" s="2069"/>
      <c r="D1527" s="2069"/>
      <c r="E1527" s="2069"/>
      <c r="F1527" s="2069"/>
      <c r="G1527" s="2069"/>
      <c r="H1527" s="2069"/>
      <c r="I1527"/>
      <c r="J1527"/>
      <c r="K1527"/>
    </row>
    <row r="1528" spans="2:11" x14ac:dyDescent="0.2">
      <c r="B1528" s="2069"/>
      <c r="C1528" s="2069"/>
      <c r="D1528" s="2069"/>
      <c r="E1528" s="2069"/>
      <c r="F1528" s="2069"/>
      <c r="G1528" s="2069"/>
      <c r="H1528" s="2069"/>
      <c r="I1528"/>
      <c r="J1528"/>
      <c r="K1528"/>
    </row>
    <row r="1529" spans="2:11" x14ac:dyDescent="0.2">
      <c r="B1529" s="2069"/>
      <c r="C1529" s="2069"/>
      <c r="D1529" s="2069"/>
      <c r="E1529" s="2069"/>
      <c r="F1529" s="2069"/>
      <c r="G1529" s="2069"/>
      <c r="H1529" s="2069"/>
      <c r="I1529"/>
      <c r="J1529"/>
      <c r="K1529"/>
    </row>
    <row r="1530" spans="2:11" x14ac:dyDescent="0.2">
      <c r="B1530" s="2069"/>
      <c r="C1530" s="2069"/>
      <c r="D1530" s="2069"/>
      <c r="E1530" s="2069"/>
      <c r="F1530" s="2069"/>
      <c r="G1530" s="2069"/>
      <c r="H1530" s="2069"/>
      <c r="I1530"/>
      <c r="J1530"/>
      <c r="K1530"/>
    </row>
    <row r="1531" spans="2:11" x14ac:dyDescent="0.2">
      <c r="B1531" s="2069"/>
      <c r="C1531" s="2069"/>
      <c r="D1531" s="2069"/>
      <c r="E1531" s="2069"/>
      <c r="F1531" s="2069"/>
      <c r="G1531" s="2069"/>
      <c r="H1531" s="2069"/>
      <c r="I1531"/>
      <c r="J1531"/>
      <c r="K1531"/>
    </row>
    <row r="1532" spans="2:11" x14ac:dyDescent="0.2">
      <c r="B1532" s="2069"/>
      <c r="C1532" s="2069"/>
      <c r="D1532" s="2069"/>
      <c r="E1532" s="2069"/>
      <c r="F1532" s="2069"/>
      <c r="G1532" s="2069"/>
      <c r="H1532" s="2069"/>
      <c r="I1532"/>
      <c r="J1532"/>
      <c r="K1532"/>
    </row>
    <row r="1533" spans="2:11" x14ac:dyDescent="0.2">
      <c r="B1533" s="2069"/>
      <c r="C1533" s="2069"/>
      <c r="D1533" s="2069"/>
      <c r="E1533" s="2069"/>
      <c r="F1533" s="2069"/>
      <c r="G1533" s="2069"/>
      <c r="H1533" s="2069"/>
      <c r="I1533"/>
      <c r="J1533"/>
      <c r="K1533"/>
    </row>
    <row r="1534" spans="2:11" x14ac:dyDescent="0.2">
      <c r="B1534" s="2069"/>
      <c r="C1534" s="2069"/>
      <c r="D1534" s="2069"/>
      <c r="E1534" s="2069"/>
      <c r="F1534" s="2069"/>
      <c r="G1534" s="2069"/>
      <c r="H1534" s="2069"/>
      <c r="I1534"/>
      <c r="J1534"/>
      <c r="K1534"/>
    </row>
    <row r="1535" spans="2:11" x14ac:dyDescent="0.2">
      <c r="B1535" s="2069"/>
      <c r="C1535" s="2069"/>
      <c r="D1535" s="2069"/>
      <c r="E1535" s="2069"/>
      <c r="F1535" s="2069"/>
      <c r="G1535" s="2069"/>
      <c r="H1535" s="2069"/>
      <c r="I1535"/>
      <c r="J1535"/>
      <c r="K1535"/>
    </row>
    <row r="1536" spans="2:11" x14ac:dyDescent="0.2">
      <c r="B1536" s="2069"/>
      <c r="C1536" s="2069"/>
      <c r="D1536" s="2069"/>
      <c r="E1536" s="2069"/>
      <c r="F1536" s="2069"/>
      <c r="G1536" s="2069"/>
      <c r="H1536" s="2069"/>
      <c r="I1536"/>
      <c r="J1536"/>
      <c r="K1536"/>
    </row>
    <row r="1537" spans="2:11" x14ac:dyDescent="0.2">
      <c r="B1537" s="2069"/>
      <c r="C1537" s="2069"/>
      <c r="D1537" s="2069"/>
      <c r="E1537" s="2069"/>
      <c r="F1537" s="2069"/>
      <c r="G1537" s="2069"/>
      <c r="H1537" s="2069"/>
      <c r="I1537"/>
      <c r="J1537"/>
      <c r="K1537"/>
    </row>
    <row r="1538" spans="2:11" x14ac:dyDescent="0.2">
      <c r="B1538" s="2069"/>
      <c r="C1538" s="2069"/>
      <c r="D1538" s="2069"/>
      <c r="E1538" s="2069"/>
      <c r="F1538" s="2069"/>
      <c r="G1538" s="2069"/>
      <c r="H1538" s="2069"/>
      <c r="I1538"/>
      <c r="J1538"/>
      <c r="K1538"/>
    </row>
    <row r="1539" spans="2:11" x14ac:dyDescent="0.2">
      <c r="B1539" s="2069"/>
      <c r="C1539" s="2069"/>
      <c r="D1539" s="2069"/>
      <c r="E1539" s="2069"/>
      <c r="F1539" s="2069"/>
      <c r="G1539" s="2069"/>
      <c r="H1539" s="2069"/>
      <c r="I1539"/>
      <c r="J1539"/>
      <c r="K1539"/>
    </row>
    <row r="1540" spans="2:11" x14ac:dyDescent="0.2">
      <c r="B1540" s="2069"/>
      <c r="C1540" s="2069"/>
      <c r="D1540" s="2069"/>
      <c r="E1540" s="2069"/>
      <c r="F1540" s="2069"/>
      <c r="G1540" s="2069"/>
      <c r="H1540" s="2069"/>
      <c r="I1540"/>
      <c r="J1540"/>
      <c r="K1540"/>
    </row>
    <row r="1541" spans="2:11" x14ac:dyDescent="0.2">
      <c r="B1541" s="2069"/>
      <c r="C1541" s="2069"/>
      <c r="D1541" s="2069"/>
      <c r="E1541" s="2069"/>
      <c r="F1541" s="2069"/>
      <c r="G1541" s="2069"/>
      <c r="H1541" s="2069"/>
      <c r="I1541"/>
      <c r="J1541"/>
      <c r="K1541"/>
    </row>
    <row r="1542" spans="2:11" x14ac:dyDescent="0.2">
      <c r="B1542" s="2069"/>
      <c r="C1542" s="2069"/>
      <c r="D1542" s="2069"/>
      <c r="E1542" s="2069"/>
      <c r="F1542" s="2069"/>
      <c r="G1542" s="2069"/>
      <c r="H1542" s="2069"/>
      <c r="I1542"/>
      <c r="J1542"/>
      <c r="K1542"/>
    </row>
    <row r="1543" spans="2:11" x14ac:dyDescent="0.2">
      <c r="B1543" s="2069"/>
      <c r="C1543" s="2069"/>
      <c r="D1543" s="2069"/>
      <c r="E1543" s="2069"/>
      <c r="F1543" s="2069"/>
      <c r="G1543" s="2069"/>
      <c r="H1543" s="2069"/>
      <c r="I1543"/>
      <c r="J1543"/>
      <c r="K1543"/>
    </row>
    <row r="1544" spans="2:11" x14ac:dyDescent="0.2">
      <c r="B1544" s="2069"/>
      <c r="C1544" s="2069"/>
      <c r="D1544" s="2069"/>
      <c r="E1544" s="2069"/>
      <c r="F1544" s="2069"/>
      <c r="G1544" s="2069"/>
      <c r="H1544" s="2069"/>
      <c r="I1544"/>
      <c r="J1544"/>
      <c r="K1544"/>
    </row>
    <row r="1545" spans="2:11" x14ac:dyDescent="0.2">
      <c r="B1545" s="2069"/>
      <c r="C1545" s="2069"/>
      <c r="D1545" s="2069"/>
      <c r="E1545" s="2069"/>
      <c r="F1545" s="2069"/>
      <c r="G1545" s="2069"/>
      <c r="H1545" s="2069"/>
      <c r="I1545"/>
      <c r="J1545"/>
      <c r="K1545"/>
    </row>
    <row r="1546" spans="2:11" x14ac:dyDescent="0.2">
      <c r="B1546" s="2069"/>
      <c r="C1546" s="2069"/>
      <c r="D1546" s="2069"/>
      <c r="E1546" s="2069"/>
      <c r="F1546" s="2069"/>
      <c r="G1546" s="2069"/>
      <c r="H1546" s="2069"/>
      <c r="I1546"/>
      <c r="J1546"/>
      <c r="K1546"/>
    </row>
    <row r="1547" spans="2:11" x14ac:dyDescent="0.2">
      <c r="B1547" s="2069"/>
      <c r="C1547" s="2069"/>
      <c r="D1547" s="2069"/>
      <c r="E1547" s="2069"/>
      <c r="F1547" s="2069"/>
      <c r="G1547" s="2069"/>
      <c r="H1547" s="2069"/>
      <c r="I1547"/>
      <c r="J1547"/>
      <c r="K1547"/>
    </row>
    <row r="1548" spans="2:11" x14ac:dyDescent="0.2">
      <c r="B1548" s="2069"/>
      <c r="C1548" s="2069"/>
      <c r="D1548" s="2069"/>
      <c r="E1548" s="2069"/>
      <c r="F1548" s="2069"/>
      <c r="G1548" s="2069"/>
      <c r="H1548" s="2069"/>
      <c r="I1548"/>
      <c r="J1548"/>
      <c r="K1548"/>
    </row>
    <row r="1549" spans="2:11" x14ac:dyDescent="0.2">
      <c r="B1549" s="2069"/>
      <c r="C1549" s="2069"/>
      <c r="D1549" s="2069"/>
      <c r="E1549" s="2069"/>
      <c r="F1549" s="2069"/>
      <c r="G1549" s="2069"/>
      <c r="H1549" s="2069"/>
      <c r="I1549"/>
      <c r="J1549"/>
      <c r="K1549"/>
    </row>
    <row r="1550" spans="2:11" x14ac:dyDescent="0.2">
      <c r="B1550" s="2069"/>
      <c r="C1550" s="2069"/>
      <c r="D1550" s="2069"/>
      <c r="E1550" s="2069"/>
      <c r="F1550" s="2069"/>
      <c r="G1550" s="2069"/>
      <c r="H1550" s="2069"/>
      <c r="I1550"/>
      <c r="J1550"/>
      <c r="K1550"/>
    </row>
    <row r="1551" spans="2:11" x14ac:dyDescent="0.2">
      <c r="B1551" s="2069"/>
      <c r="C1551" s="2069"/>
      <c r="D1551" s="2069"/>
      <c r="E1551" s="2069"/>
      <c r="F1551" s="2069"/>
      <c r="G1551" s="2069"/>
      <c r="H1551" s="2069"/>
      <c r="I1551"/>
      <c r="J1551"/>
      <c r="K1551"/>
    </row>
    <row r="1552" spans="2:11" x14ac:dyDescent="0.2">
      <c r="B1552" s="2069"/>
      <c r="C1552" s="2069"/>
      <c r="D1552" s="2069"/>
      <c r="E1552" s="2069"/>
      <c r="F1552" s="2069"/>
      <c r="G1552" s="2069"/>
      <c r="H1552" s="2069"/>
      <c r="I1552"/>
      <c r="J1552"/>
      <c r="K1552"/>
    </row>
    <row r="1553" spans="2:11" x14ac:dyDescent="0.2">
      <c r="B1553" s="2069"/>
      <c r="C1553" s="2069"/>
      <c r="D1553" s="2069"/>
      <c r="E1553" s="2069"/>
      <c r="F1553" s="2069"/>
      <c r="G1553" s="2069"/>
      <c r="H1553" s="2069"/>
      <c r="I1553"/>
      <c r="J1553"/>
      <c r="K1553"/>
    </row>
    <row r="1554" spans="2:11" x14ac:dyDescent="0.2">
      <c r="B1554" s="2069"/>
      <c r="C1554" s="2069"/>
      <c r="D1554" s="2069"/>
      <c r="E1554" s="2069"/>
      <c r="F1554" s="2069"/>
      <c r="G1554" s="2069"/>
      <c r="H1554" s="2069"/>
      <c r="I1554"/>
      <c r="J1554"/>
      <c r="K1554"/>
    </row>
    <row r="1555" spans="2:11" x14ac:dyDescent="0.2">
      <c r="B1555" s="2069"/>
      <c r="C1555" s="2069"/>
      <c r="D1555" s="2069"/>
      <c r="E1555" s="2069"/>
      <c r="F1555" s="2069"/>
      <c r="G1555" s="2069"/>
      <c r="H1555" s="2069"/>
      <c r="I1555"/>
      <c r="J1555"/>
      <c r="K1555"/>
    </row>
    <row r="1556" spans="2:11" x14ac:dyDescent="0.2">
      <c r="B1556" s="2069"/>
      <c r="C1556" s="2069"/>
      <c r="D1556" s="2069"/>
      <c r="E1556" s="2069"/>
      <c r="F1556" s="2069"/>
      <c r="G1556" s="2069"/>
      <c r="H1556" s="2069"/>
      <c r="I1556"/>
      <c r="J1556"/>
      <c r="K1556"/>
    </row>
    <row r="1557" spans="2:11" x14ac:dyDescent="0.2">
      <c r="B1557" s="2069"/>
      <c r="C1557" s="2069"/>
      <c r="D1557" s="2069"/>
      <c r="E1557" s="2069"/>
      <c r="F1557" s="2069"/>
      <c r="G1557" s="2069"/>
      <c r="H1557" s="2069"/>
      <c r="I1557"/>
      <c r="J1557"/>
      <c r="K1557"/>
    </row>
    <row r="1558" spans="2:11" x14ac:dyDescent="0.2">
      <c r="B1558" s="2069"/>
      <c r="C1558" s="2069"/>
      <c r="D1558" s="2069"/>
      <c r="E1558" s="2069"/>
      <c r="F1558" s="2069"/>
      <c r="G1558" s="2069"/>
      <c r="H1558" s="2069"/>
      <c r="I1558"/>
      <c r="J1558"/>
      <c r="K1558"/>
    </row>
    <row r="1559" spans="2:11" x14ac:dyDescent="0.2">
      <c r="B1559" s="2069"/>
      <c r="C1559" s="2069"/>
      <c r="D1559" s="2069"/>
      <c r="E1559" s="2069"/>
      <c r="F1559" s="2069"/>
      <c r="G1559" s="2069"/>
      <c r="H1559" s="2069"/>
      <c r="I1559"/>
      <c r="J1559"/>
      <c r="K1559"/>
    </row>
    <row r="1560" spans="2:11" x14ac:dyDescent="0.2">
      <c r="B1560" s="2069"/>
      <c r="C1560" s="2069"/>
      <c r="D1560" s="2069"/>
      <c r="E1560" s="2069"/>
      <c r="F1560" s="2069"/>
      <c r="G1560" s="2069"/>
      <c r="H1560" s="2069"/>
      <c r="I1560"/>
      <c r="J1560"/>
      <c r="K1560"/>
    </row>
    <row r="1561" spans="2:11" x14ac:dyDescent="0.2">
      <c r="B1561" s="2069"/>
      <c r="C1561" s="2069"/>
      <c r="D1561" s="2069"/>
      <c r="E1561" s="2069"/>
      <c r="F1561" s="2069"/>
      <c r="G1561" s="2069"/>
      <c r="H1561" s="2069"/>
      <c r="I1561"/>
      <c r="J1561"/>
      <c r="K1561"/>
    </row>
    <row r="1562" spans="2:11" x14ac:dyDescent="0.2">
      <c r="B1562" s="2069"/>
      <c r="C1562" s="2069"/>
      <c r="D1562" s="2069"/>
      <c r="E1562" s="2069"/>
      <c r="F1562" s="2069"/>
      <c r="G1562" s="2069"/>
      <c r="H1562" s="2069"/>
      <c r="I1562"/>
      <c r="J1562"/>
      <c r="K1562"/>
    </row>
    <row r="1563" spans="2:11" x14ac:dyDescent="0.2">
      <c r="B1563" s="2069"/>
      <c r="C1563" s="2069"/>
      <c r="D1563" s="2069"/>
      <c r="E1563" s="2069"/>
      <c r="F1563" s="2069"/>
      <c r="G1563" s="2069"/>
      <c r="H1563" s="2069"/>
      <c r="I1563"/>
      <c r="J1563"/>
      <c r="K1563"/>
    </row>
    <row r="1564" spans="2:11" x14ac:dyDescent="0.2">
      <c r="B1564" s="2069"/>
      <c r="C1564" s="2069"/>
      <c r="D1564" s="2069"/>
      <c r="E1564" s="2069"/>
      <c r="F1564" s="2069"/>
      <c r="G1564" s="2069"/>
      <c r="H1564" s="2069"/>
      <c r="I1564"/>
      <c r="J1564"/>
      <c r="K1564"/>
    </row>
    <row r="1565" spans="2:11" x14ac:dyDescent="0.2">
      <c r="B1565" s="2069"/>
      <c r="C1565" s="2069"/>
      <c r="D1565" s="2069"/>
      <c r="E1565" s="2069"/>
      <c r="F1565" s="2069"/>
      <c r="G1565" s="2069"/>
      <c r="H1565" s="2069"/>
      <c r="I1565"/>
      <c r="J1565"/>
      <c r="K1565"/>
    </row>
    <row r="1566" spans="2:11" x14ac:dyDescent="0.2">
      <c r="B1566" s="2069"/>
      <c r="C1566" s="2069"/>
      <c r="D1566" s="2069"/>
      <c r="E1566" s="2069"/>
      <c r="F1566" s="2069"/>
      <c r="G1566" s="2069"/>
      <c r="H1566" s="2069"/>
      <c r="I1566"/>
      <c r="J1566"/>
      <c r="K1566"/>
    </row>
    <row r="1567" spans="2:11" x14ac:dyDescent="0.2">
      <c r="B1567" s="2069"/>
      <c r="C1567" s="2069"/>
      <c r="D1567" s="2069"/>
      <c r="E1567" s="2069"/>
      <c r="F1567" s="2069"/>
      <c r="G1567" s="2069"/>
      <c r="H1567" s="2069"/>
      <c r="I1567"/>
      <c r="J1567"/>
      <c r="K1567"/>
    </row>
    <row r="1568" spans="2:11" x14ac:dyDescent="0.2">
      <c r="B1568" s="2069"/>
      <c r="C1568" s="2069"/>
      <c r="D1568" s="2069"/>
      <c r="E1568" s="2069"/>
      <c r="F1568" s="2069"/>
      <c r="G1568" s="2069"/>
      <c r="H1568" s="2069"/>
      <c r="I1568"/>
      <c r="J1568"/>
      <c r="K1568"/>
    </row>
    <row r="1569" spans="2:11" x14ac:dyDescent="0.2">
      <c r="B1569" s="2069"/>
      <c r="C1569" s="2069"/>
      <c r="D1569" s="2069"/>
      <c r="E1569" s="2069"/>
      <c r="F1569" s="2069"/>
      <c r="G1569" s="2069"/>
      <c r="H1569" s="2069"/>
      <c r="I1569"/>
      <c r="J1569"/>
      <c r="K1569"/>
    </row>
    <row r="1570" spans="2:11" x14ac:dyDescent="0.2">
      <c r="B1570" s="2069"/>
      <c r="C1570" s="2069"/>
      <c r="D1570" s="2069"/>
      <c r="E1570" s="2069"/>
      <c r="F1570" s="2069"/>
      <c r="G1570" s="2069"/>
      <c r="H1570" s="2069"/>
      <c r="I1570"/>
      <c r="J1570"/>
      <c r="K1570"/>
    </row>
    <row r="1571" spans="2:11" x14ac:dyDescent="0.2">
      <c r="B1571" s="2069"/>
      <c r="C1571" s="2069"/>
      <c r="D1571" s="2069"/>
      <c r="E1571" s="2069"/>
      <c r="F1571" s="2069"/>
      <c r="G1571" s="2069"/>
      <c r="H1571" s="2069"/>
      <c r="I1571"/>
      <c r="J1571"/>
      <c r="K1571"/>
    </row>
    <row r="1572" spans="2:11" x14ac:dyDescent="0.2">
      <c r="B1572" s="2069"/>
      <c r="C1572" s="2069"/>
      <c r="D1572" s="2069"/>
      <c r="E1572" s="2069"/>
      <c r="F1572" s="2069"/>
      <c r="G1572" s="2069"/>
      <c r="H1572" s="2069"/>
      <c r="I1572"/>
      <c r="J1572"/>
      <c r="K1572"/>
    </row>
    <row r="1573" spans="2:11" x14ac:dyDescent="0.2">
      <c r="B1573" s="2069"/>
      <c r="C1573" s="2069"/>
      <c r="D1573" s="2069"/>
      <c r="E1573" s="2069"/>
      <c r="F1573" s="2069"/>
      <c r="G1573" s="2069"/>
      <c r="H1573" s="2069"/>
      <c r="I1573"/>
      <c r="J1573"/>
      <c r="K1573"/>
    </row>
    <row r="1574" spans="2:11" x14ac:dyDescent="0.2">
      <c r="B1574" s="2069"/>
      <c r="C1574" s="2069"/>
      <c r="D1574" s="2069"/>
      <c r="E1574" s="2069"/>
      <c r="F1574" s="2069"/>
      <c r="G1574" s="2069"/>
      <c r="H1574" s="2069"/>
      <c r="I1574"/>
      <c r="J1574"/>
      <c r="K1574"/>
    </row>
    <row r="1575" spans="2:11" x14ac:dyDescent="0.2">
      <c r="B1575" s="2069"/>
      <c r="C1575" s="2069"/>
      <c r="D1575" s="2069"/>
      <c r="E1575" s="2069"/>
      <c r="F1575" s="2069"/>
      <c r="G1575" s="2069"/>
      <c r="H1575" s="2069"/>
      <c r="I1575"/>
      <c r="J1575"/>
      <c r="K1575"/>
    </row>
    <row r="1576" spans="2:11" x14ac:dyDescent="0.2">
      <c r="B1576" s="2069"/>
      <c r="C1576" s="2069"/>
      <c r="D1576" s="2069"/>
      <c r="E1576" s="2069"/>
      <c r="F1576" s="2069"/>
      <c r="G1576" s="2069"/>
      <c r="H1576" s="2069"/>
      <c r="I1576"/>
      <c r="J1576"/>
      <c r="K1576"/>
    </row>
    <row r="1577" spans="2:11" x14ac:dyDescent="0.2">
      <c r="B1577" s="2069"/>
      <c r="C1577" s="2069"/>
      <c r="D1577" s="2069"/>
      <c r="E1577" s="2069"/>
      <c r="F1577" s="2069"/>
      <c r="G1577" s="2069"/>
      <c r="H1577" s="2069"/>
      <c r="I1577"/>
      <c r="J1577"/>
      <c r="K1577"/>
    </row>
    <row r="1578" spans="2:11" x14ac:dyDescent="0.2">
      <c r="B1578" s="2069"/>
      <c r="C1578" s="2069"/>
      <c r="D1578" s="2069"/>
      <c r="E1578" s="2069"/>
      <c r="F1578" s="2069"/>
      <c r="G1578" s="2069"/>
      <c r="H1578" s="2069"/>
      <c r="I1578"/>
      <c r="J1578"/>
      <c r="K1578"/>
    </row>
    <row r="1579" spans="2:11" x14ac:dyDescent="0.2">
      <c r="B1579" s="2069"/>
      <c r="C1579" s="2069"/>
      <c r="D1579" s="2069"/>
      <c r="E1579" s="2069"/>
      <c r="F1579" s="2069"/>
      <c r="G1579" s="2069"/>
      <c r="H1579" s="2069"/>
      <c r="I1579"/>
      <c r="J1579"/>
      <c r="K1579"/>
    </row>
    <row r="1580" spans="2:11" x14ac:dyDescent="0.2">
      <c r="B1580" s="2069"/>
      <c r="C1580" s="2069"/>
      <c r="D1580" s="2069"/>
      <c r="E1580" s="2069"/>
      <c r="F1580" s="2069"/>
      <c r="G1580" s="2069"/>
      <c r="H1580" s="2069"/>
      <c r="I1580"/>
      <c r="J1580"/>
      <c r="K1580"/>
    </row>
    <row r="1581" spans="2:11" x14ac:dyDescent="0.2">
      <c r="B1581" s="2069"/>
      <c r="C1581" s="2069"/>
      <c r="D1581" s="2069"/>
      <c r="E1581" s="2069"/>
      <c r="F1581" s="2069"/>
      <c r="G1581" s="2069"/>
      <c r="H1581" s="2069"/>
      <c r="I1581"/>
      <c r="J1581"/>
      <c r="K1581"/>
    </row>
    <row r="1582" spans="2:11" x14ac:dyDescent="0.2">
      <c r="B1582" s="2069"/>
      <c r="C1582" s="2069"/>
      <c r="D1582" s="2069"/>
      <c r="E1582" s="2069"/>
      <c r="F1582" s="2069"/>
      <c r="G1582" s="2069"/>
      <c r="H1582" s="2069"/>
      <c r="I1582"/>
      <c r="J1582"/>
      <c r="K1582"/>
    </row>
    <row r="1583" spans="2:11" x14ac:dyDescent="0.2">
      <c r="B1583" s="2069"/>
      <c r="C1583" s="2069"/>
      <c r="D1583" s="2069"/>
      <c r="E1583" s="2069"/>
      <c r="F1583" s="2069"/>
      <c r="G1583" s="2069"/>
      <c r="H1583" s="2069"/>
      <c r="I1583"/>
      <c r="J1583"/>
      <c r="K1583"/>
    </row>
    <row r="1584" spans="2:11" x14ac:dyDescent="0.2">
      <c r="B1584" s="2069"/>
      <c r="C1584" s="2069"/>
      <c r="D1584" s="2069"/>
      <c r="E1584" s="2069"/>
      <c r="F1584" s="2069"/>
      <c r="G1584" s="2069"/>
      <c r="H1584" s="2069"/>
      <c r="I1584"/>
      <c r="J1584"/>
      <c r="K1584"/>
    </row>
    <row r="1585" spans="2:11" x14ac:dyDescent="0.2">
      <c r="B1585" s="2069"/>
      <c r="C1585" s="2069"/>
      <c r="D1585" s="2069"/>
      <c r="E1585" s="2069"/>
      <c r="F1585" s="2069"/>
      <c r="G1585" s="2069"/>
      <c r="H1585" s="2069"/>
      <c r="I1585"/>
      <c r="J1585"/>
      <c r="K1585"/>
    </row>
    <row r="1586" spans="2:11" x14ac:dyDescent="0.2">
      <c r="B1586" s="2069"/>
      <c r="C1586" s="2069"/>
      <c r="D1586" s="2069"/>
      <c r="E1586" s="2069"/>
      <c r="F1586" s="2069"/>
      <c r="G1586" s="2069"/>
      <c r="H1586" s="2069"/>
      <c r="I1586"/>
      <c r="J1586"/>
      <c r="K1586"/>
    </row>
    <row r="1587" spans="2:11" x14ac:dyDescent="0.2">
      <c r="B1587" s="2069"/>
      <c r="C1587" s="2069"/>
      <c r="D1587" s="2069"/>
      <c r="E1587" s="2069"/>
      <c r="F1587" s="2069"/>
      <c r="G1587" s="2069"/>
      <c r="H1587" s="2069"/>
      <c r="I1587"/>
      <c r="J1587"/>
      <c r="K1587"/>
    </row>
    <row r="1588" spans="2:11" x14ac:dyDescent="0.2">
      <c r="B1588" s="2069"/>
      <c r="C1588" s="2069"/>
      <c r="D1588" s="2069"/>
      <c r="E1588" s="2069"/>
      <c r="F1588" s="2069"/>
      <c r="G1588" s="2069"/>
      <c r="H1588" s="2069"/>
      <c r="I1588"/>
      <c r="J1588"/>
      <c r="K1588"/>
    </row>
    <row r="1589" spans="2:11" x14ac:dyDescent="0.2">
      <c r="B1589" s="2069"/>
      <c r="C1589" s="2069"/>
      <c r="D1589" s="2069"/>
      <c r="E1589" s="2069"/>
      <c r="F1589" s="2069"/>
      <c r="G1589" s="2069"/>
      <c r="H1589" s="2069"/>
      <c r="I1589"/>
      <c r="J1589"/>
      <c r="K1589"/>
    </row>
    <row r="1590" spans="2:11" x14ac:dyDescent="0.2">
      <c r="B1590" s="2069"/>
      <c r="C1590" s="2069"/>
      <c r="D1590" s="2069"/>
      <c r="E1590" s="2069"/>
      <c r="F1590" s="2069"/>
      <c r="G1590" s="2069"/>
      <c r="H1590" s="2069"/>
      <c r="I1590"/>
      <c r="J1590"/>
      <c r="K1590"/>
    </row>
    <row r="1591" spans="2:11" x14ac:dyDescent="0.2">
      <c r="B1591" s="2069"/>
      <c r="C1591" s="2069"/>
      <c r="D1591" s="2069"/>
      <c r="E1591" s="2069"/>
      <c r="F1591" s="2069"/>
      <c r="G1591" s="2069"/>
      <c r="H1591" s="2069"/>
      <c r="I1591"/>
      <c r="J1591"/>
      <c r="K1591"/>
    </row>
    <row r="1592" spans="2:11" x14ac:dyDescent="0.2">
      <c r="B1592" s="2069"/>
      <c r="C1592" s="2069"/>
      <c r="D1592" s="2069"/>
      <c r="E1592" s="2069"/>
      <c r="F1592" s="2069"/>
      <c r="G1592" s="2069"/>
      <c r="H1592" s="2069"/>
      <c r="I1592"/>
      <c r="J1592"/>
      <c r="K1592"/>
    </row>
    <row r="1593" spans="2:11" x14ac:dyDescent="0.2">
      <c r="B1593" s="2069"/>
      <c r="C1593" s="2069"/>
      <c r="D1593" s="2069"/>
      <c r="E1593" s="2069"/>
      <c r="F1593" s="2069"/>
      <c r="G1593" s="2069"/>
      <c r="H1593" s="2069"/>
      <c r="I1593"/>
      <c r="J1593"/>
      <c r="K1593"/>
    </row>
    <row r="1594" spans="2:11" x14ac:dyDescent="0.2">
      <c r="B1594" s="2069"/>
      <c r="C1594" s="2069"/>
      <c r="D1594" s="2069"/>
      <c r="E1594" s="2069"/>
      <c r="F1594" s="2069"/>
      <c r="G1594" s="2069"/>
      <c r="H1594" s="2069"/>
      <c r="I1594"/>
      <c r="J1594"/>
      <c r="K1594"/>
    </row>
    <row r="1595" spans="2:11" x14ac:dyDescent="0.2">
      <c r="B1595" s="2069"/>
      <c r="C1595" s="2069"/>
      <c r="D1595" s="2069"/>
      <c r="E1595" s="2069"/>
      <c r="F1595" s="2069"/>
      <c r="G1595" s="2069"/>
      <c r="H1595" s="2069"/>
      <c r="I1595"/>
      <c r="J1595"/>
      <c r="K1595"/>
    </row>
    <row r="1596" spans="2:11" x14ac:dyDescent="0.2">
      <c r="B1596" s="2069"/>
      <c r="C1596" s="2069"/>
      <c r="D1596" s="2069"/>
      <c r="E1596" s="2069"/>
      <c r="F1596" s="2069"/>
      <c r="G1596" s="2069"/>
      <c r="H1596" s="2069"/>
      <c r="I1596"/>
      <c r="J1596"/>
      <c r="K1596"/>
    </row>
    <row r="1597" spans="2:11" x14ac:dyDescent="0.2">
      <c r="B1597" s="2069"/>
      <c r="C1597" s="2069"/>
      <c r="D1597" s="2069"/>
      <c r="E1597" s="2069"/>
      <c r="F1597" s="2069"/>
      <c r="G1597" s="2069"/>
      <c r="H1597" s="2069"/>
      <c r="I1597"/>
      <c r="J1597"/>
      <c r="K1597"/>
    </row>
    <row r="1598" spans="2:11" x14ac:dyDescent="0.2">
      <c r="B1598" s="2069"/>
      <c r="C1598" s="2069"/>
      <c r="D1598" s="2069"/>
      <c r="E1598" s="2069"/>
      <c r="F1598" s="2069"/>
      <c r="G1598" s="2069"/>
      <c r="H1598" s="2069"/>
      <c r="I1598"/>
      <c r="J1598"/>
      <c r="K1598"/>
    </row>
    <row r="1599" spans="2:11" x14ac:dyDescent="0.2">
      <c r="B1599" s="2069"/>
      <c r="C1599" s="2069"/>
      <c r="D1599" s="2069"/>
      <c r="E1599" s="2069"/>
      <c r="F1599" s="2069"/>
      <c r="G1599" s="2069"/>
      <c r="H1599" s="2069"/>
      <c r="I1599"/>
      <c r="J1599"/>
      <c r="K1599"/>
    </row>
    <row r="1600" spans="2:11" x14ac:dyDescent="0.2">
      <c r="B1600" s="2069"/>
      <c r="C1600" s="2069"/>
      <c r="D1600" s="2069"/>
      <c r="E1600" s="2069"/>
      <c r="F1600" s="2069"/>
      <c r="G1600" s="2069"/>
      <c r="H1600" s="2069"/>
      <c r="I1600"/>
      <c r="J1600"/>
      <c r="K1600"/>
    </row>
    <row r="1601" spans="2:11" x14ac:dyDescent="0.2">
      <c r="B1601" s="2069"/>
      <c r="C1601" s="2069"/>
      <c r="D1601" s="2069"/>
      <c r="E1601" s="2069"/>
      <c r="F1601" s="2069"/>
      <c r="G1601" s="2069"/>
      <c r="H1601" s="2069"/>
      <c r="I1601"/>
      <c r="J1601"/>
      <c r="K1601"/>
    </row>
    <row r="1602" spans="2:11" x14ac:dyDescent="0.2">
      <c r="B1602" s="2069"/>
      <c r="C1602" s="2069"/>
      <c r="D1602" s="2069"/>
      <c r="E1602" s="2069"/>
      <c r="F1602" s="2069"/>
      <c r="G1602" s="2069"/>
      <c r="H1602" s="2069"/>
      <c r="I1602"/>
      <c r="J1602"/>
      <c r="K1602"/>
    </row>
    <row r="1603" spans="2:11" x14ac:dyDescent="0.2">
      <c r="B1603" s="2069"/>
      <c r="C1603" s="2069"/>
      <c r="D1603" s="2069"/>
      <c r="E1603" s="2069"/>
      <c r="F1603" s="2069"/>
      <c r="G1603" s="2069"/>
      <c r="H1603" s="2069"/>
      <c r="I1603"/>
      <c r="J1603"/>
      <c r="K1603"/>
    </row>
    <row r="1604" spans="2:11" x14ac:dyDescent="0.2">
      <c r="B1604" s="2069"/>
      <c r="C1604" s="2069"/>
      <c r="D1604" s="2069"/>
      <c r="E1604" s="2069"/>
      <c r="F1604" s="2069"/>
      <c r="G1604" s="2069"/>
      <c r="H1604" s="2069"/>
      <c r="I1604"/>
      <c r="J1604"/>
      <c r="K1604"/>
    </row>
    <row r="1605" spans="2:11" x14ac:dyDescent="0.2">
      <c r="B1605" s="2069"/>
      <c r="C1605" s="2069"/>
      <c r="D1605" s="2069"/>
      <c r="E1605" s="2069"/>
      <c r="F1605" s="2069"/>
      <c r="G1605" s="2069"/>
      <c r="H1605" s="2069"/>
      <c r="I1605"/>
      <c r="J1605"/>
      <c r="K1605"/>
    </row>
    <row r="1606" spans="2:11" x14ac:dyDescent="0.2">
      <c r="B1606" s="2069"/>
      <c r="C1606" s="2069"/>
      <c r="D1606" s="2069"/>
      <c r="E1606" s="2069"/>
      <c r="F1606" s="2069"/>
      <c r="G1606" s="2069"/>
      <c r="H1606" s="2069"/>
      <c r="I1606"/>
      <c r="J1606"/>
      <c r="K1606"/>
    </row>
    <row r="1607" spans="2:11" x14ac:dyDescent="0.2">
      <c r="B1607" s="2069"/>
      <c r="C1607" s="2069"/>
      <c r="D1607" s="2069"/>
      <c r="E1607" s="2069"/>
      <c r="F1607" s="2069"/>
      <c r="G1607" s="2069"/>
      <c r="H1607" s="2069"/>
      <c r="I1607"/>
      <c r="J1607"/>
      <c r="K1607"/>
    </row>
    <row r="1608" spans="2:11" x14ac:dyDescent="0.2">
      <c r="B1608" s="2069"/>
      <c r="C1608" s="2069"/>
      <c r="D1608" s="2069"/>
      <c r="E1608" s="2069"/>
      <c r="F1608" s="2069"/>
      <c r="G1608" s="2069"/>
      <c r="H1608" s="2069"/>
      <c r="I1608"/>
      <c r="J1608"/>
      <c r="K1608"/>
    </row>
    <row r="1609" spans="2:11" x14ac:dyDescent="0.2">
      <c r="B1609" s="2069"/>
      <c r="C1609" s="2069"/>
      <c r="D1609" s="2069"/>
      <c r="E1609" s="2069"/>
      <c r="F1609" s="2069"/>
      <c r="G1609" s="2069"/>
      <c r="H1609" s="2069"/>
      <c r="I1609"/>
      <c r="J1609"/>
      <c r="K1609"/>
    </row>
    <row r="1610" spans="2:11" x14ac:dyDescent="0.2">
      <c r="B1610" s="2069"/>
      <c r="C1610" s="2069"/>
      <c r="D1610" s="2069"/>
      <c r="E1610" s="2069"/>
      <c r="F1610" s="2069"/>
      <c r="G1610" s="2069"/>
      <c r="H1610" s="2069"/>
      <c r="I1610"/>
      <c r="J1610"/>
      <c r="K1610"/>
    </row>
    <row r="1611" spans="2:11" x14ac:dyDescent="0.2">
      <c r="B1611" s="2069"/>
      <c r="C1611" s="2069"/>
      <c r="D1611" s="2069"/>
      <c r="E1611" s="2069"/>
      <c r="F1611" s="2069"/>
      <c r="G1611" s="2069"/>
      <c r="H1611" s="2069"/>
      <c r="I1611"/>
      <c r="J1611"/>
      <c r="K1611"/>
    </row>
    <row r="1612" spans="2:11" x14ac:dyDescent="0.2">
      <c r="B1612" s="2069"/>
      <c r="C1612" s="2069"/>
      <c r="D1612" s="2069"/>
      <c r="E1612" s="2069"/>
      <c r="F1612" s="2069"/>
      <c r="G1612" s="2069"/>
      <c r="H1612" s="2069"/>
      <c r="I1612"/>
      <c r="J1612"/>
      <c r="K1612"/>
    </row>
    <row r="1613" spans="2:11" x14ac:dyDescent="0.2">
      <c r="B1613" s="2069"/>
      <c r="C1613" s="2069"/>
      <c r="D1613" s="2069"/>
      <c r="E1613" s="2069"/>
      <c r="F1613" s="2069"/>
      <c r="G1613" s="2069"/>
      <c r="H1613" s="2069"/>
      <c r="I1613"/>
      <c r="J1613"/>
      <c r="K1613"/>
    </row>
    <row r="1614" spans="2:11" x14ac:dyDescent="0.2">
      <c r="B1614" s="2069"/>
      <c r="C1614" s="2069"/>
      <c r="D1614" s="2069"/>
      <c r="E1614" s="2069"/>
      <c r="F1614" s="2069"/>
      <c r="G1614" s="2069"/>
      <c r="H1614" s="2069"/>
      <c r="I1614"/>
      <c r="J1614"/>
      <c r="K1614"/>
    </row>
    <row r="1615" spans="2:11" x14ac:dyDescent="0.2">
      <c r="B1615" s="2069"/>
      <c r="C1615" s="2069"/>
      <c r="D1615" s="2069"/>
      <c r="E1615" s="2069"/>
      <c r="F1615" s="2069"/>
      <c r="G1615" s="2069"/>
      <c r="H1615" s="2069"/>
      <c r="I1615"/>
      <c r="J1615"/>
      <c r="K1615"/>
    </row>
    <row r="1616" spans="2:11" x14ac:dyDescent="0.2">
      <c r="B1616" s="2069"/>
      <c r="C1616" s="2069"/>
      <c r="D1616" s="2069"/>
      <c r="E1616" s="2069"/>
      <c r="F1616" s="2069"/>
      <c r="G1616" s="2069"/>
      <c r="H1616" s="2069"/>
      <c r="I1616"/>
      <c r="J1616"/>
      <c r="K1616"/>
    </row>
    <row r="1617" spans="2:11" x14ac:dyDescent="0.2">
      <c r="B1617" s="2069"/>
      <c r="C1617" s="2069"/>
      <c r="D1617" s="2069"/>
      <c r="E1617" s="2069"/>
      <c r="F1617" s="2069"/>
      <c r="G1617" s="2069"/>
      <c r="H1617" s="2069"/>
      <c r="I1617"/>
      <c r="J1617"/>
      <c r="K1617"/>
    </row>
    <row r="1618" spans="2:11" x14ac:dyDescent="0.2">
      <c r="B1618" s="2069"/>
      <c r="C1618" s="2069"/>
      <c r="D1618" s="2069"/>
      <c r="E1618" s="2069"/>
      <c r="F1618" s="2069"/>
      <c r="G1618" s="2069"/>
      <c r="H1618" s="2069"/>
      <c r="I1618"/>
      <c r="J1618"/>
      <c r="K1618"/>
    </row>
    <row r="1619" spans="2:11" x14ac:dyDescent="0.2">
      <c r="B1619" s="2069"/>
      <c r="C1619" s="2069"/>
      <c r="D1619" s="2069"/>
      <c r="E1619" s="2069"/>
      <c r="F1619" s="2069"/>
      <c r="G1619" s="2069"/>
      <c r="H1619" s="2069"/>
      <c r="I1619"/>
      <c r="J1619"/>
      <c r="K1619"/>
    </row>
    <row r="1620" spans="2:11" x14ac:dyDescent="0.2">
      <c r="B1620" s="2069"/>
      <c r="C1620" s="2069"/>
      <c r="D1620" s="2069"/>
      <c r="E1620" s="2069"/>
      <c r="F1620" s="2069"/>
      <c r="G1620" s="2069"/>
      <c r="H1620" s="2069"/>
      <c r="I1620"/>
      <c r="J1620"/>
      <c r="K1620"/>
    </row>
    <row r="1621" spans="2:11" x14ac:dyDescent="0.2">
      <c r="B1621" s="2069"/>
      <c r="C1621" s="2069"/>
      <c r="D1621" s="2069"/>
      <c r="E1621" s="2069"/>
      <c r="F1621" s="2069"/>
      <c r="G1621" s="2069"/>
      <c r="H1621" s="2069"/>
      <c r="I1621"/>
      <c r="J1621"/>
      <c r="K1621"/>
    </row>
    <row r="1622" spans="2:11" x14ac:dyDescent="0.2">
      <c r="B1622" s="2069"/>
      <c r="C1622" s="2069"/>
      <c r="D1622" s="2069"/>
      <c r="E1622" s="2069"/>
      <c r="F1622" s="2069"/>
      <c r="G1622" s="2069"/>
      <c r="H1622" s="2069"/>
      <c r="I1622"/>
      <c r="J1622"/>
      <c r="K1622"/>
    </row>
    <row r="1623" spans="2:11" x14ac:dyDescent="0.2">
      <c r="B1623" s="2069"/>
      <c r="C1623" s="2069"/>
      <c r="D1623" s="2069"/>
      <c r="E1623" s="2069"/>
      <c r="F1623" s="2069"/>
      <c r="G1623" s="2069"/>
      <c r="H1623" s="2069"/>
      <c r="I1623"/>
      <c r="J1623"/>
      <c r="K1623"/>
    </row>
    <row r="1624" spans="2:11" x14ac:dyDescent="0.2">
      <c r="B1624" s="2069"/>
      <c r="C1624" s="2069"/>
      <c r="D1624" s="2069"/>
      <c r="E1624" s="2069"/>
      <c r="F1624" s="2069"/>
      <c r="G1624" s="2069"/>
      <c r="H1624" s="2069"/>
      <c r="I1624"/>
      <c r="J1624"/>
      <c r="K1624"/>
    </row>
    <row r="1625" spans="2:11" x14ac:dyDescent="0.2">
      <c r="B1625" s="2069"/>
      <c r="C1625" s="2069"/>
      <c r="D1625" s="2069"/>
      <c r="E1625" s="2069"/>
      <c r="F1625" s="2069"/>
      <c r="G1625" s="2069"/>
      <c r="H1625" s="2069"/>
      <c r="I1625"/>
      <c r="J1625"/>
      <c r="K1625"/>
    </row>
    <row r="1626" spans="2:11" x14ac:dyDescent="0.2">
      <c r="B1626" s="2069"/>
      <c r="C1626" s="2069"/>
      <c r="D1626" s="2069"/>
      <c r="E1626" s="2069"/>
      <c r="F1626" s="2069"/>
      <c r="G1626" s="2069"/>
      <c r="H1626" s="2069"/>
      <c r="I1626"/>
      <c r="J1626"/>
      <c r="K1626"/>
    </row>
    <row r="1627" spans="2:11" x14ac:dyDescent="0.2">
      <c r="B1627" s="2069"/>
      <c r="C1627" s="2069"/>
      <c r="D1627" s="2069"/>
      <c r="E1627" s="2069"/>
      <c r="F1627" s="2069"/>
      <c r="G1627" s="2069"/>
      <c r="H1627" s="2069"/>
      <c r="I1627"/>
      <c r="J1627"/>
      <c r="K1627"/>
    </row>
    <row r="1628" spans="2:11" x14ac:dyDescent="0.2">
      <c r="B1628" s="2069"/>
      <c r="C1628" s="2069"/>
      <c r="D1628" s="2069"/>
      <c r="E1628" s="2069"/>
      <c r="F1628" s="2069"/>
      <c r="G1628" s="2069"/>
      <c r="H1628" s="2069"/>
      <c r="I1628"/>
      <c r="J1628"/>
      <c r="K1628"/>
    </row>
    <row r="1629" spans="2:11" x14ac:dyDescent="0.2">
      <c r="B1629" s="2069"/>
      <c r="C1629" s="2069"/>
      <c r="D1629" s="2069"/>
      <c r="E1629" s="2069"/>
      <c r="F1629" s="2069"/>
      <c r="G1629" s="2069"/>
      <c r="H1629" s="2069"/>
      <c r="I1629"/>
      <c r="J1629"/>
      <c r="K1629"/>
    </row>
    <row r="1630" spans="2:11" x14ac:dyDescent="0.2">
      <c r="B1630" s="2069"/>
      <c r="C1630" s="2069"/>
      <c r="D1630" s="2069"/>
      <c r="E1630" s="2069"/>
      <c r="F1630" s="2069"/>
      <c r="G1630" s="2069"/>
      <c r="H1630" s="2069"/>
      <c r="I1630"/>
      <c r="J1630"/>
      <c r="K1630"/>
    </row>
    <row r="1631" spans="2:11" x14ac:dyDescent="0.2">
      <c r="B1631" s="2069"/>
      <c r="C1631" s="2069"/>
      <c r="D1631" s="2069"/>
      <c r="E1631" s="2069"/>
      <c r="F1631" s="2069"/>
      <c r="G1631" s="2069"/>
      <c r="H1631" s="2069"/>
      <c r="I1631"/>
      <c r="J1631"/>
      <c r="K1631"/>
    </row>
    <row r="1632" spans="2:11" x14ac:dyDescent="0.2">
      <c r="B1632" s="2069"/>
      <c r="C1632" s="2069"/>
      <c r="D1632" s="2069"/>
      <c r="E1632" s="2069"/>
      <c r="F1632" s="2069"/>
      <c r="G1632" s="2069"/>
      <c r="H1632" s="2069"/>
      <c r="I1632"/>
      <c r="J1632"/>
      <c r="K1632"/>
    </row>
    <row r="1633" spans="2:11" x14ac:dyDescent="0.2">
      <c r="B1633" s="2069"/>
      <c r="C1633" s="2069"/>
      <c r="D1633" s="2069"/>
      <c r="E1633" s="2069"/>
      <c r="F1633" s="2069"/>
      <c r="G1633" s="2069"/>
      <c r="H1633" s="2069"/>
      <c r="I1633"/>
      <c r="J1633"/>
      <c r="K1633"/>
    </row>
    <row r="1634" spans="2:11" x14ac:dyDescent="0.2">
      <c r="B1634" s="2069"/>
      <c r="C1634" s="2069"/>
      <c r="D1634" s="2069"/>
      <c r="E1634" s="2069"/>
      <c r="F1634" s="2069"/>
      <c r="G1634" s="2069"/>
      <c r="H1634" s="2069"/>
      <c r="I1634"/>
      <c r="J1634"/>
      <c r="K1634"/>
    </row>
    <row r="1635" spans="2:11" x14ac:dyDescent="0.2">
      <c r="B1635" s="2069"/>
      <c r="C1635" s="2069"/>
      <c r="D1635" s="2069"/>
      <c r="E1635" s="2069"/>
      <c r="F1635" s="2069"/>
      <c r="G1635" s="2069"/>
      <c r="H1635" s="2069"/>
      <c r="I1635"/>
      <c r="J1635"/>
      <c r="K1635"/>
    </row>
    <row r="1636" spans="2:11" x14ac:dyDescent="0.2">
      <c r="B1636" s="2069"/>
      <c r="C1636" s="2069"/>
      <c r="D1636" s="2069"/>
      <c r="E1636" s="2069"/>
      <c r="F1636" s="2069"/>
      <c r="G1636" s="2069"/>
      <c r="H1636" s="2069"/>
      <c r="I1636"/>
      <c r="J1636"/>
      <c r="K1636"/>
    </row>
    <row r="1637" spans="2:11" x14ac:dyDescent="0.2">
      <c r="B1637" s="2069"/>
      <c r="C1637" s="2069"/>
      <c r="D1637" s="2069"/>
      <c r="E1637" s="2069"/>
      <c r="F1637" s="2069"/>
      <c r="G1637" s="2069"/>
      <c r="H1637" s="2069"/>
      <c r="I1637"/>
      <c r="J1637"/>
      <c r="K1637"/>
    </row>
    <row r="1638" spans="2:11" x14ac:dyDescent="0.2">
      <c r="B1638" s="2069"/>
      <c r="C1638" s="2069"/>
      <c r="D1638" s="2069"/>
      <c r="E1638" s="2069"/>
      <c r="F1638" s="2069"/>
      <c r="G1638" s="2069"/>
      <c r="H1638" s="2069"/>
      <c r="I1638"/>
      <c r="J1638"/>
      <c r="K1638"/>
    </row>
    <row r="1639" spans="2:11" x14ac:dyDescent="0.2">
      <c r="B1639" s="2069"/>
      <c r="C1639" s="2069"/>
      <c r="D1639" s="2069"/>
      <c r="E1639" s="2069"/>
      <c r="F1639" s="2069"/>
      <c r="G1639" s="2069"/>
      <c r="H1639" s="2069"/>
      <c r="I1639"/>
      <c r="J1639"/>
      <c r="K1639"/>
    </row>
    <row r="1640" spans="2:11" x14ac:dyDescent="0.2">
      <c r="B1640" s="2069"/>
      <c r="C1640" s="2069"/>
      <c r="D1640" s="2069"/>
      <c r="E1640" s="2069"/>
      <c r="F1640" s="2069"/>
      <c r="G1640" s="2069"/>
      <c r="H1640" s="2069"/>
      <c r="I1640"/>
      <c r="J1640"/>
      <c r="K1640"/>
    </row>
    <row r="1641" spans="2:11" x14ac:dyDescent="0.2">
      <c r="B1641" s="2069"/>
      <c r="C1641" s="2069"/>
      <c r="D1641" s="2069"/>
      <c r="E1641" s="2069"/>
      <c r="F1641" s="2069"/>
      <c r="G1641" s="2069"/>
      <c r="H1641" s="2069"/>
      <c r="I1641"/>
      <c r="J1641"/>
      <c r="K1641"/>
    </row>
    <row r="1642" spans="2:11" x14ac:dyDescent="0.2">
      <c r="B1642" s="2069"/>
      <c r="C1642" s="2069"/>
      <c r="D1642" s="2069"/>
      <c r="E1642" s="2069"/>
      <c r="F1642" s="2069"/>
      <c r="G1642" s="2069"/>
      <c r="H1642" s="2069"/>
      <c r="I1642"/>
      <c r="J1642"/>
      <c r="K1642"/>
    </row>
    <row r="1643" spans="2:11" x14ac:dyDescent="0.2">
      <c r="B1643" s="2069"/>
      <c r="C1643" s="2069"/>
      <c r="D1643" s="2069"/>
      <c r="E1643" s="2069"/>
      <c r="F1643" s="2069"/>
      <c r="G1643" s="2069"/>
      <c r="H1643" s="2069"/>
      <c r="I1643"/>
      <c r="J1643"/>
      <c r="K1643"/>
    </row>
    <row r="1644" spans="2:11" x14ac:dyDescent="0.2">
      <c r="B1644" s="2069"/>
      <c r="C1644" s="2069"/>
      <c r="D1644" s="2069"/>
      <c r="E1644" s="2069"/>
      <c r="F1644" s="2069"/>
      <c r="G1644" s="2069"/>
      <c r="H1644" s="2069"/>
      <c r="I1644"/>
      <c r="J1644"/>
      <c r="K1644"/>
    </row>
    <row r="1645" spans="2:11" x14ac:dyDescent="0.2">
      <c r="B1645" s="2069"/>
      <c r="C1645" s="2069"/>
      <c r="D1645" s="2069"/>
      <c r="E1645" s="2069"/>
      <c r="F1645" s="2069"/>
      <c r="G1645" s="2069"/>
      <c r="H1645" s="2069"/>
      <c r="I1645"/>
      <c r="J1645"/>
      <c r="K1645"/>
    </row>
    <row r="1646" spans="2:11" x14ac:dyDescent="0.2">
      <c r="B1646" s="2069"/>
      <c r="C1646" s="2069"/>
      <c r="D1646" s="2069"/>
      <c r="E1646" s="2069"/>
      <c r="F1646" s="2069"/>
      <c r="G1646" s="2069"/>
      <c r="H1646" s="2069"/>
      <c r="I1646"/>
      <c r="J1646"/>
      <c r="K1646"/>
    </row>
    <row r="1647" spans="2:11" x14ac:dyDescent="0.2">
      <c r="B1647" s="2069"/>
      <c r="C1647" s="2069"/>
      <c r="D1647" s="2069"/>
      <c r="E1647" s="2069"/>
      <c r="F1647" s="2069"/>
      <c r="G1647" s="2069"/>
      <c r="H1647" s="2069"/>
      <c r="I1647"/>
      <c r="J1647"/>
      <c r="K1647"/>
    </row>
    <row r="1648" spans="2:11" x14ac:dyDescent="0.2">
      <c r="B1648" s="2069"/>
      <c r="C1648" s="2069"/>
      <c r="D1648" s="2069"/>
      <c r="E1648" s="2069"/>
      <c r="F1648" s="2069"/>
      <c r="G1648" s="2069"/>
      <c r="H1648" s="2069"/>
      <c r="I1648"/>
      <c r="J1648"/>
      <c r="K1648"/>
    </row>
    <row r="1649" spans="2:11" x14ac:dyDescent="0.2">
      <c r="B1649" s="2069"/>
      <c r="C1649" s="2069"/>
      <c r="D1649" s="2069"/>
      <c r="E1649" s="2069"/>
      <c r="F1649" s="2069"/>
      <c r="G1649" s="2069"/>
      <c r="H1649" s="2069"/>
      <c r="I1649"/>
      <c r="J1649"/>
      <c r="K1649"/>
    </row>
    <row r="1650" spans="2:11" x14ac:dyDescent="0.2">
      <c r="B1650" s="2069"/>
      <c r="C1650" s="2069"/>
      <c r="D1650" s="2069"/>
      <c r="E1650" s="2069"/>
      <c r="F1650" s="2069"/>
      <c r="G1650" s="2069"/>
      <c r="H1650" s="2069"/>
      <c r="I1650"/>
      <c r="J1650"/>
      <c r="K1650"/>
    </row>
    <row r="1651" spans="2:11" x14ac:dyDescent="0.2">
      <c r="B1651" s="2069"/>
      <c r="C1651" s="2069"/>
      <c r="D1651" s="2069"/>
      <c r="E1651" s="2069"/>
      <c r="F1651" s="2069"/>
      <c r="G1651" s="2069"/>
      <c r="H1651" s="2069"/>
      <c r="I1651"/>
      <c r="J1651"/>
      <c r="K1651"/>
    </row>
    <row r="1652" spans="2:11" x14ac:dyDescent="0.2">
      <c r="B1652" s="2069"/>
      <c r="C1652" s="2069"/>
      <c r="D1652" s="2069"/>
      <c r="E1652" s="2069"/>
      <c r="F1652" s="2069"/>
      <c r="G1652" s="2069"/>
      <c r="H1652" s="2069"/>
      <c r="I1652"/>
      <c r="J1652"/>
      <c r="K1652"/>
    </row>
    <row r="1653" spans="2:11" x14ac:dyDescent="0.2">
      <c r="B1653" s="2069"/>
      <c r="C1653" s="2069"/>
      <c r="D1653" s="2069"/>
      <c r="E1653" s="2069"/>
      <c r="F1653" s="2069"/>
      <c r="G1653" s="2069"/>
      <c r="H1653" s="2069"/>
      <c r="I1653"/>
      <c r="J1653"/>
      <c r="K1653"/>
    </row>
    <row r="1654" spans="2:11" x14ac:dyDescent="0.2">
      <c r="B1654" s="2069"/>
      <c r="C1654" s="2069"/>
      <c r="D1654" s="2069"/>
      <c r="E1654" s="2069"/>
      <c r="F1654" s="2069"/>
      <c r="G1654" s="2069"/>
      <c r="H1654" s="2069"/>
      <c r="I1654"/>
      <c r="J1654"/>
      <c r="K1654"/>
    </row>
    <row r="1655" spans="2:11" x14ac:dyDescent="0.2">
      <c r="B1655" s="2069"/>
      <c r="C1655" s="2069"/>
      <c r="D1655" s="2069"/>
      <c r="E1655" s="2069"/>
      <c r="F1655" s="2069"/>
      <c r="G1655" s="2069"/>
      <c r="H1655" s="2069"/>
      <c r="I1655"/>
      <c r="J1655"/>
      <c r="K1655"/>
    </row>
    <row r="1656" spans="2:11" x14ac:dyDescent="0.2">
      <c r="B1656" s="2069"/>
      <c r="C1656" s="2069"/>
      <c r="D1656" s="2069"/>
      <c r="E1656" s="2069"/>
      <c r="F1656" s="2069"/>
      <c r="G1656" s="2069"/>
      <c r="H1656" s="2069"/>
      <c r="I1656"/>
      <c r="J1656"/>
      <c r="K1656"/>
    </row>
    <row r="1657" spans="2:11" x14ac:dyDescent="0.2">
      <c r="B1657" s="2069"/>
      <c r="C1657" s="2069"/>
      <c r="D1657" s="2069"/>
      <c r="E1657" s="2069"/>
      <c r="F1657" s="2069"/>
      <c r="G1657" s="2069"/>
      <c r="H1657" s="2069"/>
      <c r="I1657"/>
      <c r="J1657"/>
      <c r="K1657"/>
    </row>
    <row r="1658" spans="2:11" x14ac:dyDescent="0.2">
      <c r="B1658" s="2069"/>
      <c r="C1658" s="2069"/>
      <c r="D1658" s="2069"/>
      <c r="E1658" s="2069"/>
      <c r="F1658" s="2069"/>
      <c r="G1658" s="2069"/>
      <c r="H1658" s="2069"/>
      <c r="I1658"/>
      <c r="J1658"/>
      <c r="K1658"/>
    </row>
    <row r="1659" spans="2:11" x14ac:dyDescent="0.2">
      <c r="B1659" s="2069"/>
      <c r="C1659" s="2069"/>
      <c r="D1659" s="2069"/>
      <c r="E1659" s="2069"/>
      <c r="F1659" s="2069"/>
      <c r="G1659" s="2069"/>
      <c r="H1659" s="2069"/>
      <c r="I1659"/>
      <c r="J1659"/>
      <c r="K1659"/>
    </row>
    <row r="1660" spans="2:11" x14ac:dyDescent="0.2">
      <c r="B1660" s="2069"/>
      <c r="C1660" s="2069"/>
      <c r="D1660" s="2069"/>
      <c r="E1660" s="2069"/>
      <c r="F1660" s="2069"/>
      <c r="G1660" s="2069"/>
      <c r="H1660" s="2069"/>
      <c r="I1660"/>
      <c r="J1660"/>
      <c r="K1660"/>
    </row>
    <row r="1661" spans="2:11" x14ac:dyDescent="0.2">
      <c r="B1661" s="2069"/>
      <c r="C1661" s="2069"/>
      <c r="D1661" s="2069"/>
      <c r="E1661" s="2069"/>
      <c r="F1661" s="2069"/>
      <c r="G1661" s="2069"/>
      <c r="H1661" s="2069"/>
      <c r="I1661"/>
      <c r="J1661"/>
      <c r="K1661"/>
    </row>
    <row r="1662" spans="2:11" x14ac:dyDescent="0.2">
      <c r="B1662" s="2069"/>
      <c r="C1662" s="2069"/>
      <c r="D1662" s="2069"/>
      <c r="E1662" s="2069"/>
      <c r="F1662" s="2069"/>
      <c r="G1662" s="2069"/>
      <c r="H1662" s="2069"/>
      <c r="I1662"/>
      <c r="J1662"/>
      <c r="K1662"/>
    </row>
    <row r="1663" spans="2:11" x14ac:dyDescent="0.2">
      <c r="B1663" s="2069"/>
      <c r="C1663" s="2069"/>
      <c r="D1663" s="2069"/>
      <c r="E1663" s="2069"/>
      <c r="F1663" s="2069"/>
      <c r="G1663" s="2069"/>
      <c r="H1663" s="2069"/>
      <c r="I1663"/>
      <c r="J1663"/>
      <c r="K1663"/>
    </row>
    <row r="1664" spans="2:11" x14ac:dyDescent="0.2">
      <c r="B1664" s="2069"/>
      <c r="C1664" s="2069"/>
      <c r="D1664" s="2069"/>
      <c r="E1664" s="2069"/>
      <c r="F1664" s="2069"/>
      <c r="G1664" s="2069"/>
      <c r="H1664" s="2069"/>
      <c r="I1664"/>
      <c r="J1664"/>
      <c r="K1664"/>
    </row>
    <row r="1665" spans="2:11" x14ac:dyDescent="0.2">
      <c r="B1665" s="2069"/>
      <c r="C1665" s="2069"/>
      <c r="D1665" s="2069"/>
      <c r="E1665" s="2069"/>
      <c r="F1665" s="2069"/>
      <c r="G1665" s="2069"/>
      <c r="H1665" s="2069"/>
      <c r="I1665"/>
      <c r="J1665"/>
      <c r="K1665"/>
    </row>
    <row r="1666" spans="2:11" x14ac:dyDescent="0.2">
      <c r="B1666" s="2069"/>
      <c r="C1666" s="2069"/>
      <c r="D1666" s="2069"/>
      <c r="E1666" s="2069"/>
      <c r="F1666" s="2069"/>
      <c r="G1666" s="2069"/>
      <c r="H1666" s="2069"/>
      <c r="I1666"/>
      <c r="J1666"/>
      <c r="K1666"/>
    </row>
    <row r="1667" spans="2:11" x14ac:dyDescent="0.2">
      <c r="B1667" s="2069"/>
      <c r="C1667" s="2069"/>
      <c r="D1667" s="2069"/>
      <c r="E1667" s="2069"/>
      <c r="F1667" s="2069"/>
      <c r="G1667" s="2069"/>
      <c r="H1667" s="2069"/>
      <c r="I1667"/>
      <c r="J1667"/>
      <c r="K1667"/>
    </row>
    <row r="1668" spans="2:11" x14ac:dyDescent="0.2">
      <c r="B1668" s="2069"/>
      <c r="C1668" s="2069"/>
      <c r="D1668" s="2069"/>
      <c r="E1668" s="2069"/>
      <c r="F1668" s="2069"/>
      <c r="G1668" s="2069"/>
      <c r="H1668" s="2069"/>
      <c r="I1668"/>
      <c r="J1668"/>
      <c r="K1668"/>
    </row>
    <row r="1669" spans="2:11" x14ac:dyDescent="0.2">
      <c r="B1669" s="2069"/>
      <c r="C1669" s="2069"/>
      <c r="D1669" s="2069"/>
      <c r="E1669" s="2069"/>
      <c r="F1669" s="2069"/>
      <c r="G1669" s="2069"/>
      <c r="H1669" s="2069"/>
      <c r="I1669"/>
      <c r="J1669"/>
      <c r="K1669"/>
    </row>
    <row r="1670" spans="2:11" x14ac:dyDescent="0.2">
      <c r="B1670" s="2069"/>
      <c r="C1670" s="2069"/>
      <c r="D1670" s="2069"/>
      <c r="E1670" s="2069"/>
      <c r="F1670" s="2069"/>
      <c r="G1670" s="2069"/>
      <c r="H1670" s="2069"/>
      <c r="I1670"/>
      <c r="J1670"/>
      <c r="K1670"/>
    </row>
    <row r="1671" spans="2:11" x14ac:dyDescent="0.2">
      <c r="B1671" s="2069"/>
      <c r="C1671" s="2069"/>
      <c r="D1671" s="2069"/>
      <c r="E1671" s="2069"/>
      <c r="F1671" s="2069"/>
      <c r="G1671" s="2069"/>
      <c r="H1671" s="2069"/>
      <c r="I1671"/>
      <c r="J1671"/>
      <c r="K1671"/>
    </row>
    <row r="1672" spans="2:11" x14ac:dyDescent="0.2">
      <c r="B1672" s="2069"/>
      <c r="C1672" s="2069"/>
      <c r="D1672" s="2069"/>
      <c r="E1672" s="2069"/>
      <c r="F1672" s="2069"/>
      <c r="G1672" s="2069"/>
      <c r="H1672" s="2069"/>
      <c r="I1672"/>
      <c r="J1672"/>
      <c r="K1672"/>
    </row>
    <row r="1673" spans="2:11" x14ac:dyDescent="0.2">
      <c r="B1673" s="2069"/>
      <c r="C1673" s="2069"/>
      <c r="D1673" s="2069"/>
      <c r="E1673" s="2069"/>
      <c r="F1673" s="2069"/>
      <c r="G1673" s="2069"/>
      <c r="H1673" s="2069"/>
      <c r="I1673"/>
      <c r="J1673"/>
      <c r="K1673"/>
    </row>
    <row r="1674" spans="2:11" x14ac:dyDescent="0.2">
      <c r="B1674" s="2069"/>
      <c r="C1674" s="2069"/>
      <c r="D1674" s="2069"/>
      <c r="E1674" s="2069"/>
      <c r="F1674" s="2069"/>
      <c r="G1674" s="2069"/>
      <c r="H1674" s="2069"/>
      <c r="I1674"/>
      <c r="J1674"/>
      <c r="K1674"/>
    </row>
    <row r="1675" spans="2:11" x14ac:dyDescent="0.2">
      <c r="B1675" s="2069"/>
      <c r="C1675" s="2069"/>
      <c r="D1675" s="2069"/>
      <c r="E1675" s="2069"/>
      <c r="F1675" s="2069"/>
      <c r="G1675" s="2069"/>
      <c r="H1675" s="2069"/>
      <c r="I1675"/>
      <c r="J1675"/>
      <c r="K1675"/>
    </row>
    <row r="1676" spans="2:11" x14ac:dyDescent="0.2">
      <c r="B1676" s="2069"/>
      <c r="C1676" s="2069"/>
      <c r="D1676" s="2069"/>
      <c r="E1676" s="2069"/>
      <c r="F1676" s="2069"/>
      <c r="G1676" s="2069"/>
      <c r="H1676" s="2069"/>
      <c r="I1676"/>
      <c r="J1676"/>
      <c r="K1676"/>
    </row>
    <row r="1677" spans="2:11" x14ac:dyDescent="0.2">
      <c r="B1677" s="2069"/>
      <c r="C1677" s="2069"/>
      <c r="D1677" s="2069"/>
      <c r="E1677" s="2069"/>
      <c r="F1677" s="2069"/>
      <c r="G1677" s="2069"/>
      <c r="H1677" s="2069"/>
      <c r="I1677"/>
      <c r="J1677"/>
      <c r="K1677"/>
    </row>
    <row r="1678" spans="2:11" x14ac:dyDescent="0.2">
      <c r="B1678" s="2069"/>
      <c r="C1678" s="2069"/>
      <c r="D1678" s="2069"/>
      <c r="E1678" s="2069"/>
      <c r="F1678" s="2069"/>
      <c r="G1678" s="2069"/>
      <c r="H1678" s="2069"/>
      <c r="I1678"/>
      <c r="J1678"/>
      <c r="K1678"/>
    </row>
    <row r="1679" spans="2:11" x14ac:dyDescent="0.2">
      <c r="B1679" s="2069"/>
      <c r="C1679" s="2069"/>
      <c r="D1679" s="2069"/>
      <c r="E1679" s="2069"/>
      <c r="F1679" s="2069"/>
      <c r="G1679" s="2069"/>
      <c r="H1679" s="2069"/>
      <c r="I1679"/>
      <c r="J1679"/>
      <c r="K1679"/>
    </row>
    <row r="1680" spans="2:11" x14ac:dyDescent="0.2">
      <c r="B1680" s="2069"/>
      <c r="C1680" s="2069"/>
      <c r="D1680" s="2069"/>
      <c r="E1680" s="2069"/>
      <c r="F1680" s="2069"/>
      <c r="G1680" s="2069"/>
      <c r="H1680" s="2069"/>
      <c r="I1680"/>
      <c r="J1680"/>
      <c r="K1680"/>
    </row>
    <row r="1681" spans="2:11" x14ac:dyDescent="0.2">
      <c r="B1681" s="2069"/>
      <c r="C1681" s="2069"/>
      <c r="D1681" s="2069"/>
      <c r="E1681" s="2069"/>
      <c r="F1681" s="2069"/>
      <c r="G1681" s="2069"/>
      <c r="H1681" s="2069"/>
      <c r="I1681"/>
      <c r="J1681"/>
      <c r="K1681"/>
    </row>
    <row r="1682" spans="2:11" x14ac:dyDescent="0.2">
      <c r="B1682" s="2069"/>
      <c r="C1682" s="2069"/>
      <c r="D1682" s="2069"/>
      <c r="E1682" s="2069"/>
      <c r="F1682" s="2069"/>
      <c r="G1682" s="2069"/>
      <c r="H1682" s="2069"/>
      <c r="I1682"/>
      <c r="J1682"/>
      <c r="K1682"/>
    </row>
    <row r="1683" spans="2:11" x14ac:dyDescent="0.2">
      <c r="B1683" s="2069"/>
      <c r="C1683" s="2069"/>
      <c r="D1683" s="2069"/>
      <c r="E1683" s="2069"/>
      <c r="F1683" s="2069"/>
      <c r="G1683" s="2069"/>
      <c r="H1683" s="2069"/>
      <c r="I1683"/>
      <c r="J1683"/>
      <c r="K1683"/>
    </row>
    <row r="1684" spans="2:11" x14ac:dyDescent="0.2">
      <c r="B1684" s="2069"/>
      <c r="C1684" s="2069"/>
      <c r="D1684" s="2069"/>
      <c r="E1684" s="2069"/>
      <c r="F1684" s="2069"/>
      <c r="G1684" s="2069"/>
      <c r="H1684" s="2069"/>
      <c r="I1684"/>
      <c r="J1684"/>
      <c r="K1684"/>
    </row>
    <row r="1685" spans="2:11" x14ac:dyDescent="0.2">
      <c r="B1685" s="2069"/>
      <c r="C1685" s="2069"/>
      <c r="D1685" s="2069"/>
      <c r="E1685" s="2069"/>
      <c r="F1685" s="2069"/>
      <c r="G1685" s="2069"/>
      <c r="H1685" s="2069"/>
      <c r="I1685"/>
      <c r="J1685"/>
      <c r="K1685"/>
    </row>
    <row r="1686" spans="2:11" x14ac:dyDescent="0.2">
      <c r="B1686" s="2069"/>
      <c r="C1686" s="2069"/>
      <c r="D1686" s="2069"/>
      <c r="E1686" s="2069"/>
      <c r="F1686" s="2069"/>
      <c r="G1686" s="2069"/>
      <c r="H1686" s="2069"/>
      <c r="I1686"/>
      <c r="J1686"/>
      <c r="K1686"/>
    </row>
    <row r="1687" spans="2:11" x14ac:dyDescent="0.2">
      <c r="B1687" s="2069"/>
      <c r="C1687" s="2069"/>
      <c r="D1687" s="2069"/>
      <c r="E1687" s="2069"/>
      <c r="F1687" s="2069"/>
      <c r="G1687" s="2069"/>
      <c r="H1687" s="2069"/>
      <c r="I1687"/>
      <c r="J1687"/>
      <c r="K1687"/>
    </row>
    <row r="1688" spans="2:11" x14ac:dyDescent="0.2">
      <c r="B1688" s="2069"/>
      <c r="C1688" s="2069"/>
      <c r="D1688" s="2069"/>
      <c r="E1688" s="2069"/>
      <c r="F1688" s="2069"/>
      <c r="G1688" s="2069"/>
      <c r="H1688" s="2069"/>
      <c r="I1688"/>
      <c r="J1688"/>
      <c r="K1688"/>
    </row>
    <row r="1689" spans="2:11" x14ac:dyDescent="0.2">
      <c r="B1689" s="2069"/>
      <c r="C1689" s="2069"/>
      <c r="D1689" s="2069"/>
      <c r="E1689" s="2069"/>
      <c r="F1689" s="2069"/>
      <c r="G1689" s="2069"/>
      <c r="H1689" s="2069"/>
      <c r="I1689"/>
      <c r="J1689"/>
      <c r="K1689"/>
    </row>
    <row r="1690" spans="2:11" x14ac:dyDescent="0.2">
      <c r="B1690" s="2069"/>
      <c r="C1690" s="2069"/>
      <c r="D1690" s="2069"/>
      <c r="E1690" s="2069"/>
      <c r="F1690" s="2069"/>
      <c r="G1690" s="2069"/>
      <c r="H1690" s="2069"/>
      <c r="I1690"/>
      <c r="J1690"/>
      <c r="K1690"/>
    </row>
    <row r="1691" spans="2:11" x14ac:dyDescent="0.2">
      <c r="B1691" s="2069"/>
      <c r="C1691" s="2069"/>
      <c r="D1691" s="2069"/>
      <c r="E1691" s="2069"/>
      <c r="F1691" s="2069"/>
      <c r="G1691" s="2069"/>
      <c r="H1691" s="2069"/>
      <c r="I1691"/>
      <c r="J1691"/>
      <c r="K1691"/>
    </row>
    <row r="1692" spans="2:11" x14ac:dyDescent="0.2">
      <c r="B1692" s="2069"/>
      <c r="C1692" s="2069"/>
      <c r="D1692" s="2069"/>
      <c r="E1692" s="2069"/>
      <c r="F1692" s="2069"/>
      <c r="G1692" s="2069"/>
      <c r="H1692" s="2069"/>
      <c r="I1692"/>
      <c r="J1692"/>
      <c r="K1692"/>
    </row>
    <row r="1693" spans="2:11" x14ac:dyDescent="0.2">
      <c r="B1693" s="2069"/>
      <c r="C1693" s="2069"/>
      <c r="D1693" s="2069"/>
      <c r="E1693" s="2069"/>
      <c r="F1693" s="2069"/>
      <c r="G1693" s="2069"/>
      <c r="H1693" s="2069"/>
      <c r="I1693"/>
      <c r="J1693"/>
      <c r="K1693"/>
    </row>
    <row r="1694" spans="2:11" x14ac:dyDescent="0.2">
      <c r="B1694" s="2069"/>
      <c r="C1694" s="2069"/>
      <c r="D1694" s="2069"/>
      <c r="E1694" s="2069"/>
      <c r="F1694" s="2069"/>
      <c r="G1694" s="2069"/>
      <c r="H1694" s="2069"/>
      <c r="I1694"/>
      <c r="J1694"/>
      <c r="K1694"/>
    </row>
    <row r="1695" spans="2:11" x14ac:dyDescent="0.2">
      <c r="B1695" s="2069"/>
      <c r="C1695" s="2069"/>
      <c r="D1695" s="2069"/>
      <c r="E1695" s="2069"/>
      <c r="F1695" s="2069"/>
      <c r="G1695" s="2069"/>
      <c r="H1695" s="2069"/>
      <c r="I1695"/>
      <c r="J1695"/>
      <c r="K1695"/>
    </row>
    <row r="1696" spans="2:11" x14ac:dyDescent="0.2">
      <c r="B1696" s="2069"/>
      <c r="C1696" s="2069"/>
      <c r="D1696" s="2069"/>
      <c r="E1696" s="2069"/>
      <c r="F1696" s="2069"/>
      <c r="G1696" s="2069"/>
      <c r="H1696" s="2069"/>
      <c r="I1696"/>
      <c r="J1696"/>
      <c r="K1696"/>
    </row>
    <row r="1697" spans="2:11" x14ac:dyDescent="0.2">
      <c r="B1697" s="2069"/>
      <c r="C1697" s="2069"/>
      <c r="D1697" s="2069"/>
      <c r="E1697" s="2069"/>
      <c r="F1697" s="2069"/>
      <c r="G1697" s="2069"/>
      <c r="H1697" s="2069"/>
      <c r="I1697"/>
      <c r="J1697"/>
      <c r="K1697"/>
    </row>
    <row r="1698" spans="2:11" x14ac:dyDescent="0.2">
      <c r="B1698" s="2069"/>
      <c r="C1698" s="2069"/>
      <c r="D1698" s="2069"/>
      <c r="E1698" s="2069"/>
      <c r="F1698" s="2069"/>
      <c r="G1698" s="2069"/>
      <c r="H1698" s="2069"/>
      <c r="I1698"/>
      <c r="J1698"/>
      <c r="K1698"/>
    </row>
    <row r="1699" spans="2:11" x14ac:dyDescent="0.2">
      <c r="B1699" s="2069"/>
      <c r="C1699" s="2069"/>
      <c r="D1699" s="2069"/>
      <c r="E1699" s="2069"/>
      <c r="F1699" s="2069"/>
      <c r="G1699" s="2069"/>
      <c r="H1699" s="2069"/>
      <c r="I1699"/>
      <c r="J1699"/>
      <c r="K1699"/>
    </row>
    <row r="1700" spans="2:11" x14ac:dyDescent="0.2">
      <c r="B1700" s="2069"/>
      <c r="C1700" s="2069"/>
      <c r="D1700" s="2069"/>
      <c r="E1700" s="2069"/>
      <c r="F1700" s="2069"/>
      <c r="G1700" s="2069"/>
      <c r="H1700" s="2069"/>
      <c r="I1700"/>
      <c r="J1700"/>
      <c r="K1700"/>
    </row>
    <row r="1701" spans="2:11" x14ac:dyDescent="0.2">
      <c r="B1701" s="2069"/>
      <c r="C1701" s="2069"/>
      <c r="D1701" s="2069"/>
      <c r="E1701" s="2069"/>
      <c r="F1701" s="2069"/>
      <c r="G1701" s="2069"/>
      <c r="H1701" s="2069"/>
      <c r="I1701"/>
      <c r="J1701"/>
      <c r="K1701"/>
    </row>
    <row r="1702" spans="2:11" x14ac:dyDescent="0.2">
      <c r="B1702" s="2069"/>
      <c r="C1702" s="2069"/>
      <c r="D1702" s="2069"/>
      <c r="E1702" s="2069"/>
      <c r="F1702" s="2069"/>
      <c r="G1702" s="2069"/>
      <c r="H1702" s="2069"/>
      <c r="I1702"/>
      <c r="J1702"/>
      <c r="K1702"/>
    </row>
    <row r="1703" spans="2:11" x14ac:dyDescent="0.2">
      <c r="B1703" s="2069"/>
      <c r="C1703" s="2069"/>
      <c r="D1703" s="2069"/>
      <c r="E1703" s="2069"/>
      <c r="F1703" s="2069"/>
      <c r="G1703" s="2069"/>
      <c r="H1703" s="2069"/>
      <c r="I1703"/>
      <c r="J1703"/>
      <c r="K1703"/>
    </row>
    <row r="1704" spans="2:11" x14ac:dyDescent="0.2">
      <c r="B1704" s="2069"/>
      <c r="C1704" s="2069"/>
      <c r="D1704" s="2069"/>
      <c r="E1704" s="2069"/>
      <c r="F1704" s="2069"/>
      <c r="G1704" s="2069"/>
      <c r="H1704" s="2069"/>
      <c r="I1704"/>
      <c r="J1704"/>
      <c r="K1704"/>
    </row>
    <row r="1705" spans="2:11" x14ac:dyDescent="0.2">
      <c r="B1705" s="2069"/>
      <c r="C1705" s="2069"/>
      <c r="D1705" s="2069"/>
      <c r="E1705" s="2069"/>
      <c r="F1705" s="2069"/>
      <c r="G1705" s="2069"/>
      <c r="H1705" s="2069"/>
      <c r="I1705"/>
      <c r="J1705"/>
      <c r="K1705"/>
    </row>
    <row r="1706" spans="2:11" x14ac:dyDescent="0.2">
      <c r="B1706" s="2069"/>
      <c r="C1706" s="2069"/>
      <c r="D1706" s="2069"/>
      <c r="E1706" s="2069"/>
      <c r="F1706" s="2069"/>
      <c r="G1706" s="2069"/>
      <c r="H1706" s="2069"/>
      <c r="I1706"/>
      <c r="J1706"/>
      <c r="K1706"/>
    </row>
    <row r="1707" spans="2:11" x14ac:dyDescent="0.2">
      <c r="B1707" s="2069"/>
      <c r="C1707" s="2069"/>
      <c r="D1707" s="2069"/>
      <c r="E1707" s="2069"/>
      <c r="F1707" s="2069"/>
      <c r="G1707" s="2069"/>
      <c r="H1707" s="2069"/>
      <c r="I1707"/>
      <c r="J1707"/>
      <c r="K1707"/>
    </row>
    <row r="1708" spans="2:11" x14ac:dyDescent="0.2">
      <c r="B1708" s="2069"/>
      <c r="C1708" s="2069"/>
      <c r="D1708" s="2069"/>
      <c r="E1708" s="2069"/>
      <c r="F1708" s="2069"/>
      <c r="G1708" s="2069"/>
      <c r="H1708" s="2069"/>
      <c r="I1708"/>
      <c r="J1708"/>
      <c r="K1708"/>
    </row>
    <row r="1709" spans="2:11" x14ac:dyDescent="0.2">
      <c r="B1709" s="2069"/>
      <c r="C1709" s="2069"/>
      <c r="D1709" s="2069"/>
      <c r="E1709" s="2069"/>
      <c r="F1709" s="2069"/>
      <c r="G1709" s="2069"/>
      <c r="H1709" s="2069"/>
      <c r="I1709"/>
      <c r="J1709"/>
      <c r="K1709"/>
    </row>
    <row r="1710" spans="2:11" x14ac:dyDescent="0.2">
      <c r="B1710" s="2069"/>
      <c r="C1710" s="2069"/>
      <c r="D1710" s="2069"/>
      <c r="E1710" s="2069"/>
      <c r="F1710" s="2069"/>
      <c r="G1710" s="2069"/>
      <c r="H1710" s="2069"/>
      <c r="I1710"/>
      <c r="J1710"/>
      <c r="K1710"/>
    </row>
    <row r="1711" spans="2:11" x14ac:dyDescent="0.2">
      <c r="B1711" s="2069"/>
      <c r="C1711" s="2069"/>
      <c r="D1711" s="2069"/>
      <c r="E1711" s="2069"/>
      <c r="F1711" s="2069"/>
      <c r="G1711" s="2069"/>
      <c r="H1711" s="2069"/>
      <c r="I1711"/>
      <c r="J1711"/>
      <c r="K1711"/>
    </row>
    <row r="1712" spans="2:11" x14ac:dyDescent="0.2">
      <c r="B1712" s="2069"/>
      <c r="C1712" s="2069"/>
      <c r="D1712" s="2069"/>
      <c r="E1712" s="2069"/>
      <c r="F1712" s="2069"/>
      <c r="G1712" s="2069"/>
      <c r="H1712" s="2069"/>
      <c r="I1712"/>
      <c r="J1712"/>
      <c r="K1712"/>
    </row>
    <row r="1713" spans="2:11" x14ac:dyDescent="0.2">
      <c r="B1713" s="2069"/>
      <c r="C1713" s="2069"/>
      <c r="D1713" s="2069"/>
      <c r="E1713" s="2069"/>
      <c r="F1713" s="2069"/>
      <c r="G1713" s="2069"/>
      <c r="H1713" s="2069"/>
      <c r="I1713"/>
      <c r="J1713"/>
      <c r="K1713"/>
    </row>
    <row r="1714" spans="2:11" x14ac:dyDescent="0.2">
      <c r="B1714" s="2069"/>
      <c r="C1714" s="2069"/>
      <c r="D1714" s="2069"/>
      <c r="E1714" s="2069"/>
      <c r="F1714" s="2069"/>
      <c r="G1714" s="2069"/>
      <c r="H1714" s="2069"/>
      <c r="I1714"/>
      <c r="J1714"/>
      <c r="K1714"/>
    </row>
    <row r="1715" spans="2:11" x14ac:dyDescent="0.2">
      <c r="B1715" s="2069"/>
      <c r="C1715" s="2069"/>
      <c r="D1715" s="2069"/>
      <c r="E1715" s="2069"/>
      <c r="F1715" s="2069"/>
      <c r="G1715" s="2069"/>
      <c r="H1715" s="2069"/>
      <c r="I1715"/>
      <c r="J1715"/>
      <c r="K1715"/>
    </row>
    <row r="1716" spans="2:11" x14ac:dyDescent="0.2">
      <c r="B1716" s="2069"/>
      <c r="C1716" s="2069"/>
      <c r="D1716" s="2069"/>
      <c r="E1716" s="2069"/>
      <c r="F1716" s="2069"/>
      <c r="G1716" s="2069"/>
      <c r="H1716" s="2069"/>
      <c r="I1716"/>
      <c r="J1716"/>
      <c r="K1716"/>
    </row>
    <row r="1717" spans="2:11" x14ac:dyDescent="0.2">
      <c r="B1717" s="2069"/>
      <c r="C1717" s="2069"/>
      <c r="D1717" s="2069"/>
      <c r="E1717" s="2069"/>
      <c r="F1717" s="2069"/>
      <c r="G1717" s="2069"/>
      <c r="H1717" s="2069"/>
      <c r="I1717"/>
      <c r="J1717"/>
      <c r="K1717"/>
    </row>
    <row r="1718" spans="2:11" x14ac:dyDescent="0.2">
      <c r="B1718" s="2069"/>
      <c r="C1718" s="2069"/>
      <c r="D1718" s="2069"/>
      <c r="E1718" s="2069"/>
      <c r="F1718" s="2069"/>
      <c r="G1718" s="2069"/>
      <c r="H1718" s="2069"/>
      <c r="I1718"/>
      <c r="J1718"/>
      <c r="K1718"/>
    </row>
    <row r="1719" spans="2:11" x14ac:dyDescent="0.2">
      <c r="B1719" s="2069"/>
      <c r="C1719" s="2069"/>
      <c r="D1719" s="2069"/>
      <c r="E1719" s="2069"/>
      <c r="F1719" s="2069"/>
      <c r="G1719" s="2069"/>
      <c r="H1719" s="2069"/>
      <c r="I1719"/>
      <c r="J1719"/>
      <c r="K1719"/>
    </row>
    <row r="1720" spans="2:11" x14ac:dyDescent="0.2">
      <c r="B1720" s="2069"/>
      <c r="C1720" s="2069"/>
      <c r="D1720" s="2069"/>
      <c r="E1720" s="2069"/>
      <c r="F1720" s="2069"/>
      <c r="G1720" s="2069"/>
      <c r="H1720" s="2069"/>
      <c r="I1720"/>
      <c r="J1720"/>
      <c r="K1720"/>
    </row>
    <row r="1721" spans="2:11" x14ac:dyDescent="0.2">
      <c r="B1721" s="2069"/>
      <c r="C1721" s="2069"/>
      <c r="D1721" s="2069"/>
      <c r="E1721" s="2069"/>
      <c r="F1721" s="2069"/>
      <c r="G1721" s="2069"/>
      <c r="H1721" s="2069"/>
      <c r="I1721"/>
      <c r="J1721"/>
      <c r="K1721"/>
    </row>
    <row r="1722" spans="2:11" x14ac:dyDescent="0.2">
      <c r="B1722" s="2069"/>
      <c r="C1722" s="2069"/>
      <c r="D1722" s="2069"/>
      <c r="E1722" s="2069"/>
      <c r="F1722" s="2069"/>
      <c r="G1722" s="2069"/>
      <c r="H1722" s="2069"/>
      <c r="I1722"/>
      <c r="J1722"/>
      <c r="K1722"/>
    </row>
    <row r="1723" spans="2:11" x14ac:dyDescent="0.2">
      <c r="B1723" s="2069"/>
      <c r="C1723" s="2069"/>
      <c r="D1723" s="2069"/>
      <c r="E1723" s="2069"/>
      <c r="F1723" s="2069"/>
      <c r="G1723" s="2069"/>
      <c r="H1723" s="2069"/>
      <c r="I1723"/>
      <c r="J1723"/>
      <c r="K1723"/>
    </row>
    <row r="1724" spans="2:11" x14ac:dyDescent="0.2">
      <c r="B1724" s="2069"/>
      <c r="C1724" s="2069"/>
      <c r="D1724" s="2069"/>
      <c r="E1724" s="2069"/>
      <c r="F1724" s="2069"/>
      <c r="G1724" s="2069"/>
      <c r="H1724" s="2069"/>
      <c r="I1724"/>
      <c r="J1724"/>
      <c r="K1724"/>
    </row>
    <row r="1725" spans="2:11" x14ac:dyDescent="0.2">
      <c r="B1725" s="2069"/>
      <c r="C1725" s="2069"/>
      <c r="D1725" s="2069"/>
      <c r="E1725" s="2069"/>
      <c r="F1725" s="2069"/>
      <c r="G1725" s="2069"/>
      <c r="H1725" s="2069"/>
      <c r="I1725"/>
      <c r="J1725"/>
      <c r="K1725"/>
    </row>
    <row r="1726" spans="2:11" x14ac:dyDescent="0.2">
      <c r="B1726" s="2069"/>
      <c r="C1726" s="2069"/>
      <c r="D1726" s="2069"/>
      <c r="E1726" s="2069"/>
      <c r="F1726" s="2069"/>
      <c r="G1726" s="2069"/>
      <c r="H1726" s="2069"/>
      <c r="I1726"/>
      <c r="J1726"/>
      <c r="K1726"/>
    </row>
    <row r="1727" spans="2:11" x14ac:dyDescent="0.2">
      <c r="B1727" s="2069"/>
      <c r="C1727" s="2069"/>
      <c r="D1727" s="2069"/>
      <c r="E1727" s="2069"/>
      <c r="F1727" s="2069"/>
      <c r="G1727" s="2069"/>
      <c r="H1727" s="2069"/>
      <c r="I1727"/>
      <c r="J1727"/>
      <c r="K1727"/>
    </row>
    <row r="1728" spans="2:11" x14ac:dyDescent="0.2">
      <c r="B1728" s="2069"/>
      <c r="C1728" s="2069"/>
      <c r="D1728" s="2069"/>
      <c r="E1728" s="2069"/>
      <c r="F1728" s="2069"/>
      <c r="G1728" s="2069"/>
      <c r="H1728" s="2069"/>
      <c r="I1728"/>
      <c r="J1728"/>
      <c r="K1728"/>
    </row>
    <row r="1729" spans="2:11" x14ac:dyDescent="0.2">
      <c r="B1729" s="2069"/>
      <c r="C1729" s="2069"/>
      <c r="D1729" s="2069"/>
      <c r="E1729" s="2069"/>
      <c r="F1729" s="2069"/>
      <c r="G1729" s="2069"/>
      <c r="H1729" s="2069"/>
      <c r="I1729"/>
      <c r="J1729"/>
      <c r="K1729"/>
    </row>
    <row r="1730" spans="2:11" x14ac:dyDescent="0.2">
      <c r="B1730" s="2069"/>
      <c r="C1730" s="2069"/>
      <c r="D1730" s="2069"/>
      <c r="E1730" s="2069"/>
      <c r="F1730" s="2069"/>
      <c r="G1730" s="2069"/>
      <c r="H1730" s="2069"/>
      <c r="I1730"/>
      <c r="J1730"/>
      <c r="K1730"/>
    </row>
    <row r="1731" spans="2:11" x14ac:dyDescent="0.2">
      <c r="B1731" s="2069"/>
      <c r="C1731" s="2069"/>
      <c r="D1731" s="2069"/>
      <c r="E1731" s="2069"/>
      <c r="F1731" s="2069"/>
      <c r="G1731" s="2069"/>
      <c r="H1731" s="2069"/>
      <c r="I1731"/>
      <c r="J1731"/>
      <c r="K1731"/>
    </row>
    <row r="1732" spans="2:11" x14ac:dyDescent="0.2">
      <c r="B1732" s="2069"/>
      <c r="C1732" s="2069"/>
      <c r="D1732" s="2069"/>
      <c r="E1732" s="2069"/>
      <c r="F1732" s="2069"/>
      <c r="G1732" s="2069"/>
      <c r="H1732" s="2069"/>
      <c r="I1732"/>
      <c r="J1732"/>
      <c r="K1732"/>
    </row>
    <row r="1733" spans="2:11" x14ac:dyDescent="0.2">
      <c r="B1733" s="2069"/>
      <c r="C1733" s="2069"/>
      <c r="D1733" s="2069"/>
      <c r="E1733" s="2069"/>
      <c r="F1733" s="2069"/>
      <c r="G1733" s="2069"/>
      <c r="H1733" s="2069"/>
      <c r="I1733"/>
      <c r="J1733"/>
      <c r="K1733"/>
    </row>
    <row r="1734" spans="2:11" x14ac:dyDescent="0.2">
      <c r="B1734" s="2069"/>
      <c r="C1734" s="2069"/>
      <c r="D1734" s="2069"/>
      <c r="E1734" s="2069"/>
      <c r="F1734" s="2069"/>
      <c r="G1734" s="2069"/>
      <c r="H1734" s="2069"/>
      <c r="I1734"/>
      <c r="J1734"/>
      <c r="K1734"/>
    </row>
    <row r="1735" spans="2:11" x14ac:dyDescent="0.2">
      <c r="B1735" s="2069"/>
      <c r="C1735" s="2069"/>
      <c r="D1735" s="2069"/>
      <c r="E1735" s="2069"/>
      <c r="F1735" s="2069"/>
      <c r="G1735" s="2069"/>
      <c r="H1735" s="2069"/>
      <c r="I1735"/>
      <c r="J1735"/>
      <c r="K1735"/>
    </row>
    <row r="1736" spans="2:11" x14ac:dyDescent="0.2">
      <c r="B1736" s="2069"/>
      <c r="C1736" s="2069"/>
      <c r="D1736" s="2069"/>
      <c r="E1736" s="2069"/>
      <c r="F1736" s="2069"/>
      <c r="G1736" s="2069"/>
      <c r="H1736" s="2069"/>
      <c r="I1736"/>
      <c r="J1736"/>
      <c r="K1736"/>
    </row>
    <row r="1737" spans="2:11" x14ac:dyDescent="0.2">
      <c r="B1737" s="2069"/>
      <c r="C1737" s="2069"/>
      <c r="D1737" s="2069"/>
      <c r="E1737" s="2069"/>
      <c r="F1737" s="2069"/>
      <c r="G1737" s="2069"/>
      <c r="H1737" s="2069"/>
      <c r="I1737"/>
      <c r="J1737"/>
      <c r="K1737"/>
    </row>
    <row r="1738" spans="2:11" x14ac:dyDescent="0.2">
      <c r="B1738" s="2069"/>
      <c r="C1738" s="2069"/>
      <c r="D1738" s="2069"/>
      <c r="E1738" s="2069"/>
      <c r="F1738" s="2069"/>
      <c r="G1738" s="2069"/>
      <c r="H1738" s="2069"/>
      <c r="I1738"/>
      <c r="J1738"/>
      <c r="K1738"/>
    </row>
    <row r="1739" spans="2:11" x14ac:dyDescent="0.2">
      <c r="B1739" s="2069"/>
      <c r="C1739" s="2069"/>
      <c r="D1739" s="2069"/>
      <c r="E1739" s="2069"/>
      <c r="F1739" s="2069"/>
      <c r="G1739" s="2069"/>
      <c r="H1739" s="2069"/>
      <c r="I1739"/>
      <c r="J1739"/>
      <c r="K1739"/>
    </row>
    <row r="1740" spans="2:11" x14ac:dyDescent="0.2">
      <c r="B1740" s="2069"/>
      <c r="C1740" s="2069"/>
      <c r="D1740" s="2069"/>
      <c r="E1740" s="2069"/>
      <c r="F1740" s="2069"/>
      <c r="G1740" s="2069"/>
      <c r="H1740" s="2069"/>
      <c r="I1740"/>
      <c r="J1740"/>
      <c r="K1740"/>
    </row>
    <row r="1741" spans="2:11" x14ac:dyDescent="0.2">
      <c r="B1741" s="2069"/>
      <c r="C1741" s="2069"/>
      <c r="D1741" s="2069"/>
      <c r="E1741" s="2069"/>
      <c r="F1741" s="2069"/>
      <c r="G1741" s="2069"/>
      <c r="H1741" s="2069"/>
      <c r="I1741"/>
      <c r="J1741"/>
      <c r="K1741"/>
    </row>
    <row r="1742" spans="2:11" x14ac:dyDescent="0.2">
      <c r="B1742" s="2069"/>
      <c r="C1742" s="2069"/>
      <c r="D1742" s="2069"/>
      <c r="E1742" s="2069"/>
      <c r="F1742" s="2069"/>
      <c r="G1742" s="2069"/>
      <c r="H1742" s="2069"/>
      <c r="I1742"/>
      <c r="J1742"/>
      <c r="K1742"/>
    </row>
    <row r="1743" spans="2:11" x14ac:dyDescent="0.2">
      <c r="B1743" s="2069"/>
      <c r="C1743" s="2069"/>
      <c r="D1743" s="2069"/>
      <c r="E1743" s="2069"/>
      <c r="F1743" s="2069"/>
      <c r="G1743" s="2069"/>
      <c r="H1743" s="2069"/>
      <c r="I1743"/>
      <c r="J1743"/>
      <c r="K1743"/>
    </row>
    <row r="1744" spans="2:11" x14ac:dyDescent="0.2">
      <c r="B1744" s="2069"/>
      <c r="C1744" s="2069"/>
      <c r="D1744" s="2069"/>
      <c r="E1744" s="2069"/>
      <c r="F1744" s="2069"/>
      <c r="G1744" s="2069"/>
      <c r="H1744" s="2069"/>
      <c r="I1744"/>
      <c r="J1744"/>
      <c r="K1744"/>
    </row>
    <row r="1745" spans="2:11" x14ac:dyDescent="0.2">
      <c r="B1745" s="2069"/>
      <c r="C1745" s="2069"/>
      <c r="D1745" s="2069"/>
      <c r="E1745" s="2069"/>
      <c r="F1745" s="2069"/>
      <c r="G1745" s="2069"/>
      <c r="H1745" s="2069"/>
      <c r="I1745"/>
      <c r="J1745"/>
      <c r="K1745"/>
    </row>
    <row r="1746" spans="2:11" x14ac:dyDescent="0.2">
      <c r="B1746" s="2069"/>
      <c r="C1746" s="2069"/>
      <c r="D1746" s="2069"/>
      <c r="E1746" s="2069"/>
      <c r="F1746" s="2069"/>
      <c r="G1746" s="2069"/>
      <c r="H1746" s="2069"/>
      <c r="I1746"/>
      <c r="J1746"/>
      <c r="K1746"/>
    </row>
    <row r="1747" spans="2:11" x14ac:dyDescent="0.2">
      <c r="B1747" s="2069"/>
      <c r="C1747" s="2069"/>
      <c r="D1747" s="2069"/>
      <c r="E1747" s="2069"/>
      <c r="F1747" s="2069"/>
      <c r="G1747" s="2069"/>
      <c r="H1747" s="2069"/>
      <c r="I1747"/>
      <c r="J1747"/>
      <c r="K1747"/>
    </row>
    <row r="1748" spans="2:11" x14ac:dyDescent="0.2">
      <c r="B1748" s="2069"/>
      <c r="C1748" s="2069"/>
      <c r="D1748" s="2069"/>
      <c r="E1748" s="2069"/>
      <c r="F1748" s="2069"/>
      <c r="G1748" s="2069"/>
      <c r="H1748" s="2069"/>
      <c r="I1748"/>
      <c r="J1748"/>
      <c r="K1748"/>
    </row>
    <row r="1749" spans="2:11" x14ac:dyDescent="0.2">
      <c r="B1749" s="2069"/>
      <c r="C1749" s="2069"/>
      <c r="D1749" s="2069"/>
      <c r="E1749" s="2069"/>
      <c r="F1749" s="2069"/>
      <c r="G1749" s="2069"/>
      <c r="H1749" s="2069"/>
      <c r="I1749"/>
      <c r="J1749"/>
      <c r="K1749"/>
    </row>
    <row r="1750" spans="2:11" x14ac:dyDescent="0.2">
      <c r="B1750" s="2069"/>
      <c r="C1750" s="2069"/>
      <c r="D1750" s="2069"/>
      <c r="E1750" s="2069"/>
      <c r="F1750" s="2069"/>
      <c r="G1750" s="2069"/>
      <c r="H1750" s="2069"/>
      <c r="I1750"/>
      <c r="J1750"/>
      <c r="K1750"/>
    </row>
    <row r="1751" spans="2:11" x14ac:dyDescent="0.2">
      <c r="B1751" s="2069"/>
      <c r="C1751" s="2069"/>
      <c r="D1751" s="2069"/>
      <c r="E1751" s="2069"/>
      <c r="F1751" s="2069"/>
      <c r="G1751" s="2069"/>
      <c r="H1751" s="2069"/>
      <c r="I1751"/>
      <c r="J1751"/>
      <c r="K1751"/>
    </row>
    <row r="1752" spans="2:11" x14ac:dyDescent="0.2">
      <c r="B1752" s="2069"/>
      <c r="C1752" s="2069"/>
      <c r="D1752" s="2069"/>
      <c r="E1752" s="2069"/>
      <c r="F1752" s="2069"/>
      <c r="G1752" s="2069"/>
      <c r="H1752" s="2069"/>
      <c r="I1752"/>
      <c r="J1752"/>
      <c r="K1752"/>
    </row>
    <row r="1753" spans="2:11" x14ac:dyDescent="0.2">
      <c r="B1753" s="2069"/>
      <c r="C1753" s="2069"/>
      <c r="D1753" s="2069"/>
      <c r="E1753" s="2069"/>
      <c r="F1753" s="2069"/>
      <c r="G1753" s="2069"/>
      <c r="H1753" s="2069"/>
      <c r="I1753"/>
      <c r="J1753"/>
      <c r="K1753"/>
    </row>
    <row r="1754" spans="2:11" x14ac:dyDescent="0.2">
      <c r="B1754" s="2069"/>
      <c r="C1754" s="2069"/>
      <c r="D1754" s="2069"/>
      <c r="E1754" s="2069"/>
      <c r="F1754" s="2069"/>
      <c r="G1754" s="2069"/>
      <c r="H1754" s="2069"/>
      <c r="I1754"/>
      <c r="J1754"/>
      <c r="K1754"/>
    </row>
    <row r="1755" spans="2:11" x14ac:dyDescent="0.2">
      <c r="B1755" s="2069"/>
      <c r="C1755" s="2069"/>
      <c r="D1755" s="2069"/>
      <c r="E1755" s="2069"/>
      <c r="F1755" s="2069"/>
      <c r="G1755" s="2069"/>
      <c r="H1755" s="2069"/>
      <c r="I1755"/>
      <c r="J1755"/>
      <c r="K1755"/>
    </row>
    <row r="1756" spans="2:11" x14ac:dyDescent="0.2">
      <c r="B1756" s="2069"/>
      <c r="C1756" s="2069"/>
      <c r="D1756" s="2069"/>
      <c r="E1756" s="2069"/>
      <c r="F1756" s="2069"/>
      <c r="G1756" s="2069"/>
      <c r="H1756" s="2069"/>
      <c r="I1756"/>
      <c r="J1756"/>
      <c r="K1756"/>
    </row>
    <row r="1757" spans="2:11" x14ac:dyDescent="0.2">
      <c r="B1757" s="2069"/>
      <c r="C1757" s="2069"/>
      <c r="D1757" s="2069"/>
      <c r="E1757" s="2069"/>
      <c r="F1757" s="2069"/>
      <c r="G1757" s="2069"/>
      <c r="H1757" s="2069"/>
      <c r="I1757"/>
      <c r="J1757"/>
      <c r="K1757"/>
    </row>
    <row r="1758" spans="2:11" x14ac:dyDescent="0.2">
      <c r="B1758" s="2069"/>
      <c r="C1758" s="2069"/>
      <c r="D1758" s="2069"/>
      <c r="E1758" s="2069"/>
      <c r="F1758" s="2069"/>
      <c r="G1758" s="2069"/>
      <c r="H1758" s="2069"/>
      <c r="I1758"/>
      <c r="J1758"/>
      <c r="K1758"/>
    </row>
    <row r="1759" spans="2:11" x14ac:dyDescent="0.2">
      <c r="B1759" s="2069"/>
      <c r="C1759" s="2069"/>
      <c r="D1759" s="2069"/>
      <c r="E1759" s="2069"/>
      <c r="F1759" s="2069"/>
      <c r="G1759" s="2069"/>
      <c r="H1759" s="2069"/>
      <c r="I1759"/>
      <c r="J1759"/>
      <c r="K1759"/>
    </row>
    <row r="1760" spans="2:11" x14ac:dyDescent="0.2">
      <c r="B1760" s="2069"/>
      <c r="C1760" s="2069"/>
      <c r="D1760" s="2069"/>
      <c r="E1760" s="2069"/>
      <c r="F1760" s="2069"/>
      <c r="G1760" s="2069"/>
      <c r="H1760" s="2069"/>
      <c r="I1760"/>
      <c r="J1760"/>
      <c r="K1760"/>
    </row>
    <row r="1761" spans="2:11" x14ac:dyDescent="0.2">
      <c r="B1761" s="2069"/>
      <c r="C1761" s="2069"/>
      <c r="D1761" s="2069"/>
      <c r="E1761" s="2069"/>
      <c r="F1761" s="2069"/>
      <c r="G1761" s="2069"/>
      <c r="H1761" s="2069"/>
      <c r="I1761"/>
      <c r="J1761"/>
      <c r="K1761"/>
    </row>
    <row r="1762" spans="2:11" x14ac:dyDescent="0.2">
      <c r="B1762" s="2069"/>
      <c r="C1762" s="2069"/>
      <c r="D1762" s="2069"/>
      <c r="E1762" s="2069"/>
      <c r="F1762" s="2069"/>
      <c r="G1762" s="2069"/>
      <c r="H1762" s="2069"/>
      <c r="I1762"/>
      <c r="J1762"/>
      <c r="K1762"/>
    </row>
    <row r="1763" spans="2:11" x14ac:dyDescent="0.2">
      <c r="B1763" s="2069"/>
      <c r="C1763" s="2069"/>
      <c r="D1763" s="2069"/>
      <c r="E1763" s="2069"/>
      <c r="F1763" s="2069"/>
      <c r="G1763" s="2069"/>
      <c r="H1763" s="2069"/>
      <c r="I1763"/>
      <c r="J1763"/>
      <c r="K1763"/>
    </row>
    <row r="1764" spans="2:11" x14ac:dyDescent="0.2">
      <c r="B1764" s="2069"/>
      <c r="C1764" s="2069"/>
      <c r="D1764" s="2069"/>
      <c r="E1764" s="2069"/>
      <c r="F1764" s="2069"/>
      <c r="G1764" s="2069"/>
      <c r="H1764" s="2069"/>
      <c r="I1764"/>
      <c r="J1764"/>
      <c r="K1764"/>
    </row>
    <row r="1765" spans="2:11" x14ac:dyDescent="0.2">
      <c r="B1765" s="2069"/>
      <c r="C1765" s="2069"/>
      <c r="D1765" s="2069"/>
      <c r="E1765" s="2069"/>
      <c r="F1765" s="2069"/>
      <c r="G1765" s="2069"/>
      <c r="H1765" s="2069"/>
      <c r="I1765"/>
      <c r="J1765"/>
      <c r="K1765"/>
    </row>
    <row r="1766" spans="2:11" x14ac:dyDescent="0.2">
      <c r="B1766" s="2069"/>
      <c r="C1766" s="2069"/>
      <c r="D1766" s="2069"/>
      <c r="E1766" s="2069"/>
      <c r="F1766" s="2069"/>
      <c r="G1766" s="2069"/>
      <c r="H1766" s="2069"/>
      <c r="I1766"/>
      <c r="J1766"/>
      <c r="K1766"/>
    </row>
    <row r="1767" spans="2:11" x14ac:dyDescent="0.2">
      <c r="B1767" s="2069"/>
      <c r="C1767" s="2069"/>
      <c r="D1767" s="2069"/>
      <c r="E1767" s="2069"/>
      <c r="F1767" s="2069"/>
      <c r="G1767" s="2069"/>
      <c r="H1767" s="2069"/>
      <c r="I1767"/>
      <c r="J1767"/>
      <c r="K1767"/>
    </row>
    <row r="1768" spans="2:11" x14ac:dyDescent="0.2">
      <c r="B1768" s="2069"/>
      <c r="C1768" s="2069"/>
      <c r="D1768" s="2069"/>
      <c r="E1768" s="2069"/>
      <c r="F1768" s="2069"/>
      <c r="G1768" s="2069"/>
      <c r="H1768" s="2069"/>
      <c r="I1768"/>
      <c r="J1768"/>
      <c r="K1768"/>
    </row>
    <row r="1769" spans="2:11" x14ac:dyDescent="0.2">
      <c r="B1769" s="2069"/>
      <c r="C1769" s="2069"/>
      <c r="D1769" s="2069"/>
      <c r="E1769" s="2069"/>
      <c r="F1769" s="2069"/>
      <c r="G1769" s="2069"/>
      <c r="H1769" s="2069"/>
      <c r="I1769"/>
      <c r="J1769"/>
      <c r="K1769"/>
    </row>
    <row r="1770" spans="2:11" x14ac:dyDescent="0.2">
      <c r="B1770" s="2069"/>
      <c r="C1770" s="2069"/>
      <c r="D1770" s="2069"/>
      <c r="E1770" s="2069"/>
      <c r="F1770" s="2069"/>
      <c r="G1770" s="2069"/>
      <c r="H1770" s="2069"/>
      <c r="I1770"/>
      <c r="J1770"/>
      <c r="K1770"/>
    </row>
    <row r="1771" spans="2:11" x14ac:dyDescent="0.2">
      <c r="B1771" s="2069"/>
      <c r="C1771" s="2069"/>
      <c r="D1771" s="2069"/>
      <c r="E1771" s="2069"/>
      <c r="F1771" s="2069"/>
      <c r="G1771" s="2069"/>
      <c r="H1771" s="2069"/>
      <c r="I1771"/>
      <c r="J1771"/>
      <c r="K1771"/>
    </row>
    <row r="1772" spans="2:11" x14ac:dyDescent="0.2">
      <c r="B1772" s="2069"/>
      <c r="C1772" s="2069"/>
      <c r="D1772" s="2069"/>
      <c r="E1772" s="2069"/>
      <c r="F1772" s="2069"/>
      <c r="G1772" s="2069"/>
      <c r="H1772" s="2069"/>
      <c r="I1772"/>
      <c r="J1772"/>
      <c r="K1772"/>
    </row>
    <row r="1773" spans="2:11" x14ac:dyDescent="0.2">
      <c r="B1773" s="2069"/>
      <c r="C1773" s="2069"/>
      <c r="D1773" s="2069"/>
      <c r="E1773" s="2069"/>
      <c r="F1773" s="2069"/>
      <c r="G1773" s="2069"/>
      <c r="H1773" s="2069"/>
      <c r="I1773"/>
      <c r="J1773"/>
      <c r="K1773"/>
    </row>
    <row r="1774" spans="2:11" x14ac:dyDescent="0.2">
      <c r="B1774" s="2069"/>
      <c r="C1774" s="2069"/>
      <c r="D1774" s="2069"/>
      <c r="E1774" s="2069"/>
      <c r="F1774" s="2069"/>
      <c r="G1774" s="2069"/>
      <c r="H1774" s="2069"/>
      <c r="I1774"/>
      <c r="J1774"/>
      <c r="K1774"/>
    </row>
    <row r="1775" spans="2:11" x14ac:dyDescent="0.2">
      <c r="B1775" s="2069"/>
      <c r="C1775" s="2069"/>
      <c r="D1775" s="2069"/>
      <c r="E1775" s="2069"/>
      <c r="F1775" s="2069"/>
      <c r="G1775" s="2069"/>
      <c r="H1775" s="2069"/>
      <c r="I1775"/>
      <c r="J1775"/>
      <c r="K1775"/>
    </row>
    <row r="1776" spans="2:11" x14ac:dyDescent="0.2">
      <c r="B1776" s="2069"/>
      <c r="C1776" s="2069"/>
      <c r="D1776" s="2069"/>
      <c r="E1776" s="2069"/>
      <c r="F1776" s="2069"/>
      <c r="G1776" s="2069"/>
      <c r="H1776" s="2069"/>
      <c r="I1776"/>
      <c r="J1776"/>
      <c r="K1776"/>
    </row>
    <row r="1777" spans="2:11" x14ac:dyDescent="0.2">
      <c r="B1777" s="2069"/>
      <c r="C1777" s="2069"/>
      <c r="D1777" s="2069"/>
      <c r="E1777" s="2069"/>
      <c r="F1777" s="2069"/>
      <c r="G1777" s="2069"/>
      <c r="H1777" s="2069"/>
      <c r="I1777"/>
      <c r="J1777"/>
      <c r="K1777"/>
    </row>
    <row r="1778" spans="2:11" x14ac:dyDescent="0.2">
      <c r="B1778" s="2069"/>
      <c r="C1778" s="2069"/>
      <c r="D1778" s="2069"/>
      <c r="E1778" s="2069"/>
      <c r="F1778" s="2069"/>
      <c r="G1778" s="2069"/>
      <c r="H1778" s="2069"/>
      <c r="I1778"/>
      <c r="J1778"/>
      <c r="K1778"/>
    </row>
    <row r="1779" spans="2:11" x14ac:dyDescent="0.2">
      <c r="B1779" s="2069"/>
      <c r="C1779" s="2069"/>
      <c r="D1779" s="2069"/>
      <c r="E1779" s="2069"/>
      <c r="F1779" s="2069"/>
      <c r="G1779" s="2069"/>
      <c r="H1779" s="2069"/>
      <c r="I1779"/>
      <c r="J1779"/>
      <c r="K1779"/>
    </row>
    <row r="1780" spans="2:11" x14ac:dyDescent="0.2">
      <c r="B1780" s="2069"/>
      <c r="C1780" s="2069"/>
      <c r="D1780" s="2069"/>
      <c r="E1780" s="2069"/>
      <c r="F1780" s="2069"/>
      <c r="G1780" s="2069"/>
      <c r="H1780" s="2069"/>
      <c r="I1780"/>
      <c r="J1780"/>
      <c r="K1780"/>
    </row>
    <row r="1781" spans="2:11" x14ac:dyDescent="0.2">
      <c r="B1781" s="2069"/>
      <c r="C1781" s="2069"/>
      <c r="D1781" s="2069"/>
      <c r="E1781" s="2069"/>
      <c r="F1781" s="2069"/>
      <c r="G1781" s="2069"/>
      <c r="H1781" s="2069"/>
      <c r="I1781"/>
      <c r="J1781"/>
      <c r="K1781"/>
    </row>
    <row r="1782" spans="2:11" x14ac:dyDescent="0.2">
      <c r="B1782" s="2069"/>
      <c r="C1782" s="2069"/>
      <c r="D1782" s="2069"/>
      <c r="E1782" s="2069"/>
      <c r="F1782" s="2069"/>
      <c r="G1782" s="2069"/>
      <c r="H1782" s="2069"/>
      <c r="I1782"/>
      <c r="J1782"/>
      <c r="K1782"/>
    </row>
    <row r="1783" spans="2:11" x14ac:dyDescent="0.2">
      <c r="B1783" s="2069"/>
      <c r="C1783" s="2069"/>
      <c r="D1783" s="2069"/>
      <c r="E1783" s="2069"/>
      <c r="F1783" s="2069"/>
      <c r="G1783" s="2069"/>
      <c r="H1783" s="2069"/>
      <c r="I1783"/>
      <c r="J1783"/>
      <c r="K1783"/>
    </row>
    <row r="1784" spans="2:11" x14ac:dyDescent="0.2">
      <c r="B1784" s="2069"/>
      <c r="C1784" s="2069"/>
      <c r="D1784" s="2069"/>
      <c r="E1784" s="2069"/>
      <c r="F1784" s="2069"/>
      <c r="G1784" s="2069"/>
      <c r="H1784" s="2069"/>
      <c r="I1784"/>
      <c r="J1784"/>
      <c r="K1784"/>
    </row>
    <row r="1785" spans="2:11" x14ac:dyDescent="0.2">
      <c r="B1785" s="2069"/>
      <c r="C1785" s="2069"/>
      <c r="D1785" s="2069"/>
      <c r="E1785" s="2069"/>
      <c r="F1785" s="2069"/>
      <c r="G1785" s="2069"/>
      <c r="H1785" s="2069"/>
      <c r="I1785"/>
      <c r="J1785"/>
      <c r="K1785"/>
    </row>
    <row r="1786" spans="2:11" x14ac:dyDescent="0.2">
      <c r="B1786" s="2069"/>
      <c r="C1786" s="2069"/>
      <c r="D1786" s="2069"/>
      <c r="E1786" s="2069"/>
      <c r="F1786" s="2069"/>
      <c r="G1786" s="2069"/>
      <c r="H1786" s="2069"/>
      <c r="I1786"/>
      <c r="J1786"/>
      <c r="K1786"/>
    </row>
    <row r="1787" spans="2:11" x14ac:dyDescent="0.2">
      <c r="B1787" s="2069"/>
      <c r="C1787" s="2069"/>
      <c r="D1787" s="2069"/>
      <c r="E1787" s="2069"/>
      <c r="F1787" s="2069"/>
      <c r="G1787" s="2069"/>
      <c r="H1787" s="2069"/>
      <c r="I1787"/>
      <c r="J1787"/>
      <c r="K1787"/>
    </row>
    <row r="1788" spans="2:11" x14ac:dyDescent="0.2">
      <c r="B1788" s="2069"/>
      <c r="C1788" s="2069"/>
      <c r="D1788" s="2069"/>
      <c r="E1788" s="2069"/>
      <c r="F1788" s="2069"/>
      <c r="G1788" s="2069"/>
      <c r="H1788" s="2069"/>
      <c r="I1788"/>
      <c r="J1788"/>
      <c r="K1788"/>
    </row>
    <row r="1789" spans="2:11" x14ac:dyDescent="0.2">
      <c r="B1789" s="2069"/>
      <c r="C1789" s="2069"/>
      <c r="D1789" s="2069"/>
      <c r="E1789" s="2069"/>
      <c r="F1789" s="2069"/>
      <c r="G1789" s="2069"/>
      <c r="H1789" s="2069"/>
      <c r="I1789"/>
      <c r="J1789"/>
      <c r="K1789"/>
    </row>
    <row r="1790" spans="2:11" x14ac:dyDescent="0.2">
      <c r="B1790" s="2069"/>
      <c r="C1790" s="2069"/>
      <c r="D1790" s="2069"/>
      <c r="E1790" s="2069"/>
      <c r="F1790" s="2069"/>
      <c r="G1790" s="2069"/>
      <c r="H1790" s="2069"/>
      <c r="I1790"/>
      <c r="J1790"/>
      <c r="K1790"/>
    </row>
    <row r="1791" spans="2:11" x14ac:dyDescent="0.2">
      <c r="B1791" s="2069"/>
      <c r="C1791" s="2069"/>
      <c r="D1791" s="2069"/>
      <c r="E1791" s="2069"/>
      <c r="F1791" s="2069"/>
      <c r="G1791" s="2069"/>
      <c r="H1791" s="2069"/>
      <c r="I1791"/>
      <c r="J1791"/>
      <c r="K1791"/>
    </row>
    <row r="1792" spans="2:11" x14ac:dyDescent="0.2">
      <c r="B1792" s="2069"/>
      <c r="C1792" s="2069"/>
      <c r="D1792" s="2069"/>
      <c r="E1792" s="2069"/>
      <c r="F1792" s="2069"/>
      <c r="G1792" s="2069"/>
      <c r="H1792" s="2069"/>
      <c r="I1792"/>
      <c r="J1792"/>
      <c r="K1792"/>
    </row>
    <row r="1793" spans="2:11" x14ac:dyDescent="0.2">
      <c r="B1793" s="2069"/>
      <c r="C1793" s="2069"/>
      <c r="D1793" s="2069"/>
      <c r="E1793" s="2069"/>
      <c r="F1793" s="2069"/>
      <c r="G1793" s="2069"/>
      <c r="H1793" s="2069"/>
      <c r="I1793"/>
      <c r="J1793"/>
      <c r="K1793"/>
    </row>
    <row r="1794" spans="2:11" x14ac:dyDescent="0.2">
      <c r="B1794" s="2069"/>
      <c r="C1794" s="2069"/>
      <c r="D1794" s="2069"/>
      <c r="E1794" s="2069"/>
      <c r="F1794" s="2069"/>
      <c r="G1794" s="2069"/>
      <c r="H1794" s="2069"/>
      <c r="I1794"/>
      <c r="J1794"/>
      <c r="K1794"/>
    </row>
    <row r="1795" spans="2:11" x14ac:dyDescent="0.2">
      <c r="B1795" s="2069"/>
      <c r="C1795" s="2069"/>
      <c r="D1795" s="2069"/>
      <c r="E1795" s="2069"/>
      <c r="F1795" s="2069"/>
      <c r="G1795" s="2069"/>
      <c r="H1795" s="2069"/>
      <c r="I1795"/>
      <c r="J1795"/>
      <c r="K1795"/>
    </row>
    <row r="1796" spans="2:11" x14ac:dyDescent="0.2">
      <c r="B1796" s="2069"/>
      <c r="C1796" s="2069"/>
      <c r="D1796" s="2069"/>
      <c r="E1796" s="2069"/>
      <c r="F1796" s="2069"/>
      <c r="G1796" s="2069"/>
      <c r="H1796" s="2069"/>
      <c r="I1796"/>
      <c r="J1796"/>
      <c r="K1796"/>
    </row>
    <row r="1797" spans="2:11" x14ac:dyDescent="0.2">
      <c r="B1797" s="2069"/>
      <c r="C1797" s="2069"/>
      <c r="D1797" s="2069"/>
      <c r="E1797" s="2069"/>
      <c r="F1797" s="2069"/>
      <c r="G1797" s="2069"/>
      <c r="H1797" s="2069"/>
      <c r="I1797"/>
      <c r="J1797"/>
      <c r="K1797"/>
    </row>
    <row r="1798" spans="2:11" x14ac:dyDescent="0.2">
      <c r="B1798" s="2069"/>
      <c r="C1798" s="2069"/>
      <c r="D1798" s="2069"/>
      <c r="E1798" s="2069"/>
      <c r="F1798" s="2069"/>
      <c r="G1798" s="2069"/>
      <c r="H1798" s="2069"/>
      <c r="I1798"/>
      <c r="J1798"/>
      <c r="K1798"/>
    </row>
    <row r="1799" spans="2:11" x14ac:dyDescent="0.2">
      <c r="B1799" s="2069"/>
      <c r="C1799" s="2069"/>
      <c r="D1799" s="2069"/>
      <c r="E1799" s="2069"/>
      <c r="F1799" s="2069"/>
      <c r="G1799" s="2069"/>
      <c r="H1799" s="2069"/>
      <c r="I1799"/>
      <c r="J1799"/>
      <c r="K1799"/>
    </row>
    <row r="1800" spans="2:11" x14ac:dyDescent="0.2">
      <c r="B1800" s="2069"/>
      <c r="C1800" s="2069"/>
      <c r="D1800" s="2069"/>
      <c r="E1800" s="2069"/>
      <c r="F1800" s="2069"/>
      <c r="G1800" s="2069"/>
      <c r="H1800" s="2069"/>
      <c r="I1800"/>
      <c r="J1800"/>
      <c r="K1800"/>
    </row>
    <row r="1801" spans="2:11" x14ac:dyDescent="0.2">
      <c r="B1801" s="2069"/>
      <c r="C1801" s="2069"/>
      <c r="D1801" s="2069"/>
      <c r="E1801" s="2069"/>
      <c r="F1801" s="2069"/>
      <c r="G1801" s="2069"/>
      <c r="H1801" s="2069"/>
      <c r="I1801"/>
      <c r="J1801"/>
      <c r="K1801"/>
    </row>
    <row r="1802" spans="2:11" x14ac:dyDescent="0.2">
      <c r="B1802" s="2069"/>
      <c r="C1802" s="2069"/>
      <c r="D1802" s="2069"/>
      <c r="E1802" s="2069"/>
      <c r="F1802" s="2069"/>
      <c r="G1802" s="2069"/>
      <c r="H1802" s="2069"/>
      <c r="I1802"/>
      <c r="J1802"/>
      <c r="K1802"/>
    </row>
    <row r="1803" spans="2:11" x14ac:dyDescent="0.2">
      <c r="B1803" s="2069"/>
      <c r="C1803" s="2069"/>
      <c r="D1803" s="2069"/>
      <c r="E1803" s="2069"/>
      <c r="F1803" s="2069"/>
      <c r="G1803" s="2069"/>
      <c r="H1803" s="2069"/>
      <c r="I1803"/>
      <c r="J1803"/>
      <c r="K1803"/>
    </row>
    <row r="1804" spans="2:11" x14ac:dyDescent="0.2">
      <c r="B1804" s="2069"/>
      <c r="C1804" s="2069"/>
      <c r="D1804" s="2069"/>
      <c r="E1804" s="2069"/>
      <c r="F1804" s="2069"/>
      <c r="G1804" s="2069"/>
      <c r="H1804" s="2069"/>
      <c r="I1804"/>
      <c r="J1804"/>
      <c r="K1804"/>
    </row>
    <row r="1805" spans="2:11" x14ac:dyDescent="0.2">
      <c r="B1805" s="2069"/>
      <c r="C1805" s="2069"/>
      <c r="D1805" s="2069"/>
      <c r="E1805" s="2069"/>
      <c r="F1805" s="2069"/>
      <c r="G1805" s="2069"/>
      <c r="H1805" s="2069"/>
      <c r="I1805"/>
      <c r="J1805"/>
      <c r="K1805"/>
    </row>
    <row r="1806" spans="2:11" x14ac:dyDescent="0.2">
      <c r="B1806" s="2069"/>
      <c r="C1806" s="2069"/>
      <c r="D1806" s="2069"/>
      <c r="E1806" s="2069"/>
      <c r="F1806" s="2069"/>
      <c r="G1806" s="2069"/>
      <c r="H1806" s="2069"/>
      <c r="I1806"/>
      <c r="J1806"/>
      <c r="K1806"/>
    </row>
    <row r="1807" spans="2:11" x14ac:dyDescent="0.2">
      <c r="B1807" s="2069"/>
      <c r="C1807" s="2069"/>
      <c r="D1807" s="2069"/>
      <c r="E1807" s="2069"/>
      <c r="F1807" s="2069"/>
      <c r="G1807" s="2069"/>
      <c r="H1807" s="2069"/>
      <c r="I1807"/>
      <c r="J1807"/>
      <c r="K1807"/>
    </row>
    <row r="1808" spans="2:11" x14ac:dyDescent="0.2">
      <c r="B1808" s="2069"/>
      <c r="C1808" s="2069"/>
      <c r="D1808" s="2069"/>
      <c r="E1808" s="2069"/>
      <c r="F1808" s="2069"/>
      <c r="G1808" s="2069"/>
      <c r="H1808" s="2069"/>
      <c r="I1808"/>
      <c r="J1808"/>
      <c r="K1808"/>
    </row>
    <row r="1809" spans="2:11" x14ac:dyDescent="0.2">
      <c r="B1809" s="2069"/>
      <c r="C1809" s="2069"/>
      <c r="D1809" s="2069"/>
      <c r="E1809" s="2069"/>
      <c r="F1809" s="2069"/>
      <c r="G1809" s="2069"/>
      <c r="H1809" s="2069"/>
      <c r="I1809"/>
      <c r="J1809"/>
      <c r="K1809"/>
    </row>
    <row r="1810" spans="2:11" x14ac:dyDescent="0.2">
      <c r="B1810" s="2069"/>
      <c r="C1810" s="2069"/>
      <c r="D1810" s="2069"/>
      <c r="E1810" s="2069"/>
      <c r="F1810" s="2069"/>
      <c r="G1810" s="2069"/>
      <c r="H1810" s="2069"/>
      <c r="I1810"/>
      <c r="J1810"/>
      <c r="K1810"/>
    </row>
    <row r="1811" spans="2:11" x14ac:dyDescent="0.2">
      <c r="B1811" s="2069"/>
      <c r="C1811" s="2069"/>
      <c r="D1811" s="2069"/>
      <c r="E1811" s="2069"/>
      <c r="F1811" s="2069"/>
      <c r="G1811" s="2069"/>
      <c r="H1811" s="2069"/>
      <c r="I1811"/>
      <c r="J1811"/>
      <c r="K1811"/>
    </row>
    <row r="1812" spans="2:11" x14ac:dyDescent="0.2">
      <c r="B1812" s="2069"/>
      <c r="C1812" s="2069"/>
      <c r="D1812" s="2069"/>
      <c r="E1812" s="2069"/>
      <c r="F1812" s="2069"/>
      <c r="G1812" s="2069"/>
      <c r="H1812" s="2069"/>
      <c r="I1812"/>
      <c r="J1812"/>
      <c r="K1812"/>
    </row>
    <row r="1813" spans="2:11" x14ac:dyDescent="0.2">
      <c r="B1813" s="2069"/>
      <c r="C1813" s="2069"/>
      <c r="D1813" s="2069"/>
      <c r="E1813" s="2069"/>
      <c r="F1813" s="2069"/>
      <c r="G1813" s="2069"/>
      <c r="H1813" s="2069"/>
      <c r="I1813"/>
      <c r="J1813"/>
      <c r="K1813"/>
    </row>
    <row r="1814" spans="2:11" x14ac:dyDescent="0.2">
      <c r="B1814" s="2069"/>
      <c r="C1814" s="2069"/>
      <c r="D1814" s="2069"/>
      <c r="E1814" s="2069"/>
      <c r="F1814" s="2069"/>
      <c r="G1814" s="2069"/>
      <c r="H1814" s="2069"/>
      <c r="I1814"/>
      <c r="J1814"/>
      <c r="K1814"/>
    </row>
    <row r="1815" spans="2:11" x14ac:dyDescent="0.2">
      <c r="B1815" s="2069"/>
      <c r="C1815" s="2069"/>
      <c r="D1815" s="2069"/>
      <c r="E1815" s="2069"/>
      <c r="F1815" s="2069"/>
      <c r="G1815" s="2069"/>
      <c r="H1815" s="2069"/>
      <c r="I1815"/>
      <c r="J1815"/>
      <c r="K1815"/>
    </row>
    <row r="1816" spans="2:11" x14ac:dyDescent="0.2">
      <c r="B1816" s="2069"/>
      <c r="C1816" s="2069"/>
      <c r="D1816" s="2069"/>
      <c r="E1816" s="2069"/>
      <c r="F1816" s="2069"/>
      <c r="G1816" s="2069"/>
      <c r="H1816" s="2069"/>
      <c r="I1816"/>
      <c r="J1816"/>
      <c r="K1816"/>
    </row>
    <row r="1817" spans="2:11" x14ac:dyDescent="0.2">
      <c r="B1817" s="2069"/>
      <c r="C1817" s="2069"/>
      <c r="D1817" s="2069"/>
      <c r="E1817" s="2069"/>
      <c r="F1817" s="2069"/>
      <c r="G1817" s="2069"/>
      <c r="H1817" s="2069"/>
      <c r="I1817"/>
      <c r="J1817"/>
      <c r="K1817"/>
    </row>
    <row r="1818" spans="2:11" x14ac:dyDescent="0.2">
      <c r="B1818" s="2069"/>
      <c r="C1818" s="2069"/>
      <c r="D1818" s="2069"/>
      <c r="E1818" s="2069"/>
      <c r="F1818" s="2069"/>
      <c r="G1818" s="2069"/>
      <c r="H1818" s="2069"/>
      <c r="I1818"/>
      <c r="J1818"/>
      <c r="K1818"/>
    </row>
    <row r="1819" spans="2:11" x14ac:dyDescent="0.2">
      <c r="B1819" s="2069"/>
      <c r="C1819" s="2069"/>
      <c r="D1819" s="2069"/>
      <c r="E1819" s="2069"/>
      <c r="F1819" s="2069"/>
      <c r="G1819" s="2069"/>
      <c r="H1819" s="2069"/>
      <c r="I1819"/>
      <c r="J1819"/>
      <c r="K1819"/>
    </row>
    <row r="1820" spans="2:11" x14ac:dyDescent="0.2">
      <c r="B1820" s="2069"/>
      <c r="C1820" s="2069"/>
      <c r="D1820" s="2069"/>
      <c r="E1820" s="2069"/>
      <c r="F1820" s="2069"/>
      <c r="G1820" s="2069"/>
      <c r="H1820" s="2069"/>
      <c r="I1820"/>
      <c r="J1820"/>
      <c r="K1820"/>
    </row>
    <row r="1821" spans="2:11" x14ac:dyDescent="0.2">
      <c r="B1821" s="2069"/>
      <c r="C1821" s="2069"/>
      <c r="D1821" s="2069"/>
      <c r="E1821" s="2069"/>
      <c r="F1821" s="2069"/>
      <c r="G1821" s="2069"/>
      <c r="H1821" s="2069"/>
      <c r="I1821"/>
      <c r="J1821"/>
      <c r="K1821"/>
    </row>
    <row r="1822" spans="2:11" x14ac:dyDescent="0.2">
      <c r="B1822" s="2069"/>
      <c r="C1822" s="2069"/>
      <c r="D1822" s="2069"/>
      <c r="E1822" s="2069"/>
      <c r="F1822" s="2069"/>
      <c r="G1822" s="2069"/>
      <c r="H1822" s="2069"/>
      <c r="I1822"/>
      <c r="J1822"/>
      <c r="K1822"/>
    </row>
    <row r="1823" spans="2:11" x14ac:dyDescent="0.2">
      <c r="B1823" s="2069"/>
      <c r="C1823" s="2069"/>
      <c r="D1823" s="2069"/>
      <c r="E1823" s="2069"/>
      <c r="F1823" s="2069"/>
      <c r="G1823" s="2069"/>
      <c r="H1823" s="2069"/>
      <c r="I1823"/>
      <c r="J1823"/>
      <c r="K1823"/>
    </row>
    <row r="1824" spans="2:11" x14ac:dyDescent="0.2">
      <c r="B1824" s="2069"/>
      <c r="C1824" s="2069"/>
      <c r="D1824" s="2069"/>
      <c r="E1824" s="2069"/>
      <c r="F1824" s="2069"/>
      <c r="G1824" s="2069"/>
      <c r="H1824" s="2069"/>
      <c r="I1824"/>
      <c r="J1824"/>
      <c r="K1824"/>
    </row>
    <row r="1825" spans="2:11" x14ac:dyDescent="0.2">
      <c r="B1825" s="2069"/>
      <c r="C1825" s="2069"/>
      <c r="D1825" s="2069"/>
      <c r="E1825" s="2069"/>
      <c r="F1825" s="2069"/>
      <c r="G1825" s="2069"/>
      <c r="H1825" s="2069"/>
      <c r="I1825"/>
      <c r="J1825"/>
      <c r="K1825"/>
    </row>
    <row r="1826" spans="2:11" x14ac:dyDescent="0.2">
      <c r="B1826" s="2069"/>
      <c r="C1826" s="2069"/>
      <c r="D1826" s="2069"/>
      <c r="E1826" s="2069"/>
      <c r="F1826" s="2069"/>
      <c r="G1826" s="2069"/>
      <c r="H1826" s="2069"/>
      <c r="I1826"/>
      <c r="J1826"/>
      <c r="K1826"/>
    </row>
    <row r="1827" spans="2:11" x14ac:dyDescent="0.2">
      <c r="B1827" s="2069"/>
      <c r="C1827" s="2069"/>
      <c r="D1827" s="2069"/>
      <c r="E1827" s="2069"/>
      <c r="F1827" s="2069"/>
      <c r="G1827" s="2069"/>
      <c r="H1827" s="2069"/>
      <c r="I1827"/>
      <c r="J1827"/>
      <c r="K1827"/>
    </row>
    <row r="1828" spans="2:11" x14ac:dyDescent="0.2">
      <c r="B1828" s="2069"/>
      <c r="C1828" s="2069"/>
      <c r="D1828" s="2069"/>
      <c r="E1828" s="2069"/>
      <c r="F1828" s="2069"/>
      <c r="G1828" s="2069"/>
      <c r="H1828" s="2069"/>
      <c r="I1828"/>
      <c r="J1828"/>
      <c r="K1828"/>
    </row>
    <row r="1829" spans="2:11" x14ac:dyDescent="0.2">
      <c r="B1829" s="2069"/>
      <c r="C1829" s="2069"/>
      <c r="D1829" s="2069"/>
      <c r="E1829" s="2069"/>
      <c r="F1829" s="2069"/>
      <c r="G1829" s="2069"/>
      <c r="H1829" s="2069"/>
      <c r="I1829"/>
      <c r="J1829"/>
      <c r="K1829"/>
    </row>
    <row r="1830" spans="2:11" x14ac:dyDescent="0.2">
      <c r="B1830" s="2069"/>
      <c r="C1830" s="2069"/>
      <c r="D1830" s="2069"/>
      <c r="E1830" s="2069"/>
      <c r="F1830" s="2069"/>
      <c r="G1830" s="2069"/>
      <c r="H1830" s="2069"/>
      <c r="I1830"/>
      <c r="J1830"/>
      <c r="K1830"/>
    </row>
    <row r="1831" spans="2:11" x14ac:dyDescent="0.2">
      <c r="B1831" s="2069"/>
      <c r="C1831" s="2069"/>
      <c r="D1831" s="2069"/>
      <c r="E1831" s="2069"/>
      <c r="F1831" s="2069"/>
      <c r="G1831" s="2069"/>
      <c r="H1831" s="2069"/>
      <c r="I1831"/>
      <c r="J1831"/>
      <c r="K1831"/>
    </row>
    <row r="1832" spans="2:11" x14ac:dyDescent="0.2">
      <c r="B1832" s="2069"/>
      <c r="C1832" s="2069"/>
      <c r="D1832" s="2069"/>
      <c r="E1832" s="2069"/>
      <c r="F1832" s="2069"/>
      <c r="G1832" s="2069"/>
      <c r="H1832" s="2069"/>
      <c r="I1832"/>
      <c r="J1832"/>
      <c r="K1832"/>
    </row>
    <row r="1833" spans="2:11" x14ac:dyDescent="0.2">
      <c r="B1833" s="2069"/>
      <c r="C1833" s="2069"/>
      <c r="D1833" s="2069"/>
      <c r="E1833" s="2069"/>
      <c r="F1833" s="2069"/>
      <c r="G1833" s="2069"/>
      <c r="H1833" s="2069"/>
      <c r="I1833"/>
      <c r="J1833"/>
      <c r="K1833"/>
    </row>
    <row r="1834" spans="2:11" x14ac:dyDescent="0.2">
      <c r="B1834" s="2069"/>
      <c r="C1834" s="2069"/>
      <c r="D1834" s="2069"/>
      <c r="E1834" s="2069"/>
      <c r="F1834" s="2069"/>
      <c r="G1834" s="2069"/>
      <c r="H1834" s="2069"/>
      <c r="I1834"/>
      <c r="J1834"/>
      <c r="K1834"/>
    </row>
    <row r="1835" spans="2:11" x14ac:dyDescent="0.2">
      <c r="B1835" s="2069"/>
      <c r="C1835" s="2069"/>
      <c r="D1835" s="2069"/>
      <c r="E1835" s="2069"/>
      <c r="F1835" s="2069"/>
      <c r="G1835" s="2069"/>
      <c r="H1835" s="2069"/>
      <c r="I1835"/>
      <c r="J1835"/>
      <c r="K1835"/>
    </row>
    <row r="1836" spans="2:11" x14ac:dyDescent="0.2">
      <c r="B1836" s="2069"/>
      <c r="C1836" s="2069"/>
      <c r="D1836" s="2069"/>
      <c r="E1836" s="2069"/>
      <c r="F1836" s="2069"/>
      <c r="G1836" s="2069"/>
      <c r="H1836" s="2069"/>
      <c r="I1836"/>
      <c r="J1836"/>
      <c r="K1836"/>
    </row>
    <row r="1837" spans="2:11" x14ac:dyDescent="0.2">
      <c r="B1837" s="2069"/>
      <c r="C1837" s="2069"/>
      <c r="D1837" s="2069"/>
      <c r="E1837" s="2069"/>
      <c r="F1837" s="2069"/>
      <c r="G1837" s="2069"/>
      <c r="H1837" s="2069"/>
      <c r="I1837"/>
      <c r="J1837"/>
      <c r="K1837"/>
    </row>
    <row r="1838" spans="2:11" x14ac:dyDescent="0.2">
      <c r="B1838" s="2069"/>
      <c r="C1838" s="2069"/>
      <c r="D1838" s="2069"/>
      <c r="E1838" s="2069"/>
      <c r="F1838" s="2069"/>
      <c r="G1838" s="2069"/>
      <c r="H1838" s="2069"/>
      <c r="I1838"/>
      <c r="J1838"/>
      <c r="K1838"/>
    </row>
    <row r="1839" spans="2:11" x14ac:dyDescent="0.2">
      <c r="B1839" s="2069"/>
      <c r="C1839" s="2069"/>
      <c r="D1839" s="2069"/>
      <c r="E1839" s="2069"/>
      <c r="F1839" s="2069"/>
      <c r="G1839" s="2069"/>
      <c r="H1839" s="2069"/>
      <c r="I1839"/>
      <c r="J1839"/>
      <c r="K1839"/>
    </row>
    <row r="1840" spans="2:11" x14ac:dyDescent="0.2">
      <c r="B1840" s="2069"/>
      <c r="C1840" s="2069"/>
      <c r="D1840" s="2069"/>
      <c r="E1840" s="2069"/>
      <c r="F1840" s="2069"/>
      <c r="G1840" s="2069"/>
      <c r="H1840" s="2069"/>
      <c r="I1840"/>
      <c r="J1840"/>
      <c r="K1840"/>
    </row>
    <row r="1841" spans="2:11" x14ac:dyDescent="0.2">
      <c r="B1841" s="2069"/>
      <c r="C1841" s="2069"/>
      <c r="D1841" s="2069"/>
      <c r="E1841" s="2069"/>
      <c r="F1841" s="2069"/>
      <c r="G1841" s="2069"/>
      <c r="H1841" s="2069"/>
      <c r="I1841"/>
      <c r="J1841"/>
      <c r="K1841"/>
    </row>
    <row r="1842" spans="2:11" x14ac:dyDescent="0.2">
      <c r="B1842" s="2069"/>
      <c r="C1842" s="2069"/>
      <c r="D1842" s="2069"/>
      <c r="E1842" s="2069"/>
      <c r="F1842" s="2069"/>
      <c r="G1842" s="2069"/>
      <c r="H1842" s="2069"/>
      <c r="I1842"/>
      <c r="J1842"/>
      <c r="K1842"/>
    </row>
    <row r="1843" spans="2:11" x14ac:dyDescent="0.2">
      <c r="B1843" s="2069"/>
      <c r="C1843" s="2069"/>
      <c r="D1843" s="2069"/>
      <c r="E1843" s="2069"/>
      <c r="F1843" s="2069"/>
      <c r="G1843" s="2069"/>
      <c r="H1843" s="2069"/>
      <c r="I1843"/>
      <c r="J1843"/>
      <c r="K1843"/>
    </row>
    <row r="1844" spans="2:11" x14ac:dyDescent="0.2">
      <c r="B1844" s="2069"/>
      <c r="C1844" s="2069"/>
      <c r="D1844" s="2069"/>
      <c r="E1844" s="2069"/>
      <c r="F1844" s="2069"/>
      <c r="G1844" s="2069"/>
      <c r="H1844" s="2069"/>
      <c r="I1844"/>
      <c r="J1844"/>
      <c r="K1844"/>
    </row>
    <row r="1845" spans="2:11" x14ac:dyDescent="0.2">
      <c r="B1845" s="2069"/>
      <c r="C1845" s="2069"/>
      <c r="D1845" s="2069"/>
      <c r="E1845" s="2069"/>
      <c r="F1845" s="2069"/>
      <c r="G1845" s="2069"/>
      <c r="H1845" s="2069"/>
      <c r="I1845"/>
      <c r="J1845"/>
      <c r="K1845"/>
    </row>
    <row r="1846" spans="2:11" x14ac:dyDescent="0.2">
      <c r="B1846" s="2069"/>
      <c r="C1846" s="2069"/>
      <c r="D1846" s="2069"/>
      <c r="E1846" s="2069"/>
      <c r="F1846" s="2069"/>
      <c r="G1846" s="2069"/>
      <c r="H1846" s="2069"/>
      <c r="I1846"/>
      <c r="J1846"/>
      <c r="K1846"/>
    </row>
    <row r="1847" spans="2:11" x14ac:dyDescent="0.2">
      <c r="B1847" s="2069"/>
      <c r="C1847" s="2069"/>
      <c r="D1847" s="2069"/>
      <c r="E1847" s="2069"/>
      <c r="F1847" s="2069"/>
      <c r="G1847" s="2069"/>
      <c r="H1847" s="2069"/>
      <c r="I1847"/>
      <c r="J1847"/>
      <c r="K1847"/>
    </row>
    <row r="1848" spans="2:11" x14ac:dyDescent="0.2">
      <c r="B1848" s="2069"/>
      <c r="C1848" s="2069"/>
      <c r="D1848" s="2069"/>
      <c r="E1848" s="2069"/>
      <c r="F1848" s="2069"/>
      <c r="G1848" s="2069"/>
      <c r="H1848" s="2069"/>
      <c r="I1848"/>
      <c r="J1848"/>
      <c r="K1848"/>
    </row>
    <row r="1849" spans="2:11" x14ac:dyDescent="0.2">
      <c r="B1849" s="2069"/>
      <c r="C1849" s="2069"/>
      <c r="D1849" s="2069"/>
      <c r="E1849" s="2069"/>
      <c r="F1849" s="2069"/>
      <c r="G1849" s="2069"/>
      <c r="H1849" s="2069"/>
      <c r="I1849"/>
      <c r="J1849"/>
      <c r="K1849"/>
    </row>
    <row r="1850" spans="2:11" x14ac:dyDescent="0.2">
      <c r="B1850" s="2069"/>
      <c r="C1850" s="2069"/>
      <c r="D1850" s="2069"/>
      <c r="E1850" s="2069"/>
      <c r="F1850" s="2069"/>
      <c r="G1850" s="2069"/>
      <c r="H1850" s="2069"/>
      <c r="I1850"/>
      <c r="J1850"/>
      <c r="K1850"/>
    </row>
    <row r="1851" spans="2:11" x14ac:dyDescent="0.2">
      <c r="B1851" s="2069"/>
      <c r="C1851" s="2069"/>
      <c r="D1851" s="2069"/>
      <c r="E1851" s="2069"/>
      <c r="F1851" s="2069"/>
      <c r="G1851" s="2069"/>
      <c r="H1851" s="2069"/>
      <c r="I1851"/>
      <c r="J1851"/>
      <c r="K1851"/>
    </row>
    <row r="1852" spans="2:11" x14ac:dyDescent="0.2">
      <c r="B1852" s="2069"/>
      <c r="C1852" s="2069"/>
      <c r="D1852" s="2069"/>
      <c r="E1852" s="2069"/>
      <c r="F1852" s="2069"/>
      <c r="G1852" s="2069"/>
      <c r="H1852" s="2069"/>
      <c r="I1852"/>
      <c r="J1852"/>
      <c r="K1852"/>
    </row>
    <row r="1853" spans="2:11" x14ac:dyDescent="0.2">
      <c r="B1853" s="2069"/>
      <c r="C1853" s="2069"/>
      <c r="D1853" s="2069"/>
      <c r="E1853" s="2069"/>
      <c r="F1853" s="2069"/>
      <c r="G1853" s="2069"/>
      <c r="H1853" s="2069"/>
      <c r="I1853"/>
      <c r="J1853"/>
      <c r="K1853"/>
    </row>
    <row r="1854" spans="2:11" x14ac:dyDescent="0.2">
      <c r="B1854" s="2069"/>
      <c r="C1854" s="2069"/>
      <c r="D1854" s="2069"/>
      <c r="E1854" s="2069"/>
      <c r="F1854" s="2069"/>
      <c r="G1854" s="2069"/>
      <c r="H1854" s="2069"/>
      <c r="I1854"/>
      <c r="J1854"/>
      <c r="K1854"/>
    </row>
    <row r="1855" spans="2:11" x14ac:dyDescent="0.2">
      <c r="B1855" s="2069"/>
      <c r="C1855" s="2069"/>
      <c r="D1855" s="2069"/>
      <c r="E1855" s="2069"/>
      <c r="F1855" s="2069"/>
      <c r="G1855" s="2069"/>
      <c r="H1855" s="2069"/>
      <c r="I1855"/>
      <c r="J1855"/>
      <c r="K1855"/>
    </row>
    <row r="1856" spans="2:11" x14ac:dyDescent="0.2">
      <c r="B1856" s="2069"/>
      <c r="C1856" s="2069"/>
      <c r="D1856" s="2069"/>
      <c r="E1856" s="2069"/>
      <c r="F1856" s="2069"/>
      <c r="G1856" s="2069"/>
      <c r="H1856" s="2069"/>
      <c r="I1856"/>
      <c r="J1856"/>
      <c r="K1856"/>
    </row>
    <row r="1857" spans="2:11" x14ac:dyDescent="0.2">
      <c r="B1857" s="2069"/>
      <c r="C1857" s="2069"/>
      <c r="D1857" s="2069"/>
      <c r="E1857" s="2069"/>
      <c r="F1857" s="2069"/>
      <c r="G1857" s="2069"/>
      <c r="H1857" s="2069"/>
      <c r="I1857"/>
      <c r="J1857"/>
      <c r="K1857"/>
    </row>
    <row r="1858" spans="2:11" x14ac:dyDescent="0.2">
      <c r="B1858" s="2069"/>
      <c r="C1858" s="2069"/>
      <c r="D1858" s="2069"/>
      <c r="E1858" s="2069"/>
      <c r="F1858" s="2069"/>
      <c r="G1858" s="2069"/>
      <c r="H1858" s="2069"/>
      <c r="I1858"/>
      <c r="J1858"/>
      <c r="K1858"/>
    </row>
    <row r="1859" spans="2:11" x14ac:dyDescent="0.2">
      <c r="B1859" s="2069"/>
      <c r="C1859" s="2069"/>
      <c r="D1859" s="2069"/>
      <c r="E1859" s="2069"/>
      <c r="F1859" s="2069"/>
      <c r="G1859" s="2069"/>
      <c r="H1859" s="2069"/>
      <c r="I1859"/>
      <c r="J1859"/>
      <c r="K1859"/>
    </row>
    <row r="1860" spans="2:11" x14ac:dyDescent="0.2">
      <c r="B1860" s="2069"/>
      <c r="C1860" s="2069"/>
      <c r="D1860" s="2069"/>
      <c r="E1860" s="2069"/>
      <c r="F1860" s="2069"/>
      <c r="G1860" s="2069"/>
      <c r="H1860" s="2069"/>
      <c r="I1860"/>
      <c r="J1860"/>
      <c r="K1860"/>
    </row>
    <row r="1861" spans="2:11" x14ac:dyDescent="0.2">
      <c r="B1861" s="2069"/>
      <c r="C1861" s="2069"/>
      <c r="D1861" s="2069"/>
      <c r="E1861" s="2069"/>
      <c r="F1861" s="2069"/>
      <c r="G1861" s="2069"/>
      <c r="H1861" s="2069"/>
      <c r="I1861"/>
      <c r="J1861"/>
      <c r="K1861"/>
    </row>
    <row r="1862" spans="2:11" x14ac:dyDescent="0.2">
      <c r="B1862" s="2069"/>
      <c r="C1862" s="2069"/>
      <c r="D1862" s="2069"/>
      <c r="E1862" s="2069"/>
      <c r="F1862" s="2069"/>
      <c r="G1862" s="2069"/>
      <c r="H1862" s="2069"/>
      <c r="I1862"/>
      <c r="J1862"/>
      <c r="K1862"/>
    </row>
    <row r="1863" spans="2:11" x14ac:dyDescent="0.2">
      <c r="B1863" s="2069"/>
      <c r="C1863" s="2069"/>
      <c r="D1863" s="2069"/>
      <c r="E1863" s="2069"/>
      <c r="F1863" s="2069"/>
      <c r="G1863" s="2069"/>
      <c r="H1863" s="2069"/>
      <c r="I1863"/>
      <c r="J1863"/>
      <c r="K1863"/>
    </row>
    <row r="1864" spans="2:11" x14ac:dyDescent="0.2">
      <c r="B1864" s="2069"/>
      <c r="C1864" s="2069"/>
      <c r="D1864" s="2069"/>
      <c r="E1864" s="2069"/>
      <c r="F1864" s="2069"/>
      <c r="G1864" s="2069"/>
      <c r="H1864" s="2069"/>
      <c r="I1864"/>
      <c r="J1864"/>
      <c r="K1864"/>
    </row>
    <row r="1865" spans="2:11" x14ac:dyDescent="0.2">
      <c r="B1865" s="2069"/>
      <c r="C1865" s="2069"/>
      <c r="D1865" s="2069"/>
      <c r="E1865" s="2069"/>
      <c r="F1865" s="2069"/>
      <c r="G1865" s="2069"/>
      <c r="H1865" s="2069"/>
      <c r="I1865"/>
      <c r="J1865"/>
      <c r="K1865"/>
    </row>
    <row r="1866" spans="2:11" x14ac:dyDescent="0.2">
      <c r="B1866" s="2069"/>
      <c r="C1866" s="2069"/>
      <c r="D1866" s="2069"/>
      <c r="E1866" s="2069"/>
      <c r="F1866" s="2069"/>
      <c r="G1866" s="2069"/>
      <c r="H1866" s="2069"/>
      <c r="I1866"/>
      <c r="J1866"/>
      <c r="K1866"/>
    </row>
    <row r="1867" spans="2:11" x14ac:dyDescent="0.2">
      <c r="B1867" s="2069"/>
      <c r="C1867" s="2069"/>
      <c r="D1867" s="2069"/>
      <c r="E1867" s="2069"/>
      <c r="F1867" s="2069"/>
      <c r="G1867" s="2069"/>
      <c r="H1867" s="2069"/>
      <c r="I1867"/>
      <c r="J1867"/>
      <c r="K1867"/>
    </row>
    <row r="1868" spans="2:11" x14ac:dyDescent="0.2">
      <c r="B1868" s="2069"/>
      <c r="C1868" s="2069"/>
      <c r="D1868" s="2069"/>
      <c r="E1868" s="2069"/>
      <c r="F1868" s="2069"/>
      <c r="G1868" s="2069"/>
      <c r="H1868" s="2069"/>
      <c r="I1868"/>
      <c r="J1868"/>
      <c r="K1868"/>
    </row>
    <row r="1869" spans="2:11" x14ac:dyDescent="0.2">
      <c r="B1869" s="2069"/>
      <c r="C1869" s="2069"/>
      <c r="D1869" s="2069"/>
      <c r="E1869" s="2069"/>
      <c r="F1869" s="2069"/>
      <c r="G1869" s="2069"/>
      <c r="H1869" s="2069"/>
      <c r="I1869"/>
      <c r="J1869"/>
      <c r="K1869"/>
    </row>
    <row r="1870" spans="2:11" x14ac:dyDescent="0.2">
      <c r="B1870" s="2069"/>
      <c r="C1870" s="2069"/>
      <c r="D1870" s="2069"/>
      <c r="E1870" s="2069"/>
      <c r="F1870" s="2069"/>
      <c r="G1870" s="2069"/>
      <c r="H1870" s="2069"/>
      <c r="I1870"/>
      <c r="J1870"/>
      <c r="K1870"/>
    </row>
    <row r="1871" spans="2:11" x14ac:dyDescent="0.2">
      <c r="B1871" s="2069"/>
      <c r="C1871" s="2069"/>
      <c r="D1871" s="2069"/>
      <c r="E1871" s="2069"/>
      <c r="F1871" s="2069"/>
      <c r="G1871" s="2069"/>
      <c r="H1871" s="2069"/>
      <c r="I1871"/>
      <c r="J1871"/>
      <c r="K1871"/>
    </row>
    <row r="1872" spans="2:11" x14ac:dyDescent="0.2">
      <c r="B1872" s="2069"/>
      <c r="C1872" s="2069"/>
      <c r="D1872" s="2069"/>
      <c r="E1872" s="2069"/>
      <c r="F1872" s="2069"/>
      <c r="G1872" s="2069"/>
      <c r="H1872" s="2069"/>
      <c r="I1872"/>
      <c r="J1872"/>
      <c r="K1872"/>
    </row>
    <row r="1873" spans="2:11" x14ac:dyDescent="0.2">
      <c r="B1873" s="2069"/>
      <c r="C1873" s="2069"/>
      <c r="D1873" s="2069"/>
      <c r="E1873" s="2069"/>
      <c r="F1873" s="2069"/>
      <c r="G1873" s="2069"/>
      <c r="H1873" s="2069"/>
      <c r="I1873"/>
      <c r="J1873"/>
      <c r="K1873"/>
    </row>
    <row r="1874" spans="2:11" x14ac:dyDescent="0.2">
      <c r="B1874" s="2069"/>
      <c r="C1874" s="2069"/>
      <c r="D1874" s="2069"/>
      <c r="E1874" s="2069"/>
      <c r="F1874" s="2069"/>
      <c r="G1874" s="2069"/>
      <c r="H1874" s="2069"/>
      <c r="I1874"/>
      <c r="J1874"/>
      <c r="K1874"/>
    </row>
    <row r="1875" spans="2:11" x14ac:dyDescent="0.2">
      <c r="B1875" s="2069"/>
      <c r="C1875" s="2069"/>
      <c r="D1875" s="2069"/>
      <c r="E1875" s="2069"/>
      <c r="F1875" s="2069"/>
      <c r="G1875" s="2069"/>
      <c r="H1875" s="2069"/>
      <c r="I1875"/>
      <c r="J1875"/>
      <c r="K1875"/>
    </row>
    <row r="1876" spans="2:11" x14ac:dyDescent="0.2">
      <c r="B1876" s="2069"/>
      <c r="C1876" s="2069"/>
      <c r="D1876" s="2069"/>
      <c r="E1876" s="2069"/>
      <c r="F1876" s="2069"/>
      <c r="G1876" s="2069"/>
      <c r="H1876" s="2069"/>
      <c r="I1876"/>
      <c r="J1876"/>
      <c r="K1876"/>
    </row>
    <row r="1877" spans="2:11" x14ac:dyDescent="0.2">
      <c r="B1877" s="2069"/>
      <c r="C1877" s="2069"/>
      <c r="D1877" s="2069"/>
      <c r="E1877" s="2069"/>
      <c r="F1877" s="2069"/>
      <c r="G1877" s="2069"/>
      <c r="H1877" s="2069"/>
      <c r="I1877"/>
      <c r="J1877"/>
      <c r="K1877"/>
    </row>
    <row r="1878" spans="2:11" x14ac:dyDescent="0.2">
      <c r="B1878" s="2069"/>
      <c r="C1878" s="2069"/>
      <c r="D1878" s="2069"/>
      <c r="E1878" s="2069"/>
      <c r="F1878" s="2069"/>
      <c r="G1878" s="2069"/>
      <c r="H1878" s="2069"/>
      <c r="I1878"/>
      <c r="J1878"/>
      <c r="K1878"/>
    </row>
    <row r="1879" spans="2:11" x14ac:dyDescent="0.2">
      <c r="B1879" s="2069"/>
      <c r="C1879" s="2069"/>
      <c r="D1879" s="2069"/>
      <c r="E1879" s="2069"/>
      <c r="F1879" s="2069"/>
      <c r="G1879" s="2069"/>
      <c r="H1879" s="2069"/>
      <c r="I1879"/>
      <c r="J1879"/>
      <c r="K1879"/>
    </row>
    <row r="1880" spans="2:11" x14ac:dyDescent="0.2">
      <c r="B1880" s="2069"/>
      <c r="C1880" s="2069"/>
      <c r="D1880" s="2069"/>
      <c r="E1880" s="2069"/>
      <c r="F1880" s="2069"/>
      <c r="G1880" s="2069"/>
      <c r="H1880" s="2069"/>
      <c r="I1880"/>
      <c r="J1880"/>
      <c r="K1880"/>
    </row>
    <row r="1881" spans="2:11" x14ac:dyDescent="0.2">
      <c r="B1881" s="2069"/>
      <c r="C1881" s="2069"/>
      <c r="D1881" s="2069"/>
      <c r="E1881" s="2069"/>
      <c r="F1881" s="2069"/>
      <c r="G1881" s="2069"/>
      <c r="H1881" s="2069"/>
      <c r="I1881"/>
      <c r="J1881"/>
      <c r="K1881"/>
    </row>
    <row r="1882" spans="2:11" x14ac:dyDescent="0.2">
      <c r="B1882" s="2069"/>
      <c r="C1882" s="2069"/>
      <c r="D1882" s="2069"/>
      <c r="E1882" s="2069"/>
      <c r="F1882" s="2069"/>
      <c r="G1882" s="2069"/>
      <c r="H1882" s="2069"/>
      <c r="I1882"/>
      <c r="J1882"/>
      <c r="K1882"/>
    </row>
    <row r="1883" spans="2:11" x14ac:dyDescent="0.2">
      <c r="B1883" s="2069"/>
      <c r="C1883" s="2069"/>
      <c r="D1883" s="2069"/>
      <c r="E1883" s="2069"/>
      <c r="F1883" s="2069"/>
      <c r="G1883" s="2069"/>
      <c r="H1883" s="2069"/>
      <c r="I1883"/>
      <c r="J1883"/>
      <c r="K1883"/>
    </row>
    <row r="1884" spans="2:11" x14ac:dyDescent="0.2">
      <c r="B1884" s="2069"/>
      <c r="C1884" s="2069"/>
      <c r="D1884" s="2069"/>
      <c r="E1884" s="2069"/>
      <c r="F1884" s="2069"/>
      <c r="G1884" s="2069"/>
      <c r="H1884" s="2069"/>
      <c r="I1884"/>
      <c r="J1884"/>
      <c r="K1884"/>
    </row>
    <row r="1885" spans="2:11" x14ac:dyDescent="0.2">
      <c r="B1885" s="2069"/>
      <c r="C1885" s="2069"/>
      <c r="D1885" s="2069"/>
      <c r="E1885" s="2069"/>
      <c r="F1885" s="2069"/>
      <c r="G1885" s="2069"/>
      <c r="H1885" s="2069"/>
      <c r="I1885"/>
      <c r="J1885"/>
      <c r="K1885"/>
    </row>
    <row r="1886" spans="2:11" x14ac:dyDescent="0.2">
      <c r="B1886" s="2069"/>
      <c r="C1886" s="2069"/>
      <c r="D1886" s="2069"/>
      <c r="E1886" s="2069"/>
      <c r="F1886" s="2069"/>
      <c r="G1886" s="2069"/>
      <c r="H1886" s="2069"/>
      <c r="I1886"/>
      <c r="J1886"/>
      <c r="K1886"/>
    </row>
    <row r="1887" spans="2:11" x14ac:dyDescent="0.2">
      <c r="B1887" s="2069"/>
      <c r="C1887" s="2069"/>
      <c r="D1887" s="2069"/>
      <c r="E1887" s="2069"/>
      <c r="F1887" s="2069"/>
      <c r="G1887" s="2069"/>
      <c r="H1887" s="2069"/>
      <c r="I1887"/>
      <c r="J1887"/>
      <c r="K1887"/>
    </row>
    <row r="1888" spans="2:11" x14ac:dyDescent="0.2">
      <c r="B1888" s="2069"/>
      <c r="C1888" s="2069"/>
      <c r="D1888" s="2069"/>
      <c r="E1888" s="2069"/>
      <c r="F1888" s="2069"/>
      <c r="G1888" s="2069"/>
      <c r="H1888" s="2069"/>
      <c r="I1888"/>
      <c r="J1888"/>
      <c r="K1888"/>
    </row>
    <row r="1889" spans="2:11" x14ac:dyDescent="0.2">
      <c r="B1889" s="2069"/>
      <c r="C1889" s="2069"/>
      <c r="D1889" s="2069"/>
      <c r="E1889" s="2069"/>
      <c r="F1889" s="2069"/>
      <c r="G1889" s="2069"/>
      <c r="H1889" s="2069"/>
      <c r="I1889"/>
      <c r="J1889"/>
      <c r="K1889"/>
    </row>
    <row r="1890" spans="2:11" x14ac:dyDescent="0.2">
      <c r="B1890" s="2069"/>
      <c r="C1890" s="2069"/>
      <c r="D1890" s="2069"/>
      <c r="E1890" s="2069"/>
      <c r="F1890" s="2069"/>
      <c r="G1890" s="2069"/>
      <c r="H1890" s="2069"/>
      <c r="I1890"/>
      <c r="J1890"/>
      <c r="K1890"/>
    </row>
    <row r="1891" spans="2:11" x14ac:dyDescent="0.2">
      <c r="B1891" s="2069"/>
      <c r="C1891" s="2069"/>
      <c r="D1891" s="2069"/>
      <c r="E1891" s="2069"/>
      <c r="F1891" s="2069"/>
      <c r="G1891" s="2069"/>
      <c r="H1891" s="2069"/>
      <c r="I1891"/>
      <c r="J1891"/>
      <c r="K1891"/>
    </row>
    <row r="1892" spans="2:11" x14ac:dyDescent="0.2">
      <c r="B1892" s="2069"/>
      <c r="C1892" s="2069"/>
      <c r="D1892" s="2069"/>
      <c r="E1892" s="2069"/>
      <c r="F1892" s="2069"/>
      <c r="G1892" s="2069"/>
      <c r="H1892" s="2069"/>
      <c r="I1892"/>
      <c r="J1892"/>
      <c r="K1892"/>
    </row>
    <row r="1893" spans="2:11" x14ac:dyDescent="0.2">
      <c r="B1893" s="2069"/>
      <c r="C1893" s="2069"/>
      <c r="D1893" s="2069"/>
      <c r="E1893" s="2069"/>
      <c r="F1893" s="2069"/>
      <c r="G1893" s="2069"/>
      <c r="H1893" s="2069"/>
      <c r="I1893"/>
      <c r="J1893"/>
      <c r="K1893"/>
    </row>
    <row r="1894" spans="2:11" x14ac:dyDescent="0.2">
      <c r="B1894" s="2069"/>
      <c r="C1894" s="2069"/>
      <c r="D1894" s="2069"/>
      <c r="E1894" s="2069"/>
      <c r="F1894" s="2069"/>
      <c r="G1894" s="2069"/>
      <c r="H1894" s="2069"/>
      <c r="I1894"/>
      <c r="J1894"/>
      <c r="K1894"/>
    </row>
    <row r="1895" spans="2:11" x14ac:dyDescent="0.2">
      <c r="B1895" s="2069"/>
      <c r="C1895" s="2069"/>
      <c r="D1895" s="2069"/>
      <c r="E1895" s="2069"/>
      <c r="F1895" s="2069"/>
      <c r="G1895" s="2069"/>
      <c r="H1895" s="2069"/>
      <c r="I1895"/>
      <c r="J1895"/>
      <c r="K1895"/>
    </row>
    <row r="1896" spans="2:11" x14ac:dyDescent="0.2">
      <c r="B1896" s="2069"/>
      <c r="C1896" s="2069"/>
      <c r="D1896" s="2069"/>
      <c r="E1896" s="2069"/>
      <c r="F1896" s="2069"/>
      <c r="G1896" s="2069"/>
      <c r="H1896" s="2069"/>
      <c r="I1896"/>
      <c r="J1896"/>
      <c r="K1896"/>
    </row>
    <row r="1897" spans="2:11" x14ac:dyDescent="0.2">
      <c r="B1897" s="2069"/>
      <c r="C1897" s="2069"/>
      <c r="D1897" s="2069"/>
      <c r="E1897" s="2069"/>
      <c r="F1897" s="2069"/>
      <c r="G1897" s="2069"/>
      <c r="H1897" s="2069"/>
      <c r="I1897"/>
      <c r="J1897"/>
      <c r="K1897"/>
    </row>
    <row r="1898" spans="2:11" x14ac:dyDescent="0.2">
      <c r="B1898" s="2069"/>
      <c r="C1898" s="2069"/>
      <c r="D1898" s="2069"/>
      <c r="E1898" s="2069"/>
      <c r="F1898" s="2069"/>
      <c r="G1898" s="2069"/>
      <c r="H1898" s="2069"/>
      <c r="I1898"/>
      <c r="J1898"/>
      <c r="K1898"/>
    </row>
    <row r="1899" spans="2:11" x14ac:dyDescent="0.2">
      <c r="B1899" s="2069"/>
      <c r="C1899" s="2069"/>
      <c r="D1899" s="2069"/>
      <c r="E1899" s="2069"/>
      <c r="F1899" s="2069"/>
      <c r="G1899" s="2069"/>
      <c r="H1899" s="2069"/>
      <c r="I1899"/>
      <c r="J1899"/>
      <c r="K1899"/>
    </row>
    <row r="1900" spans="2:11" x14ac:dyDescent="0.2">
      <c r="B1900" s="2069"/>
      <c r="C1900" s="2069"/>
      <c r="D1900" s="2069"/>
      <c r="E1900" s="2069"/>
      <c r="F1900" s="2069"/>
      <c r="G1900" s="2069"/>
      <c r="H1900" s="2069"/>
      <c r="I1900"/>
      <c r="J1900"/>
      <c r="K1900"/>
    </row>
    <row r="1901" spans="2:11" x14ac:dyDescent="0.2">
      <c r="B1901" s="2069"/>
      <c r="C1901" s="2069"/>
      <c r="D1901" s="2069"/>
      <c r="E1901" s="2069"/>
      <c r="F1901" s="2069"/>
      <c r="G1901" s="2069"/>
      <c r="H1901" s="2069"/>
      <c r="I1901"/>
      <c r="J1901"/>
      <c r="K1901"/>
    </row>
    <row r="1902" spans="2:11" x14ac:dyDescent="0.2">
      <c r="B1902" s="2069"/>
      <c r="C1902" s="2069"/>
      <c r="D1902" s="2069"/>
      <c r="E1902" s="2069"/>
      <c r="F1902" s="2069"/>
      <c r="G1902" s="2069"/>
      <c r="H1902" s="2069"/>
      <c r="I1902"/>
      <c r="J1902"/>
      <c r="K1902"/>
    </row>
    <row r="1903" spans="2:11" x14ac:dyDescent="0.2">
      <c r="B1903" s="2069"/>
      <c r="C1903" s="2069"/>
      <c r="D1903" s="2069"/>
      <c r="E1903" s="2069"/>
      <c r="F1903" s="2069"/>
      <c r="G1903" s="2069"/>
      <c r="H1903" s="2069"/>
      <c r="I1903"/>
      <c r="J1903"/>
      <c r="K1903"/>
    </row>
    <row r="1904" spans="2:11" x14ac:dyDescent="0.2">
      <c r="B1904" s="2069"/>
      <c r="C1904" s="2069"/>
      <c r="D1904" s="2069"/>
      <c r="E1904" s="2069"/>
      <c r="F1904" s="2069"/>
      <c r="G1904" s="2069"/>
      <c r="H1904" s="2069"/>
      <c r="I1904"/>
      <c r="J1904"/>
      <c r="K1904"/>
    </row>
    <row r="1905" spans="2:11" x14ac:dyDescent="0.2">
      <c r="B1905" s="2069"/>
      <c r="C1905" s="2069"/>
      <c r="D1905" s="2069"/>
      <c r="E1905" s="2069"/>
      <c r="F1905" s="2069"/>
      <c r="G1905" s="2069"/>
      <c r="H1905" s="2069"/>
      <c r="I1905"/>
      <c r="J1905"/>
      <c r="K1905"/>
    </row>
    <row r="1906" spans="2:11" x14ac:dyDescent="0.2">
      <c r="B1906" s="2069"/>
      <c r="C1906" s="2069"/>
      <c r="D1906" s="2069"/>
      <c r="E1906" s="2069"/>
      <c r="F1906" s="2069"/>
      <c r="G1906" s="2069"/>
      <c r="H1906" s="2069"/>
      <c r="I1906"/>
      <c r="J1906"/>
      <c r="K1906"/>
    </row>
    <row r="1907" spans="2:11" x14ac:dyDescent="0.2">
      <c r="B1907" s="2069"/>
      <c r="C1907" s="2069"/>
      <c r="D1907" s="2069"/>
      <c r="E1907" s="2069"/>
      <c r="F1907" s="2069"/>
      <c r="G1907" s="2069"/>
      <c r="H1907" s="2069"/>
      <c r="I1907"/>
      <c r="J1907"/>
      <c r="K1907"/>
    </row>
    <row r="1908" spans="2:11" x14ac:dyDescent="0.2">
      <c r="B1908" s="2069"/>
      <c r="C1908" s="2069"/>
      <c r="D1908" s="2069"/>
      <c r="E1908" s="2069"/>
      <c r="F1908" s="2069"/>
      <c r="G1908" s="2069"/>
      <c r="H1908" s="2069"/>
      <c r="I1908"/>
      <c r="J1908"/>
      <c r="K1908"/>
    </row>
    <row r="1909" spans="2:11" x14ac:dyDescent="0.2">
      <c r="B1909" s="2069"/>
      <c r="C1909" s="2069"/>
      <c r="D1909" s="2069"/>
      <c r="E1909" s="2069"/>
      <c r="F1909" s="2069"/>
      <c r="G1909" s="2069"/>
      <c r="H1909" s="2069"/>
      <c r="I1909"/>
      <c r="J1909"/>
      <c r="K1909"/>
    </row>
    <row r="1910" spans="2:11" x14ac:dyDescent="0.2">
      <c r="B1910" s="2069"/>
      <c r="C1910" s="2069"/>
      <c r="D1910" s="2069"/>
      <c r="E1910" s="2069"/>
      <c r="F1910" s="2069"/>
      <c r="G1910" s="2069"/>
      <c r="H1910" s="2069"/>
      <c r="I1910"/>
      <c r="J1910"/>
      <c r="K1910"/>
    </row>
    <row r="1911" spans="2:11" x14ac:dyDescent="0.2">
      <c r="B1911" s="2069"/>
      <c r="C1911" s="2069"/>
      <c r="D1911" s="2069"/>
      <c r="E1911" s="2069"/>
      <c r="F1911" s="2069"/>
      <c r="G1911" s="2069"/>
      <c r="H1911" s="2069"/>
      <c r="I1911"/>
      <c r="J1911"/>
      <c r="K1911"/>
    </row>
    <row r="1912" spans="2:11" x14ac:dyDescent="0.2">
      <c r="B1912" s="2069"/>
      <c r="C1912" s="2069"/>
      <c r="D1912" s="2069"/>
      <c r="E1912" s="2069"/>
      <c r="F1912" s="2069"/>
      <c r="G1912" s="2069"/>
      <c r="H1912" s="2069"/>
      <c r="I1912"/>
      <c r="J1912"/>
      <c r="K1912"/>
    </row>
    <row r="1913" spans="2:11" x14ac:dyDescent="0.2">
      <c r="B1913" s="2069"/>
      <c r="C1913" s="2069"/>
      <c r="D1913" s="2069"/>
      <c r="E1913" s="2069"/>
      <c r="F1913" s="2069"/>
      <c r="G1913" s="2069"/>
      <c r="H1913" s="2069"/>
      <c r="I1913"/>
      <c r="J1913"/>
      <c r="K1913"/>
    </row>
    <row r="1914" spans="2:11" x14ac:dyDescent="0.2">
      <c r="B1914" s="2069"/>
      <c r="C1914" s="2069"/>
      <c r="D1914" s="2069"/>
      <c r="E1914" s="2069"/>
      <c r="F1914" s="2069"/>
      <c r="G1914" s="2069"/>
      <c r="H1914" s="2069"/>
      <c r="I1914"/>
      <c r="J1914"/>
      <c r="K1914"/>
    </row>
    <row r="1915" spans="2:11" x14ac:dyDescent="0.2">
      <c r="B1915" s="2069"/>
      <c r="C1915" s="2069"/>
      <c r="D1915" s="2069"/>
      <c r="E1915" s="2069"/>
      <c r="F1915" s="2069"/>
      <c r="G1915" s="2069"/>
      <c r="H1915" s="2069"/>
      <c r="I1915"/>
      <c r="J1915"/>
      <c r="K1915"/>
    </row>
    <row r="1916" spans="2:11" x14ac:dyDescent="0.2">
      <c r="B1916" s="2069"/>
      <c r="C1916" s="2069"/>
      <c r="D1916" s="2069"/>
      <c r="E1916" s="2069"/>
      <c r="F1916" s="2069"/>
      <c r="G1916" s="2069"/>
      <c r="H1916" s="2069"/>
      <c r="I1916"/>
      <c r="J1916"/>
      <c r="K1916"/>
    </row>
    <row r="1917" spans="2:11" x14ac:dyDescent="0.2">
      <c r="B1917" s="2069"/>
      <c r="C1917" s="2069"/>
      <c r="D1917" s="2069"/>
      <c r="E1917" s="2069"/>
      <c r="F1917" s="2069"/>
      <c r="G1917" s="2069"/>
      <c r="H1917" s="2069"/>
      <c r="I1917"/>
      <c r="J1917"/>
      <c r="K1917"/>
    </row>
    <row r="1918" spans="2:11" x14ac:dyDescent="0.2">
      <c r="B1918" s="2069"/>
      <c r="C1918" s="2069"/>
      <c r="D1918" s="2069"/>
      <c r="E1918" s="2069"/>
      <c r="F1918" s="2069"/>
      <c r="G1918" s="2069"/>
      <c r="H1918" s="2069"/>
      <c r="I1918"/>
      <c r="J1918"/>
      <c r="K1918"/>
    </row>
    <row r="1919" spans="2:11" x14ac:dyDescent="0.2">
      <c r="B1919" s="2069"/>
      <c r="C1919" s="2069"/>
      <c r="D1919" s="2069"/>
      <c r="E1919" s="2069"/>
      <c r="F1919" s="2069"/>
      <c r="G1919" s="2069"/>
      <c r="H1919" s="2069"/>
      <c r="I1919"/>
      <c r="J1919"/>
      <c r="K1919"/>
    </row>
    <row r="1920" spans="2:11" x14ac:dyDescent="0.2">
      <c r="B1920" s="2069"/>
      <c r="C1920" s="2069"/>
      <c r="D1920" s="2069"/>
      <c r="E1920" s="2069"/>
      <c r="F1920" s="2069"/>
      <c r="G1920" s="2069"/>
      <c r="H1920" s="2069"/>
      <c r="I1920"/>
      <c r="J1920"/>
      <c r="K1920"/>
    </row>
    <row r="1921" spans="2:11" x14ac:dyDescent="0.2">
      <c r="B1921" s="2069"/>
      <c r="C1921" s="2069"/>
      <c r="D1921" s="2069"/>
      <c r="E1921" s="2069"/>
      <c r="F1921" s="2069"/>
      <c r="G1921" s="2069"/>
      <c r="H1921" s="2069"/>
      <c r="I1921"/>
      <c r="J1921"/>
      <c r="K1921"/>
    </row>
    <row r="1922" spans="2:11" x14ac:dyDescent="0.2">
      <c r="B1922" s="2069"/>
      <c r="C1922" s="2069"/>
      <c r="D1922" s="2069"/>
      <c r="E1922" s="2069"/>
      <c r="F1922" s="2069"/>
      <c r="G1922" s="2069"/>
      <c r="H1922" s="2069"/>
      <c r="I1922"/>
      <c r="J1922"/>
      <c r="K1922"/>
    </row>
    <row r="1923" spans="2:11" x14ac:dyDescent="0.2">
      <c r="B1923" s="2069"/>
      <c r="C1923" s="2069"/>
      <c r="D1923" s="2069"/>
      <c r="E1923" s="2069"/>
      <c r="F1923" s="2069"/>
      <c r="G1923" s="2069"/>
      <c r="H1923" s="2069"/>
      <c r="I1923"/>
      <c r="J1923"/>
      <c r="K1923"/>
    </row>
    <row r="1924" spans="2:11" x14ac:dyDescent="0.2">
      <c r="B1924" s="2069"/>
      <c r="C1924" s="2069"/>
      <c r="D1924" s="2069"/>
      <c r="E1924" s="2069"/>
      <c r="F1924" s="2069"/>
      <c r="G1924" s="2069"/>
      <c r="H1924" s="2069"/>
      <c r="I1924"/>
      <c r="J1924"/>
      <c r="K1924"/>
    </row>
    <row r="1925" spans="2:11" x14ac:dyDescent="0.2">
      <c r="B1925" s="2069"/>
      <c r="C1925" s="2069"/>
      <c r="D1925" s="2069"/>
      <c r="E1925" s="2069"/>
      <c r="F1925" s="2069"/>
      <c r="G1925" s="2069"/>
      <c r="H1925" s="2069"/>
      <c r="I1925"/>
      <c r="J1925"/>
      <c r="K1925"/>
    </row>
    <row r="1926" spans="2:11" x14ac:dyDescent="0.2">
      <c r="B1926" s="2069"/>
      <c r="C1926" s="2069"/>
      <c r="D1926" s="2069"/>
      <c r="E1926" s="2069"/>
      <c r="F1926" s="2069"/>
      <c r="G1926" s="2069"/>
      <c r="H1926" s="2069"/>
      <c r="I1926"/>
      <c r="J1926"/>
      <c r="K1926"/>
    </row>
    <row r="1927" spans="2:11" x14ac:dyDescent="0.2">
      <c r="B1927" s="2069"/>
      <c r="C1927" s="2069"/>
      <c r="D1927" s="2069"/>
      <c r="E1927" s="2069"/>
      <c r="F1927" s="2069"/>
      <c r="G1927" s="2069"/>
      <c r="H1927" s="2069"/>
      <c r="I1927"/>
      <c r="J1927"/>
      <c r="K1927"/>
    </row>
    <row r="1928" spans="2:11" x14ac:dyDescent="0.2">
      <c r="B1928" s="2069"/>
      <c r="C1928" s="2069"/>
      <c r="D1928" s="2069"/>
      <c r="E1928" s="2069"/>
      <c r="F1928" s="2069"/>
      <c r="G1928" s="2069"/>
      <c r="H1928" s="2069"/>
      <c r="I1928"/>
      <c r="J1928"/>
      <c r="K1928"/>
    </row>
    <row r="1929" spans="2:11" x14ac:dyDescent="0.2">
      <c r="B1929" s="2069"/>
      <c r="C1929" s="2069"/>
      <c r="D1929" s="2069"/>
      <c r="E1929" s="2069"/>
      <c r="F1929" s="2069"/>
      <c r="G1929" s="2069"/>
      <c r="H1929" s="2069"/>
      <c r="I1929"/>
      <c r="J1929"/>
      <c r="K1929"/>
    </row>
    <row r="1930" spans="2:11" x14ac:dyDescent="0.2">
      <c r="B1930" s="2069"/>
      <c r="C1930" s="2069"/>
      <c r="D1930" s="2069"/>
      <c r="E1930" s="2069"/>
      <c r="F1930" s="2069"/>
      <c r="G1930" s="2069"/>
      <c r="H1930" s="2069"/>
      <c r="I1930"/>
      <c r="J1930"/>
      <c r="K1930"/>
    </row>
    <row r="1931" spans="2:11" x14ac:dyDescent="0.2">
      <c r="B1931" s="2069"/>
      <c r="C1931" s="2069"/>
      <c r="D1931" s="2069"/>
      <c r="E1931" s="2069"/>
      <c r="F1931" s="2069"/>
      <c r="G1931" s="2069"/>
      <c r="H1931" s="2069"/>
      <c r="I1931"/>
      <c r="J1931"/>
      <c r="K1931"/>
    </row>
    <row r="1932" spans="2:11" x14ac:dyDescent="0.2">
      <c r="B1932" s="2069"/>
      <c r="C1932" s="2069"/>
      <c r="D1932" s="2069"/>
      <c r="E1932" s="2069"/>
      <c r="F1932" s="2069"/>
      <c r="G1932" s="2069"/>
      <c r="H1932" s="2069"/>
      <c r="I1932"/>
      <c r="J1932"/>
      <c r="K1932"/>
    </row>
    <row r="1933" spans="2:11" x14ac:dyDescent="0.2">
      <c r="B1933" s="2069"/>
      <c r="C1933" s="2069"/>
      <c r="D1933" s="2069"/>
      <c r="E1933" s="2069"/>
      <c r="F1933" s="2069"/>
      <c r="G1933" s="2069"/>
      <c r="H1933" s="2069"/>
      <c r="I1933"/>
      <c r="J1933"/>
      <c r="K1933"/>
    </row>
    <row r="1934" spans="2:11" x14ac:dyDescent="0.2">
      <c r="B1934" s="2069"/>
      <c r="C1934" s="2069"/>
      <c r="D1934" s="2069"/>
      <c r="E1934" s="2069"/>
      <c r="F1934" s="2069"/>
      <c r="G1934" s="2069"/>
      <c r="H1934" s="2069"/>
      <c r="I1934"/>
      <c r="J1934"/>
      <c r="K1934"/>
    </row>
    <row r="1935" spans="2:11" x14ac:dyDescent="0.2">
      <c r="B1935" s="2069"/>
      <c r="C1935" s="2069"/>
      <c r="D1935" s="2069"/>
      <c r="E1935" s="2069"/>
      <c r="F1935" s="2069"/>
      <c r="G1935" s="2069"/>
      <c r="H1935" s="2069"/>
      <c r="I1935"/>
      <c r="J1935"/>
      <c r="K1935"/>
    </row>
    <row r="1936" spans="2:11" x14ac:dyDescent="0.2">
      <c r="B1936" s="2069"/>
      <c r="C1936" s="2069"/>
      <c r="D1936" s="2069"/>
      <c r="E1936" s="2069"/>
      <c r="F1936" s="2069"/>
      <c r="G1936" s="2069"/>
      <c r="H1936" s="2069"/>
      <c r="I1936"/>
      <c r="J1936"/>
      <c r="K1936"/>
    </row>
    <row r="1937" spans="2:11" x14ac:dyDescent="0.2">
      <c r="B1937" s="2069"/>
      <c r="C1937" s="2069"/>
      <c r="D1937" s="2069"/>
      <c r="E1937" s="2069"/>
      <c r="F1937" s="2069"/>
      <c r="G1937" s="2069"/>
      <c r="H1937" s="2069"/>
      <c r="I1937"/>
      <c r="J1937"/>
      <c r="K1937"/>
    </row>
    <row r="1938" spans="2:11" x14ac:dyDescent="0.2">
      <c r="B1938" s="2069"/>
      <c r="C1938" s="2069"/>
      <c r="D1938" s="2069"/>
      <c r="E1938" s="2069"/>
      <c r="F1938" s="2069"/>
      <c r="G1938" s="2069"/>
      <c r="H1938" s="2069"/>
      <c r="I1938"/>
      <c r="J1938"/>
      <c r="K1938"/>
    </row>
    <row r="1939" spans="2:11" x14ac:dyDescent="0.2">
      <c r="B1939" s="2069"/>
      <c r="C1939" s="2069"/>
      <c r="D1939" s="2069"/>
      <c r="E1939" s="2069"/>
      <c r="F1939" s="2069"/>
      <c r="G1939" s="2069"/>
      <c r="H1939" s="2069"/>
      <c r="I1939"/>
      <c r="J1939"/>
      <c r="K1939"/>
    </row>
    <row r="1940" spans="2:11" x14ac:dyDescent="0.2">
      <c r="B1940" s="2069"/>
      <c r="C1940" s="2069"/>
      <c r="D1940" s="2069"/>
      <c r="E1940" s="2069"/>
      <c r="F1940" s="2069"/>
      <c r="G1940" s="2069"/>
      <c r="H1940" s="2069"/>
      <c r="I1940"/>
      <c r="J1940"/>
      <c r="K1940"/>
    </row>
    <row r="1941" spans="2:11" x14ac:dyDescent="0.2">
      <c r="B1941" s="2069"/>
      <c r="C1941" s="2069"/>
      <c r="D1941" s="2069"/>
      <c r="E1941" s="2069"/>
      <c r="F1941" s="2069"/>
      <c r="G1941" s="2069"/>
      <c r="H1941" s="2069"/>
      <c r="I1941"/>
      <c r="J1941"/>
      <c r="K1941"/>
    </row>
    <row r="1942" spans="2:11" x14ac:dyDescent="0.2">
      <c r="B1942" s="2069"/>
      <c r="C1942" s="2069"/>
      <c r="D1942" s="2069"/>
      <c r="E1942" s="2069"/>
      <c r="F1942" s="2069"/>
      <c r="G1942" s="2069"/>
      <c r="H1942" s="2069"/>
      <c r="I1942"/>
      <c r="J1942"/>
      <c r="K1942"/>
    </row>
    <row r="1943" spans="2:11" x14ac:dyDescent="0.2">
      <c r="B1943" s="2069"/>
      <c r="C1943" s="2069"/>
      <c r="D1943" s="2069"/>
      <c r="E1943" s="2069"/>
      <c r="F1943" s="2069"/>
      <c r="G1943" s="2069"/>
      <c r="H1943" s="2069"/>
      <c r="I1943"/>
      <c r="J1943"/>
      <c r="K1943"/>
    </row>
    <row r="1944" spans="2:11" x14ac:dyDescent="0.2">
      <c r="B1944" s="2069"/>
      <c r="C1944" s="2069"/>
      <c r="D1944" s="2069"/>
      <c r="E1944" s="2069"/>
      <c r="F1944" s="2069"/>
      <c r="G1944" s="2069"/>
      <c r="H1944" s="2069"/>
      <c r="I1944"/>
      <c r="J1944"/>
      <c r="K1944"/>
    </row>
    <row r="1945" spans="2:11" x14ac:dyDescent="0.2">
      <c r="B1945" s="2069"/>
      <c r="C1945" s="2069"/>
      <c r="D1945" s="2069"/>
      <c r="E1945" s="2069"/>
      <c r="F1945" s="2069"/>
      <c r="G1945" s="2069"/>
      <c r="H1945" s="2069"/>
      <c r="I1945"/>
      <c r="J1945"/>
      <c r="K1945"/>
    </row>
    <row r="1946" spans="2:11" x14ac:dyDescent="0.2">
      <c r="B1946" s="2069"/>
      <c r="C1946" s="2069"/>
      <c r="D1946" s="2069"/>
      <c r="E1946" s="2069"/>
      <c r="F1946" s="2069"/>
      <c r="G1946" s="2069"/>
      <c r="H1946" s="2069"/>
      <c r="I1946"/>
      <c r="J1946"/>
      <c r="K1946"/>
    </row>
    <row r="1947" spans="2:11" x14ac:dyDescent="0.2">
      <c r="B1947" s="2069"/>
      <c r="C1947" s="2069"/>
      <c r="D1947" s="2069"/>
      <c r="E1947" s="2069"/>
      <c r="F1947" s="2069"/>
      <c r="G1947" s="2069"/>
      <c r="H1947" s="2069"/>
      <c r="I1947"/>
      <c r="J1947"/>
      <c r="K1947"/>
    </row>
    <row r="1948" spans="2:11" x14ac:dyDescent="0.2">
      <c r="B1948" s="2069"/>
      <c r="C1948" s="2069"/>
      <c r="D1948" s="2069"/>
      <c r="E1948" s="2069"/>
      <c r="F1948" s="2069"/>
      <c r="G1948" s="2069"/>
      <c r="H1948" s="2069"/>
      <c r="I1948"/>
      <c r="J1948"/>
      <c r="K1948"/>
    </row>
    <row r="1949" spans="2:11" x14ac:dyDescent="0.2">
      <c r="B1949" s="2069"/>
      <c r="C1949" s="2069"/>
      <c r="D1949" s="2069"/>
      <c r="E1949" s="2069"/>
      <c r="F1949" s="2069"/>
      <c r="G1949" s="2069"/>
      <c r="H1949" s="2069"/>
      <c r="I1949"/>
      <c r="J1949"/>
      <c r="K1949"/>
    </row>
    <row r="1950" spans="2:11" x14ac:dyDescent="0.2">
      <c r="B1950" s="2069"/>
      <c r="C1950" s="2069"/>
      <c r="D1950" s="2069"/>
      <c r="E1950" s="2069"/>
      <c r="F1950" s="2069"/>
      <c r="G1950" s="2069"/>
      <c r="H1950" s="2069"/>
      <c r="I1950"/>
      <c r="J1950"/>
      <c r="K1950"/>
    </row>
    <row r="1951" spans="2:11" x14ac:dyDescent="0.2">
      <c r="B1951" s="2069"/>
      <c r="C1951" s="2069"/>
      <c r="D1951" s="2069"/>
      <c r="E1951" s="2069"/>
      <c r="F1951" s="2069"/>
      <c r="G1951" s="2069"/>
      <c r="H1951" s="2069"/>
      <c r="I1951"/>
      <c r="J1951"/>
      <c r="K1951"/>
    </row>
    <row r="1952" spans="2:11" x14ac:dyDescent="0.2">
      <c r="B1952" s="2069"/>
      <c r="C1952" s="2069"/>
      <c r="D1952" s="2069"/>
      <c r="E1952" s="2069"/>
      <c r="F1952" s="2069"/>
      <c r="G1952" s="2069"/>
      <c r="H1952" s="2069"/>
      <c r="I1952"/>
      <c r="J1952"/>
      <c r="K1952"/>
    </row>
    <row r="1953" spans="2:11" x14ac:dyDescent="0.2">
      <c r="B1953" s="2069"/>
      <c r="C1953" s="2069"/>
      <c r="D1953" s="2069"/>
      <c r="E1953" s="2069"/>
      <c r="F1953" s="2069"/>
      <c r="G1953" s="2069"/>
      <c r="H1953" s="2069"/>
      <c r="I1953"/>
      <c r="J1953"/>
      <c r="K1953"/>
    </row>
    <row r="1954" spans="2:11" x14ac:dyDescent="0.2">
      <c r="B1954" s="2069"/>
      <c r="C1954" s="2069"/>
      <c r="D1954" s="2069"/>
      <c r="E1954" s="2069"/>
      <c r="F1954" s="2069"/>
      <c r="G1954" s="2069"/>
      <c r="H1954" s="2069"/>
      <c r="I1954"/>
      <c r="J1954"/>
      <c r="K1954"/>
    </row>
    <row r="1955" spans="2:11" x14ac:dyDescent="0.2">
      <c r="B1955" s="2069"/>
      <c r="C1955" s="2069"/>
      <c r="D1955" s="2069"/>
      <c r="E1955" s="2069"/>
      <c r="F1955" s="2069"/>
      <c r="G1955" s="2069"/>
      <c r="H1955" s="2069"/>
      <c r="I1955"/>
      <c r="J1955"/>
      <c r="K1955"/>
    </row>
    <row r="1956" spans="2:11" x14ac:dyDescent="0.2">
      <c r="B1956" s="2069"/>
      <c r="C1956" s="2069"/>
      <c r="D1956" s="2069"/>
      <c r="E1956" s="2069"/>
      <c r="F1956" s="2069"/>
      <c r="G1956" s="2069"/>
      <c r="H1956" s="2069"/>
      <c r="I1956"/>
      <c r="J1956"/>
      <c r="K1956"/>
    </row>
    <row r="1957" spans="2:11" x14ac:dyDescent="0.2">
      <c r="B1957" s="2069"/>
      <c r="C1957" s="2069"/>
      <c r="D1957" s="2069"/>
      <c r="E1957" s="2069"/>
      <c r="F1957" s="2069"/>
      <c r="G1957" s="2069"/>
      <c r="H1957" s="2069"/>
      <c r="I1957"/>
      <c r="J1957"/>
      <c r="K1957"/>
    </row>
    <row r="1958" spans="2:11" x14ac:dyDescent="0.2">
      <c r="B1958" s="2069"/>
      <c r="C1958" s="2069"/>
      <c r="D1958" s="2069"/>
      <c r="E1958" s="2069"/>
      <c r="F1958" s="2069"/>
      <c r="G1958" s="2069"/>
      <c r="H1958" s="2069"/>
      <c r="I1958"/>
      <c r="J1958"/>
      <c r="K1958"/>
    </row>
    <row r="1959" spans="2:11" x14ac:dyDescent="0.2">
      <c r="B1959" s="2069"/>
      <c r="C1959" s="2069"/>
      <c r="D1959" s="2069"/>
      <c r="E1959" s="2069"/>
      <c r="F1959" s="2069"/>
      <c r="G1959" s="2069"/>
      <c r="H1959" s="2069"/>
      <c r="I1959"/>
      <c r="J1959"/>
      <c r="K1959"/>
    </row>
    <row r="1960" spans="2:11" x14ac:dyDescent="0.2">
      <c r="B1960" s="2069"/>
      <c r="C1960" s="2069"/>
      <c r="D1960" s="2069"/>
      <c r="E1960" s="2069"/>
      <c r="F1960" s="2069"/>
      <c r="G1960" s="2069"/>
      <c r="H1960" s="2069"/>
      <c r="I1960"/>
      <c r="J1960"/>
      <c r="K1960"/>
    </row>
    <row r="1961" spans="2:11" x14ac:dyDescent="0.2">
      <c r="B1961" s="2069"/>
      <c r="C1961" s="2069"/>
      <c r="D1961" s="2069"/>
      <c r="E1961" s="2069"/>
      <c r="F1961" s="2069"/>
      <c r="G1961" s="2069"/>
      <c r="H1961" s="2069"/>
      <c r="I1961"/>
      <c r="J1961"/>
      <c r="K1961"/>
    </row>
    <row r="1962" spans="2:11" x14ac:dyDescent="0.2">
      <c r="B1962" s="2069"/>
      <c r="C1962" s="2069"/>
      <c r="D1962" s="2069"/>
      <c r="E1962" s="2069"/>
      <c r="F1962" s="2069"/>
      <c r="G1962" s="2069"/>
      <c r="H1962" s="2069"/>
      <c r="I1962"/>
      <c r="J1962"/>
      <c r="K1962"/>
    </row>
    <row r="1963" spans="2:11" x14ac:dyDescent="0.2">
      <c r="B1963" s="2069"/>
      <c r="C1963" s="2069"/>
      <c r="D1963" s="2069"/>
      <c r="E1963" s="2069"/>
      <c r="F1963" s="2069"/>
      <c r="G1963" s="2069"/>
      <c r="H1963" s="2069"/>
      <c r="I1963"/>
      <c r="J1963"/>
      <c r="K1963"/>
    </row>
    <row r="1964" spans="2:11" x14ac:dyDescent="0.2">
      <c r="B1964" s="2069"/>
      <c r="C1964" s="2069"/>
      <c r="D1964" s="2069"/>
      <c r="E1964" s="2069"/>
      <c r="F1964" s="2069"/>
      <c r="G1964" s="2069"/>
      <c r="H1964" s="2069"/>
      <c r="I1964"/>
      <c r="J1964"/>
      <c r="K1964"/>
    </row>
    <row r="1965" spans="2:11" x14ac:dyDescent="0.2">
      <c r="B1965" s="2069"/>
      <c r="C1965" s="2069"/>
      <c r="D1965" s="2069"/>
      <c r="E1965" s="2069"/>
      <c r="F1965" s="2069"/>
      <c r="G1965" s="2069"/>
      <c r="H1965" s="2069"/>
      <c r="I1965"/>
      <c r="J1965"/>
      <c r="K1965"/>
    </row>
    <row r="1966" spans="2:11" x14ac:dyDescent="0.2">
      <c r="B1966" s="2069"/>
      <c r="C1966" s="2069"/>
      <c r="D1966" s="2069"/>
      <c r="E1966" s="2069"/>
      <c r="F1966" s="2069"/>
      <c r="G1966" s="2069"/>
      <c r="H1966" s="2069"/>
      <c r="I1966"/>
      <c r="J1966"/>
      <c r="K1966"/>
    </row>
    <row r="1967" spans="2:11" x14ac:dyDescent="0.2">
      <c r="B1967" s="2069"/>
      <c r="C1967" s="2069"/>
      <c r="D1967" s="2069"/>
      <c r="E1967" s="2069"/>
      <c r="F1967" s="2069"/>
      <c r="G1967" s="2069"/>
      <c r="H1967" s="2069"/>
      <c r="I1967"/>
      <c r="J1967"/>
      <c r="K1967"/>
    </row>
    <row r="1968" spans="2:11" x14ac:dyDescent="0.2">
      <c r="B1968" s="2069"/>
      <c r="C1968" s="2069"/>
      <c r="D1968" s="2069"/>
      <c r="E1968" s="2069"/>
      <c r="F1968" s="2069"/>
      <c r="G1968" s="2069"/>
      <c r="H1968" s="2069"/>
      <c r="I1968"/>
      <c r="J1968"/>
      <c r="K1968"/>
    </row>
    <row r="1969" spans="2:11" x14ac:dyDescent="0.2">
      <c r="B1969" s="2069"/>
      <c r="C1969" s="2069"/>
      <c r="D1969" s="2069"/>
      <c r="E1969" s="2069"/>
      <c r="F1969" s="2069"/>
      <c r="G1969" s="2069"/>
      <c r="H1969" s="2069"/>
      <c r="I1969"/>
      <c r="J1969"/>
      <c r="K1969"/>
    </row>
    <row r="1970" spans="2:11" x14ac:dyDescent="0.2">
      <c r="B1970" s="2069"/>
      <c r="C1970" s="2069"/>
      <c r="D1970" s="2069"/>
      <c r="E1970" s="2069"/>
      <c r="F1970" s="2069"/>
      <c r="G1970" s="2069"/>
      <c r="H1970" s="2069"/>
      <c r="I1970"/>
      <c r="J1970"/>
      <c r="K1970"/>
    </row>
    <row r="1971" spans="2:11" x14ac:dyDescent="0.2">
      <c r="B1971" s="2069"/>
      <c r="C1971" s="2069"/>
      <c r="D1971" s="2069"/>
      <c r="E1971" s="2069"/>
      <c r="F1971" s="2069"/>
      <c r="G1971" s="2069"/>
      <c r="H1971" s="2069"/>
      <c r="I1971"/>
      <c r="J1971"/>
      <c r="K1971"/>
    </row>
    <row r="1972" spans="2:11" x14ac:dyDescent="0.2">
      <c r="B1972" s="2069"/>
      <c r="C1972" s="2069"/>
      <c r="D1972" s="2069"/>
      <c r="E1972" s="2069"/>
      <c r="F1972" s="2069"/>
      <c r="G1972" s="2069"/>
      <c r="H1972" s="2069"/>
      <c r="I1972"/>
      <c r="J1972"/>
      <c r="K1972"/>
    </row>
    <row r="1973" spans="2:11" x14ac:dyDescent="0.2">
      <c r="B1973" s="2069"/>
      <c r="C1973" s="2069"/>
      <c r="D1973" s="2069"/>
      <c r="E1973" s="2069"/>
      <c r="F1973" s="2069"/>
      <c r="G1973" s="2069"/>
      <c r="H1973" s="2069"/>
      <c r="I1973"/>
      <c r="J1973"/>
      <c r="K1973"/>
    </row>
    <row r="1974" spans="2:11" x14ac:dyDescent="0.2">
      <c r="B1974" s="2069"/>
      <c r="C1974" s="2069"/>
      <c r="D1974" s="2069"/>
      <c r="E1974" s="2069"/>
      <c r="F1974" s="2069"/>
      <c r="G1974" s="2069"/>
      <c r="H1974" s="2069"/>
      <c r="I1974"/>
      <c r="J1974"/>
      <c r="K1974"/>
    </row>
    <row r="1975" spans="2:11" x14ac:dyDescent="0.2">
      <c r="B1975" s="2069"/>
      <c r="C1975" s="2069"/>
      <c r="D1975" s="2069"/>
      <c r="E1975" s="2069"/>
      <c r="F1975" s="2069"/>
      <c r="G1975" s="2069"/>
      <c r="H1975" s="2069"/>
      <c r="I1975"/>
      <c r="J1975"/>
      <c r="K1975"/>
    </row>
    <row r="1976" spans="2:11" x14ac:dyDescent="0.2">
      <c r="B1976" s="2069"/>
      <c r="C1976" s="2069"/>
      <c r="D1976" s="2069"/>
      <c r="E1976" s="2069"/>
      <c r="F1976" s="2069"/>
      <c r="G1976" s="2069"/>
      <c r="H1976" s="2069"/>
      <c r="I1976"/>
      <c r="J1976"/>
      <c r="K1976"/>
    </row>
    <row r="1977" spans="2:11" x14ac:dyDescent="0.2">
      <c r="B1977" s="2069"/>
      <c r="C1977" s="2069"/>
      <c r="D1977" s="2069"/>
      <c r="E1977" s="2069"/>
      <c r="F1977" s="2069"/>
      <c r="G1977" s="2069"/>
      <c r="H1977" s="2069"/>
      <c r="I1977"/>
      <c r="J1977"/>
      <c r="K1977"/>
    </row>
    <row r="1978" spans="2:11" x14ac:dyDescent="0.2">
      <c r="B1978" s="2069"/>
      <c r="C1978" s="2069"/>
      <c r="D1978" s="2069"/>
      <c r="E1978" s="2069"/>
      <c r="F1978" s="2069"/>
      <c r="G1978" s="2069"/>
      <c r="H1978" s="2069"/>
      <c r="I1978"/>
      <c r="J1978"/>
      <c r="K1978"/>
    </row>
    <row r="1979" spans="2:11" x14ac:dyDescent="0.2">
      <c r="B1979" s="2069"/>
      <c r="C1979" s="2069"/>
      <c r="D1979" s="2069"/>
      <c r="E1979" s="2069"/>
      <c r="F1979" s="2069"/>
      <c r="G1979" s="2069"/>
      <c r="H1979" s="2069"/>
      <c r="I1979"/>
      <c r="J1979"/>
      <c r="K1979"/>
    </row>
    <row r="1980" spans="2:11" x14ac:dyDescent="0.2">
      <c r="B1980" s="2069"/>
      <c r="C1980" s="2069"/>
      <c r="D1980" s="2069"/>
      <c r="E1980" s="2069"/>
      <c r="F1980" s="2069"/>
      <c r="G1980" s="2069"/>
      <c r="H1980" s="2069"/>
      <c r="I1980"/>
      <c r="J1980"/>
      <c r="K1980"/>
    </row>
    <row r="1981" spans="2:11" x14ac:dyDescent="0.2">
      <c r="B1981" s="2069"/>
      <c r="C1981" s="2069"/>
      <c r="D1981" s="2069"/>
      <c r="E1981" s="2069"/>
      <c r="F1981" s="2069"/>
      <c r="G1981" s="2069"/>
      <c r="H1981" s="2069"/>
      <c r="I1981"/>
      <c r="J1981"/>
      <c r="K1981"/>
    </row>
    <row r="1982" spans="2:11" x14ac:dyDescent="0.2">
      <c r="B1982" s="2069"/>
      <c r="C1982" s="2069"/>
      <c r="D1982" s="2069"/>
      <c r="E1982" s="2069"/>
      <c r="F1982" s="2069"/>
      <c r="G1982" s="2069"/>
      <c r="H1982" s="2069"/>
      <c r="I1982"/>
      <c r="J1982"/>
      <c r="K1982"/>
    </row>
    <row r="1983" spans="2:11" x14ac:dyDescent="0.2">
      <c r="B1983" s="2069"/>
      <c r="C1983" s="2069"/>
      <c r="D1983" s="2069"/>
      <c r="E1983" s="2069"/>
      <c r="F1983" s="2069"/>
      <c r="G1983" s="2069"/>
      <c r="H1983" s="2069"/>
      <c r="I1983"/>
      <c r="J1983"/>
      <c r="K1983"/>
    </row>
    <row r="1984" spans="2:11" x14ac:dyDescent="0.2">
      <c r="B1984" s="2069"/>
      <c r="C1984" s="2069"/>
      <c r="D1984" s="2069"/>
      <c r="E1984" s="2069"/>
      <c r="F1984" s="2069"/>
      <c r="G1984" s="2069"/>
      <c r="H1984" s="2069"/>
      <c r="I1984"/>
      <c r="J1984"/>
      <c r="K1984"/>
    </row>
    <row r="1985" spans="2:11" x14ac:dyDescent="0.2">
      <c r="B1985" s="2069"/>
      <c r="C1985" s="2069"/>
      <c r="D1985" s="2069"/>
      <c r="E1985" s="2069"/>
      <c r="F1985" s="2069"/>
      <c r="G1985" s="2069"/>
      <c r="H1985" s="2069"/>
      <c r="I1985"/>
      <c r="J1985"/>
      <c r="K1985"/>
    </row>
    <row r="1986" spans="2:11" x14ac:dyDescent="0.2">
      <c r="B1986" s="2069"/>
      <c r="C1986" s="2069"/>
      <c r="D1986" s="2069"/>
      <c r="E1986" s="2069"/>
      <c r="F1986" s="2069"/>
      <c r="G1986" s="2069"/>
      <c r="H1986" s="2069"/>
      <c r="I1986"/>
      <c r="J1986"/>
      <c r="K1986"/>
    </row>
    <row r="1987" spans="2:11" x14ac:dyDescent="0.2">
      <c r="B1987" s="2069"/>
      <c r="C1987" s="2069"/>
      <c r="D1987" s="2069"/>
      <c r="E1987" s="2069"/>
      <c r="F1987" s="2069"/>
      <c r="G1987" s="2069"/>
      <c r="H1987" s="2069"/>
      <c r="I1987"/>
      <c r="J1987"/>
      <c r="K1987"/>
    </row>
    <row r="1988" spans="2:11" x14ac:dyDescent="0.2">
      <c r="B1988" s="2069"/>
      <c r="C1988" s="2069"/>
      <c r="D1988" s="2069"/>
      <c r="E1988" s="2069"/>
      <c r="F1988" s="2069"/>
      <c r="G1988" s="2069"/>
      <c r="H1988" s="2069"/>
      <c r="I1988"/>
      <c r="J1988"/>
      <c r="K1988"/>
    </row>
    <row r="1989" spans="2:11" x14ac:dyDescent="0.2">
      <c r="B1989" s="2069"/>
      <c r="C1989" s="2069"/>
      <c r="D1989" s="2069"/>
      <c r="E1989" s="2069"/>
      <c r="F1989" s="2069"/>
      <c r="G1989" s="2069"/>
      <c r="H1989" s="2069"/>
      <c r="I1989"/>
      <c r="J1989"/>
      <c r="K1989"/>
    </row>
    <row r="1990" spans="2:11" x14ac:dyDescent="0.2">
      <c r="B1990" s="2069"/>
      <c r="C1990" s="2069"/>
      <c r="D1990" s="2069"/>
      <c r="E1990" s="2069"/>
      <c r="F1990" s="2069"/>
      <c r="G1990" s="2069"/>
      <c r="H1990" s="2069"/>
      <c r="I1990"/>
      <c r="J1990"/>
      <c r="K1990"/>
    </row>
    <row r="1991" spans="2:11" x14ac:dyDescent="0.2">
      <c r="B1991" s="2069"/>
      <c r="C1991" s="2069"/>
      <c r="D1991" s="2069"/>
      <c r="E1991" s="2069"/>
      <c r="F1991" s="2069"/>
      <c r="G1991" s="2069"/>
      <c r="H1991" s="2069"/>
      <c r="I1991"/>
      <c r="J1991"/>
      <c r="K1991"/>
    </row>
    <row r="1992" spans="2:11" x14ac:dyDescent="0.2">
      <c r="B1992" s="2069"/>
      <c r="C1992" s="2069"/>
      <c r="D1992" s="2069"/>
      <c r="E1992" s="2069"/>
      <c r="F1992" s="2069"/>
      <c r="G1992" s="2069"/>
      <c r="H1992" s="2069"/>
      <c r="I1992"/>
      <c r="J1992"/>
      <c r="K1992"/>
    </row>
    <row r="1993" spans="2:11" x14ac:dyDescent="0.2">
      <c r="B1993" s="2069"/>
      <c r="C1993" s="2069"/>
      <c r="D1993" s="2069"/>
      <c r="E1993" s="2069"/>
      <c r="F1993" s="2069"/>
      <c r="G1993" s="2069"/>
      <c r="H1993" s="2069"/>
      <c r="I1993"/>
      <c r="J1993"/>
      <c r="K1993"/>
    </row>
    <row r="1994" spans="2:11" x14ac:dyDescent="0.2">
      <c r="B1994" s="2069"/>
      <c r="C1994" s="2069"/>
      <c r="D1994" s="2069"/>
      <c r="E1994" s="2069"/>
      <c r="F1994" s="2069"/>
      <c r="G1994" s="2069"/>
      <c r="H1994" s="2069"/>
      <c r="I1994"/>
      <c r="J1994"/>
      <c r="K1994"/>
    </row>
    <row r="1995" spans="2:11" x14ac:dyDescent="0.2">
      <c r="B1995" s="2069"/>
      <c r="C1995" s="2069"/>
      <c r="D1995" s="2069"/>
      <c r="E1995" s="2069"/>
      <c r="F1995" s="2069"/>
      <c r="G1995" s="2069"/>
      <c r="H1995" s="2069"/>
      <c r="I1995"/>
      <c r="J1995"/>
      <c r="K1995"/>
    </row>
    <row r="1996" spans="2:11" x14ac:dyDescent="0.2">
      <c r="B1996" s="2069"/>
      <c r="C1996" s="2069"/>
      <c r="D1996" s="2069"/>
      <c r="E1996" s="2069"/>
      <c r="F1996" s="2069"/>
      <c r="G1996" s="2069"/>
      <c r="H1996" s="2069"/>
      <c r="I1996"/>
      <c r="J1996"/>
      <c r="K1996"/>
    </row>
    <row r="1997" spans="2:11" x14ac:dyDescent="0.2">
      <c r="B1997" s="2069"/>
      <c r="C1997" s="2069"/>
      <c r="D1997" s="2069"/>
      <c r="E1997" s="2069"/>
      <c r="F1997" s="2069"/>
      <c r="G1997" s="2069"/>
      <c r="H1997" s="2069"/>
      <c r="I1997"/>
      <c r="J1997"/>
      <c r="K1997"/>
    </row>
    <row r="1998" spans="2:11" x14ac:dyDescent="0.2">
      <c r="B1998" s="2069"/>
      <c r="C1998" s="2069"/>
      <c r="D1998" s="2069"/>
      <c r="E1998" s="2069"/>
      <c r="F1998" s="2069"/>
      <c r="G1998" s="2069"/>
      <c r="H1998" s="2069"/>
      <c r="I1998"/>
      <c r="J1998"/>
      <c r="K1998"/>
    </row>
    <row r="1999" spans="2:11" x14ac:dyDescent="0.2">
      <c r="B1999" s="2069"/>
      <c r="C1999" s="2069"/>
      <c r="D1999" s="2069"/>
      <c r="E1999" s="2069"/>
      <c r="F1999" s="2069"/>
      <c r="G1999" s="2069"/>
      <c r="H1999" s="2069"/>
      <c r="I1999"/>
      <c r="J1999"/>
      <c r="K1999"/>
    </row>
    <row r="2000" spans="2:11" x14ac:dyDescent="0.2">
      <c r="B2000" s="2069"/>
      <c r="C2000" s="2069"/>
      <c r="D2000" s="2069"/>
      <c r="E2000" s="2069"/>
      <c r="F2000" s="2069"/>
      <c r="G2000" s="2069"/>
      <c r="H2000" s="2069"/>
      <c r="I2000"/>
      <c r="J2000"/>
      <c r="K2000"/>
    </row>
    <row r="2001" spans="2:11" x14ac:dyDescent="0.2">
      <c r="B2001" s="2069"/>
      <c r="C2001" s="2069"/>
      <c r="D2001" s="2069"/>
      <c r="E2001" s="2069"/>
      <c r="F2001" s="2069"/>
      <c r="G2001" s="2069"/>
      <c r="H2001" s="2069"/>
      <c r="I2001"/>
      <c r="J2001"/>
      <c r="K2001"/>
    </row>
    <row r="2002" spans="2:11" x14ac:dyDescent="0.2">
      <c r="B2002" s="2069"/>
      <c r="C2002" s="2069"/>
      <c r="D2002" s="2069"/>
      <c r="E2002" s="2069"/>
      <c r="F2002" s="2069"/>
      <c r="G2002" s="2069"/>
      <c r="H2002" s="2069"/>
      <c r="I2002"/>
      <c r="J2002"/>
      <c r="K2002"/>
    </row>
    <row r="2003" spans="2:11" x14ac:dyDescent="0.2">
      <c r="B2003" s="2069"/>
      <c r="C2003" s="2069"/>
      <c r="D2003" s="2069"/>
      <c r="E2003" s="2069"/>
      <c r="F2003" s="2069"/>
      <c r="G2003" s="2069"/>
      <c r="H2003" s="2069"/>
      <c r="I2003"/>
      <c r="J2003"/>
      <c r="K2003"/>
    </row>
    <row r="2004" spans="2:11" x14ac:dyDescent="0.2">
      <c r="B2004" s="2069"/>
      <c r="C2004" s="2069"/>
      <c r="D2004" s="2069"/>
      <c r="E2004" s="2069"/>
      <c r="F2004" s="2069"/>
      <c r="G2004" s="2069"/>
      <c r="H2004" s="2069"/>
      <c r="I2004"/>
      <c r="J2004"/>
      <c r="K2004"/>
    </row>
    <row r="2005" spans="2:11" x14ac:dyDescent="0.2">
      <c r="B2005" s="2069"/>
      <c r="C2005" s="2069"/>
      <c r="D2005" s="2069"/>
      <c r="E2005" s="2069"/>
      <c r="F2005" s="2069"/>
      <c r="G2005" s="2069"/>
      <c r="H2005" s="2069"/>
      <c r="I2005"/>
      <c r="J2005"/>
      <c r="K2005"/>
    </row>
    <row r="2006" spans="2:11" x14ac:dyDescent="0.2">
      <c r="B2006" s="2069"/>
      <c r="C2006" s="2069"/>
      <c r="D2006" s="2069"/>
      <c r="E2006" s="2069"/>
      <c r="F2006" s="2069"/>
      <c r="G2006" s="2069"/>
      <c r="H2006" s="2069"/>
      <c r="I2006"/>
      <c r="J2006"/>
      <c r="K2006"/>
    </row>
    <row r="2007" spans="2:11" x14ac:dyDescent="0.2">
      <c r="B2007" s="2069"/>
      <c r="C2007" s="2069"/>
      <c r="D2007" s="2069"/>
      <c r="E2007" s="2069"/>
      <c r="F2007" s="2069"/>
      <c r="G2007" s="2069"/>
      <c r="H2007" s="2069"/>
      <c r="I2007"/>
      <c r="J2007"/>
      <c r="K2007"/>
    </row>
    <row r="2008" spans="2:11" x14ac:dyDescent="0.2">
      <c r="B2008" s="2069"/>
      <c r="C2008" s="2069"/>
      <c r="D2008" s="2069"/>
      <c r="E2008" s="2069"/>
      <c r="F2008" s="2069"/>
      <c r="G2008" s="2069"/>
      <c r="H2008" s="2069"/>
      <c r="I2008"/>
      <c r="J2008"/>
      <c r="K2008"/>
    </row>
    <row r="2009" spans="2:11" x14ac:dyDescent="0.2">
      <c r="B2009" s="2069"/>
      <c r="C2009" s="2069"/>
      <c r="D2009" s="2069"/>
      <c r="E2009" s="2069"/>
      <c r="F2009" s="2069"/>
      <c r="G2009" s="2069"/>
      <c r="H2009" s="2069"/>
      <c r="I2009"/>
      <c r="J2009"/>
      <c r="K2009"/>
    </row>
    <row r="2010" spans="2:11" x14ac:dyDescent="0.2">
      <c r="B2010" s="2069"/>
      <c r="C2010" s="2069"/>
      <c r="D2010" s="2069"/>
      <c r="E2010" s="2069"/>
      <c r="F2010" s="2069"/>
      <c r="G2010" s="2069"/>
      <c r="H2010" s="2069"/>
      <c r="I2010"/>
      <c r="J2010"/>
      <c r="K2010"/>
    </row>
    <row r="2011" spans="2:11" x14ac:dyDescent="0.2">
      <c r="B2011" s="2069"/>
      <c r="C2011" s="2069"/>
      <c r="D2011" s="2069"/>
      <c r="E2011" s="2069"/>
      <c r="F2011" s="2069"/>
      <c r="G2011" s="2069"/>
      <c r="H2011" s="2069"/>
      <c r="I2011"/>
      <c r="J2011"/>
      <c r="K2011"/>
    </row>
    <row r="2012" spans="2:11" x14ac:dyDescent="0.2">
      <c r="B2012" s="2069"/>
      <c r="C2012" s="2069"/>
      <c r="D2012" s="2069"/>
      <c r="E2012" s="2069"/>
      <c r="F2012" s="2069"/>
      <c r="G2012" s="2069"/>
      <c r="H2012" s="2069"/>
      <c r="I2012"/>
      <c r="J2012"/>
      <c r="K2012"/>
    </row>
    <row r="2013" spans="2:11" x14ac:dyDescent="0.2">
      <c r="B2013" s="2069"/>
      <c r="C2013" s="2069"/>
      <c r="D2013" s="2069"/>
      <c r="E2013" s="2069"/>
      <c r="F2013" s="2069"/>
      <c r="G2013" s="2069"/>
      <c r="H2013" s="2069"/>
      <c r="I2013"/>
      <c r="J2013"/>
      <c r="K2013"/>
    </row>
    <row r="2014" spans="2:11" x14ac:dyDescent="0.2">
      <c r="B2014" s="2069"/>
      <c r="C2014" s="2069"/>
      <c r="D2014" s="2069"/>
      <c r="E2014" s="2069"/>
      <c r="F2014" s="2069"/>
      <c r="G2014" s="2069"/>
      <c r="H2014" s="2069"/>
      <c r="I2014"/>
      <c r="J2014"/>
      <c r="K2014"/>
    </row>
    <row r="2015" spans="2:11" x14ac:dyDescent="0.2">
      <c r="B2015" s="2069"/>
      <c r="C2015" s="2069"/>
      <c r="D2015" s="2069"/>
      <c r="E2015" s="2069"/>
      <c r="F2015" s="2069"/>
      <c r="G2015" s="2069"/>
      <c r="H2015" s="2069"/>
      <c r="I2015"/>
      <c r="J2015"/>
      <c r="K2015"/>
    </row>
    <row r="2016" spans="2:11" x14ac:dyDescent="0.2">
      <c r="B2016" s="2069"/>
      <c r="C2016" s="2069"/>
      <c r="D2016" s="2069"/>
      <c r="E2016" s="2069"/>
      <c r="F2016" s="2069"/>
      <c r="G2016" s="2069"/>
      <c r="H2016" s="2069"/>
      <c r="I2016"/>
      <c r="J2016"/>
      <c r="K2016"/>
    </row>
    <row r="2017" spans="2:11" x14ac:dyDescent="0.2">
      <c r="B2017" s="2069"/>
      <c r="C2017" s="2069"/>
      <c r="D2017" s="2069"/>
      <c r="E2017" s="2069"/>
      <c r="F2017" s="2069"/>
      <c r="G2017" s="2069"/>
      <c r="H2017" s="2069"/>
      <c r="I2017"/>
      <c r="J2017"/>
      <c r="K2017"/>
    </row>
    <row r="2018" spans="2:11" x14ac:dyDescent="0.2">
      <c r="B2018" s="2069"/>
      <c r="C2018" s="2069"/>
      <c r="D2018" s="2069"/>
      <c r="E2018" s="2069"/>
      <c r="F2018" s="2069"/>
      <c r="G2018" s="2069"/>
      <c r="H2018" s="2069"/>
      <c r="I2018"/>
      <c r="J2018"/>
      <c r="K2018"/>
    </row>
    <row r="2019" spans="2:11" x14ac:dyDescent="0.2">
      <c r="B2019" s="2069"/>
      <c r="C2019" s="2069"/>
      <c r="D2019" s="2069"/>
      <c r="E2019" s="2069"/>
      <c r="F2019" s="2069"/>
      <c r="G2019" s="2069"/>
      <c r="H2019" s="2069"/>
      <c r="I2019"/>
      <c r="J2019"/>
      <c r="K2019"/>
    </row>
    <row r="2020" spans="2:11" x14ac:dyDescent="0.2">
      <c r="B2020" s="2069"/>
      <c r="C2020" s="2069"/>
      <c r="D2020" s="2069"/>
      <c r="E2020" s="2069"/>
      <c r="F2020" s="2069"/>
      <c r="G2020" s="2069"/>
      <c r="H2020" s="2069"/>
      <c r="I2020"/>
      <c r="J2020"/>
      <c r="K2020"/>
    </row>
    <row r="2021" spans="2:11" x14ac:dyDescent="0.2">
      <c r="B2021" s="2069"/>
      <c r="C2021" s="2069"/>
      <c r="D2021" s="2069"/>
      <c r="E2021" s="2069"/>
      <c r="F2021" s="2069"/>
      <c r="G2021" s="2069"/>
      <c r="H2021" s="2069"/>
      <c r="I2021"/>
      <c r="J2021"/>
      <c r="K2021"/>
    </row>
    <row r="2022" spans="2:11" x14ac:dyDescent="0.2">
      <c r="B2022" s="2069"/>
      <c r="C2022" s="2069"/>
      <c r="D2022" s="2069"/>
      <c r="E2022" s="2069"/>
      <c r="F2022" s="2069"/>
      <c r="G2022" s="2069"/>
      <c r="H2022" s="2069"/>
      <c r="I2022"/>
      <c r="J2022"/>
      <c r="K2022"/>
    </row>
    <row r="2023" spans="2:11" x14ac:dyDescent="0.2">
      <c r="B2023" s="2069"/>
      <c r="C2023" s="2069"/>
      <c r="D2023" s="2069"/>
      <c r="E2023" s="2069"/>
      <c r="F2023" s="2069"/>
      <c r="G2023" s="2069"/>
      <c r="H2023" s="2069"/>
      <c r="I2023"/>
      <c r="J2023"/>
      <c r="K2023"/>
    </row>
    <row r="2024" spans="2:11" x14ac:dyDescent="0.2">
      <c r="B2024" s="2069"/>
      <c r="C2024" s="2069"/>
      <c r="D2024" s="2069"/>
      <c r="E2024" s="2069"/>
      <c r="F2024" s="2069"/>
      <c r="G2024" s="2069"/>
      <c r="H2024" s="2069"/>
      <c r="I2024"/>
      <c r="J2024"/>
      <c r="K2024"/>
    </row>
    <row r="2025" spans="2:11" x14ac:dyDescent="0.2">
      <c r="B2025" s="2069"/>
      <c r="C2025" s="2069"/>
      <c r="D2025" s="2069"/>
      <c r="E2025" s="2069"/>
      <c r="F2025" s="2069"/>
      <c r="G2025" s="2069"/>
      <c r="H2025" s="2069"/>
      <c r="I2025"/>
      <c r="J2025"/>
      <c r="K2025"/>
    </row>
    <row r="2026" spans="2:11" x14ac:dyDescent="0.2">
      <c r="B2026" s="2069"/>
      <c r="C2026" s="2069"/>
      <c r="D2026" s="2069"/>
      <c r="E2026" s="2069"/>
      <c r="F2026" s="2069"/>
      <c r="G2026" s="2069"/>
      <c r="H2026" s="2069"/>
      <c r="I2026"/>
      <c r="J2026"/>
      <c r="K2026"/>
    </row>
    <row r="2027" spans="2:11" x14ac:dyDescent="0.2">
      <c r="B2027" s="2069"/>
      <c r="C2027" s="2069"/>
      <c r="D2027" s="2069"/>
      <c r="E2027" s="2069"/>
      <c r="F2027" s="2069"/>
      <c r="G2027" s="2069"/>
      <c r="H2027" s="2069"/>
      <c r="I2027"/>
      <c r="J2027"/>
      <c r="K2027"/>
    </row>
    <row r="2028" spans="2:11" x14ac:dyDescent="0.2">
      <c r="B2028" s="2069"/>
      <c r="C2028" s="2069"/>
      <c r="D2028" s="2069"/>
      <c r="E2028" s="2069"/>
      <c r="F2028" s="2069"/>
      <c r="G2028" s="2069"/>
      <c r="H2028" s="2069"/>
      <c r="I2028"/>
      <c r="J2028"/>
      <c r="K2028"/>
    </row>
    <row r="2029" spans="2:11" x14ac:dyDescent="0.2">
      <c r="B2029" s="2069"/>
      <c r="C2029" s="2069"/>
      <c r="D2029" s="2069"/>
      <c r="E2029" s="2069"/>
      <c r="F2029" s="2069"/>
      <c r="G2029" s="2069"/>
      <c r="H2029" s="2069"/>
      <c r="I2029"/>
      <c r="J2029"/>
      <c r="K2029"/>
    </row>
    <row r="2030" spans="2:11" x14ac:dyDescent="0.2">
      <c r="B2030" s="2069"/>
      <c r="C2030" s="2069"/>
      <c r="D2030" s="2069"/>
      <c r="E2030" s="2069"/>
      <c r="F2030" s="2069"/>
      <c r="G2030" s="2069"/>
      <c r="H2030" s="2069"/>
      <c r="I2030"/>
      <c r="J2030"/>
      <c r="K2030"/>
    </row>
    <row r="2031" spans="2:11" x14ac:dyDescent="0.2">
      <c r="B2031" s="2069"/>
      <c r="C2031" s="2069"/>
      <c r="D2031" s="2069"/>
      <c r="E2031" s="2069"/>
      <c r="F2031" s="2069"/>
      <c r="G2031" s="2069"/>
      <c r="H2031" s="2069"/>
      <c r="I2031"/>
      <c r="J2031"/>
      <c r="K2031"/>
    </row>
    <row r="2032" spans="2:11" x14ac:dyDescent="0.2">
      <c r="B2032" s="2069"/>
      <c r="C2032" s="2069"/>
      <c r="D2032" s="2069"/>
      <c r="E2032" s="2069"/>
      <c r="F2032" s="2069"/>
      <c r="G2032" s="2069"/>
      <c r="H2032" s="2069"/>
      <c r="I2032"/>
      <c r="J2032"/>
      <c r="K2032"/>
    </row>
    <row r="2033" spans="2:11" x14ac:dyDescent="0.2">
      <c r="B2033" s="2069"/>
      <c r="C2033" s="2069"/>
      <c r="D2033" s="2069"/>
      <c r="E2033" s="2069"/>
      <c r="F2033" s="2069"/>
      <c r="G2033" s="2069"/>
      <c r="H2033" s="2069"/>
      <c r="I2033"/>
      <c r="J2033"/>
      <c r="K2033"/>
    </row>
    <row r="2034" spans="2:11" x14ac:dyDescent="0.2">
      <c r="B2034" s="2069"/>
      <c r="C2034" s="2069"/>
      <c r="D2034" s="2069"/>
      <c r="E2034" s="2069"/>
      <c r="F2034" s="2069"/>
      <c r="G2034" s="2069"/>
      <c r="H2034" s="2069"/>
      <c r="I2034"/>
      <c r="J2034"/>
      <c r="K2034"/>
    </row>
    <row r="2035" spans="2:11" x14ac:dyDescent="0.2">
      <c r="B2035" s="2069"/>
      <c r="C2035" s="2069"/>
      <c r="D2035" s="2069"/>
      <c r="E2035" s="2069"/>
      <c r="F2035" s="2069"/>
      <c r="G2035" s="2069"/>
      <c r="H2035" s="2069"/>
      <c r="I2035"/>
      <c r="J2035"/>
      <c r="K2035"/>
    </row>
    <row r="2036" spans="2:11" x14ac:dyDescent="0.2">
      <c r="B2036" s="2069"/>
      <c r="C2036" s="2069"/>
      <c r="D2036" s="2069"/>
      <c r="E2036" s="2069"/>
      <c r="F2036" s="2069"/>
      <c r="G2036" s="2069"/>
      <c r="H2036" s="2069"/>
      <c r="I2036"/>
      <c r="J2036"/>
      <c r="K2036"/>
    </row>
    <row r="2037" spans="2:11" x14ac:dyDescent="0.2">
      <c r="B2037" s="2069"/>
      <c r="C2037" s="2069"/>
      <c r="D2037" s="2069"/>
      <c r="E2037" s="2069"/>
      <c r="F2037" s="2069"/>
      <c r="G2037" s="2069"/>
      <c r="H2037" s="2069"/>
      <c r="I2037"/>
      <c r="J2037"/>
      <c r="K2037"/>
    </row>
    <row r="2038" spans="2:11" x14ac:dyDescent="0.2">
      <c r="B2038" s="2069"/>
      <c r="C2038" s="2069"/>
      <c r="D2038" s="2069"/>
      <c r="E2038" s="2069"/>
      <c r="F2038" s="2069"/>
      <c r="G2038" s="2069"/>
      <c r="H2038" s="2069"/>
      <c r="I2038"/>
      <c r="J2038"/>
      <c r="K2038"/>
    </row>
    <row r="2039" spans="2:11" x14ac:dyDescent="0.2">
      <c r="B2039" s="2069"/>
      <c r="C2039" s="2069"/>
      <c r="D2039" s="2069"/>
      <c r="E2039" s="2069"/>
      <c r="F2039" s="2069"/>
      <c r="G2039" s="2069"/>
      <c r="H2039" s="2069"/>
      <c r="I2039"/>
      <c r="J2039"/>
      <c r="K2039"/>
    </row>
    <row r="2040" spans="2:11" x14ac:dyDescent="0.2">
      <c r="B2040" s="2069"/>
      <c r="C2040" s="2069"/>
      <c r="D2040" s="2069"/>
      <c r="E2040" s="2069"/>
      <c r="F2040" s="2069"/>
      <c r="G2040" s="2069"/>
      <c r="H2040" s="2069"/>
      <c r="I2040"/>
      <c r="J2040"/>
      <c r="K2040"/>
    </row>
    <row r="2041" spans="2:11" x14ac:dyDescent="0.2">
      <c r="B2041" s="2069"/>
      <c r="C2041" s="2069"/>
      <c r="D2041" s="2069"/>
      <c r="E2041" s="2069"/>
      <c r="F2041" s="2069"/>
      <c r="G2041" s="2069"/>
      <c r="H2041" s="2069"/>
      <c r="I2041"/>
      <c r="J2041"/>
      <c r="K2041"/>
    </row>
    <row r="2042" spans="2:11" x14ac:dyDescent="0.2">
      <c r="B2042" s="2069"/>
      <c r="C2042" s="2069"/>
      <c r="D2042" s="2069"/>
      <c r="E2042" s="2069"/>
      <c r="F2042" s="2069"/>
      <c r="G2042" s="2069"/>
      <c r="H2042" s="2069"/>
      <c r="I2042"/>
      <c r="J2042"/>
      <c r="K2042"/>
    </row>
    <row r="2043" spans="2:11" x14ac:dyDescent="0.2">
      <c r="B2043" s="2069"/>
      <c r="C2043" s="2069"/>
      <c r="D2043" s="2069"/>
      <c r="E2043" s="2069"/>
      <c r="F2043" s="2069"/>
      <c r="G2043" s="2069"/>
      <c r="H2043" s="2069"/>
      <c r="I2043"/>
      <c r="J2043"/>
      <c r="K2043"/>
    </row>
    <row r="2044" spans="2:11" x14ac:dyDescent="0.2">
      <c r="B2044" s="2069"/>
      <c r="C2044" s="2069"/>
      <c r="D2044" s="2069"/>
      <c r="E2044" s="2069"/>
      <c r="F2044" s="2069"/>
      <c r="G2044" s="2069"/>
      <c r="H2044" s="2069"/>
      <c r="I2044"/>
      <c r="J2044"/>
      <c r="K2044"/>
    </row>
    <row r="2045" spans="2:11" x14ac:dyDescent="0.2">
      <c r="B2045" s="2069"/>
      <c r="C2045" s="2069"/>
      <c r="D2045" s="2069"/>
      <c r="E2045" s="2069"/>
      <c r="F2045" s="2069"/>
      <c r="G2045" s="2069"/>
      <c r="H2045" s="2069"/>
      <c r="I2045"/>
      <c r="J2045"/>
      <c r="K2045"/>
    </row>
    <row r="2046" spans="2:11" x14ac:dyDescent="0.2">
      <c r="B2046" s="2069"/>
      <c r="C2046" s="2069"/>
      <c r="D2046" s="2069"/>
      <c r="E2046" s="2069"/>
      <c r="F2046" s="2069"/>
      <c r="G2046" s="2069"/>
      <c r="H2046" s="2069"/>
      <c r="I2046"/>
      <c r="J2046"/>
      <c r="K2046"/>
    </row>
    <row r="2047" spans="2:11" x14ac:dyDescent="0.2">
      <c r="B2047" s="2069"/>
      <c r="C2047" s="2069"/>
      <c r="D2047" s="2069"/>
      <c r="E2047" s="2069"/>
      <c r="F2047" s="2069"/>
      <c r="G2047" s="2069"/>
      <c r="H2047" s="2069"/>
      <c r="I2047"/>
      <c r="J2047"/>
      <c r="K2047"/>
    </row>
    <row r="2048" spans="2:11" x14ac:dyDescent="0.2">
      <c r="B2048" s="2069"/>
      <c r="C2048" s="2069"/>
      <c r="D2048" s="2069"/>
      <c r="E2048" s="2069"/>
      <c r="F2048" s="2069"/>
      <c r="G2048" s="2069"/>
      <c r="H2048" s="2069"/>
      <c r="I2048"/>
      <c r="J2048"/>
      <c r="K2048"/>
    </row>
    <row r="2049" spans="2:11" x14ac:dyDescent="0.2">
      <c r="B2049" s="2069"/>
      <c r="C2049" s="2069"/>
      <c r="D2049" s="2069"/>
      <c r="E2049" s="2069"/>
      <c r="F2049" s="2069"/>
      <c r="G2049" s="2069"/>
      <c r="H2049" s="2069"/>
      <c r="I2049"/>
      <c r="J2049"/>
      <c r="K2049"/>
    </row>
    <row r="2050" spans="2:11" x14ac:dyDescent="0.2">
      <c r="B2050" s="2069"/>
      <c r="C2050" s="2069"/>
      <c r="D2050" s="2069"/>
      <c r="E2050" s="2069"/>
      <c r="F2050" s="2069"/>
      <c r="G2050" s="2069"/>
      <c r="H2050" s="2069"/>
      <c r="I2050"/>
      <c r="J2050"/>
      <c r="K2050"/>
    </row>
    <row r="2051" spans="2:11" x14ac:dyDescent="0.2">
      <c r="B2051" s="2069"/>
      <c r="C2051" s="2069"/>
      <c r="D2051" s="2069"/>
      <c r="E2051" s="2069"/>
      <c r="F2051" s="2069"/>
      <c r="G2051" s="2069"/>
      <c r="H2051" s="2069"/>
      <c r="I2051"/>
      <c r="J2051"/>
      <c r="K2051"/>
    </row>
    <row r="2052" spans="2:11" x14ac:dyDescent="0.2">
      <c r="B2052" s="2069"/>
      <c r="C2052" s="2069"/>
      <c r="D2052" s="2069"/>
      <c r="E2052" s="2069"/>
      <c r="F2052" s="2069"/>
      <c r="G2052" s="2069"/>
      <c r="H2052" s="2069"/>
      <c r="I2052"/>
      <c r="J2052"/>
      <c r="K2052"/>
    </row>
    <row r="2053" spans="2:11" x14ac:dyDescent="0.2">
      <c r="B2053" s="2069"/>
      <c r="C2053" s="2069"/>
      <c r="D2053" s="2069"/>
      <c r="E2053" s="2069"/>
      <c r="F2053" s="2069"/>
      <c r="G2053" s="2069"/>
      <c r="H2053" s="2069"/>
      <c r="I2053"/>
      <c r="J2053"/>
      <c r="K2053"/>
    </row>
    <row r="2054" spans="2:11" x14ac:dyDescent="0.2">
      <c r="B2054" s="2069"/>
      <c r="C2054" s="2069"/>
      <c r="D2054" s="2069"/>
      <c r="E2054" s="2069"/>
      <c r="F2054" s="2069"/>
      <c r="G2054" s="2069"/>
      <c r="H2054" s="2069"/>
      <c r="I2054"/>
      <c r="J2054"/>
      <c r="K2054"/>
    </row>
    <row r="2055" spans="2:11" x14ac:dyDescent="0.2">
      <c r="B2055" s="2069"/>
      <c r="C2055" s="2069"/>
      <c r="D2055" s="2069"/>
      <c r="E2055" s="2069"/>
      <c r="F2055" s="2069"/>
      <c r="G2055" s="2069"/>
      <c r="H2055" s="2069"/>
      <c r="I2055"/>
      <c r="J2055"/>
      <c r="K2055"/>
    </row>
    <row r="2056" spans="2:11" x14ac:dyDescent="0.2">
      <c r="B2056" s="2069"/>
      <c r="C2056" s="2069"/>
      <c r="D2056" s="2069"/>
      <c r="E2056" s="2069"/>
      <c r="F2056" s="2069"/>
      <c r="G2056" s="2069"/>
      <c r="H2056" s="2069"/>
      <c r="I2056"/>
      <c r="J2056"/>
      <c r="K2056"/>
    </row>
    <row r="2057" spans="2:11" x14ac:dyDescent="0.2">
      <c r="B2057" s="2069"/>
      <c r="C2057" s="2069"/>
      <c r="D2057" s="2069"/>
      <c r="E2057" s="2069"/>
      <c r="F2057" s="2069"/>
      <c r="G2057" s="2069"/>
      <c r="H2057" s="2069"/>
      <c r="I2057"/>
      <c r="J2057"/>
      <c r="K2057"/>
    </row>
    <row r="2058" spans="2:11" x14ac:dyDescent="0.2">
      <c r="B2058" s="2069"/>
      <c r="C2058" s="2069"/>
      <c r="D2058" s="2069"/>
      <c r="E2058" s="2069"/>
      <c r="F2058" s="2069"/>
      <c r="G2058" s="2069"/>
      <c r="H2058" s="2069"/>
      <c r="I2058"/>
      <c r="J2058"/>
      <c r="K2058"/>
    </row>
    <row r="2059" spans="2:11" x14ac:dyDescent="0.2">
      <c r="B2059" s="2069"/>
      <c r="C2059" s="2069"/>
      <c r="D2059" s="2069"/>
      <c r="E2059" s="2069"/>
      <c r="F2059" s="2069"/>
      <c r="G2059" s="2069"/>
      <c r="H2059" s="2069"/>
      <c r="I2059"/>
      <c r="J2059"/>
      <c r="K2059"/>
    </row>
    <row r="2060" spans="2:11" x14ac:dyDescent="0.2">
      <c r="B2060" s="2069"/>
      <c r="C2060" s="2069"/>
      <c r="D2060" s="2069"/>
      <c r="E2060" s="2069"/>
      <c r="F2060" s="2069"/>
      <c r="G2060" s="2069"/>
      <c r="H2060" s="2069"/>
      <c r="I2060"/>
      <c r="J2060"/>
      <c r="K2060"/>
    </row>
    <row r="2061" spans="2:11" x14ac:dyDescent="0.2">
      <c r="B2061" s="2069"/>
      <c r="C2061" s="2069"/>
      <c r="D2061" s="2069"/>
      <c r="E2061" s="2069"/>
      <c r="F2061" s="2069"/>
      <c r="G2061" s="2069"/>
      <c r="H2061" s="2069"/>
      <c r="I2061"/>
      <c r="J2061"/>
      <c r="K2061"/>
    </row>
    <row r="2062" spans="2:11" x14ac:dyDescent="0.2">
      <c r="B2062" s="2069"/>
      <c r="C2062" s="2069"/>
      <c r="D2062" s="2069"/>
      <c r="E2062" s="2069"/>
      <c r="F2062" s="2069"/>
      <c r="G2062" s="2069"/>
      <c r="H2062" s="2069"/>
      <c r="I2062"/>
      <c r="J2062"/>
      <c r="K2062"/>
    </row>
    <row r="2063" spans="2:11" x14ac:dyDescent="0.2">
      <c r="B2063" s="2069"/>
      <c r="C2063" s="2069"/>
      <c r="D2063" s="2069"/>
      <c r="E2063" s="2069"/>
      <c r="F2063" s="2069"/>
      <c r="G2063" s="2069"/>
      <c r="H2063" s="2069"/>
      <c r="I2063"/>
      <c r="J2063"/>
      <c r="K2063"/>
    </row>
    <row r="2064" spans="2:11" x14ac:dyDescent="0.2">
      <c r="B2064" s="2069"/>
      <c r="C2064" s="2069"/>
      <c r="D2064" s="2069"/>
      <c r="E2064" s="2069"/>
      <c r="F2064" s="2069"/>
      <c r="G2064" s="2069"/>
      <c r="H2064" s="2069"/>
      <c r="I2064"/>
      <c r="J2064"/>
      <c r="K2064"/>
    </row>
    <row r="2065" spans="2:11" x14ac:dyDescent="0.2">
      <c r="B2065" s="2069"/>
      <c r="C2065" s="2069"/>
      <c r="D2065" s="2069"/>
      <c r="E2065" s="2069"/>
      <c r="F2065" s="2069"/>
      <c r="G2065" s="2069"/>
      <c r="H2065" s="2069"/>
      <c r="I2065"/>
      <c r="J2065"/>
      <c r="K2065"/>
    </row>
    <row r="2066" spans="2:11" x14ac:dyDescent="0.2">
      <c r="B2066" s="2069"/>
      <c r="C2066" s="2069"/>
      <c r="D2066" s="2069"/>
      <c r="E2066" s="2069"/>
      <c r="F2066" s="2069"/>
      <c r="G2066" s="2069"/>
      <c r="H2066" s="2069"/>
      <c r="I2066"/>
      <c r="J2066"/>
      <c r="K2066"/>
    </row>
    <row r="2067" spans="2:11" x14ac:dyDescent="0.2">
      <c r="B2067" s="2069"/>
      <c r="C2067" s="2069"/>
      <c r="D2067" s="2069"/>
      <c r="E2067" s="2069"/>
      <c r="F2067" s="2069"/>
      <c r="G2067" s="2069"/>
      <c r="H2067" s="2069"/>
      <c r="I2067"/>
      <c r="J2067"/>
      <c r="K2067"/>
    </row>
    <row r="2068" spans="2:11" x14ac:dyDescent="0.2">
      <c r="B2068" s="2069"/>
      <c r="C2068" s="2069"/>
      <c r="D2068" s="2069"/>
      <c r="E2068" s="2069"/>
      <c r="F2068" s="2069"/>
      <c r="G2068" s="2069"/>
      <c r="H2068" s="2069"/>
      <c r="I2068"/>
      <c r="J2068"/>
      <c r="K2068"/>
    </row>
    <row r="2069" spans="2:11" x14ac:dyDescent="0.2">
      <c r="B2069" s="2069"/>
      <c r="C2069" s="2069"/>
      <c r="D2069" s="2069"/>
      <c r="E2069" s="2069"/>
      <c r="F2069" s="2069"/>
      <c r="G2069" s="2069"/>
      <c r="H2069" s="2069"/>
      <c r="I2069"/>
      <c r="J2069"/>
      <c r="K2069"/>
    </row>
    <row r="2070" spans="2:11" x14ac:dyDescent="0.2">
      <c r="B2070" s="2069"/>
      <c r="C2070" s="2069"/>
      <c r="D2070" s="2069"/>
      <c r="E2070" s="2069"/>
      <c r="F2070" s="2069"/>
      <c r="G2070" s="2069"/>
      <c r="H2070" s="2069"/>
      <c r="I2070"/>
      <c r="J2070"/>
      <c r="K2070"/>
    </row>
    <row r="2071" spans="2:11" x14ac:dyDescent="0.2">
      <c r="B2071" s="2069"/>
      <c r="C2071" s="2069"/>
      <c r="D2071" s="2069"/>
      <c r="E2071" s="2069"/>
      <c r="F2071" s="2069"/>
      <c r="G2071" s="2069"/>
      <c r="H2071" s="2069"/>
      <c r="I2071"/>
      <c r="J2071"/>
      <c r="K2071"/>
    </row>
    <row r="2072" spans="2:11" x14ac:dyDescent="0.2">
      <c r="B2072" s="2069"/>
      <c r="C2072" s="2069"/>
      <c r="D2072" s="2069"/>
      <c r="E2072" s="2069"/>
      <c r="F2072" s="2069"/>
      <c r="G2072" s="2069"/>
      <c r="H2072" s="2069"/>
      <c r="I2072"/>
      <c r="J2072"/>
      <c r="K2072"/>
    </row>
    <row r="2073" spans="2:11" x14ac:dyDescent="0.2">
      <c r="B2073" s="2069"/>
      <c r="C2073" s="2069"/>
      <c r="D2073" s="2069"/>
      <c r="E2073" s="2069"/>
      <c r="F2073" s="2069"/>
      <c r="G2073" s="2069"/>
      <c r="H2073" s="2069"/>
      <c r="I2073"/>
      <c r="J2073"/>
      <c r="K2073"/>
    </row>
    <row r="2074" spans="2:11" x14ac:dyDescent="0.2">
      <c r="B2074" s="2069"/>
      <c r="C2074" s="2069"/>
      <c r="D2074" s="2069"/>
      <c r="E2074" s="2069"/>
      <c r="F2074" s="2069"/>
      <c r="G2074" s="2069"/>
      <c r="H2074" s="2069"/>
      <c r="I2074"/>
      <c r="J2074"/>
      <c r="K2074"/>
    </row>
    <row r="2075" spans="2:11" x14ac:dyDescent="0.2">
      <c r="B2075" s="2069"/>
      <c r="C2075" s="2069"/>
      <c r="D2075" s="2069"/>
      <c r="E2075" s="2069"/>
      <c r="F2075" s="2069"/>
      <c r="G2075" s="2069"/>
      <c r="H2075" s="2069"/>
      <c r="I2075"/>
      <c r="J2075"/>
      <c r="K2075"/>
    </row>
    <row r="2076" spans="2:11" x14ac:dyDescent="0.2">
      <c r="B2076" s="2069"/>
      <c r="C2076" s="2069"/>
      <c r="D2076" s="2069"/>
      <c r="E2076" s="2069"/>
      <c r="F2076" s="2069"/>
      <c r="G2076" s="2069"/>
      <c r="H2076" s="2069"/>
      <c r="I2076"/>
      <c r="J2076"/>
      <c r="K2076"/>
    </row>
    <row r="2077" spans="2:11" x14ac:dyDescent="0.2">
      <c r="B2077" s="2069"/>
      <c r="C2077" s="2069"/>
      <c r="D2077" s="2069"/>
      <c r="E2077" s="2069"/>
      <c r="F2077" s="2069"/>
      <c r="G2077" s="2069"/>
      <c r="H2077" s="2069"/>
      <c r="I2077"/>
      <c r="J2077"/>
      <c r="K2077"/>
    </row>
    <row r="2078" spans="2:11" x14ac:dyDescent="0.2">
      <c r="B2078" s="2069"/>
      <c r="C2078" s="2069"/>
      <c r="D2078" s="2069"/>
      <c r="E2078" s="2069"/>
      <c r="F2078" s="2069"/>
      <c r="G2078" s="2069"/>
      <c r="H2078" s="2069"/>
      <c r="I2078"/>
      <c r="J2078"/>
      <c r="K2078"/>
    </row>
    <row r="2079" spans="2:11" x14ac:dyDescent="0.2">
      <c r="B2079" s="2069"/>
      <c r="C2079" s="2069"/>
      <c r="D2079" s="2069"/>
      <c r="E2079" s="2069"/>
      <c r="F2079" s="2069"/>
      <c r="G2079" s="2069"/>
      <c r="H2079" s="2069"/>
      <c r="I2079"/>
      <c r="J2079"/>
      <c r="K2079"/>
    </row>
    <row r="2080" spans="2:11" x14ac:dyDescent="0.2">
      <c r="B2080" s="2069"/>
      <c r="C2080" s="2069"/>
      <c r="D2080" s="2069"/>
      <c r="E2080" s="2069"/>
      <c r="F2080" s="2069"/>
      <c r="G2080" s="2069"/>
      <c r="H2080" s="2069"/>
      <c r="I2080"/>
      <c r="J2080"/>
      <c r="K2080"/>
    </row>
    <row r="2081" spans="2:11" x14ac:dyDescent="0.2">
      <c r="B2081" s="2069"/>
      <c r="C2081" s="2069"/>
      <c r="D2081" s="2069"/>
      <c r="E2081" s="2069"/>
      <c r="F2081" s="2069"/>
      <c r="G2081" s="2069"/>
      <c r="H2081" s="2069"/>
      <c r="I2081"/>
      <c r="J2081"/>
      <c r="K2081"/>
    </row>
    <row r="2082" spans="2:11" x14ac:dyDescent="0.2">
      <c r="B2082" s="2069"/>
      <c r="C2082" s="2069"/>
      <c r="D2082" s="2069"/>
      <c r="E2082" s="2069"/>
      <c r="F2082" s="2069"/>
      <c r="G2082" s="2069"/>
      <c r="H2082" s="2069"/>
      <c r="I2082"/>
      <c r="J2082"/>
      <c r="K2082"/>
    </row>
    <row r="2083" spans="2:11" x14ac:dyDescent="0.2">
      <c r="B2083" s="2069"/>
      <c r="C2083" s="2069"/>
      <c r="D2083" s="2069"/>
      <c r="E2083" s="2069"/>
      <c r="F2083" s="2069"/>
      <c r="G2083" s="2069"/>
      <c r="H2083" s="2069"/>
      <c r="I2083"/>
      <c r="J2083"/>
      <c r="K2083"/>
    </row>
    <row r="2084" spans="2:11" x14ac:dyDescent="0.2">
      <c r="B2084" s="2069"/>
      <c r="C2084" s="2069"/>
      <c r="D2084" s="2069"/>
      <c r="E2084" s="2069"/>
      <c r="F2084" s="2069"/>
      <c r="G2084" s="2069"/>
      <c r="H2084" s="2069"/>
      <c r="I2084"/>
      <c r="J2084"/>
      <c r="K2084"/>
    </row>
    <row r="2085" spans="2:11" x14ac:dyDescent="0.2">
      <c r="B2085" s="2069"/>
      <c r="C2085" s="2069"/>
      <c r="D2085" s="2069"/>
      <c r="E2085" s="2069"/>
      <c r="F2085" s="2069"/>
      <c r="G2085" s="2069"/>
      <c r="H2085" s="2069"/>
      <c r="I2085"/>
      <c r="J2085"/>
      <c r="K2085"/>
    </row>
    <row r="2086" spans="2:11" x14ac:dyDescent="0.2">
      <c r="B2086" s="2069"/>
      <c r="C2086" s="2069"/>
      <c r="D2086" s="2069"/>
      <c r="E2086" s="2069"/>
      <c r="F2086" s="2069"/>
      <c r="G2086" s="2069"/>
      <c r="H2086" s="2069"/>
      <c r="I2086"/>
      <c r="J2086"/>
      <c r="K2086"/>
    </row>
    <row r="2087" spans="2:11" x14ac:dyDescent="0.2">
      <c r="B2087" s="2069"/>
      <c r="C2087" s="2069"/>
      <c r="D2087" s="2069"/>
      <c r="E2087" s="2069"/>
      <c r="F2087" s="2069"/>
      <c r="G2087" s="2069"/>
      <c r="H2087" s="2069"/>
      <c r="I2087"/>
      <c r="J2087"/>
      <c r="K2087"/>
    </row>
    <row r="2088" spans="2:11" x14ac:dyDescent="0.2">
      <c r="B2088" s="2069"/>
      <c r="C2088" s="2069"/>
      <c r="D2088" s="2069"/>
      <c r="E2088" s="2069"/>
      <c r="F2088" s="2069"/>
      <c r="G2088" s="2069"/>
      <c r="H2088" s="2069"/>
      <c r="I2088"/>
      <c r="J2088"/>
      <c r="K2088"/>
    </row>
    <row r="2089" spans="2:11" x14ac:dyDescent="0.2">
      <c r="B2089" s="2069"/>
      <c r="C2089" s="2069"/>
      <c r="D2089" s="2069"/>
      <c r="E2089" s="2069"/>
      <c r="F2089" s="2069"/>
      <c r="G2089" s="2069"/>
      <c r="H2089" s="2069"/>
      <c r="I2089"/>
      <c r="J2089"/>
      <c r="K2089"/>
    </row>
    <row r="2090" spans="2:11" x14ac:dyDescent="0.2">
      <c r="B2090" s="2069"/>
      <c r="C2090" s="2069"/>
      <c r="D2090" s="2069"/>
      <c r="E2090" s="2069"/>
      <c r="F2090" s="2069"/>
      <c r="G2090" s="2069"/>
      <c r="H2090" s="2069"/>
      <c r="I2090"/>
      <c r="J2090"/>
      <c r="K2090"/>
    </row>
    <row r="2091" spans="2:11" x14ac:dyDescent="0.2">
      <c r="B2091" s="2069"/>
      <c r="C2091" s="2069"/>
      <c r="D2091" s="2069"/>
      <c r="E2091" s="2069"/>
      <c r="F2091" s="2069"/>
      <c r="G2091" s="2069"/>
      <c r="H2091" s="2069"/>
      <c r="I2091"/>
      <c r="J2091"/>
      <c r="K2091"/>
    </row>
    <row r="2092" spans="2:11" x14ac:dyDescent="0.2">
      <c r="B2092" s="2069"/>
      <c r="C2092" s="2069"/>
      <c r="D2092" s="2069"/>
      <c r="E2092" s="2069"/>
      <c r="F2092" s="2069"/>
      <c r="G2092" s="2069"/>
      <c r="H2092" s="2069"/>
      <c r="I2092"/>
      <c r="J2092"/>
      <c r="K2092"/>
    </row>
    <row r="2093" spans="2:11" x14ac:dyDescent="0.2">
      <c r="B2093" s="2069"/>
      <c r="C2093" s="2069"/>
      <c r="D2093" s="2069"/>
      <c r="E2093" s="2069"/>
      <c r="F2093" s="2069"/>
      <c r="G2093" s="2069"/>
      <c r="H2093" s="2069"/>
      <c r="I2093"/>
      <c r="J2093"/>
      <c r="K2093"/>
    </row>
    <row r="2094" spans="2:11" x14ac:dyDescent="0.2">
      <c r="B2094" s="2069"/>
      <c r="C2094" s="2069"/>
      <c r="D2094" s="2069"/>
      <c r="E2094" s="2069"/>
      <c r="F2094" s="2069"/>
      <c r="G2094" s="2069"/>
      <c r="H2094" s="2069"/>
      <c r="I2094"/>
      <c r="J2094"/>
      <c r="K2094"/>
    </row>
    <row r="2095" spans="2:11" x14ac:dyDescent="0.2">
      <c r="B2095" s="2069"/>
      <c r="C2095" s="2069"/>
      <c r="D2095" s="2069"/>
      <c r="E2095" s="2069"/>
      <c r="F2095" s="2069"/>
      <c r="G2095" s="2069"/>
      <c r="H2095" s="2069"/>
      <c r="I2095"/>
      <c r="J2095"/>
      <c r="K2095"/>
    </row>
    <row r="2096" spans="2:11" x14ac:dyDescent="0.2">
      <c r="B2096" s="2069"/>
      <c r="C2096" s="2069"/>
      <c r="D2096" s="2069"/>
      <c r="E2096" s="2069"/>
      <c r="F2096" s="2069"/>
      <c r="G2096" s="2069"/>
      <c r="H2096" s="2069"/>
      <c r="I2096"/>
      <c r="J2096"/>
      <c r="K2096"/>
    </row>
    <row r="2097" spans="2:11" x14ac:dyDescent="0.2">
      <c r="B2097" s="2069"/>
      <c r="C2097" s="2069"/>
      <c r="D2097" s="2069"/>
      <c r="E2097" s="2069"/>
      <c r="F2097" s="2069"/>
      <c r="G2097" s="2069"/>
      <c r="H2097" s="2069"/>
      <c r="I2097"/>
      <c r="J2097"/>
      <c r="K2097"/>
    </row>
    <row r="2098" spans="2:11" x14ac:dyDescent="0.2">
      <c r="B2098" s="2069"/>
      <c r="C2098" s="2069"/>
      <c r="D2098" s="2069"/>
      <c r="E2098" s="2069"/>
      <c r="F2098" s="2069"/>
      <c r="G2098" s="2069"/>
      <c r="H2098" s="2069"/>
      <c r="I2098"/>
      <c r="J2098"/>
      <c r="K2098"/>
    </row>
    <row r="2099" spans="2:11" x14ac:dyDescent="0.2">
      <c r="B2099" s="2069"/>
      <c r="C2099" s="2069"/>
      <c r="D2099" s="2069"/>
      <c r="E2099" s="2069"/>
      <c r="F2099" s="2069"/>
      <c r="G2099" s="2069"/>
      <c r="H2099" s="2069"/>
      <c r="I2099"/>
      <c r="J2099"/>
      <c r="K2099"/>
    </row>
    <row r="2100" spans="2:11" x14ac:dyDescent="0.2">
      <c r="B2100" s="2069"/>
      <c r="C2100" s="2069"/>
      <c r="D2100" s="2069"/>
      <c r="E2100" s="2069"/>
      <c r="F2100" s="2069"/>
      <c r="G2100" s="2069"/>
      <c r="H2100" s="2069"/>
      <c r="I2100"/>
      <c r="J2100"/>
      <c r="K2100"/>
    </row>
    <row r="2101" spans="2:11" x14ac:dyDescent="0.2">
      <c r="B2101" s="2069"/>
      <c r="C2101" s="2069"/>
      <c r="D2101" s="2069"/>
      <c r="E2101" s="2069"/>
      <c r="F2101" s="2069"/>
      <c r="G2101" s="2069"/>
      <c r="H2101" s="2069"/>
      <c r="I2101"/>
      <c r="J2101"/>
      <c r="K2101"/>
    </row>
    <row r="2102" spans="2:11" x14ac:dyDescent="0.2">
      <c r="B2102" s="2069"/>
      <c r="C2102" s="2069"/>
      <c r="D2102" s="2069"/>
      <c r="E2102" s="2069"/>
      <c r="F2102" s="2069"/>
      <c r="G2102" s="2069"/>
      <c r="H2102" s="2069"/>
      <c r="I2102"/>
      <c r="J2102"/>
      <c r="K2102"/>
    </row>
    <row r="2103" spans="2:11" x14ac:dyDescent="0.2">
      <c r="B2103" s="2069"/>
      <c r="C2103" s="2069"/>
      <c r="D2103" s="2069"/>
      <c r="E2103" s="2069"/>
      <c r="F2103" s="2069"/>
      <c r="G2103" s="2069"/>
      <c r="H2103" s="2069"/>
      <c r="I2103"/>
      <c r="J2103"/>
      <c r="K2103"/>
    </row>
  </sheetData>
  <sheetProtection selectLockedCells="1"/>
  <protectedRanges>
    <protectedRange sqref="K1:M1048576" name="Range1"/>
  </protectedRanges>
  <pageMargins left="0.7" right="0.7" top="0.75" bottom="0.75" header="0.3" footer="0.3"/>
  <pageSetup paperSize="9" scale="93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/>
  </sheetViews>
  <sheetFormatPr defaultColWidth="8.85546875" defaultRowHeight="11.25" x14ac:dyDescent="0.2"/>
  <cols>
    <col min="1" max="1" width="33.140625" style="108" customWidth="1"/>
    <col min="2" max="2" width="13.140625" style="108" customWidth="1"/>
    <col min="3" max="3" width="0.7109375" style="108" customWidth="1"/>
    <col min="4" max="4" width="16.140625" style="108" customWidth="1"/>
    <col min="5" max="5" width="4.42578125" style="108" customWidth="1"/>
    <col min="6" max="6" width="33.140625" style="108" customWidth="1"/>
    <col min="7" max="7" width="12.28515625" style="108" customWidth="1"/>
    <col min="8" max="8" width="13.42578125" style="108" customWidth="1"/>
    <col min="9" max="16384" width="8.85546875" style="108"/>
  </cols>
  <sheetData>
    <row r="1" spans="1:10" ht="12" x14ac:dyDescent="0.2">
      <c r="B1" s="486" t="s">
        <v>79</v>
      </c>
      <c r="C1" s="487"/>
      <c r="D1" s="487"/>
      <c r="E1" s="487"/>
      <c r="F1" s="487"/>
      <c r="G1" s="487"/>
      <c r="H1" s="507"/>
      <c r="I1" s="494"/>
      <c r="J1" s="493"/>
    </row>
    <row r="2" spans="1:10" ht="12" x14ac:dyDescent="0.2">
      <c r="B2" s="490" t="s">
        <v>402</v>
      </c>
      <c r="C2" s="491"/>
      <c r="D2" s="492"/>
      <c r="E2" s="492"/>
      <c r="F2" s="492"/>
      <c r="G2" s="492"/>
      <c r="H2" s="508"/>
      <c r="I2" s="494"/>
      <c r="J2" s="493"/>
    </row>
    <row r="3" spans="1:10" ht="12.75" thickBot="1" x14ac:dyDescent="0.25">
      <c r="B3" s="495" t="s">
        <v>99</v>
      </c>
      <c r="C3" s="496"/>
      <c r="D3" s="497"/>
      <c r="E3" s="497"/>
      <c r="F3" s="497"/>
      <c r="G3" s="497"/>
      <c r="H3" s="509"/>
      <c r="I3" s="494"/>
      <c r="J3" s="493"/>
    </row>
    <row r="4" spans="1:10" ht="12.75" x14ac:dyDescent="0.2">
      <c r="A4" s="128" t="s">
        <v>346</v>
      </c>
      <c r="B4" s="129"/>
      <c r="C4" s="129"/>
      <c r="D4" s="129"/>
      <c r="E4" s="130"/>
      <c r="F4" s="129"/>
      <c r="G4" s="129"/>
      <c r="H4" s="129"/>
      <c r="I4" s="129"/>
    </row>
    <row r="5" spans="1:10" ht="12.75" x14ac:dyDescent="0.2">
      <c r="A5" s="131" t="s">
        <v>347</v>
      </c>
      <c r="B5" s="129"/>
      <c r="C5" s="129"/>
      <c r="D5" s="129"/>
      <c r="E5" s="130"/>
      <c r="F5" s="131" t="s">
        <v>209</v>
      </c>
      <c r="G5" s="129"/>
      <c r="H5" s="129"/>
      <c r="I5" s="129"/>
    </row>
    <row r="6" spans="1:10" ht="13.5" thickBot="1" x14ac:dyDescent="0.25">
      <c r="A6" s="129"/>
      <c r="B6" s="129"/>
      <c r="C6" s="129"/>
      <c r="D6" s="129"/>
      <c r="E6" s="130"/>
      <c r="F6" s="129"/>
      <c r="G6" s="129"/>
      <c r="H6" s="129"/>
      <c r="I6" s="129"/>
    </row>
    <row r="7" spans="1:10" x14ac:dyDescent="0.2">
      <c r="A7" s="165" t="s">
        <v>53</v>
      </c>
      <c r="B7" s="132" t="s">
        <v>427</v>
      </c>
      <c r="C7" s="132"/>
      <c r="D7" s="133" t="s">
        <v>428</v>
      </c>
      <c r="F7" s="134" t="s">
        <v>217</v>
      </c>
      <c r="G7" s="135"/>
      <c r="H7" s="135"/>
      <c r="I7" s="136"/>
    </row>
    <row r="8" spans="1:10" x14ac:dyDescent="0.2">
      <c r="A8" s="166" t="s">
        <v>502</v>
      </c>
      <c r="B8" s="137" t="s">
        <v>198</v>
      </c>
      <c r="C8" s="137"/>
      <c r="D8" s="138" t="s">
        <v>814</v>
      </c>
      <c r="F8" s="103"/>
      <c r="I8" s="127"/>
    </row>
    <row r="9" spans="1:10" x14ac:dyDescent="0.2">
      <c r="A9" s="167" t="s">
        <v>304</v>
      </c>
      <c r="B9" s="139" t="s">
        <v>382</v>
      </c>
      <c r="C9" s="139"/>
      <c r="D9" s="140" t="s">
        <v>383</v>
      </c>
      <c r="F9" s="103" t="s">
        <v>7</v>
      </c>
      <c r="I9" s="127"/>
    </row>
    <row r="10" spans="1:10" x14ac:dyDescent="0.2">
      <c r="A10" s="141" t="s">
        <v>243</v>
      </c>
      <c r="B10" s="142"/>
      <c r="C10" s="143"/>
      <c r="D10" s="144"/>
      <c r="F10" s="103" t="s">
        <v>280</v>
      </c>
      <c r="I10" s="127"/>
    </row>
    <row r="11" spans="1:10" x14ac:dyDescent="0.2">
      <c r="A11" s="141"/>
      <c r="B11" s="142" t="s">
        <v>164</v>
      </c>
      <c r="C11" s="143"/>
      <c r="D11" s="144"/>
      <c r="F11" s="103" t="s">
        <v>244</v>
      </c>
      <c r="G11" s="145"/>
      <c r="I11" s="127"/>
    </row>
    <row r="12" spans="1:10" x14ac:dyDescent="0.2">
      <c r="A12" s="141" t="s">
        <v>245</v>
      </c>
      <c r="B12" s="146"/>
      <c r="C12" s="143"/>
      <c r="D12" s="147">
        <f>I29</f>
        <v>27550</v>
      </c>
      <c r="F12" s="103" t="s">
        <v>246</v>
      </c>
      <c r="G12" s="145">
        <v>27550</v>
      </c>
      <c r="I12" s="127"/>
    </row>
    <row r="13" spans="1:10" x14ac:dyDescent="0.2">
      <c r="A13" s="141" t="s">
        <v>379</v>
      </c>
      <c r="B13" s="146"/>
      <c r="C13" s="143"/>
      <c r="D13" s="147"/>
      <c r="F13" s="103" t="s">
        <v>507</v>
      </c>
      <c r="G13" s="145" t="s">
        <v>164</v>
      </c>
      <c r="I13" s="127"/>
    </row>
    <row r="14" spans="1:10" x14ac:dyDescent="0.2">
      <c r="A14" s="141" t="s">
        <v>635</v>
      </c>
      <c r="B14" s="146"/>
      <c r="C14" s="143"/>
      <c r="D14" s="147"/>
      <c r="F14" s="103" t="s">
        <v>636</v>
      </c>
      <c r="G14" s="145" t="s">
        <v>164</v>
      </c>
      <c r="I14" s="127"/>
    </row>
    <row r="15" spans="1:10" x14ac:dyDescent="0.2">
      <c r="A15" s="141" t="s">
        <v>641</v>
      </c>
      <c r="B15" s="146"/>
      <c r="C15" s="143"/>
      <c r="D15" s="147"/>
      <c r="F15" s="103" t="s">
        <v>828</v>
      </c>
      <c r="G15" s="145"/>
      <c r="I15" s="127"/>
    </row>
    <row r="16" spans="1:10" ht="12" thickBot="1" x14ac:dyDescent="0.25">
      <c r="A16" s="141" t="s">
        <v>35</v>
      </c>
      <c r="B16" s="148">
        <f>SUM(B12:B15)</f>
        <v>0</v>
      </c>
      <c r="C16" s="143"/>
      <c r="D16" s="149">
        <f>SUM(D12:D15)</f>
        <v>27550</v>
      </c>
      <c r="F16" s="103" t="s">
        <v>36</v>
      </c>
      <c r="G16" s="145"/>
      <c r="H16" s="123">
        <f>SUM(G11:G16)</f>
        <v>27550</v>
      </c>
      <c r="I16" s="127"/>
    </row>
    <row r="17" spans="1:9" ht="13.5" thickTop="1" x14ac:dyDescent="0.2">
      <c r="A17" s="141"/>
      <c r="B17" s="142"/>
      <c r="C17" s="143"/>
      <c r="D17" s="151"/>
      <c r="F17" s="152" t="s">
        <v>37</v>
      </c>
      <c r="G17" s="145">
        <v>0</v>
      </c>
      <c r="H17" s="129"/>
      <c r="I17" s="127"/>
    </row>
    <row r="18" spans="1:9" x14ac:dyDescent="0.2">
      <c r="A18" s="141" t="s">
        <v>706</v>
      </c>
      <c r="B18" s="146">
        <v>37000</v>
      </c>
      <c r="C18" s="143"/>
      <c r="D18" s="449">
        <v>0</v>
      </c>
      <c r="F18" s="103" t="s">
        <v>642</v>
      </c>
      <c r="G18" s="123"/>
      <c r="H18" s="145">
        <f>SUM(G11:G17)</f>
        <v>27550</v>
      </c>
      <c r="I18" s="127"/>
    </row>
    <row r="19" spans="1:9" x14ac:dyDescent="0.2">
      <c r="A19" s="141" t="s">
        <v>774</v>
      </c>
      <c r="B19" s="146"/>
      <c r="C19" s="143"/>
      <c r="D19" s="147"/>
      <c r="F19" s="103" t="s">
        <v>775</v>
      </c>
      <c r="G19" s="123"/>
      <c r="H19" s="108" t="s">
        <v>776</v>
      </c>
      <c r="I19" s="127"/>
    </row>
    <row r="20" spans="1:9" x14ac:dyDescent="0.2">
      <c r="A20" s="141" t="s">
        <v>519</v>
      </c>
      <c r="B20" s="146"/>
      <c r="C20" s="143"/>
      <c r="D20" s="147"/>
      <c r="F20" s="103" t="s">
        <v>646</v>
      </c>
      <c r="G20" s="123"/>
      <c r="H20" s="108" t="s">
        <v>645</v>
      </c>
      <c r="I20" s="127"/>
    </row>
    <row r="21" spans="1:9" ht="12" thickBot="1" x14ac:dyDescent="0.25">
      <c r="A21" s="141" t="s">
        <v>526</v>
      </c>
      <c r="B21" s="153">
        <f>SUM(B16,B18:B20)</f>
        <v>37000</v>
      </c>
      <c r="C21" s="143"/>
      <c r="D21" s="526">
        <f>SUM(D16,D18:D20)</f>
        <v>27550</v>
      </c>
      <c r="F21" s="103" t="s">
        <v>527</v>
      </c>
      <c r="G21" s="123"/>
      <c r="I21" s="127"/>
    </row>
    <row r="22" spans="1:9" ht="12.75" thickTop="1" thickBot="1" x14ac:dyDescent="0.25">
      <c r="A22" s="117"/>
      <c r="B22" s="154"/>
      <c r="C22" s="155"/>
      <c r="D22" s="168"/>
      <c r="F22" s="103" t="s">
        <v>648</v>
      </c>
      <c r="G22" s="145"/>
      <c r="I22" s="127"/>
    </row>
    <row r="23" spans="1:9" x14ac:dyDescent="0.2">
      <c r="F23" s="103" t="s">
        <v>652</v>
      </c>
      <c r="G23" s="145"/>
      <c r="I23" s="127"/>
    </row>
    <row r="24" spans="1:9" x14ac:dyDescent="0.2">
      <c r="A24" s="157" t="s">
        <v>836</v>
      </c>
      <c r="B24" s="157"/>
      <c r="C24" s="157"/>
      <c r="D24" s="157"/>
      <c r="F24" s="103" t="s">
        <v>522</v>
      </c>
      <c r="G24" s="145"/>
      <c r="I24" s="127"/>
    </row>
    <row r="25" spans="1:9" ht="12.75" x14ac:dyDescent="0.2">
      <c r="A25" s="129"/>
      <c r="F25" s="103" t="s">
        <v>656</v>
      </c>
      <c r="G25" s="145"/>
      <c r="I25" s="127"/>
    </row>
    <row r="26" spans="1:9" x14ac:dyDescent="0.2">
      <c r="A26" s="108" t="s">
        <v>668</v>
      </c>
      <c r="F26" s="103" t="s">
        <v>412</v>
      </c>
      <c r="G26" s="145"/>
      <c r="I26" s="127"/>
    </row>
    <row r="27" spans="1:9" x14ac:dyDescent="0.2">
      <c r="A27" s="108" t="s">
        <v>413</v>
      </c>
      <c r="F27" s="103" t="s">
        <v>538</v>
      </c>
      <c r="G27" s="145"/>
      <c r="I27" s="127"/>
    </row>
    <row r="28" spans="1:9" x14ac:dyDescent="0.2">
      <c r="F28" s="103" t="s">
        <v>539</v>
      </c>
      <c r="H28" s="145">
        <f>SUM(G22:G27)</f>
        <v>0</v>
      </c>
      <c r="I28" s="127"/>
    </row>
    <row r="29" spans="1:9" x14ac:dyDescent="0.2">
      <c r="F29" s="103"/>
      <c r="I29" s="150">
        <f>SUM(H16,H28)</f>
        <v>27550</v>
      </c>
    </row>
    <row r="30" spans="1:9" ht="12" thickBot="1" x14ac:dyDescent="0.25">
      <c r="F30" s="158" t="s">
        <v>547</v>
      </c>
      <c r="H30" s="452">
        <f>SUM(H28 +H18)</f>
        <v>27550</v>
      </c>
      <c r="I30" s="127"/>
    </row>
    <row r="31" spans="1:9" ht="12" thickTop="1" x14ac:dyDescent="0.2">
      <c r="F31" s="160"/>
      <c r="G31" s="161"/>
      <c r="H31" s="161"/>
      <c r="I31" s="162"/>
    </row>
    <row r="32" spans="1:9" x14ac:dyDescent="0.2">
      <c r="F32" s="103" t="s">
        <v>417</v>
      </c>
      <c r="I32" s="127"/>
    </row>
    <row r="33" spans="6:9" x14ac:dyDescent="0.2">
      <c r="F33" s="103"/>
      <c r="I33" s="127"/>
    </row>
    <row r="34" spans="6:9" x14ac:dyDescent="0.2">
      <c r="F34" s="103" t="s">
        <v>411</v>
      </c>
      <c r="G34" s="145">
        <f>SUM(D21)</f>
        <v>27550</v>
      </c>
      <c r="H34" s="108" t="s">
        <v>523</v>
      </c>
      <c r="I34" s="127"/>
    </row>
    <row r="35" spans="6:9" x14ac:dyDescent="0.2">
      <c r="F35" s="103" t="s">
        <v>524</v>
      </c>
      <c r="G35" s="145">
        <f>SUM(H30)</f>
        <v>27550</v>
      </c>
      <c r="H35" s="108" t="s">
        <v>397</v>
      </c>
      <c r="I35" s="127"/>
    </row>
    <row r="36" spans="6:9" x14ac:dyDescent="0.2">
      <c r="F36" s="103" t="s">
        <v>398</v>
      </c>
      <c r="G36" s="161">
        <v>0</v>
      </c>
      <c r="H36" s="108" t="s">
        <v>650</v>
      </c>
      <c r="I36" s="127"/>
    </row>
    <row r="37" spans="6:9" x14ac:dyDescent="0.2">
      <c r="F37" s="103"/>
      <c r="H37" s="108" t="s">
        <v>651</v>
      </c>
      <c r="I37" s="127"/>
    </row>
    <row r="38" spans="6:9" x14ac:dyDescent="0.2">
      <c r="F38" s="103" t="s">
        <v>276</v>
      </c>
      <c r="G38" s="161"/>
      <c r="I38" s="127"/>
    </row>
    <row r="39" spans="6:9" x14ac:dyDescent="0.2">
      <c r="F39" s="160"/>
      <c r="G39" s="161"/>
      <c r="H39" s="161"/>
      <c r="I39" s="162"/>
    </row>
    <row r="40" spans="6:9" x14ac:dyDescent="0.2">
      <c r="F40" s="103" t="s">
        <v>530</v>
      </c>
      <c r="I40" s="127"/>
    </row>
    <row r="41" spans="6:9" x14ac:dyDescent="0.2">
      <c r="F41" s="103" t="s">
        <v>409</v>
      </c>
      <c r="I41" s="127"/>
    </row>
    <row r="42" spans="6:9" x14ac:dyDescent="0.2">
      <c r="F42" s="103"/>
      <c r="I42" s="127"/>
    </row>
    <row r="43" spans="6:9" x14ac:dyDescent="0.2">
      <c r="F43" s="103" t="s">
        <v>146</v>
      </c>
      <c r="G43" s="145">
        <f>SUM(H30-H28)</f>
        <v>27550</v>
      </c>
      <c r="H43" s="108" t="s">
        <v>45</v>
      </c>
      <c r="I43" s="127"/>
    </row>
    <row r="44" spans="6:9" x14ac:dyDescent="0.2">
      <c r="F44" s="103" t="s">
        <v>145</v>
      </c>
      <c r="G44" s="161"/>
      <c r="I44" s="127"/>
    </row>
    <row r="45" spans="6:9" x14ac:dyDescent="0.2">
      <c r="F45" s="103" t="s">
        <v>184</v>
      </c>
      <c r="G45" s="161"/>
      <c r="I45" s="127"/>
    </row>
    <row r="46" spans="6:9" x14ac:dyDescent="0.2">
      <c r="F46" s="103" t="s">
        <v>185</v>
      </c>
      <c r="G46" s="161"/>
      <c r="I46" s="127"/>
    </row>
    <row r="47" spans="6:9" x14ac:dyDescent="0.2">
      <c r="F47" s="103"/>
      <c r="I47" s="127"/>
    </row>
    <row r="48" spans="6:9" x14ac:dyDescent="0.2">
      <c r="F48" s="103" t="s">
        <v>132</v>
      </c>
      <c r="I48" s="127"/>
    </row>
    <row r="49" spans="6:9" ht="12" thickBot="1" x14ac:dyDescent="0.25">
      <c r="F49" s="117" t="s">
        <v>130</v>
      </c>
      <c r="G49" s="163">
        <f>SUM(G43:G46)</f>
        <v>27550</v>
      </c>
      <c r="H49" s="155" t="s">
        <v>165</v>
      </c>
      <c r="I49" s="164"/>
    </row>
  </sheetData>
  <phoneticPr fontId="39" type="noConversion"/>
  <printOptions gridLines="1"/>
  <pageMargins left="0.25" right="0.25" top="0.65" bottom="0" header="0.19" footer="0"/>
  <pageSetup scale="77" orientation="portrait" horizontalDpi="300" verticalDpi="300" r:id="rId1"/>
  <headerFooter alignWithMargins="0">
    <oddHeader>&amp;L&amp;D
&amp;A&amp;CTOWN OF TOPSFIELD FINANCE COMMITTEE
BUDGET WORKSHEETS TAX RECAP SUMMARY
&amp;R&amp;"Arial,Bold"&amp;12VERSION 3.0
FY2019</oddHead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5"/>
  <sheetViews>
    <sheetView workbookViewId="0"/>
  </sheetViews>
  <sheetFormatPr defaultColWidth="8.85546875" defaultRowHeight="12.75" x14ac:dyDescent="0.2"/>
  <cols>
    <col min="1" max="1" width="38.7109375" style="129" customWidth="1"/>
    <col min="2" max="2" width="12" style="129" customWidth="1"/>
    <col min="3" max="3" width="11.28515625" style="129" customWidth="1"/>
    <col min="4" max="5" width="8.28515625" style="129" customWidth="1"/>
    <col min="6" max="6" width="8.7109375" style="129" customWidth="1"/>
    <col min="7" max="16384" width="8.85546875" style="129"/>
  </cols>
  <sheetData>
    <row r="1" spans="1:6" x14ac:dyDescent="0.2">
      <c r="A1" s="180" t="s">
        <v>710</v>
      </c>
      <c r="B1" s="132" t="s">
        <v>698</v>
      </c>
      <c r="C1" s="132" t="s">
        <v>699</v>
      </c>
      <c r="D1" s="132" t="s">
        <v>700</v>
      </c>
      <c r="E1" s="132" t="s">
        <v>701</v>
      </c>
      <c r="F1" s="169" t="s">
        <v>702</v>
      </c>
    </row>
    <row r="2" spans="1:6" x14ac:dyDescent="0.2">
      <c r="A2" s="181" t="s">
        <v>169</v>
      </c>
      <c r="B2" s="137" t="s">
        <v>170</v>
      </c>
      <c r="C2" s="137" t="s">
        <v>308</v>
      </c>
      <c r="D2" s="137" t="s">
        <v>309</v>
      </c>
      <c r="E2" s="137" t="s">
        <v>503</v>
      </c>
      <c r="F2" s="170" t="s">
        <v>444</v>
      </c>
    </row>
    <row r="3" spans="1:6" x14ac:dyDescent="0.2">
      <c r="A3" s="182"/>
      <c r="B3" s="137"/>
      <c r="C3" s="137" t="s">
        <v>435</v>
      </c>
      <c r="D3" s="137" t="s">
        <v>436</v>
      </c>
      <c r="E3" s="137" t="s">
        <v>437</v>
      </c>
      <c r="F3" s="170" t="s">
        <v>560</v>
      </c>
    </row>
    <row r="4" spans="1:6" ht="13.5" thickBot="1" x14ac:dyDescent="0.25">
      <c r="A4" s="183"/>
      <c r="B4" s="171"/>
      <c r="C4" s="171" t="s">
        <v>561</v>
      </c>
      <c r="D4" s="171" t="s">
        <v>439</v>
      </c>
      <c r="E4" s="171" t="s">
        <v>436</v>
      </c>
      <c r="F4" s="172" t="s">
        <v>168</v>
      </c>
    </row>
    <row r="5" spans="1:6" x14ac:dyDescent="0.2">
      <c r="A5" s="173" t="s">
        <v>199</v>
      </c>
      <c r="B5" s="174"/>
      <c r="C5" s="174"/>
      <c r="D5" s="174"/>
      <c r="E5" s="174"/>
      <c r="F5" s="175">
        <f>SUM('PROJECTED SCH. B'!H17)</f>
        <v>0</v>
      </c>
    </row>
    <row r="6" spans="1:6" x14ac:dyDescent="0.2">
      <c r="A6" s="173" t="s">
        <v>200</v>
      </c>
      <c r="B6" s="375"/>
      <c r="C6" s="174"/>
      <c r="D6" s="174"/>
      <c r="E6" s="174"/>
      <c r="F6" s="175">
        <f>SUM('PROJECTED SCH. B'!H18)</f>
        <v>0</v>
      </c>
    </row>
    <row r="7" spans="1:6" x14ac:dyDescent="0.2">
      <c r="A7" s="376" t="s">
        <v>477</v>
      </c>
      <c r="B7" s="174"/>
      <c r="C7" s="374"/>
      <c r="D7" s="176"/>
      <c r="E7" s="176"/>
      <c r="F7" s="177" t="e">
        <f>SUM('PROJECTED SCH. B'!#REF!)</f>
        <v>#REF!</v>
      </c>
    </row>
    <row r="8" spans="1:6" x14ac:dyDescent="0.2">
      <c r="A8" s="160" t="s">
        <v>164</v>
      </c>
      <c r="B8" s="176"/>
      <c r="C8" s="176"/>
      <c r="D8" s="176"/>
      <c r="E8" s="176"/>
      <c r="F8" s="177" t="s">
        <v>164</v>
      </c>
    </row>
    <row r="9" spans="1:6" x14ac:dyDescent="0.2">
      <c r="A9" s="160"/>
      <c r="B9" s="176"/>
      <c r="C9" s="176"/>
      <c r="D9" s="176"/>
      <c r="E9" s="176"/>
      <c r="F9" s="177"/>
    </row>
    <row r="10" spans="1:6" x14ac:dyDescent="0.2">
      <c r="A10" s="160"/>
      <c r="B10" s="176"/>
      <c r="C10" s="176"/>
      <c r="D10" s="176"/>
      <c r="E10" s="176"/>
      <c r="F10" s="177"/>
    </row>
    <row r="11" spans="1:6" ht="13.5" thickBot="1" x14ac:dyDescent="0.25">
      <c r="A11" s="117" t="s">
        <v>714</v>
      </c>
      <c r="B11" s="178"/>
      <c r="C11" s="178"/>
      <c r="D11" s="178"/>
      <c r="E11" s="178"/>
      <c r="F11" s="179" t="e">
        <f>SUM(F5:F10)</f>
        <v>#REF!</v>
      </c>
    </row>
    <row r="12" spans="1:6" x14ac:dyDescent="0.2">
      <c r="A12" s="108"/>
      <c r="B12" s="108"/>
      <c r="C12" s="108"/>
      <c r="D12" s="108"/>
      <c r="E12" s="108"/>
      <c r="F12" s="108"/>
    </row>
    <row r="13" spans="1:6" x14ac:dyDescent="0.2">
      <c r="A13" s="157" t="s">
        <v>583</v>
      </c>
      <c r="B13" s="157"/>
      <c r="C13" s="108"/>
      <c r="D13" s="108"/>
      <c r="E13" s="108"/>
      <c r="F13" s="108"/>
    </row>
    <row r="14" spans="1:6" x14ac:dyDescent="0.2">
      <c r="A14" s="108"/>
      <c r="B14" s="108"/>
      <c r="C14" s="108"/>
      <c r="D14" s="108"/>
      <c r="E14" s="108"/>
      <c r="F14" s="108"/>
    </row>
    <row r="15" spans="1:6" x14ac:dyDescent="0.2">
      <c r="A15" s="108" t="s">
        <v>573</v>
      </c>
      <c r="B15" s="108"/>
      <c r="C15" s="108"/>
      <c r="D15" s="108"/>
      <c r="E15" s="108"/>
      <c r="F15" s="108"/>
    </row>
  </sheetData>
  <phoneticPr fontId="39" type="noConversion"/>
  <printOptions gridLines="1"/>
  <pageMargins left="0.25" right="0.25" top="0.65" bottom="0" header="0.19" footer="0"/>
  <pageSetup orientation="portrait" horizontalDpi="300" verticalDpi="300" r:id="rId1"/>
  <headerFooter alignWithMargins="0">
    <oddHeader>&amp;L2/15/12 9:01 PM_x000D_K. Dow File&amp;CTOWN OF TOPSFIELD FINANCE COMMITTEE_x000D_BUDGET WORKSHEETS TAX RECAP SUMMARY_x000D_&amp;R&amp;P_x000D_&amp;"Arial,Bold"&amp;12VERSION 2.0</oddHead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9"/>
  <sheetViews>
    <sheetView workbookViewId="0"/>
  </sheetViews>
  <sheetFormatPr defaultColWidth="8.85546875" defaultRowHeight="11.25" x14ac:dyDescent="0.2"/>
  <cols>
    <col min="1" max="3" width="8.85546875" style="108"/>
    <col min="4" max="4" width="10.85546875" style="108" customWidth="1"/>
    <col min="5" max="5" width="12.28515625" style="108" customWidth="1"/>
    <col min="6" max="6" width="1.7109375" style="108" customWidth="1"/>
    <col min="7" max="7" width="40.140625" style="108" customWidth="1"/>
    <col min="8" max="16384" width="8.85546875" style="108"/>
  </cols>
  <sheetData>
    <row r="1" spans="1:7" s="186" customFormat="1" ht="10.5" x14ac:dyDescent="0.15">
      <c r="A1" s="180" t="s">
        <v>863</v>
      </c>
      <c r="B1" s="198"/>
      <c r="C1" s="198"/>
      <c r="D1" s="199"/>
      <c r="E1" s="184"/>
      <c r="F1" s="184"/>
      <c r="G1" s="185"/>
    </row>
    <row r="2" spans="1:7" s="186" customFormat="1" ht="10.5" x14ac:dyDescent="0.15">
      <c r="A2" s="181" t="s">
        <v>711</v>
      </c>
      <c r="B2" s="200"/>
      <c r="C2" s="200"/>
      <c r="D2" s="201"/>
      <c r="E2" s="187"/>
      <c r="F2" s="187"/>
      <c r="G2" s="188"/>
    </row>
    <row r="3" spans="1:7" s="186" customFormat="1" thickBot="1" x14ac:dyDescent="0.2">
      <c r="A3" s="202" t="s">
        <v>453</v>
      </c>
      <c r="B3" s="203"/>
      <c r="C3" s="203"/>
      <c r="D3" s="204"/>
      <c r="E3" s="189" t="s">
        <v>717</v>
      </c>
      <c r="F3" s="190"/>
      <c r="G3" s="191" t="s">
        <v>357</v>
      </c>
    </row>
    <row r="4" spans="1:7" x14ac:dyDescent="0.2">
      <c r="A4" s="103"/>
      <c r="D4" s="192"/>
      <c r="E4" s="192"/>
      <c r="F4" s="192"/>
      <c r="G4" s="127"/>
    </row>
    <row r="5" spans="1:7" x14ac:dyDescent="0.2">
      <c r="A5" s="193" t="s">
        <v>718</v>
      </c>
      <c r="D5" s="192"/>
      <c r="E5" s="194"/>
      <c r="F5" s="192"/>
      <c r="G5" s="127"/>
    </row>
    <row r="6" spans="1:7" x14ac:dyDescent="0.2">
      <c r="A6" s="103" t="s">
        <v>457</v>
      </c>
      <c r="D6" s="192"/>
      <c r="E6" s="195">
        <v>1300000</v>
      </c>
      <c r="F6" s="192"/>
      <c r="G6" s="127" t="s">
        <v>563</v>
      </c>
    </row>
    <row r="7" spans="1:7" x14ac:dyDescent="0.2">
      <c r="A7" s="103" t="s">
        <v>719</v>
      </c>
      <c r="D7" s="192"/>
      <c r="E7" s="194"/>
      <c r="F7" s="192"/>
      <c r="G7" s="127"/>
    </row>
    <row r="8" spans="1:7" x14ac:dyDescent="0.2">
      <c r="A8" s="103" t="s">
        <v>581</v>
      </c>
      <c r="D8" s="192"/>
      <c r="E8" s="195"/>
      <c r="F8" s="192"/>
      <c r="G8" s="127"/>
    </row>
    <row r="9" spans="1:7" x14ac:dyDescent="0.2">
      <c r="A9" s="103"/>
      <c r="D9" s="192"/>
      <c r="E9" s="194"/>
      <c r="F9" s="192"/>
      <c r="G9" s="127"/>
    </row>
    <row r="10" spans="1:7" x14ac:dyDescent="0.2">
      <c r="A10" s="193" t="s">
        <v>582</v>
      </c>
      <c r="D10" s="192"/>
      <c r="E10" s="195">
        <f>SUM(E6:E8)</f>
        <v>1300000</v>
      </c>
      <c r="F10" s="192"/>
      <c r="G10" s="127"/>
    </row>
    <row r="11" spans="1:7" x14ac:dyDescent="0.2">
      <c r="A11" s="103"/>
      <c r="D11" s="192"/>
      <c r="E11" s="194"/>
      <c r="F11" s="192"/>
      <c r="G11" s="127"/>
    </row>
    <row r="12" spans="1:7" x14ac:dyDescent="0.2">
      <c r="A12" s="103" t="s">
        <v>735</v>
      </c>
      <c r="D12" s="192"/>
      <c r="E12" s="194"/>
      <c r="F12" s="192"/>
      <c r="G12" s="127"/>
    </row>
    <row r="13" spans="1:7" x14ac:dyDescent="0.2">
      <c r="A13" s="103" t="s">
        <v>720</v>
      </c>
      <c r="D13" s="192"/>
      <c r="E13" s="194"/>
      <c r="F13" s="192"/>
      <c r="G13" s="127"/>
    </row>
    <row r="14" spans="1:7" x14ac:dyDescent="0.2">
      <c r="A14" s="103"/>
      <c r="D14" s="192"/>
      <c r="E14" s="194"/>
      <c r="F14" s="192"/>
      <c r="G14" s="127"/>
    </row>
    <row r="15" spans="1:7" x14ac:dyDescent="0.2">
      <c r="A15" s="103" t="s">
        <v>865</v>
      </c>
      <c r="D15" s="192"/>
      <c r="E15" s="195">
        <v>0</v>
      </c>
      <c r="F15" s="192"/>
      <c r="G15" s="127" t="s">
        <v>864</v>
      </c>
    </row>
    <row r="16" spans="1:7" x14ac:dyDescent="0.2">
      <c r="A16" s="103" t="s">
        <v>866</v>
      </c>
      <c r="C16" s="108" t="s">
        <v>164</v>
      </c>
      <c r="D16" s="192"/>
      <c r="E16" s="194"/>
      <c r="F16" s="192"/>
      <c r="G16" s="127"/>
    </row>
    <row r="17" spans="1:7" x14ac:dyDescent="0.2">
      <c r="A17" s="103" t="s">
        <v>455</v>
      </c>
      <c r="D17" s="192"/>
      <c r="E17" s="195">
        <f>SUM('RECAP SUMMARY'!I45)</f>
        <v>380778</v>
      </c>
      <c r="F17" s="192"/>
      <c r="G17" s="127" t="s">
        <v>577</v>
      </c>
    </row>
    <row r="18" spans="1:7" x14ac:dyDescent="0.2">
      <c r="A18" s="103" t="s">
        <v>578</v>
      </c>
      <c r="D18" s="192"/>
      <c r="E18" s="195">
        <f>SUM('RECAP SUMMARY'!I47)</f>
        <v>408469</v>
      </c>
      <c r="F18" s="192"/>
      <c r="G18" s="127" t="s">
        <v>738</v>
      </c>
    </row>
    <row r="19" spans="1:7" x14ac:dyDescent="0.2">
      <c r="A19" s="103"/>
      <c r="D19" s="192"/>
      <c r="E19" s="194"/>
      <c r="F19" s="192"/>
      <c r="G19" s="127"/>
    </row>
    <row r="20" spans="1:7" x14ac:dyDescent="0.2">
      <c r="A20" s="193" t="s">
        <v>591</v>
      </c>
      <c r="D20" s="192"/>
      <c r="E20" s="195">
        <f>SUM(E10-E15-E17-E18)</f>
        <v>510753</v>
      </c>
      <c r="F20" s="192"/>
      <c r="G20" s="127" t="s">
        <v>592</v>
      </c>
    </row>
    <row r="21" spans="1:7" x14ac:dyDescent="0.2">
      <c r="A21" s="103"/>
      <c r="D21" s="192"/>
      <c r="E21" s="194"/>
      <c r="F21" s="192"/>
      <c r="G21" s="127"/>
    </row>
    <row r="22" spans="1:7" x14ac:dyDescent="0.2">
      <c r="A22" s="193" t="s">
        <v>593</v>
      </c>
      <c r="D22" s="192"/>
      <c r="E22" s="194"/>
      <c r="F22" s="192"/>
      <c r="G22" s="127"/>
    </row>
    <row r="23" spans="1:7" x14ac:dyDescent="0.2">
      <c r="A23" s="103"/>
      <c r="D23" s="192"/>
      <c r="E23" s="194"/>
      <c r="F23" s="192"/>
      <c r="G23" s="127"/>
    </row>
    <row r="24" spans="1:7" x14ac:dyDescent="0.2">
      <c r="A24" s="103" t="s">
        <v>478</v>
      </c>
      <c r="D24" s="192"/>
      <c r="E24" s="195">
        <v>0</v>
      </c>
      <c r="F24" s="192"/>
      <c r="G24" s="127"/>
    </row>
    <row r="25" spans="1:7" x14ac:dyDescent="0.2">
      <c r="A25" s="103" t="s">
        <v>719</v>
      </c>
      <c r="D25" s="192"/>
      <c r="E25" s="194"/>
      <c r="F25" s="192"/>
      <c r="G25" s="127"/>
    </row>
    <row r="26" spans="1:7" x14ac:dyDescent="0.2">
      <c r="A26" s="103" t="s">
        <v>581</v>
      </c>
      <c r="D26" s="192"/>
      <c r="E26" s="195">
        <v>0</v>
      </c>
      <c r="F26" s="192"/>
      <c r="G26" s="127"/>
    </row>
    <row r="27" spans="1:7" x14ac:dyDescent="0.2">
      <c r="A27" s="103"/>
      <c r="D27" s="192"/>
      <c r="E27" s="194"/>
      <c r="F27" s="192"/>
      <c r="G27" s="127"/>
    </row>
    <row r="28" spans="1:7" x14ac:dyDescent="0.2">
      <c r="A28" s="193" t="s">
        <v>327</v>
      </c>
      <c r="D28" s="192"/>
      <c r="E28" s="195">
        <f>SUM(E24+E26)</f>
        <v>0</v>
      </c>
      <c r="F28" s="192"/>
      <c r="G28" s="127"/>
    </row>
    <row r="29" spans="1:7" x14ac:dyDescent="0.2">
      <c r="A29" s="103"/>
      <c r="D29" s="192"/>
      <c r="E29" s="194"/>
      <c r="F29" s="192"/>
      <c r="G29" s="127"/>
    </row>
    <row r="30" spans="1:7" x14ac:dyDescent="0.2">
      <c r="A30" s="103" t="s">
        <v>466</v>
      </c>
      <c r="D30" s="192"/>
      <c r="E30" s="194"/>
      <c r="F30" s="192"/>
      <c r="G30" s="127"/>
    </row>
    <row r="31" spans="1:7" x14ac:dyDescent="0.2">
      <c r="A31" s="103" t="s">
        <v>604</v>
      </c>
      <c r="D31" s="192"/>
      <c r="E31" s="194"/>
      <c r="F31" s="192"/>
      <c r="G31" s="127"/>
    </row>
    <row r="32" spans="1:7" x14ac:dyDescent="0.2">
      <c r="A32" s="103"/>
      <c r="D32" s="192"/>
      <c r="E32" s="194"/>
      <c r="F32" s="192"/>
      <c r="G32" s="127"/>
    </row>
    <row r="33" spans="1:7" x14ac:dyDescent="0.2">
      <c r="A33" s="103" t="s">
        <v>349</v>
      </c>
      <c r="D33" s="192"/>
      <c r="E33" s="195" t="s">
        <v>160</v>
      </c>
      <c r="F33" s="192"/>
      <c r="G33" s="127"/>
    </row>
    <row r="34" spans="1:7" x14ac:dyDescent="0.2">
      <c r="A34" s="103"/>
      <c r="D34" s="192"/>
      <c r="E34" s="195"/>
      <c r="F34" s="192"/>
      <c r="G34" s="127"/>
    </row>
    <row r="35" spans="1:7" x14ac:dyDescent="0.2">
      <c r="A35" s="193" t="s">
        <v>591</v>
      </c>
      <c r="D35" s="192"/>
      <c r="E35" s="195" t="s">
        <v>160</v>
      </c>
      <c r="F35" s="192"/>
      <c r="G35" s="127"/>
    </row>
    <row r="36" spans="1:7" ht="12" thickBot="1" x14ac:dyDescent="0.25">
      <c r="A36" s="117"/>
      <c r="B36" s="155"/>
      <c r="C36" s="155"/>
      <c r="D36" s="155"/>
      <c r="E36" s="196"/>
      <c r="F36" s="155"/>
      <c r="G36" s="164"/>
    </row>
    <row r="37" spans="1:7" x14ac:dyDescent="0.2">
      <c r="E37" s="197"/>
    </row>
    <row r="38" spans="1:7" x14ac:dyDescent="0.2">
      <c r="E38" s="197"/>
    </row>
    <row r="39" spans="1:7" x14ac:dyDescent="0.2">
      <c r="E39" s="197"/>
    </row>
  </sheetData>
  <phoneticPr fontId="39" type="noConversion"/>
  <printOptions gridLines="1"/>
  <pageMargins left="0.25" right="0.25" top="0.65" bottom="0" header="0.19" footer="0"/>
  <pageSetup orientation="portrait" horizontalDpi="300" verticalDpi="300" r:id="rId1"/>
  <headerFooter alignWithMargins="0">
    <oddHeader>&amp;L2/15/12 9:01 PM_x000D_K. Dow File&amp;CTOWN OF TOPSFIELD FINANCE COMMITTEE_x000D_BUDGET WORKSHEETS TAX RECAP SUMMARY_x000D_&amp;R&amp;P_x000D_&amp;"Arial,Bold"&amp;12VERSION 2.0</oddHead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CW1006"/>
  <sheetViews>
    <sheetView topLeftCell="R1" workbookViewId="0">
      <selection activeCell="R622" sqref="R622"/>
    </sheetView>
  </sheetViews>
  <sheetFormatPr defaultColWidth="9.140625" defaultRowHeight="12.75" outlineLevelCol="1" x14ac:dyDescent="0.2"/>
  <cols>
    <col min="1" max="1" width="5.7109375" style="2395" customWidth="1"/>
    <col min="2" max="2" width="1.7109375" style="2440" customWidth="1"/>
    <col min="3" max="4" width="6.28515625" style="2396" customWidth="1"/>
    <col min="5" max="5" width="6.5703125" style="2397" customWidth="1"/>
    <col min="6" max="6" width="1.7109375" style="2440" customWidth="1"/>
    <col min="7" max="7" width="34.7109375" style="2440" customWidth="1"/>
    <col min="8" max="10" width="14.7109375" style="2466" hidden="1" customWidth="1" outlineLevel="1"/>
    <col min="11" max="11" width="8.7109375" style="2468" hidden="1" customWidth="1" outlineLevel="1"/>
    <col min="12" max="12" width="1.7109375" style="2440" hidden="1" customWidth="1" outlineLevel="1"/>
    <col min="13" max="14" width="14.7109375" style="2466" hidden="1" customWidth="1" outlineLevel="1"/>
    <col min="15" max="15" width="1.7109375" style="2440" hidden="1" customWidth="1" outlineLevel="1"/>
    <col min="16" max="16" width="44.42578125" style="2493" hidden="1" customWidth="1" outlineLevel="1"/>
    <col min="17" max="17" width="1.7109375" style="2440" hidden="1" customWidth="1" outlineLevel="1"/>
    <col min="18" max="18" width="14.7109375" style="2466" customWidth="1" collapsed="1"/>
    <col min="19" max="19" width="14.7109375" style="2466" customWidth="1"/>
    <col min="20" max="20" width="1.7109375" style="2440" customWidth="1"/>
    <col min="21" max="23" width="14.7109375" style="2466" hidden="1" customWidth="1" outlineLevel="1"/>
    <col min="24" max="24" width="8.7109375" style="2468" hidden="1" customWidth="1" outlineLevel="1"/>
    <col min="25" max="25" width="1.7109375" style="2440" hidden="1" customWidth="1" outlineLevel="1"/>
    <col min="26" max="27" width="14.7109375" style="2466" hidden="1" customWidth="1" outlineLevel="1"/>
    <col min="28" max="28" width="1.7109375" style="2440" hidden="1" customWidth="1" outlineLevel="1"/>
    <col min="29" max="29" width="44.42578125" style="2493" hidden="1" customWidth="1" outlineLevel="1"/>
    <col min="30" max="30" width="1.7109375" style="2440" hidden="1" customWidth="1" outlineLevel="1"/>
    <col min="31" max="31" width="14.7109375" style="2466" customWidth="1" collapsed="1"/>
    <col min="32" max="32" width="14.7109375" style="2471" customWidth="1"/>
    <col min="33" max="33" width="1.7109375" style="2440" customWidth="1"/>
    <col min="34" max="36" width="14.7109375" style="2466" hidden="1" customWidth="1" outlineLevel="1"/>
    <col min="37" max="37" width="8.7109375" style="2468" hidden="1" customWidth="1" outlineLevel="1"/>
    <col min="38" max="38" width="1.7109375" style="2440" hidden="1" customWidth="1" outlineLevel="1"/>
    <col min="39" max="40" width="14.7109375" style="2466" hidden="1" customWidth="1" outlineLevel="1"/>
    <col min="41" max="41" width="1.7109375" style="2440" hidden="1" customWidth="1" outlineLevel="1"/>
    <col min="42" max="42" width="44.42578125" style="2493" hidden="1" customWidth="1" outlineLevel="1"/>
    <col min="43" max="43" width="1.7109375" style="2440" hidden="1" customWidth="1" outlineLevel="1"/>
    <col min="44" max="44" width="14" style="2466" customWidth="1" collapsed="1"/>
    <col min="45" max="45" width="14.7109375" style="2471" customWidth="1"/>
    <col min="46" max="46" width="4.140625" style="2471" customWidth="1"/>
    <col min="47" max="47" width="14.42578125" style="2466" customWidth="1"/>
    <col min="48" max="48" width="13.5703125" style="2466" customWidth="1"/>
    <col min="49" max="49" width="4" style="2440" customWidth="1"/>
    <col min="50" max="50" width="14.7109375" style="2466" hidden="1" customWidth="1" outlineLevel="1"/>
    <col min="51" max="51" width="14.42578125" style="2466" hidden="1" customWidth="1" outlineLevel="1"/>
    <col min="52" max="52" width="14.7109375" style="2466" hidden="1" customWidth="1" outlineLevel="1"/>
    <col min="53" max="53" width="7.85546875" style="2468" hidden="1" customWidth="1" outlineLevel="1"/>
    <col min="54" max="54" width="1.7109375" style="2440" hidden="1" customWidth="1" outlineLevel="1"/>
    <col min="55" max="55" width="14.140625" style="2466" hidden="1" customWidth="1" outlineLevel="1"/>
    <col min="56" max="56" width="13.5703125" style="2466" hidden="1" customWidth="1" outlineLevel="1"/>
    <col min="57" max="57" width="1.7109375" style="2440" hidden="1" customWidth="1" outlineLevel="1"/>
    <col min="58" max="58" width="44" style="2493" hidden="1" customWidth="1" outlineLevel="1"/>
    <col min="59" max="59" width="1.7109375" style="2440" hidden="1" customWidth="1" outlineLevel="1"/>
    <col min="60" max="60" width="14.42578125" style="2466" customWidth="1" collapsed="1"/>
    <col min="61" max="61" width="14.42578125" style="2466" customWidth="1"/>
    <col min="62" max="62" width="4.42578125" style="2466" customWidth="1"/>
    <col min="63" max="63" width="5" style="2466" customWidth="1"/>
    <col min="64" max="64" width="5" style="2440" customWidth="1"/>
    <col min="65" max="66" width="21.140625" style="2466" hidden="1" customWidth="1" outlineLevel="1"/>
    <col min="67" max="67" width="21.140625" style="2472" hidden="1" customWidth="1" outlineLevel="1"/>
    <col min="68" max="68" width="21.140625" style="2473" hidden="1" customWidth="1" outlineLevel="1"/>
    <col min="69" max="69" width="21.140625" style="2447" hidden="1" customWidth="1" outlineLevel="1"/>
    <col min="70" max="71" width="21.140625" style="2472" hidden="1" customWidth="1" outlineLevel="1"/>
    <col min="72" max="72" width="21.140625" style="2447" hidden="1" customWidth="1" outlineLevel="1"/>
    <col min="73" max="73" width="21.140625" style="2494" hidden="1" customWidth="1" outlineLevel="1"/>
    <col min="74" max="74" width="21.140625" style="2447" hidden="1" customWidth="1" outlineLevel="1"/>
    <col min="75" max="75" width="21.140625" style="2472" customWidth="1" collapsed="1"/>
    <col min="76" max="76" width="21.140625" style="2466" customWidth="1"/>
    <col min="77" max="77" width="6.85546875" style="2440" customWidth="1"/>
    <col min="78" max="79" width="21.140625" style="2466" hidden="1" customWidth="1" outlineLevel="1"/>
    <col min="80" max="80" width="21.140625" style="2472" hidden="1" customWidth="1" outlineLevel="1"/>
    <col min="81" max="81" width="21.140625" style="2473" hidden="1" customWidth="1" outlineLevel="1"/>
    <col min="82" max="82" width="21.140625" style="2447" hidden="1" customWidth="1" outlineLevel="1"/>
    <col min="83" max="83" width="21.140625" style="2472" hidden="1" customWidth="1" outlineLevel="1"/>
    <col min="84" max="84" width="7.85546875" style="2473" customWidth="1" collapsed="1"/>
    <col min="85" max="85" width="18.42578125" style="2472" customWidth="1"/>
    <col min="86" max="86" width="14.140625" style="2449" customWidth="1"/>
    <col min="87" max="87" width="10.42578125" style="2721" customWidth="1"/>
    <col min="88" max="88" width="7.85546875" style="2722" customWidth="1"/>
    <col min="89" max="89" width="9.140625" style="2722" customWidth="1"/>
    <col min="90" max="92" width="9.85546875" style="2451" customWidth="1"/>
    <col min="93" max="93" width="7.85546875" style="2477" customWidth="1"/>
    <col min="94" max="98" width="12" style="2510" customWidth="1"/>
    <col min="99" max="99" width="10" style="2440" bestFit="1" customWidth="1"/>
    <col min="100" max="100" width="9.140625" style="2440"/>
    <col min="101" max="101" width="11" style="2440" bestFit="1" customWidth="1"/>
    <col min="102" max="16384" width="9.140625" style="2440"/>
  </cols>
  <sheetData>
    <row r="1" spans="1:98" s="2328" customFormat="1" x14ac:dyDescent="0.2">
      <c r="A1" s="2327"/>
      <c r="C1" s="2329"/>
      <c r="D1" s="2329"/>
      <c r="E1" s="2330"/>
      <c r="H1" s="2331" t="s">
        <v>1188</v>
      </c>
      <c r="I1" s="2331" t="s">
        <v>1188</v>
      </c>
      <c r="J1" s="2331" t="s">
        <v>1188</v>
      </c>
      <c r="K1" s="2332" t="s">
        <v>1188</v>
      </c>
      <c r="M1" s="2331" t="s">
        <v>1188</v>
      </c>
      <c r="N1" s="2331" t="s">
        <v>1188</v>
      </c>
      <c r="P1" s="2331" t="s">
        <v>1188</v>
      </c>
      <c r="Q1" s="2333"/>
      <c r="R1" s="2331" t="s">
        <v>1188</v>
      </c>
      <c r="S1" s="2331" t="s">
        <v>1188</v>
      </c>
      <c r="U1" s="2334" t="s">
        <v>935</v>
      </c>
      <c r="V1" s="2334" t="s">
        <v>935</v>
      </c>
      <c r="W1" s="2334" t="s">
        <v>935</v>
      </c>
      <c r="X1" s="2334" t="s">
        <v>935</v>
      </c>
      <c r="Y1" s="2335"/>
      <c r="Z1" s="2334" t="s">
        <v>935</v>
      </c>
      <c r="AA1" s="2334" t="s">
        <v>935</v>
      </c>
      <c r="AB1" s="2335"/>
      <c r="AC1" s="2334" t="s">
        <v>935</v>
      </c>
      <c r="AD1" s="2336"/>
      <c r="AE1" s="2334" t="s">
        <v>935</v>
      </c>
      <c r="AF1" s="2337" t="s">
        <v>935</v>
      </c>
      <c r="AH1" s="2338" t="s">
        <v>1158</v>
      </c>
      <c r="AI1" s="2339" t="s">
        <v>1158</v>
      </c>
      <c r="AJ1" s="2338" t="s">
        <v>1158</v>
      </c>
      <c r="AK1" s="2338" t="s">
        <v>1158</v>
      </c>
      <c r="AL1" s="2340"/>
      <c r="AM1" s="2338" t="s">
        <v>1158</v>
      </c>
      <c r="AN1" s="2338" t="s">
        <v>1158</v>
      </c>
      <c r="AO1" s="2340"/>
      <c r="AP1" s="2338" t="s">
        <v>1158</v>
      </c>
      <c r="AQ1" s="2340"/>
      <c r="AR1" s="2338" t="s">
        <v>1158</v>
      </c>
      <c r="AS1" s="2341" t="s">
        <v>1158</v>
      </c>
      <c r="AT1" s="2341"/>
      <c r="AU1" s="2342" t="s">
        <v>1069</v>
      </c>
      <c r="AV1" s="2342" t="s">
        <v>1069</v>
      </c>
      <c r="AW1" s="2327"/>
      <c r="AX1" s="2343" t="s">
        <v>1070</v>
      </c>
      <c r="AY1" s="2339" t="s">
        <v>1070</v>
      </c>
      <c r="AZ1" s="2343" t="s">
        <v>1070</v>
      </c>
      <c r="BA1" s="2343" t="s">
        <v>1070</v>
      </c>
      <c r="BB1" s="2343"/>
      <c r="BC1" s="2343" t="s">
        <v>1070</v>
      </c>
      <c r="BD1" s="2343" t="s">
        <v>1070</v>
      </c>
      <c r="BE1" s="2344"/>
      <c r="BF1" s="2343" t="s">
        <v>1070</v>
      </c>
      <c r="BG1" s="2344"/>
      <c r="BH1" s="2343" t="s">
        <v>1070</v>
      </c>
      <c r="BI1" s="2343" t="s">
        <v>1070</v>
      </c>
      <c r="BJ1" s="2343"/>
      <c r="BK1" s="2343"/>
      <c r="BL1" s="2327"/>
      <c r="BM1" s="2345" t="s">
        <v>1159</v>
      </c>
      <c r="BN1" s="2339" t="s">
        <v>1159</v>
      </c>
      <c r="BO1" s="2345" t="s">
        <v>1159</v>
      </c>
      <c r="BP1" s="2345" t="s">
        <v>1159</v>
      </c>
      <c r="BQ1" s="2346"/>
      <c r="BR1" s="2345" t="s">
        <v>1159</v>
      </c>
      <c r="BS1" s="2345" t="s">
        <v>1159</v>
      </c>
      <c r="BT1" s="2346"/>
      <c r="BU1" s="2347" t="s">
        <v>1159</v>
      </c>
      <c r="BV1" s="2348"/>
      <c r="BW1" s="2345" t="s">
        <v>1159</v>
      </c>
      <c r="BX1" s="2345" t="s">
        <v>1159</v>
      </c>
      <c r="BY1" s="2327"/>
      <c r="BZ1" s="2349" t="s">
        <v>1139</v>
      </c>
      <c r="CA1" s="2339" t="s">
        <v>1139</v>
      </c>
      <c r="CB1" s="2349" t="s">
        <v>1139</v>
      </c>
      <c r="CC1" s="2349" t="s">
        <v>1139</v>
      </c>
      <c r="CD1" s="2349"/>
      <c r="CE1" s="2349" t="s">
        <v>1139</v>
      </c>
      <c r="CF1" s="2349" t="s">
        <v>1139</v>
      </c>
      <c r="CG1" s="2349" t="s">
        <v>1139</v>
      </c>
      <c r="CH1" s="2350"/>
      <c r="CI1" s="2351"/>
      <c r="CJ1" s="2351"/>
      <c r="CK1" s="2351"/>
      <c r="CL1" s="2352"/>
      <c r="CM1" s="2353" t="s">
        <v>1189</v>
      </c>
      <c r="CN1" s="2353" t="s">
        <v>1190</v>
      </c>
      <c r="CO1" s="2354"/>
      <c r="CP1" s="2355"/>
      <c r="CQ1" s="2355"/>
      <c r="CR1" s="2355"/>
      <c r="CS1" s="2355"/>
      <c r="CT1" s="2355"/>
    </row>
    <row r="2" spans="1:98" s="2356" customFormat="1" ht="25.5" x14ac:dyDescent="0.2">
      <c r="C2" s="2357"/>
      <c r="D2" s="2357"/>
      <c r="E2" s="2358"/>
      <c r="H2" s="2359" t="s">
        <v>1191</v>
      </c>
      <c r="I2" s="2359" t="s">
        <v>1192</v>
      </c>
      <c r="J2" s="2359" t="s">
        <v>1193</v>
      </c>
      <c r="K2" s="2360" t="s">
        <v>1194</v>
      </c>
      <c r="L2" s="2361"/>
      <c r="M2" s="2359" t="s">
        <v>1195</v>
      </c>
      <c r="N2" s="2359" t="s">
        <v>557</v>
      </c>
      <c r="O2" s="2361"/>
      <c r="P2" s="2362" t="s">
        <v>1196</v>
      </c>
      <c r="Q2" s="2363"/>
      <c r="R2" s="2364" t="s">
        <v>1197</v>
      </c>
      <c r="S2" s="2364" t="s">
        <v>1198</v>
      </c>
      <c r="U2" s="2365" t="s">
        <v>1191</v>
      </c>
      <c r="V2" s="2365" t="s">
        <v>1192</v>
      </c>
      <c r="W2" s="2365" t="s">
        <v>1193</v>
      </c>
      <c r="X2" s="2366" t="s">
        <v>1194</v>
      </c>
      <c r="Y2" s="2367"/>
      <c r="Z2" s="2365" t="s">
        <v>1195</v>
      </c>
      <c r="AA2" s="2365" t="s">
        <v>557</v>
      </c>
      <c r="AB2" s="2367"/>
      <c r="AC2" s="2368" t="s">
        <v>1196</v>
      </c>
      <c r="AD2" s="2369"/>
      <c r="AE2" s="2364" t="s">
        <v>1197</v>
      </c>
      <c r="AF2" s="2370" t="s">
        <v>1198</v>
      </c>
      <c r="AH2" s="2371" t="s">
        <v>1191</v>
      </c>
      <c r="AI2" s="2372" t="s">
        <v>1192</v>
      </c>
      <c r="AJ2" s="2371" t="s">
        <v>1193</v>
      </c>
      <c r="AK2" s="2373" t="s">
        <v>1194</v>
      </c>
      <c r="AL2" s="2374"/>
      <c r="AM2" s="2371" t="s">
        <v>1195</v>
      </c>
      <c r="AN2" s="2371" t="s">
        <v>557</v>
      </c>
      <c r="AO2" s="2374"/>
      <c r="AP2" s="2371" t="s">
        <v>1196</v>
      </c>
      <c r="AQ2" s="2374"/>
      <c r="AR2" s="2375" t="s">
        <v>1197</v>
      </c>
      <c r="AS2" s="2376" t="s">
        <v>1198</v>
      </c>
      <c r="AT2" s="2376"/>
      <c r="AU2" s="2375" t="s">
        <v>1197</v>
      </c>
      <c r="AV2" s="2375" t="s">
        <v>1198</v>
      </c>
      <c r="AW2" s="2377"/>
      <c r="AX2" s="2378" t="s">
        <v>1191</v>
      </c>
      <c r="AY2" s="2372" t="s">
        <v>1192</v>
      </c>
      <c r="AZ2" s="2378" t="s">
        <v>1193</v>
      </c>
      <c r="BA2" s="2379" t="s">
        <v>1194</v>
      </c>
      <c r="BB2" s="2380"/>
      <c r="BC2" s="2378" t="s">
        <v>1199</v>
      </c>
      <c r="BD2" s="2378" t="s">
        <v>557</v>
      </c>
      <c r="BE2" s="2380"/>
      <c r="BF2" s="2378" t="s">
        <v>1196</v>
      </c>
      <c r="BG2" s="2380"/>
      <c r="BH2" s="2375" t="s">
        <v>1197</v>
      </c>
      <c r="BI2" s="2375" t="s">
        <v>1198</v>
      </c>
      <c r="BJ2" s="2375"/>
      <c r="BK2" s="2375"/>
      <c r="BL2" s="2377"/>
      <c r="BM2" s="2381" t="s">
        <v>1191</v>
      </c>
      <c r="BN2" s="2372" t="s">
        <v>1192</v>
      </c>
      <c r="BO2" s="2381" t="s">
        <v>1193</v>
      </c>
      <c r="BP2" s="2382" t="s">
        <v>1194</v>
      </c>
      <c r="BQ2" s="2383"/>
      <c r="BR2" s="2381" t="s">
        <v>1199</v>
      </c>
      <c r="BS2" s="2381" t="s">
        <v>557</v>
      </c>
      <c r="BT2" s="2383"/>
      <c r="BU2" s="2384" t="s">
        <v>1196</v>
      </c>
      <c r="BV2" s="2385"/>
      <c r="BW2" s="2375" t="s">
        <v>1197</v>
      </c>
      <c r="BX2" s="2375" t="s">
        <v>1200</v>
      </c>
      <c r="BY2" s="2377"/>
      <c r="BZ2" s="2386" t="s">
        <v>1191</v>
      </c>
      <c r="CA2" s="2372" t="s">
        <v>1192</v>
      </c>
      <c r="CB2" s="2386" t="s">
        <v>1193</v>
      </c>
      <c r="CC2" s="2387" t="s">
        <v>1194</v>
      </c>
      <c r="CD2" s="2388"/>
      <c r="CE2" s="2386" t="s">
        <v>1199</v>
      </c>
      <c r="CF2" s="2387" t="s">
        <v>1194</v>
      </c>
      <c r="CG2" s="2386" t="s">
        <v>557</v>
      </c>
      <c r="CH2" s="2389" t="s">
        <v>1201</v>
      </c>
      <c r="CI2" s="2390"/>
      <c r="CJ2" s="2390" t="s">
        <v>1202</v>
      </c>
      <c r="CK2" s="2390" t="s">
        <v>1203</v>
      </c>
      <c r="CL2" s="2391" t="s">
        <v>1204</v>
      </c>
      <c r="CM2" s="2392">
        <v>0.04</v>
      </c>
      <c r="CN2" s="2392"/>
      <c r="CO2" s="2393" t="s">
        <v>1205</v>
      </c>
      <c r="CP2" s="2394" t="s">
        <v>1206</v>
      </c>
      <c r="CQ2" s="2394" t="s">
        <v>1207</v>
      </c>
      <c r="CR2" s="2394" t="s">
        <v>1208</v>
      </c>
      <c r="CS2" s="2394" t="s">
        <v>1209</v>
      </c>
      <c r="CT2" s="2394" t="s">
        <v>1210</v>
      </c>
    </row>
    <row r="3" spans="1:98" s="2395" customFormat="1" x14ac:dyDescent="0.2">
      <c r="C3" s="2396"/>
      <c r="D3" s="2396"/>
      <c r="E3" s="2397"/>
      <c r="H3" s="2398"/>
      <c r="I3" s="2398"/>
      <c r="J3" s="2398"/>
      <c r="K3" s="2399"/>
      <c r="L3" s="2400"/>
      <c r="M3" s="2398"/>
      <c r="N3" s="2398"/>
      <c r="O3" s="2400"/>
      <c r="P3" s="2401"/>
      <c r="Q3" s="2402"/>
      <c r="R3" s="2403"/>
      <c r="S3" s="2403"/>
      <c r="U3" s="2404"/>
      <c r="V3" s="2404"/>
      <c r="W3" s="2404"/>
      <c r="X3" s="2405"/>
      <c r="Y3" s="2406"/>
      <c r="Z3" s="2404"/>
      <c r="AA3" s="2404"/>
      <c r="AB3" s="2406"/>
      <c r="AC3" s="2407"/>
      <c r="AD3" s="2408"/>
      <c r="AE3" s="2403"/>
      <c r="AF3" s="2409"/>
      <c r="AH3" s="2410"/>
      <c r="AI3" s="2411"/>
      <c r="AJ3" s="2410"/>
      <c r="AK3" s="2412"/>
      <c r="AL3" s="2413"/>
      <c r="AM3" s="2410"/>
      <c r="AN3" s="2410"/>
      <c r="AO3" s="2413"/>
      <c r="AP3" s="2410"/>
      <c r="AQ3" s="2413"/>
      <c r="AR3" s="2414"/>
      <c r="AS3" s="2415"/>
      <c r="AT3" s="2415"/>
      <c r="AU3" s="2414"/>
      <c r="AV3" s="2414"/>
      <c r="AW3" s="2416"/>
      <c r="AX3" s="2417"/>
      <c r="AY3" s="2411"/>
      <c r="AZ3" s="2417"/>
      <c r="BA3" s="2418"/>
      <c r="BB3" s="2419"/>
      <c r="BC3" s="2417"/>
      <c r="BD3" s="2417"/>
      <c r="BE3" s="2419"/>
      <c r="BF3" s="2417"/>
      <c r="BG3" s="2419"/>
      <c r="BH3" s="2414"/>
      <c r="BI3" s="2414"/>
      <c r="BJ3" s="2414"/>
      <c r="BK3" s="2414"/>
      <c r="BL3" s="2416"/>
      <c r="BM3" s="2420"/>
      <c r="BN3" s="2411"/>
      <c r="BO3" s="2420"/>
      <c r="BP3" s="2421"/>
      <c r="BQ3" s="2422"/>
      <c r="BR3" s="2420"/>
      <c r="BS3" s="2420"/>
      <c r="BT3" s="2422"/>
      <c r="BU3" s="2423"/>
      <c r="BV3" s="2424"/>
      <c r="BW3" s="2415" t="s">
        <v>1211</v>
      </c>
      <c r="BX3" s="2414"/>
      <c r="BY3" s="2416"/>
      <c r="BZ3" s="2425"/>
      <c r="CA3" s="2411"/>
      <c r="CB3" s="2426"/>
      <c r="CC3" s="2427"/>
      <c r="CD3" s="2428"/>
      <c r="CE3" s="2426"/>
      <c r="CF3" s="2427"/>
      <c r="CG3" s="2426"/>
      <c r="CH3" s="2429"/>
      <c r="CI3" s="2430"/>
      <c r="CJ3" s="2430"/>
      <c r="CK3" s="2430"/>
      <c r="CL3" s="2431"/>
      <c r="CM3" s="2431"/>
      <c r="CN3" s="2431"/>
      <c r="CO3" s="2432"/>
      <c r="CP3" s="2433"/>
      <c r="CQ3" s="2433"/>
      <c r="CR3" s="2433"/>
      <c r="CS3" s="2433"/>
      <c r="CT3" s="2433"/>
    </row>
    <row r="4" spans="1:98" ht="20.100000000000001" hidden="1" customHeight="1" x14ac:dyDescent="0.2">
      <c r="A4" s="2434" t="s">
        <v>441</v>
      </c>
      <c r="B4" s="2435"/>
      <c r="C4" s="2436"/>
      <c r="D4" s="2436"/>
      <c r="E4" s="2437"/>
      <c r="F4" s="2435"/>
      <c r="G4" s="2435"/>
      <c r="H4" s="2438"/>
      <c r="I4" s="2438"/>
      <c r="J4" s="2438"/>
      <c r="K4" s="2439"/>
      <c r="M4" s="2438"/>
      <c r="N4" s="2438"/>
      <c r="P4" s="2441"/>
      <c r="R4" s="2438"/>
      <c r="S4" s="2438"/>
      <c r="U4" s="2438"/>
      <c r="V4" s="2438"/>
      <c r="W4" s="2438"/>
      <c r="X4" s="2439"/>
      <c r="Z4" s="2438"/>
      <c r="AA4" s="2438"/>
      <c r="AC4" s="2441"/>
      <c r="AE4" s="2438"/>
      <c r="AF4" s="2442"/>
      <c r="AH4" s="2438"/>
      <c r="AI4" s="2438"/>
      <c r="AJ4" s="2438"/>
      <c r="AK4" s="2439"/>
      <c r="AM4" s="2438"/>
      <c r="AN4" s="2438"/>
      <c r="AP4" s="2441"/>
      <c r="AR4" s="2438"/>
      <c r="AS4" s="2442"/>
      <c r="AT4" s="2442"/>
      <c r="AU4" s="2438"/>
      <c r="AV4" s="2438"/>
      <c r="AX4" s="2438"/>
      <c r="AY4" s="2438"/>
      <c r="AZ4" s="2438"/>
      <c r="BA4" s="2439"/>
      <c r="BC4" s="2438"/>
      <c r="BD4" s="2438"/>
      <c r="BF4" s="2443"/>
      <c r="BH4" s="2438"/>
      <c r="BI4" s="2438"/>
      <c r="BJ4" s="2438"/>
      <c r="BK4" s="2438"/>
      <c r="BM4" s="2438"/>
      <c r="BN4" s="2444"/>
      <c r="BO4" s="2445"/>
      <c r="BP4" s="2446"/>
      <c r="BR4" s="2445"/>
      <c r="BS4" s="2445"/>
      <c r="BU4" s="2448"/>
      <c r="BW4" s="2445"/>
      <c r="BX4" s="2438"/>
      <c r="BZ4" s="2445"/>
      <c r="CA4" s="2444"/>
      <c r="CB4" s="2445"/>
      <c r="CC4" s="2446"/>
      <c r="CE4" s="2445"/>
      <c r="CF4" s="2446"/>
      <c r="CG4" s="2445"/>
      <c r="CH4" s="2449" t="s">
        <v>1212</v>
      </c>
      <c r="CI4" s="2449"/>
      <c r="CJ4" s="2450"/>
      <c r="CK4" s="2450"/>
      <c r="CO4" s="2452"/>
      <c r="CP4" s="2452"/>
      <c r="CQ4" s="2452"/>
      <c r="CR4" s="2452"/>
      <c r="CS4" s="2452"/>
      <c r="CT4" s="2452"/>
    </row>
    <row r="5" spans="1:98" ht="15.75" hidden="1" x14ac:dyDescent="0.2">
      <c r="A5" s="2453" t="s">
        <v>1213</v>
      </c>
      <c r="B5" s="2454"/>
      <c r="C5" s="2455"/>
      <c r="D5" s="2455"/>
      <c r="E5" s="2456"/>
      <c r="F5" s="2454"/>
      <c r="G5" s="2454"/>
      <c r="H5" s="2457"/>
      <c r="I5" s="2457"/>
      <c r="J5" s="2457"/>
      <c r="K5" s="2458"/>
      <c r="M5" s="2457"/>
      <c r="N5" s="2457"/>
      <c r="P5" s="2459"/>
      <c r="R5" s="2457"/>
      <c r="S5" s="2457"/>
      <c r="U5" s="2457"/>
      <c r="V5" s="2457"/>
      <c r="W5" s="2457"/>
      <c r="X5" s="2458"/>
      <c r="Z5" s="2457"/>
      <c r="AA5" s="2457"/>
      <c r="AC5" s="2459"/>
      <c r="AE5" s="2457"/>
      <c r="AF5" s="2460"/>
      <c r="AH5" s="2457"/>
      <c r="AI5" s="2457"/>
      <c r="AJ5" s="2457"/>
      <c r="AK5" s="2458"/>
      <c r="AM5" s="2457"/>
      <c r="AN5" s="2457"/>
      <c r="AP5" s="2459"/>
      <c r="AR5" s="2457"/>
      <c r="AS5" s="2457"/>
      <c r="AT5" s="2457"/>
      <c r="AU5" s="2457"/>
      <c r="AV5" s="2457"/>
      <c r="AX5" s="2457"/>
      <c r="AY5" s="2457"/>
      <c r="AZ5" s="2457"/>
      <c r="BA5" s="2458"/>
      <c r="BC5" s="2457"/>
      <c r="BD5" s="2457"/>
      <c r="BF5" s="2461"/>
      <c r="BH5" s="2457"/>
      <c r="BI5" s="2457"/>
      <c r="BJ5" s="2457"/>
      <c r="BK5" s="2457"/>
      <c r="BM5" s="2457"/>
      <c r="BN5" s="2462"/>
      <c r="BO5" s="2463"/>
      <c r="BP5" s="2464"/>
      <c r="BR5" s="2463"/>
      <c r="BS5" s="2463"/>
      <c r="BU5" s="2465"/>
      <c r="BW5" s="2463"/>
      <c r="BX5" s="2457"/>
      <c r="BZ5" s="2463"/>
      <c r="CA5" s="2462"/>
      <c r="CB5" s="2463"/>
      <c r="CC5" s="2464"/>
      <c r="CE5" s="2463"/>
      <c r="CF5" s="2464"/>
      <c r="CG5" s="2463"/>
      <c r="CH5" s="2449" t="s">
        <v>1212</v>
      </c>
      <c r="CI5" s="2449"/>
      <c r="CJ5" s="2450"/>
      <c r="CK5" s="2450"/>
      <c r="CO5" s="2452"/>
      <c r="CP5" s="2452"/>
      <c r="CQ5" s="2452"/>
      <c r="CR5" s="2452"/>
      <c r="CS5" s="2452"/>
      <c r="CT5" s="2452"/>
    </row>
    <row r="6" spans="1:98" hidden="1" x14ac:dyDescent="0.2">
      <c r="A6" s="2395">
        <v>114</v>
      </c>
      <c r="B6" s="2440" t="s">
        <v>1214</v>
      </c>
      <c r="C6" s="2396">
        <v>11401</v>
      </c>
      <c r="D6" s="2396">
        <v>51110</v>
      </c>
      <c r="E6" s="2397" t="s">
        <v>1215</v>
      </c>
      <c r="F6" s="2440" t="s">
        <v>1214</v>
      </c>
      <c r="G6" s="2440" t="s">
        <v>1213</v>
      </c>
      <c r="H6" s="2466">
        <v>50</v>
      </c>
      <c r="I6" s="2467"/>
      <c r="J6" s="2466">
        <f>H6+I6</f>
        <v>50</v>
      </c>
      <c r="K6" s="2468">
        <f>IF(H6=0," ",(J6-H6)/H6)</f>
        <v>0</v>
      </c>
      <c r="M6" s="2467">
        <v>50</v>
      </c>
      <c r="N6" s="2467">
        <v>50</v>
      </c>
      <c r="P6" s="2469" t="s">
        <v>1216</v>
      </c>
      <c r="R6" s="2466">
        <v>50</v>
      </c>
      <c r="S6" s="2466">
        <v>0</v>
      </c>
      <c r="U6" s="2466">
        <v>50</v>
      </c>
      <c r="V6" s="2470">
        <v>0</v>
      </c>
      <c r="W6" s="2466">
        <f>U6+V6</f>
        <v>50</v>
      </c>
      <c r="X6" s="2468">
        <f>IF(U6=0," ",(W6-U6)/U6)</f>
        <v>0</v>
      </c>
      <c r="Z6" s="2467">
        <v>50</v>
      </c>
      <c r="AA6" s="2467">
        <v>50</v>
      </c>
      <c r="AC6" s="2469"/>
      <c r="AE6" s="2466">
        <v>50</v>
      </c>
      <c r="AF6" s="2471">
        <v>0</v>
      </c>
      <c r="AH6" s="2466">
        <v>50</v>
      </c>
      <c r="AI6" s="2470"/>
      <c r="AJ6" s="2466">
        <f>AH6+AI6</f>
        <v>50</v>
      </c>
      <c r="AK6" s="2468">
        <f>IF(AH6=0," ",(AJ6-AH6)/AH6)</f>
        <v>0</v>
      </c>
      <c r="AM6" s="2467">
        <v>50</v>
      </c>
      <c r="AN6" s="2467">
        <v>50</v>
      </c>
      <c r="AP6" s="2469"/>
      <c r="AR6" s="2466">
        <v>50</v>
      </c>
      <c r="AS6" s="2466">
        <v>0</v>
      </c>
      <c r="AT6" s="2466"/>
      <c r="AU6" s="2466">
        <v>50</v>
      </c>
      <c r="AV6" s="2466">
        <v>0</v>
      </c>
      <c r="AX6" s="2466">
        <v>50</v>
      </c>
      <c r="AY6" s="2470"/>
      <c r="AZ6" s="2466">
        <f>AX6+AY6</f>
        <v>50</v>
      </c>
      <c r="BA6" s="2468">
        <f>IF(AX6=0," ",(AZ6-AX6)/AX6)</f>
        <v>0</v>
      </c>
      <c r="BC6" s="2467">
        <v>50</v>
      </c>
      <c r="BD6" s="2467">
        <v>50</v>
      </c>
      <c r="BF6" s="2469"/>
      <c r="BH6" s="2467">
        <v>50</v>
      </c>
      <c r="BI6" s="2466">
        <v>0</v>
      </c>
      <c r="BM6" s="2466">
        <v>50</v>
      </c>
      <c r="BN6" s="2470"/>
      <c r="BO6" s="2472">
        <f>BM6+BN6</f>
        <v>50</v>
      </c>
      <c r="BP6" s="2473">
        <f>IF(BM6=0," ",(BO6-BM6)/BM6)</f>
        <v>0</v>
      </c>
      <c r="BR6" s="2474">
        <v>50</v>
      </c>
      <c r="BS6" s="2474">
        <v>50</v>
      </c>
      <c r="BU6" s="2475"/>
      <c r="BW6" s="2474">
        <v>50</v>
      </c>
      <c r="BX6" s="2466">
        <v>0</v>
      </c>
      <c r="BZ6" s="2474">
        <v>50</v>
      </c>
      <c r="CA6" s="2470"/>
      <c r="CB6" s="2472">
        <f>BZ6+CA6</f>
        <v>50</v>
      </c>
      <c r="CC6" s="2473">
        <f>IF(BZ6=0," ",(CB6-BZ6)/BZ6)</f>
        <v>0</v>
      </c>
      <c r="CE6" s="2474">
        <v>50</v>
      </c>
      <c r="CF6" s="2476">
        <f>IF(CB6=0," ",(CE6-CB6)/CB6)</f>
        <v>0</v>
      </c>
      <c r="CG6" s="2474">
        <v>50</v>
      </c>
      <c r="CH6" s="2449" t="s">
        <v>1217</v>
      </c>
      <c r="CI6" s="2449"/>
      <c r="CJ6" s="2450"/>
      <c r="CK6" s="2450"/>
      <c r="CO6" s="2477" t="s">
        <v>1218</v>
      </c>
      <c r="CP6" s="2478">
        <f t="shared" ref="CP6:CP69" si="0">IFERROR(BI6-BH6,"")</f>
        <v>-50</v>
      </c>
      <c r="CQ6" s="2478"/>
      <c r="CR6" s="2478"/>
      <c r="CS6" s="2478"/>
      <c r="CT6" s="2478"/>
    </row>
    <row r="7" spans="1:98" s="2485" customFormat="1" hidden="1" x14ac:dyDescent="0.2">
      <c r="A7" s="2479"/>
      <c r="B7" s="2480"/>
      <c r="C7" s="2481"/>
      <c r="D7" s="2481"/>
      <c r="E7" s="2482"/>
      <c r="F7" s="2480"/>
      <c r="G7" s="2480" t="s">
        <v>1219</v>
      </c>
      <c r="H7" s="2483">
        <f t="shared" ref="H7" si="1">SUM(H6)</f>
        <v>50</v>
      </c>
      <c r="I7" s="2483">
        <f>SUM(I6)</f>
        <v>0</v>
      </c>
      <c r="J7" s="2483">
        <f>SUM(J6)</f>
        <v>50</v>
      </c>
      <c r="K7" s="2484">
        <f>IF(H7=0," ",(J7-H7)/H7)</f>
        <v>0</v>
      </c>
      <c r="M7" s="2483">
        <f>SUM(M6)</f>
        <v>50</v>
      </c>
      <c r="N7" s="2483">
        <f>SUM(N6)</f>
        <v>50</v>
      </c>
      <c r="P7" s="2486">
        <f>SUM(P6)</f>
        <v>0</v>
      </c>
      <c r="R7" s="2483">
        <f>SUM(R6)</f>
        <v>50</v>
      </c>
      <c r="S7" s="2483">
        <f>SUM(S6)</f>
        <v>0</v>
      </c>
      <c r="U7" s="2483">
        <f>SUM(U6)</f>
        <v>50</v>
      </c>
      <c r="V7" s="2483">
        <f>SUM(V6)</f>
        <v>0</v>
      </c>
      <c r="W7" s="2483">
        <f>SUM(W6)</f>
        <v>50</v>
      </c>
      <c r="X7" s="2484">
        <f>IF(U7=0," ",(W7-U7)/U7)</f>
        <v>0</v>
      </c>
      <c r="Z7" s="2483">
        <f>SUM(Z6)</f>
        <v>50</v>
      </c>
      <c r="AA7" s="2483">
        <f>SUM(AA6)</f>
        <v>50</v>
      </c>
      <c r="AC7" s="2486"/>
      <c r="AE7" s="2483">
        <f>SUM(AE6)</f>
        <v>50</v>
      </c>
      <c r="AF7" s="2487">
        <f>SUM(AF6)</f>
        <v>0</v>
      </c>
      <c r="AH7" s="2483">
        <v>50</v>
      </c>
      <c r="AI7" s="2483">
        <f>SUM(AI6)</f>
        <v>0</v>
      </c>
      <c r="AJ7" s="2483">
        <f>SUM(AJ6)</f>
        <v>50</v>
      </c>
      <c r="AK7" s="2484">
        <f>IF(AH7=0," ",(AJ7-AH7)/AH7)</f>
        <v>0</v>
      </c>
      <c r="AM7" s="2483">
        <f>SUM(AM6)</f>
        <v>50</v>
      </c>
      <c r="AN7" s="2483">
        <f>SUM(AN6)</f>
        <v>50</v>
      </c>
      <c r="AP7" s="2486"/>
      <c r="AR7" s="2483">
        <f>SUM(AR6)</f>
        <v>50</v>
      </c>
      <c r="AS7" s="2483">
        <f>SUM(AS6)</f>
        <v>0</v>
      </c>
      <c r="AT7" s="2483"/>
      <c r="AU7" s="2483">
        <f>SUM(AU6)</f>
        <v>50</v>
      </c>
      <c r="AV7" s="2483">
        <f>SUM(AV6)</f>
        <v>0</v>
      </c>
      <c r="AX7" s="2483">
        <f>SUM(AX6)</f>
        <v>50</v>
      </c>
      <c r="AY7" s="2483">
        <f>SUM(AY6)</f>
        <v>0</v>
      </c>
      <c r="AZ7" s="2483">
        <f>SUM(AZ6)</f>
        <v>50</v>
      </c>
      <c r="BA7" s="2484">
        <f>IF(AX7=0," ",(AZ7-AX7)/AX7)</f>
        <v>0</v>
      </c>
      <c r="BC7" s="2483">
        <f>SUM(BC6)</f>
        <v>50</v>
      </c>
      <c r="BD7" s="2483">
        <f>SUM(BD6)</f>
        <v>50</v>
      </c>
      <c r="BF7" s="2486"/>
      <c r="BH7" s="2483">
        <f>SUM(BH6)</f>
        <v>50</v>
      </c>
      <c r="BI7" s="2483">
        <f>SUM(BI6)</f>
        <v>0</v>
      </c>
      <c r="BJ7" s="2483"/>
      <c r="BK7" s="2483"/>
      <c r="BM7" s="2483">
        <f>SUM(BM6)</f>
        <v>50</v>
      </c>
      <c r="BN7" s="2488">
        <f>SUM(BN6)</f>
        <v>0</v>
      </c>
      <c r="BO7" s="2489">
        <f>SUM(BO6)</f>
        <v>50</v>
      </c>
      <c r="BP7" s="2490">
        <f>IF(BM7=0," ",(BO7-BM7)/BM7)</f>
        <v>0</v>
      </c>
      <c r="BQ7" s="2491"/>
      <c r="BR7" s="2489">
        <f>SUM(BR6)</f>
        <v>50</v>
      </c>
      <c r="BS7" s="2489">
        <f>SUM(BS6)</f>
        <v>50</v>
      </c>
      <c r="BT7" s="2491"/>
      <c r="BU7" s="2492"/>
      <c r="BV7" s="2491"/>
      <c r="BW7" s="2489">
        <f>SUM(BW6)</f>
        <v>50</v>
      </c>
      <c r="BX7" s="2483">
        <f>SUM(BX6)</f>
        <v>0</v>
      </c>
      <c r="BZ7" s="2489">
        <f>SUM(BZ6)</f>
        <v>50</v>
      </c>
      <c r="CA7" s="2488">
        <f>SUM(CA6)</f>
        <v>0</v>
      </c>
      <c r="CB7" s="2489">
        <f>SUM(CB6)</f>
        <v>50</v>
      </c>
      <c r="CC7" s="2490">
        <f>IF(BZ7=0," ",(CB7-BZ7)/BZ7)</f>
        <v>0</v>
      </c>
      <c r="CD7" s="2491"/>
      <c r="CE7" s="2489">
        <f>SUM(CE6)</f>
        <v>50</v>
      </c>
      <c r="CF7" s="2490">
        <f>IF(CB7=0," ",(CE7-CB7)/CB7)</f>
        <v>0</v>
      </c>
      <c r="CG7" s="2489">
        <f>SUM(CG6)</f>
        <v>50</v>
      </c>
      <c r="CH7" s="2449" t="s">
        <v>1220</v>
      </c>
      <c r="CI7" s="2449"/>
      <c r="CJ7" s="2450"/>
      <c r="CK7" s="2450"/>
      <c r="CL7" s="2451"/>
      <c r="CM7" s="2451"/>
      <c r="CN7" s="2451"/>
      <c r="CO7" s="2477" t="s">
        <v>1218</v>
      </c>
      <c r="CP7" s="2478">
        <f t="shared" si="0"/>
        <v>-50</v>
      </c>
      <c r="CQ7" s="2478"/>
      <c r="CR7" s="2478"/>
      <c r="CS7" s="2478"/>
      <c r="CT7" s="2478"/>
    </row>
    <row r="8" spans="1:98" hidden="1" x14ac:dyDescent="0.2">
      <c r="AS8" s="2466"/>
      <c r="AT8" s="2466"/>
      <c r="BZ8" s="2472"/>
      <c r="CH8" s="2449" t="s">
        <v>1091</v>
      </c>
      <c r="CI8" s="2449"/>
      <c r="CJ8" s="2450"/>
      <c r="CK8" s="2450"/>
      <c r="CP8" s="2478">
        <f t="shared" si="0"/>
        <v>0</v>
      </c>
      <c r="CQ8" s="2478"/>
      <c r="CR8" s="2478"/>
      <c r="CS8" s="2478"/>
      <c r="CT8" s="2478"/>
    </row>
    <row r="9" spans="1:98" hidden="1" x14ac:dyDescent="0.2">
      <c r="A9" s="2495"/>
      <c r="B9" s="2496"/>
      <c r="C9" s="2497"/>
      <c r="D9" s="2497"/>
      <c r="E9" s="2498"/>
      <c r="F9" s="2496"/>
      <c r="G9" s="2499" t="s">
        <v>1221</v>
      </c>
      <c r="H9" s="2500">
        <f t="shared" ref="H9" si="2">SUM(H7)</f>
        <v>50</v>
      </c>
      <c r="I9" s="2500">
        <f>SUM(I7)</f>
        <v>0</v>
      </c>
      <c r="J9" s="2500">
        <f>SUM(J7)</f>
        <v>50</v>
      </c>
      <c r="K9" s="2501">
        <f>IF(H9=0," ",(J9-H9)/H9)</f>
        <v>0</v>
      </c>
      <c r="M9" s="2500">
        <f>SUM(M7)</f>
        <v>50</v>
      </c>
      <c r="N9" s="2500">
        <f>SUM(N7)</f>
        <v>50</v>
      </c>
      <c r="P9" s="2502">
        <f>SUM(P7)</f>
        <v>0</v>
      </c>
      <c r="R9" s="2500">
        <f>SUM(R7)</f>
        <v>50</v>
      </c>
      <c r="S9" s="2500">
        <f>SUM(S7)</f>
        <v>0</v>
      </c>
      <c r="U9" s="2500">
        <f>SUM(U7)</f>
        <v>50</v>
      </c>
      <c r="V9" s="2500">
        <f>SUM(V7)</f>
        <v>0</v>
      </c>
      <c r="W9" s="2500">
        <f>SUM(W7)</f>
        <v>50</v>
      </c>
      <c r="X9" s="2501">
        <f>IF(U9=0," ",(W9-U9)/U9)</f>
        <v>0</v>
      </c>
      <c r="Z9" s="2500">
        <f>SUM(Z7)</f>
        <v>50</v>
      </c>
      <c r="AA9" s="2500">
        <f>SUM(AA7)</f>
        <v>50</v>
      </c>
      <c r="AC9" s="2502"/>
      <c r="AE9" s="2500">
        <f>SUM(AE7)</f>
        <v>50</v>
      </c>
      <c r="AF9" s="2503">
        <f>SUM(AF7)</f>
        <v>0</v>
      </c>
      <c r="AH9" s="2500">
        <v>50</v>
      </c>
      <c r="AI9" s="2500">
        <f>SUM(AI7)</f>
        <v>0</v>
      </c>
      <c r="AJ9" s="2500">
        <f>SUM(AJ7)</f>
        <v>50</v>
      </c>
      <c r="AK9" s="2501">
        <f>IF(AH9=0," ",(AJ9-AH9)/AH9)</f>
        <v>0</v>
      </c>
      <c r="AM9" s="2500">
        <f>SUM(AM7)</f>
        <v>50</v>
      </c>
      <c r="AN9" s="2500">
        <f>SUM(AN7)</f>
        <v>50</v>
      </c>
      <c r="AP9" s="2502"/>
      <c r="AR9" s="2500">
        <f>SUM(AR7)</f>
        <v>50</v>
      </c>
      <c r="AS9" s="2500">
        <f>SUM(AS7)</f>
        <v>0</v>
      </c>
      <c r="AT9" s="2500"/>
      <c r="AU9" s="2500">
        <f>SUM(AU7)</f>
        <v>50</v>
      </c>
      <c r="AV9" s="2500">
        <f>SUM(AV7)</f>
        <v>0</v>
      </c>
      <c r="AX9" s="2500">
        <f>SUM(AX7)</f>
        <v>50</v>
      </c>
      <c r="AY9" s="2500">
        <f>SUM(AY7)</f>
        <v>0</v>
      </c>
      <c r="AZ9" s="2500">
        <f>SUM(AZ7)</f>
        <v>50</v>
      </c>
      <c r="BA9" s="2501">
        <f>IF(AX9=0," ",(AZ9-AX9)/AX9)</f>
        <v>0</v>
      </c>
      <c r="BC9" s="2500">
        <f>SUM(BC7)</f>
        <v>50</v>
      </c>
      <c r="BD9" s="2500">
        <f>SUM(BD7)</f>
        <v>50</v>
      </c>
      <c r="BF9" s="2502"/>
      <c r="BH9" s="2500">
        <f>SUM(BH7)</f>
        <v>50</v>
      </c>
      <c r="BI9" s="2500">
        <f>SUM(BI7)</f>
        <v>0</v>
      </c>
      <c r="BJ9" s="2500"/>
      <c r="BK9" s="2500"/>
      <c r="BM9" s="2500">
        <f>SUM(BM7)</f>
        <v>50</v>
      </c>
      <c r="BN9" s="2504">
        <f>SUM(BN7)</f>
        <v>0</v>
      </c>
      <c r="BO9" s="2505">
        <f>SUM(BO7)</f>
        <v>50</v>
      </c>
      <c r="BP9" s="2506">
        <f>IF(BM9=0," ",(BO9-BM9)/BM9)</f>
        <v>0</v>
      </c>
      <c r="BR9" s="2505">
        <f>SUM(BR7)</f>
        <v>50</v>
      </c>
      <c r="BS9" s="2505">
        <f>SUM(BS7)</f>
        <v>50</v>
      </c>
      <c r="BU9" s="2507"/>
      <c r="BW9" s="2505">
        <f>SUM(BW7)</f>
        <v>50</v>
      </c>
      <c r="BX9" s="2500">
        <f>SUM(BX7)</f>
        <v>0</v>
      </c>
      <c r="BZ9" s="2505">
        <f>SUM(BZ7)</f>
        <v>50</v>
      </c>
      <c r="CA9" s="2504">
        <f>SUM(CA7)</f>
        <v>0</v>
      </c>
      <c r="CB9" s="2505">
        <f>SUM(CB7)</f>
        <v>50</v>
      </c>
      <c r="CC9" s="2506">
        <f>IF(BZ9=0," ",(CB9-BZ9)/BZ9)</f>
        <v>0</v>
      </c>
      <c r="CE9" s="2505">
        <v>50</v>
      </c>
      <c r="CF9" s="2506">
        <f>IF(CB9=0," ",(CE9-CB9)/CB9)</f>
        <v>0</v>
      </c>
      <c r="CG9" s="2505">
        <f>SUM(CG7)</f>
        <v>50</v>
      </c>
      <c r="CH9" s="2449" t="s">
        <v>1222</v>
      </c>
      <c r="CI9" s="2508" t="str">
        <f>IF(CG9-CE9=0,"",CG9-CE9)</f>
        <v/>
      </c>
      <c r="CJ9" s="2509"/>
      <c r="CK9" s="2509"/>
      <c r="CO9" s="2477" t="s">
        <v>1218</v>
      </c>
      <c r="CP9" s="2510">
        <f t="shared" si="0"/>
        <v>-50</v>
      </c>
      <c r="CQ9" s="2510">
        <f>AV9-AU9</f>
        <v>-50</v>
      </c>
      <c r="CR9" s="2510">
        <f>AS9-AR9</f>
        <v>-50</v>
      </c>
      <c r="CS9" s="2510">
        <f>AF9-AE9</f>
        <v>-50</v>
      </c>
    </row>
    <row r="10" spans="1:98" ht="20.100000000000001" hidden="1" customHeight="1" x14ac:dyDescent="0.2">
      <c r="AS10" s="2466"/>
      <c r="AT10" s="2466"/>
      <c r="BZ10" s="2472"/>
      <c r="CH10" s="2449" t="s">
        <v>1091</v>
      </c>
      <c r="CI10" s="2449"/>
      <c r="CJ10" s="2450"/>
      <c r="CK10" s="2450"/>
      <c r="CP10" s="2478">
        <f t="shared" si="0"/>
        <v>0</v>
      </c>
      <c r="CQ10" s="2478"/>
      <c r="CR10" s="2478"/>
      <c r="CS10" s="2478"/>
      <c r="CT10" s="2478"/>
    </row>
    <row r="11" spans="1:98" ht="15.75" hidden="1" x14ac:dyDescent="0.2">
      <c r="A11" s="2453" t="s">
        <v>1223</v>
      </c>
      <c r="B11" s="2454"/>
      <c r="C11" s="2455"/>
      <c r="D11" s="2455"/>
      <c r="E11" s="2456"/>
      <c r="F11" s="2454"/>
      <c r="G11" s="2454"/>
      <c r="H11" s="2457"/>
      <c r="I11" s="2457"/>
      <c r="J11" s="2457"/>
      <c r="K11" s="2458"/>
      <c r="M11" s="2457"/>
      <c r="N11" s="2457"/>
      <c r="P11" s="2459"/>
      <c r="R11" s="2457"/>
      <c r="S11" s="2457"/>
      <c r="U11" s="2457"/>
      <c r="V11" s="2457"/>
      <c r="W11" s="2457"/>
      <c r="X11" s="2458"/>
      <c r="Z11" s="2457"/>
      <c r="AA11" s="2457"/>
      <c r="AC11" s="2459"/>
      <c r="AE11" s="2457"/>
      <c r="AF11" s="2460"/>
      <c r="AH11" s="2457"/>
      <c r="AI11" s="2457"/>
      <c r="AJ11" s="2457"/>
      <c r="AK11" s="2458"/>
      <c r="AM11" s="2457"/>
      <c r="AN11" s="2457"/>
      <c r="AP11" s="2459"/>
      <c r="AR11" s="2457"/>
      <c r="AS11" s="2457"/>
      <c r="AT11" s="2457"/>
      <c r="AU11" s="2457"/>
      <c r="AV11" s="2457"/>
      <c r="AX11" s="2457"/>
      <c r="AY11" s="2457"/>
      <c r="AZ11" s="2457"/>
      <c r="BA11" s="2458"/>
      <c r="BC11" s="2457"/>
      <c r="BD11" s="2457"/>
      <c r="BF11" s="2461"/>
      <c r="BH11" s="2457"/>
      <c r="BI11" s="2457"/>
      <c r="BJ11" s="2457"/>
      <c r="BK11" s="2457"/>
      <c r="BM11" s="2457"/>
      <c r="BN11" s="2462"/>
      <c r="BO11" s="2463"/>
      <c r="BP11" s="2464"/>
      <c r="BR11" s="2463"/>
      <c r="BS11" s="2463"/>
      <c r="BU11" s="2465"/>
      <c r="BW11" s="2463"/>
      <c r="BX11" s="2457"/>
      <c r="BZ11" s="2463"/>
      <c r="CA11" s="2462"/>
      <c r="CB11" s="2463"/>
      <c r="CC11" s="2464"/>
      <c r="CE11" s="2463"/>
      <c r="CF11" s="2464"/>
      <c r="CG11" s="2463"/>
      <c r="CH11" s="2449" t="s">
        <v>1212</v>
      </c>
      <c r="CI11" s="2449"/>
      <c r="CJ11" s="2450"/>
      <c r="CK11" s="2450"/>
      <c r="CP11" s="2478">
        <f t="shared" si="0"/>
        <v>0</v>
      </c>
      <c r="CQ11" s="2478"/>
      <c r="CR11" s="2478"/>
      <c r="CS11" s="2478"/>
      <c r="CT11" s="2478"/>
    </row>
    <row r="12" spans="1:98" hidden="1" x14ac:dyDescent="0.2">
      <c r="A12" s="2395">
        <v>122</v>
      </c>
      <c r="B12" s="2440" t="s">
        <v>1214</v>
      </c>
      <c r="C12" s="2396">
        <v>12201</v>
      </c>
      <c r="D12" s="2396">
        <v>51110</v>
      </c>
      <c r="E12" s="2397" t="s">
        <v>1215</v>
      </c>
      <c r="F12" s="2440" t="s">
        <v>1214</v>
      </c>
      <c r="G12" s="2440" t="s">
        <v>1224</v>
      </c>
      <c r="H12" s="2466">
        <v>5</v>
      </c>
      <c r="I12" s="2467"/>
      <c r="J12" s="2466">
        <f>H12+I12</f>
        <v>5</v>
      </c>
      <c r="K12" s="2468">
        <f>IF(H12=0," ",(J12-H12)/H12)</f>
        <v>0</v>
      </c>
      <c r="M12" s="2467">
        <v>5</v>
      </c>
      <c r="N12" s="2467">
        <v>5</v>
      </c>
      <c r="P12" s="2469"/>
      <c r="R12" s="2466">
        <v>5</v>
      </c>
      <c r="S12" s="2466">
        <v>0</v>
      </c>
      <c r="U12" s="2466">
        <v>5</v>
      </c>
      <c r="V12" s="2470"/>
      <c r="W12" s="2466">
        <f>U12+V12</f>
        <v>5</v>
      </c>
      <c r="X12" s="2468">
        <f>IF(U12=0," ",(W12-U12)/U12)</f>
        <v>0</v>
      </c>
      <c r="Z12" s="2467">
        <v>5</v>
      </c>
      <c r="AA12" s="2467">
        <v>5</v>
      </c>
      <c r="AC12" s="2469"/>
      <c r="AE12" s="2466">
        <v>5</v>
      </c>
      <c r="AF12" s="2471">
        <v>0</v>
      </c>
      <c r="AH12" s="2466">
        <v>5</v>
      </c>
      <c r="AI12" s="2470"/>
      <c r="AJ12" s="2466">
        <f>AH12+AI12</f>
        <v>5</v>
      </c>
      <c r="AK12" s="2468">
        <f>IF(AH12=0," ",(AJ12-AH12)/AH12)</f>
        <v>0</v>
      </c>
      <c r="AM12" s="2467">
        <v>5</v>
      </c>
      <c r="AN12" s="2467">
        <v>5</v>
      </c>
      <c r="AP12" s="2469"/>
      <c r="AR12" s="2466">
        <v>5</v>
      </c>
      <c r="AS12" s="2466">
        <v>0</v>
      </c>
      <c r="AT12" s="2466"/>
      <c r="AU12" s="2466">
        <v>5</v>
      </c>
      <c r="AV12" s="2466">
        <v>0</v>
      </c>
      <c r="AX12" s="2466">
        <v>5</v>
      </c>
      <c r="AY12" s="2470"/>
      <c r="AZ12" s="2466">
        <f>AX12+AY12</f>
        <v>5</v>
      </c>
      <c r="BA12" s="2468">
        <f>IF(AX12=0," ",(AZ12-AX12)/AX12)</f>
        <v>0</v>
      </c>
      <c r="BC12" s="2467">
        <v>5</v>
      </c>
      <c r="BD12" s="2467">
        <v>5</v>
      </c>
      <c r="BF12" s="2469"/>
      <c r="BH12" s="2467">
        <v>5</v>
      </c>
      <c r="BI12" s="2466">
        <v>0</v>
      </c>
      <c r="BM12" s="2466">
        <v>5</v>
      </c>
      <c r="BN12" s="2470">
        <v>0</v>
      </c>
      <c r="BO12" s="2472">
        <f>BM12+BN12</f>
        <v>5</v>
      </c>
      <c r="BP12" s="2473">
        <f>IF(BM12=0," ",(BO12-BM12)/BM12)</f>
        <v>0</v>
      </c>
      <c r="BR12" s="2474">
        <v>5</v>
      </c>
      <c r="BS12" s="2474">
        <v>5</v>
      </c>
      <c r="BU12" s="2475"/>
      <c r="BW12" s="2474">
        <v>5</v>
      </c>
      <c r="BX12" s="2466">
        <v>0</v>
      </c>
      <c r="BZ12" s="2474">
        <v>5</v>
      </c>
      <c r="CA12" s="2470"/>
      <c r="CB12" s="2472">
        <f>BZ12+CA12</f>
        <v>5</v>
      </c>
      <c r="CC12" s="2473">
        <f>IF(BZ12=0," ",(CB12-BZ12)/BZ12)</f>
        <v>0</v>
      </c>
      <c r="CE12" s="2474">
        <v>5</v>
      </c>
      <c r="CF12" s="2476">
        <f>IF(CB12=0," ",(CE12-CB12)/CB12)</f>
        <v>0</v>
      </c>
      <c r="CG12" s="2474">
        <v>5</v>
      </c>
      <c r="CH12" s="2449" t="s">
        <v>1217</v>
      </c>
      <c r="CI12" s="2449"/>
      <c r="CJ12" s="2450"/>
      <c r="CK12" s="2450"/>
      <c r="CO12" s="2477" t="s">
        <v>1218</v>
      </c>
      <c r="CP12" s="2478">
        <f t="shared" si="0"/>
        <v>-5</v>
      </c>
      <c r="CQ12" s="2478"/>
      <c r="CR12" s="2478"/>
      <c r="CS12" s="2478"/>
      <c r="CT12" s="2478"/>
    </row>
    <row r="13" spans="1:98" hidden="1" x14ac:dyDescent="0.2">
      <c r="A13" s="2395">
        <v>122</v>
      </c>
      <c r="B13" s="2440" t="s">
        <v>1214</v>
      </c>
      <c r="C13" s="2396">
        <v>12201</v>
      </c>
      <c r="D13" s="2396">
        <v>51112</v>
      </c>
      <c r="E13" s="2397" t="s">
        <v>59</v>
      </c>
      <c r="F13" s="2440" t="s">
        <v>1214</v>
      </c>
      <c r="G13" s="2440" t="s">
        <v>1225</v>
      </c>
      <c r="H13" s="2466">
        <v>114444</v>
      </c>
      <c r="I13" s="2467">
        <v>13056</v>
      </c>
      <c r="J13" s="2466">
        <f>H13+I13</f>
        <v>127500</v>
      </c>
      <c r="K13" s="2468">
        <f>IF(H13=0," ",(J13-H13)/H13)</f>
        <v>0.1140819964349376</v>
      </c>
      <c r="M13" s="2467">
        <v>127500</v>
      </c>
      <c r="N13" s="2467">
        <v>127500</v>
      </c>
      <c r="P13" s="2469" t="s">
        <v>1226</v>
      </c>
      <c r="R13" s="2466">
        <v>127500</v>
      </c>
      <c r="S13" s="2466">
        <v>127868.15</v>
      </c>
      <c r="U13" s="2466">
        <v>127500</v>
      </c>
      <c r="V13" s="2470">
        <v>2550</v>
      </c>
      <c r="W13" s="2466">
        <f>U13+V13</f>
        <v>130050</v>
      </c>
      <c r="X13" s="2468">
        <f>IF(U13=0," ",(W13-U13)/U13)</f>
        <v>0.02</v>
      </c>
      <c r="Z13" s="2467">
        <v>130050</v>
      </c>
      <c r="AA13" s="2467">
        <v>130050</v>
      </c>
      <c r="AC13" s="2469" t="s">
        <v>1227</v>
      </c>
      <c r="AE13" s="2466">
        <v>130050</v>
      </c>
      <c r="AF13" s="2471">
        <v>130049.91</v>
      </c>
      <c r="AH13" s="2466">
        <v>130050</v>
      </c>
      <c r="AI13" s="2470"/>
      <c r="AJ13" s="2466">
        <f>AH13+AI13</f>
        <v>130050</v>
      </c>
      <c r="AK13" s="2468">
        <f>IF(AH13=0," ",(AJ13-AH13)/AH13)</f>
        <v>0</v>
      </c>
      <c r="AM13" s="2467">
        <v>130050</v>
      </c>
      <c r="AN13" s="2467">
        <v>130050</v>
      </c>
      <c r="AP13" s="2469" t="s">
        <v>1228</v>
      </c>
      <c r="AR13" s="2466">
        <v>130050</v>
      </c>
      <c r="AS13" s="2466">
        <v>121940.95</v>
      </c>
      <c r="AT13" s="2466"/>
      <c r="AU13" s="2466">
        <f>134640-660</f>
        <v>133980</v>
      </c>
      <c r="AV13" s="2466">
        <v>133980</v>
      </c>
      <c r="AX13" s="2466">
        <f>134640-660</f>
        <v>133980</v>
      </c>
      <c r="AY13" s="2470">
        <v>2680</v>
      </c>
      <c r="AZ13" s="2466">
        <f>AX13+AY13</f>
        <v>136660</v>
      </c>
      <c r="BA13" s="2468">
        <f>IF(AX13=0," ",(AZ13-AX13)/AX13)</f>
        <v>2.0002985520226901E-2</v>
      </c>
      <c r="BC13" s="2467">
        <v>136660</v>
      </c>
      <c r="BD13" s="2467">
        <v>136660</v>
      </c>
      <c r="BF13" s="2469" t="s">
        <v>1229</v>
      </c>
      <c r="BH13" s="2467">
        <v>136660</v>
      </c>
      <c r="BI13" s="2466">
        <v>136660</v>
      </c>
      <c r="BM13" s="2466">
        <v>136660</v>
      </c>
      <c r="BN13" s="2470">
        <v>0</v>
      </c>
      <c r="BO13" s="2472">
        <f>BM13+BN13</f>
        <v>136660</v>
      </c>
      <c r="BP13" s="2473">
        <f>IF(BM13=0," ",(BO13-BM13)/BM13)</f>
        <v>0</v>
      </c>
      <c r="BR13" s="2474">
        <v>136660</v>
      </c>
      <c r="BS13" s="2474">
        <v>150000</v>
      </c>
      <c r="BU13" s="2475" t="s">
        <v>1230</v>
      </c>
      <c r="BW13" s="2474">
        <v>150000</v>
      </c>
      <c r="BX13" s="2466">
        <v>72413.399999999994</v>
      </c>
      <c r="BZ13" s="2474">
        <v>150000</v>
      </c>
      <c r="CA13" s="2470">
        <v>3000</v>
      </c>
      <c r="CB13" s="2472">
        <f>BZ13+CA13</f>
        <v>153000</v>
      </c>
      <c r="CC13" s="2473">
        <f>IF(BZ13=0," ",(CB13-BZ13)/BZ13)</f>
        <v>0.02</v>
      </c>
      <c r="CE13" s="2474">
        <v>153000</v>
      </c>
      <c r="CF13" s="2476">
        <f>IF(CB13=0," ",(CE13-CB13)/CB13)</f>
        <v>0</v>
      </c>
      <c r="CG13" s="2474">
        <v>153000</v>
      </c>
      <c r="CH13" s="2449" t="s">
        <v>1217</v>
      </c>
      <c r="CI13" s="2449"/>
      <c r="CJ13" s="2450"/>
      <c r="CK13" s="2450"/>
      <c r="CO13" s="2477">
        <v>0</v>
      </c>
      <c r="CP13" s="2478">
        <f t="shared" si="0"/>
        <v>0</v>
      </c>
      <c r="CQ13" s="2478"/>
      <c r="CR13" s="2478"/>
      <c r="CS13" s="2478"/>
      <c r="CT13" s="2478"/>
    </row>
    <row r="14" spans="1:98" hidden="1" x14ac:dyDescent="0.2">
      <c r="A14" s="2395">
        <v>122</v>
      </c>
      <c r="B14" s="2440" t="s">
        <v>1214</v>
      </c>
      <c r="C14" s="2396">
        <v>12201</v>
      </c>
      <c r="D14" s="2396">
        <v>51120</v>
      </c>
      <c r="E14" s="2397" t="s">
        <v>59</v>
      </c>
      <c r="F14" s="2440" t="s">
        <v>1214</v>
      </c>
      <c r="G14" s="2440" t="s">
        <v>1231</v>
      </c>
      <c r="I14" s="2467"/>
      <c r="J14" s="2466">
        <f>H14+I14</f>
        <v>0</v>
      </c>
      <c r="K14" s="2468" t="str">
        <f>IF(H14=0," ",(J14-H14)/H14)</f>
        <v xml:space="preserve"> </v>
      </c>
      <c r="M14" s="2467"/>
      <c r="N14" s="2467"/>
      <c r="P14" s="2469"/>
      <c r="S14" s="2466">
        <v>0</v>
      </c>
      <c r="V14" s="2470">
        <f>63378+3016</f>
        <v>66394</v>
      </c>
      <c r="W14" s="2466">
        <f>U14+V14</f>
        <v>66394</v>
      </c>
      <c r="X14" s="2468" t="str">
        <f>IF(U14=0," ",(W14-U14)/U14)</f>
        <v xml:space="preserve"> </v>
      </c>
      <c r="Z14" s="2467">
        <v>66394</v>
      </c>
      <c r="AA14" s="2467">
        <v>66394</v>
      </c>
      <c r="AC14" s="2469" t="s">
        <v>1232</v>
      </c>
      <c r="AE14" s="2466">
        <v>66394</v>
      </c>
      <c r="AF14" s="2471">
        <v>66393.600000000006</v>
      </c>
      <c r="AH14" s="2466">
        <v>66394</v>
      </c>
      <c r="AI14" s="2470">
        <v>3739</v>
      </c>
      <c r="AJ14" s="2466">
        <f>AH14+AI14</f>
        <v>70133</v>
      </c>
      <c r="AK14" s="2468">
        <f>IF(AH14=0," ",(AJ14-AH14)/AH14)</f>
        <v>5.6315329698466726E-2</v>
      </c>
      <c r="AM14" s="2467">
        <v>70133</v>
      </c>
      <c r="AN14" s="2467">
        <v>70133</v>
      </c>
      <c r="AP14" s="2469" t="s">
        <v>1233</v>
      </c>
      <c r="AR14" s="2466">
        <v>70133</v>
      </c>
      <c r="AS14" s="2466">
        <v>70065.240000000005</v>
      </c>
      <c r="AT14" s="2466"/>
      <c r="AU14" s="2466">
        <v>71828</v>
      </c>
      <c r="AV14" s="2466">
        <v>71758.399999999994</v>
      </c>
      <c r="AX14" s="2466">
        <v>71828</v>
      </c>
      <c r="AY14" s="2470">
        <v>1440</v>
      </c>
      <c r="AZ14" s="2466">
        <f>AX14+AY14</f>
        <v>73268</v>
      </c>
      <c r="BA14" s="2468">
        <f>IF(AX14=0," ",(AZ14-AX14)/AX14)</f>
        <v>2.0047892186890907E-2</v>
      </c>
      <c r="BC14" s="2467">
        <v>73268</v>
      </c>
      <c r="BD14" s="2467">
        <v>73268</v>
      </c>
      <c r="BF14" s="2511" t="s">
        <v>1234</v>
      </c>
      <c r="BH14" s="2467">
        <v>73268</v>
      </c>
      <c r="BI14" s="2466">
        <v>60916.24</v>
      </c>
      <c r="BM14" s="2466">
        <v>73268</v>
      </c>
      <c r="BN14" s="2470">
        <v>1462</v>
      </c>
      <c r="BO14" s="2472">
        <f>BM14+BN14</f>
        <v>74730</v>
      </c>
      <c r="BP14" s="2473">
        <f>IF(BM14=0," ",(BO14-BM14)/BM14)</f>
        <v>1.9954140961947916E-2</v>
      </c>
      <c r="BR14" s="2474">
        <v>74730</v>
      </c>
      <c r="BS14" s="2474">
        <v>74730</v>
      </c>
      <c r="BU14" s="2512" t="s">
        <v>1235</v>
      </c>
      <c r="BW14" s="2474">
        <v>74730</v>
      </c>
      <c r="BX14" s="2466">
        <v>30063.599999999999</v>
      </c>
      <c r="BZ14" s="2474">
        <v>74730</v>
      </c>
      <c r="CA14" s="2470">
        <v>-286</v>
      </c>
      <c r="CB14" s="2472">
        <f>BZ14+CA14</f>
        <v>74444</v>
      </c>
      <c r="CC14" s="2473">
        <f>IF(BZ14=0," ",(CB14-BZ14)/BZ14)</f>
        <v>-3.8271109326910211E-3</v>
      </c>
      <c r="CE14" s="2474">
        <v>75941</v>
      </c>
      <c r="CF14" s="2476">
        <f>IF(CB14=0," ",(CE14-CB14)/CB14)</f>
        <v>2.0109075278061363E-2</v>
      </c>
      <c r="CG14" s="2474">
        <v>75941</v>
      </c>
      <c r="CH14" s="2449" t="s">
        <v>1217</v>
      </c>
      <c r="CI14" s="2449"/>
      <c r="CJ14" s="2450"/>
      <c r="CK14" s="2450"/>
      <c r="CO14" s="2477">
        <v>-0.16858328328874816</v>
      </c>
      <c r="CP14" s="2478">
        <f t="shared" si="0"/>
        <v>-12351.760000000002</v>
      </c>
      <c r="CQ14" s="2478"/>
      <c r="CR14" s="2478"/>
      <c r="CS14" s="2478"/>
      <c r="CT14" s="2478"/>
    </row>
    <row r="15" spans="1:98" hidden="1" x14ac:dyDescent="0.2">
      <c r="A15" s="2513">
        <v>122</v>
      </c>
      <c r="B15" s="2514" t="s">
        <v>1214</v>
      </c>
      <c r="C15" s="2515">
        <v>12201</v>
      </c>
      <c r="D15" s="2515">
        <v>51490</v>
      </c>
      <c r="E15" s="2516" t="s">
        <v>59</v>
      </c>
      <c r="F15" s="2514" t="s">
        <v>1214</v>
      </c>
      <c r="G15" s="2514" t="s">
        <v>1236</v>
      </c>
      <c r="I15" s="2467"/>
      <c r="J15" s="2466">
        <f>H15+I15</f>
        <v>0</v>
      </c>
      <c r="K15" s="2468" t="str">
        <f>IF(H15=0," ",(J15-H15)/H15)</f>
        <v xml:space="preserve"> </v>
      </c>
      <c r="M15" s="2467"/>
      <c r="N15" s="2467"/>
      <c r="P15" s="2469"/>
      <c r="S15" s="2466">
        <v>0</v>
      </c>
      <c r="V15" s="2470">
        <v>750</v>
      </c>
      <c r="W15" s="2466">
        <f>U15+V15</f>
        <v>750</v>
      </c>
      <c r="X15" s="2468" t="str">
        <f>IF(U15=0," ",(W15-U15)/U15)</f>
        <v xml:space="preserve"> </v>
      </c>
      <c r="Z15" s="2467">
        <v>750</v>
      </c>
      <c r="AA15" s="2467">
        <v>750</v>
      </c>
      <c r="AC15" s="2469" t="s">
        <v>1237</v>
      </c>
      <c r="AE15" s="2466">
        <v>750</v>
      </c>
      <c r="AF15" s="2471">
        <v>750</v>
      </c>
      <c r="AH15" s="2466">
        <v>750</v>
      </c>
      <c r="AI15" s="2470"/>
      <c r="AJ15" s="2466">
        <f>AH15+AI15</f>
        <v>750</v>
      </c>
      <c r="AK15" s="2468">
        <f>IF(AH15=0," ",(AJ15-AH15)/AH15)</f>
        <v>0</v>
      </c>
      <c r="AM15" s="2467">
        <v>750</v>
      </c>
      <c r="AN15" s="2467">
        <v>750</v>
      </c>
      <c r="AP15" s="2469"/>
      <c r="AR15" s="2466">
        <v>750</v>
      </c>
      <c r="AS15" s="2466">
        <v>750</v>
      </c>
      <c r="AT15" s="2466"/>
      <c r="AU15" s="2466">
        <v>750</v>
      </c>
      <c r="AV15" s="2466">
        <v>750</v>
      </c>
      <c r="AX15" s="2466">
        <v>750</v>
      </c>
      <c r="AY15" s="2470"/>
      <c r="AZ15" s="2466">
        <f>AX15+AY15</f>
        <v>750</v>
      </c>
      <c r="BA15" s="2468">
        <f>IF(AX15=0," ",(AZ15-AX15)/AX15)</f>
        <v>0</v>
      </c>
      <c r="BC15" s="2467">
        <v>750</v>
      </c>
      <c r="BD15" s="2467">
        <v>750</v>
      </c>
      <c r="BF15" s="2469"/>
      <c r="BH15" s="2467">
        <v>750</v>
      </c>
      <c r="BI15" s="2466">
        <v>750</v>
      </c>
      <c r="BM15" s="2466">
        <v>750</v>
      </c>
      <c r="BN15" s="2470">
        <v>-750</v>
      </c>
      <c r="BO15" s="2472">
        <f>BM15+BN15</f>
        <v>0</v>
      </c>
      <c r="BP15" s="2473">
        <f>IF(BM15=0," ",(BO15-BM15)/BM15)</f>
        <v>-1</v>
      </c>
      <c r="BR15" s="2474">
        <v>0</v>
      </c>
      <c r="BS15" s="2474">
        <v>0</v>
      </c>
      <c r="BU15" s="2475" t="s">
        <v>1238</v>
      </c>
      <c r="BW15" s="2474">
        <v>0</v>
      </c>
      <c r="BZ15" s="2474">
        <v>0</v>
      </c>
      <c r="CA15" s="2470"/>
      <c r="CB15" s="2472">
        <f>BZ15+CA15</f>
        <v>0</v>
      </c>
      <c r="CC15" s="2473" t="str">
        <f>IF(BZ15=0," ",(CB15-BZ15)/BZ15)</f>
        <v xml:space="preserve"> </v>
      </c>
      <c r="CE15" s="2517">
        <v>400</v>
      </c>
      <c r="CF15" s="2476" t="str">
        <f>IF(CB15=0," ",(CE15-CB15)/CB15)</f>
        <v xml:space="preserve"> </v>
      </c>
      <c r="CG15" s="2517">
        <v>400</v>
      </c>
      <c r="CH15" s="2449" t="s">
        <v>1217</v>
      </c>
      <c r="CI15" s="2449"/>
      <c r="CJ15" s="2450" t="s">
        <v>1239</v>
      </c>
      <c r="CK15" s="2518">
        <f>-CG15</f>
        <v>-400</v>
      </c>
      <c r="CO15" s="2477">
        <v>0</v>
      </c>
      <c r="CP15" s="2478">
        <f t="shared" si="0"/>
        <v>0</v>
      </c>
      <c r="CQ15" s="2478"/>
      <c r="CR15" s="2478"/>
      <c r="CS15" s="2478"/>
      <c r="CT15" s="2478"/>
    </row>
    <row r="16" spans="1:98" hidden="1" x14ac:dyDescent="0.2">
      <c r="A16" s="2395">
        <v>122</v>
      </c>
      <c r="B16" s="2440" t="s">
        <v>1214</v>
      </c>
      <c r="C16" s="2396">
        <v>12201</v>
      </c>
      <c r="D16" s="2396">
        <v>51960</v>
      </c>
      <c r="E16" s="2397" t="s">
        <v>59</v>
      </c>
      <c r="F16" s="2440" t="s">
        <v>1214</v>
      </c>
      <c r="G16" s="2440" t="s">
        <v>1240</v>
      </c>
      <c r="H16" s="2466">
        <v>3000</v>
      </c>
      <c r="I16" s="2467">
        <v>1200</v>
      </c>
      <c r="J16" s="2466">
        <f>H16+I16</f>
        <v>4200</v>
      </c>
      <c r="K16" s="2468">
        <f>IF(H16=0," ",(J16-H16)/H16)</f>
        <v>0.4</v>
      </c>
      <c r="M16" s="2467">
        <v>4200</v>
      </c>
      <c r="N16" s="2467">
        <v>4200</v>
      </c>
      <c r="P16" s="2469" t="s">
        <v>1241</v>
      </c>
      <c r="R16" s="2466">
        <v>4200</v>
      </c>
      <c r="S16" s="2466">
        <v>4200</v>
      </c>
      <c r="U16" s="2466">
        <v>4200</v>
      </c>
      <c r="V16" s="2470">
        <v>0</v>
      </c>
      <c r="W16" s="2466">
        <f>U16+V16</f>
        <v>4200</v>
      </c>
      <c r="X16" s="2468">
        <f>IF(U16=0," ",(W16-U16)/U16)</f>
        <v>0</v>
      </c>
      <c r="Z16" s="2467">
        <v>4200</v>
      </c>
      <c r="AA16" s="2467">
        <v>4200</v>
      </c>
      <c r="AC16" s="2469"/>
      <c r="AE16" s="2466">
        <v>4200</v>
      </c>
      <c r="AF16" s="2471">
        <v>4200</v>
      </c>
      <c r="AH16" s="2466">
        <v>4200</v>
      </c>
      <c r="AI16" s="2470"/>
      <c r="AJ16" s="2466">
        <f>AH16+AI16</f>
        <v>4200</v>
      </c>
      <c r="AK16" s="2468">
        <f>IF(AH16=0," ",(AJ16-AH16)/AH16)</f>
        <v>0</v>
      </c>
      <c r="AM16" s="2467">
        <v>4200</v>
      </c>
      <c r="AN16" s="2467">
        <v>4200</v>
      </c>
      <c r="AP16" s="2469" t="s">
        <v>1228</v>
      </c>
      <c r="AR16" s="2466">
        <v>4200</v>
      </c>
      <c r="AS16" s="2466">
        <v>1750</v>
      </c>
      <c r="AT16" s="2466"/>
      <c r="AU16" s="2466">
        <v>3000</v>
      </c>
      <c r="AV16" s="2466">
        <v>3000</v>
      </c>
      <c r="AX16" s="2466">
        <v>3000</v>
      </c>
      <c r="AY16" s="2470"/>
      <c r="AZ16" s="2466">
        <f>AX16+AY16</f>
        <v>3000</v>
      </c>
      <c r="BA16" s="2468">
        <f>IF(AX16=0," ",(AZ16-AX16)/AX16)</f>
        <v>0</v>
      </c>
      <c r="BC16" s="2467">
        <v>3000</v>
      </c>
      <c r="BD16" s="2467">
        <v>3000</v>
      </c>
      <c r="BF16" s="2469"/>
      <c r="BH16" s="2467">
        <v>3000</v>
      </c>
      <c r="BI16" s="2466">
        <v>3000</v>
      </c>
      <c r="BM16" s="2466">
        <v>3000</v>
      </c>
      <c r="BN16" s="2470"/>
      <c r="BO16" s="2472">
        <f>BM16+BN16</f>
        <v>3000</v>
      </c>
      <c r="BP16" s="2473">
        <f>IF(BM16=0," ",(BO16-BM16)/BM16)</f>
        <v>0</v>
      </c>
      <c r="BR16" s="2474">
        <v>3000</v>
      </c>
      <c r="BS16" s="2474">
        <v>3000</v>
      </c>
      <c r="BU16" s="2475"/>
      <c r="BW16" s="2474">
        <v>3000</v>
      </c>
      <c r="BX16" s="2466">
        <v>1500</v>
      </c>
      <c r="BZ16" s="2474">
        <v>3000</v>
      </c>
      <c r="CA16" s="2470"/>
      <c r="CB16" s="2472">
        <f>BZ16+CA16</f>
        <v>3000</v>
      </c>
      <c r="CC16" s="2473">
        <f>IF(BZ16=0," ",(CB16-BZ16)/BZ16)</f>
        <v>0</v>
      </c>
      <c r="CE16" s="2474">
        <v>3000</v>
      </c>
      <c r="CF16" s="2476">
        <f>IF(CB16=0," ",(CE16-CB16)/CB16)</f>
        <v>0</v>
      </c>
      <c r="CG16" s="2474">
        <v>3000</v>
      </c>
      <c r="CH16" s="2449" t="s">
        <v>1217</v>
      </c>
      <c r="CI16" s="2449"/>
      <c r="CJ16" s="2450"/>
      <c r="CK16" s="2450"/>
      <c r="CO16" s="2477">
        <v>0</v>
      </c>
      <c r="CP16" s="2478">
        <f t="shared" si="0"/>
        <v>0</v>
      </c>
      <c r="CQ16" s="2478"/>
      <c r="CR16" s="2478"/>
      <c r="CS16" s="2478"/>
      <c r="CT16" s="2478"/>
    </row>
    <row r="17" spans="1:98" hidden="1" x14ac:dyDescent="0.2">
      <c r="A17" s="2395">
        <v>122</v>
      </c>
      <c r="C17" s="2396">
        <v>12201</v>
      </c>
      <c r="D17" s="2396">
        <v>51990</v>
      </c>
      <c r="E17" s="2397" t="s">
        <v>59</v>
      </c>
      <c r="G17" s="2440" t="s">
        <v>1242</v>
      </c>
      <c r="H17" s="2519"/>
      <c r="I17" s="2520"/>
      <c r="J17" s="2519"/>
      <c r="K17" s="2521"/>
      <c r="M17" s="2520"/>
      <c r="N17" s="2520"/>
      <c r="P17" s="2522"/>
      <c r="R17" s="2519"/>
      <c r="S17" s="2519">
        <v>0</v>
      </c>
      <c r="U17" s="2519"/>
      <c r="V17" s="2523"/>
      <c r="W17" s="2519"/>
      <c r="Z17" s="2520"/>
      <c r="AA17" s="2520"/>
      <c r="AC17" s="2522"/>
      <c r="AE17" s="2519"/>
      <c r="AF17" s="2524">
        <v>86700</v>
      </c>
      <c r="AH17" s="2519"/>
      <c r="AI17" s="2523"/>
      <c r="AJ17" s="2519"/>
      <c r="AK17" s="2521"/>
      <c r="AM17" s="2520"/>
      <c r="AN17" s="2520"/>
      <c r="AP17" s="2522"/>
      <c r="AR17" s="2519">
        <v>0</v>
      </c>
      <c r="AS17" s="2519"/>
      <c r="AT17" s="2519"/>
      <c r="AU17" s="2519"/>
      <c r="AV17" s="2519"/>
      <c r="AX17" s="2519"/>
      <c r="AY17" s="2523"/>
      <c r="AZ17" s="2519"/>
      <c r="BA17" s="2521"/>
      <c r="BC17" s="2520"/>
      <c r="BD17" s="2520"/>
      <c r="BF17" s="2522"/>
      <c r="BH17" s="2520"/>
      <c r="BI17" s="2519"/>
      <c r="BM17" s="2519"/>
      <c r="BN17" s="2523"/>
      <c r="BO17" s="2525"/>
      <c r="BP17" s="2526"/>
      <c r="BR17" s="2527"/>
      <c r="BS17" s="2527"/>
      <c r="BU17" s="2528"/>
      <c r="BW17" s="2527"/>
      <c r="BX17" s="2519"/>
      <c r="BZ17" s="2527"/>
      <c r="CA17" s="2523"/>
      <c r="CB17" s="2525"/>
      <c r="CC17" s="2526"/>
      <c r="CE17" s="2527"/>
      <c r="CF17" s="2529"/>
      <c r="CG17" s="2527"/>
      <c r="CH17" s="2449" t="s">
        <v>1217</v>
      </c>
      <c r="CI17" s="2449"/>
      <c r="CJ17" s="2450"/>
      <c r="CK17" s="2450"/>
      <c r="CP17" s="2478">
        <f t="shared" si="0"/>
        <v>0</v>
      </c>
      <c r="CQ17" s="2478"/>
      <c r="CR17" s="2478"/>
      <c r="CS17" s="2478"/>
      <c r="CT17" s="2478"/>
    </row>
    <row r="18" spans="1:98" hidden="1" x14ac:dyDescent="0.2">
      <c r="H18" s="2466">
        <f>SUM(H12:H17)</f>
        <v>117449</v>
      </c>
      <c r="I18" s="2466">
        <f>SUM(I12:I17)</f>
        <v>14256</v>
      </c>
      <c r="J18" s="2466">
        <f>SUM(J12:J17)</f>
        <v>131705</v>
      </c>
      <c r="K18" s="2468">
        <f>IF(H18=0," ",(J18-H18)/H18)</f>
        <v>0.12138034380880212</v>
      </c>
      <c r="M18" s="2466">
        <f>SUM(M12:M17)</f>
        <v>131705</v>
      </c>
      <c r="N18" s="2466">
        <f>SUM(N12:N17)</f>
        <v>131705</v>
      </c>
      <c r="P18" s="2493">
        <f>SUM(P12:P17)</f>
        <v>0</v>
      </c>
      <c r="R18" s="2466">
        <f>SUM(R12:R17)</f>
        <v>131705</v>
      </c>
      <c r="S18" s="2466">
        <f>SUM(S12:S17)</f>
        <v>132068.15</v>
      </c>
      <c r="U18" s="2466">
        <f>SUM(U12:U17)</f>
        <v>131705</v>
      </c>
      <c r="V18" s="2466">
        <f>SUM(V12:V17)</f>
        <v>69694</v>
      </c>
      <c r="W18" s="2466">
        <f>SUM(W12:W17)</f>
        <v>201399</v>
      </c>
      <c r="X18" s="2468">
        <f>IF(U18=0," ",(W18-U18)/U18)</f>
        <v>0.52916745757564254</v>
      </c>
      <c r="Z18" s="2466">
        <f>SUM(Z12:Z17)</f>
        <v>201399</v>
      </c>
      <c r="AA18" s="2466">
        <f>SUM(AA12:AA17)</f>
        <v>201399</v>
      </c>
      <c r="AE18" s="2466">
        <f>SUM(AE12:AE17)</f>
        <v>201399</v>
      </c>
      <c r="AF18" s="2471">
        <f>SUM(AF12:AF17)</f>
        <v>288093.51</v>
      </c>
      <c r="AH18" s="2466">
        <f>SUM(AH12:AH17)</f>
        <v>201399</v>
      </c>
      <c r="AI18" s="2466">
        <f>SUM(AI12:AI17)</f>
        <v>3739</v>
      </c>
      <c r="AJ18" s="2466">
        <f>SUM(AJ12:AJ17)</f>
        <v>205138</v>
      </c>
      <c r="AK18" s="2468">
        <f>IF(AH18=0," ",(AJ18-AH18)/AH18)</f>
        <v>1.8565136867611062E-2</v>
      </c>
      <c r="AM18" s="2466">
        <f>SUM(AM12:AM17)</f>
        <v>205138</v>
      </c>
      <c r="AN18" s="2466">
        <f>SUM(AN12:AN17)</f>
        <v>205138</v>
      </c>
      <c r="AR18" s="2466">
        <f>SUM(AR12:AR17)</f>
        <v>205138</v>
      </c>
      <c r="AS18" s="2466">
        <f>SUM(AS12:AS17)</f>
        <v>194506.19</v>
      </c>
      <c r="AT18" s="2466"/>
      <c r="AU18" s="2466">
        <f>SUM(AU12:AU17)</f>
        <v>209563</v>
      </c>
      <c r="AV18" s="2466">
        <f>SUM(AV12:AV17)</f>
        <v>209488.4</v>
      </c>
      <c r="AX18" s="2466">
        <f>SUM(AX12:AX17)</f>
        <v>209563</v>
      </c>
      <c r="AY18" s="2466">
        <f>SUM(AY12:AY17)</f>
        <v>4120</v>
      </c>
      <c r="AZ18" s="2466">
        <f>SUM(AZ12:AZ17)</f>
        <v>213683</v>
      </c>
      <c r="BA18" s="2468">
        <f>IF(AX18=0," ",(AZ18-AX18)/AX18)</f>
        <v>1.9659959057658077E-2</v>
      </c>
      <c r="BC18" s="2466">
        <f>SUM(BC12:BC17)</f>
        <v>213683</v>
      </c>
      <c r="BD18" s="2466">
        <f>SUM(BD12:BD17)</f>
        <v>213683</v>
      </c>
      <c r="BH18" s="2466">
        <f>SUM(BH12:BH17)</f>
        <v>213683</v>
      </c>
      <c r="BI18" s="2466">
        <f>SUM(BI12:BI17)</f>
        <v>201326.24</v>
      </c>
      <c r="BM18" s="2466">
        <f>SUM(BM12:BM17)</f>
        <v>213683</v>
      </c>
      <c r="BN18" s="2466">
        <f>SUM(BN12:BN17)</f>
        <v>712</v>
      </c>
      <c r="BO18" s="2472">
        <f>SUM(BO12:BO17)</f>
        <v>214395</v>
      </c>
      <c r="BP18" s="2473">
        <f>IF(BM18=0," ",(BO18-BM18)/BM18)</f>
        <v>3.3320385805141262E-3</v>
      </c>
      <c r="BR18" s="2472">
        <f>SUM(BR12:BR17)</f>
        <v>214395</v>
      </c>
      <c r="BS18" s="2472">
        <f>SUM(BS12:BS17)</f>
        <v>227735</v>
      </c>
      <c r="BW18" s="2472">
        <f>SUM(BW12:BW17)</f>
        <v>227735</v>
      </c>
      <c r="BX18" s="2466">
        <f>SUM(BX12:BX17)</f>
        <v>103977</v>
      </c>
      <c r="BZ18" s="2472">
        <f>SUM(BZ12:BZ17)</f>
        <v>227735</v>
      </c>
      <c r="CA18" s="2466">
        <f>SUM(CA12:CA17)</f>
        <v>2714</v>
      </c>
      <c r="CB18" s="2472">
        <f>SUM(CB12:CB17)</f>
        <v>230449</v>
      </c>
      <c r="CC18" s="2473">
        <f>IF(BZ18=0," ",(CB18-BZ18)/BZ18)</f>
        <v>1.1917360089577798E-2</v>
      </c>
      <c r="CE18" s="2472">
        <f>SUM(CE12:CE17)</f>
        <v>232346</v>
      </c>
      <c r="CF18" s="2473">
        <f>IF(CB18=0," ",(CE18-CB18)/CB18)</f>
        <v>8.2317562671133312E-3</v>
      </c>
      <c r="CG18" s="2472">
        <f>SUM(CG12:CG17)</f>
        <v>232346</v>
      </c>
      <c r="CH18" s="2449" t="s">
        <v>1243</v>
      </c>
      <c r="CI18" s="2449"/>
      <c r="CJ18" s="2450"/>
      <c r="CK18" s="2450"/>
      <c r="CO18" s="2477">
        <v>-5.7827529564822733E-2</v>
      </c>
      <c r="CP18" s="2478">
        <f t="shared" si="0"/>
        <v>-12356.760000000009</v>
      </c>
      <c r="CQ18" s="2478"/>
      <c r="CR18" s="2478"/>
      <c r="CS18" s="2478"/>
      <c r="CT18" s="2478"/>
    </row>
    <row r="19" spans="1:98" hidden="1" x14ac:dyDescent="0.2">
      <c r="AS19" s="2466"/>
      <c r="AT19" s="2466"/>
      <c r="BO19" s="2472">
        <f>150000-BO13</f>
        <v>13340</v>
      </c>
      <c r="BZ19" s="2472"/>
      <c r="CH19" s="2449" t="s">
        <v>1091</v>
      </c>
      <c r="CI19" s="2449"/>
      <c r="CJ19" s="2450"/>
      <c r="CK19" s="2450"/>
      <c r="CP19" s="2478">
        <f t="shared" si="0"/>
        <v>0</v>
      </c>
      <c r="CQ19" s="2478"/>
      <c r="CR19" s="2478"/>
      <c r="CS19" s="2478"/>
      <c r="CT19" s="2478"/>
    </row>
    <row r="20" spans="1:98" hidden="1" x14ac:dyDescent="0.2">
      <c r="A20" s="2395">
        <v>122</v>
      </c>
      <c r="B20" s="2440" t="s">
        <v>1214</v>
      </c>
      <c r="C20" s="2396">
        <v>12202</v>
      </c>
      <c r="D20" s="2396">
        <v>51130</v>
      </c>
      <c r="E20" s="2397" t="s">
        <v>319</v>
      </c>
      <c r="F20" s="2440" t="s">
        <v>1214</v>
      </c>
      <c r="G20" s="2440" t="s">
        <v>1244</v>
      </c>
      <c r="H20" s="2466">
        <v>60699</v>
      </c>
      <c r="I20" s="2467">
        <v>2678.6</v>
      </c>
      <c r="J20" s="2466">
        <f>H20+I20</f>
        <v>63377.599999999999</v>
      </c>
      <c r="K20" s="2468">
        <f>IF(H20=0," ",(J20-H20)/H20)</f>
        <v>4.4129227829124013E-2</v>
      </c>
      <c r="M20" s="2467">
        <v>63378</v>
      </c>
      <c r="N20" s="2467">
        <v>63378</v>
      </c>
      <c r="P20" s="2469" t="s">
        <v>1245</v>
      </c>
      <c r="R20" s="2466">
        <v>63378</v>
      </c>
      <c r="S20" s="2466">
        <v>63560.42</v>
      </c>
      <c r="U20" s="2466">
        <v>63378</v>
      </c>
      <c r="V20" s="2470">
        <v>-63378</v>
      </c>
      <c r="W20" s="2466">
        <f>U20+V20</f>
        <v>0</v>
      </c>
      <c r="X20" s="2468">
        <f>IF(U20=0," ",(W20-U20)/U20)</f>
        <v>-1</v>
      </c>
      <c r="Z20" s="2467"/>
      <c r="AA20" s="2467"/>
      <c r="AC20" s="2469" t="s">
        <v>1246</v>
      </c>
      <c r="AF20" s="2471">
        <v>0</v>
      </c>
      <c r="AI20" s="2470"/>
      <c r="AJ20" s="2466">
        <f t="shared" ref="AJ20:AJ27" si="3">AH20+AI20</f>
        <v>0</v>
      </c>
      <c r="AK20" s="2468" t="str">
        <f t="shared" ref="AK20:AK28" si="4">IF(AH20=0," ",(AJ20-AH20)/AH20)</f>
        <v xml:space="preserve"> </v>
      </c>
      <c r="AM20" s="2467"/>
      <c r="AN20" s="2467"/>
      <c r="AP20" s="2469"/>
      <c r="AR20" s="2466">
        <v>0</v>
      </c>
      <c r="AS20" s="2466"/>
      <c r="AT20" s="2466"/>
      <c r="AY20" s="2470"/>
      <c r="AZ20" s="2466">
        <f>AX20+AY20</f>
        <v>0</v>
      </c>
      <c r="BA20" s="2468" t="str">
        <f>IF(AX20=0," ",(AZ20-AX20)/AX20)</f>
        <v xml:space="preserve"> </v>
      </c>
      <c r="BC20" s="2467"/>
      <c r="BD20" s="2467"/>
      <c r="BF20" s="2469"/>
      <c r="BH20" s="2467"/>
      <c r="BN20" s="2470"/>
      <c r="BO20" s="2472">
        <f t="shared" ref="BO20:BO27" si="5">BM20+BN20</f>
        <v>0</v>
      </c>
      <c r="BP20" s="2473" t="str">
        <f>IF(BM20=0," ",(BO20-BM20)/BM20)</f>
        <v xml:space="preserve"> </v>
      </c>
      <c r="BR20" s="2474">
        <v>0</v>
      </c>
      <c r="BS20" s="2474">
        <v>0</v>
      </c>
      <c r="BU20" s="2475"/>
      <c r="BW20" s="2474">
        <v>0</v>
      </c>
      <c r="BZ20" s="2474">
        <v>0</v>
      </c>
      <c r="CA20" s="2470"/>
      <c r="CB20" s="2472">
        <f t="shared" ref="CB20:CB27" si="6">BZ20+CA20</f>
        <v>0</v>
      </c>
      <c r="CC20" s="2473" t="str">
        <f>IF(BZ20=0," ",(CB20-BZ20)/BZ20)</f>
        <v xml:space="preserve"> </v>
      </c>
      <c r="CE20" s="2474">
        <v>0</v>
      </c>
      <c r="CF20" s="2476" t="str">
        <f>IF(CB20=0," ",(CE20-CB20)/CB20)</f>
        <v xml:space="preserve"> </v>
      </c>
      <c r="CG20" s="2474"/>
      <c r="CH20" s="2449" t="s">
        <v>1217</v>
      </c>
      <c r="CI20" s="2449"/>
      <c r="CJ20" s="2450"/>
      <c r="CK20" s="2450"/>
      <c r="CP20" s="2478">
        <f t="shared" si="0"/>
        <v>0</v>
      </c>
      <c r="CQ20" s="2478"/>
      <c r="CR20" s="2478"/>
      <c r="CS20" s="2478"/>
      <c r="CT20" s="2478"/>
    </row>
    <row r="21" spans="1:98" hidden="1" x14ac:dyDescent="0.2">
      <c r="A21" s="2395">
        <v>122</v>
      </c>
      <c r="B21" s="2440" t="s">
        <v>1214</v>
      </c>
      <c r="C21" s="2396">
        <v>12202</v>
      </c>
      <c r="D21" s="2396">
        <v>51140</v>
      </c>
      <c r="E21" s="2397" t="s">
        <v>319</v>
      </c>
      <c r="F21" s="2440" t="s">
        <v>1214</v>
      </c>
      <c r="G21" s="2440" t="s">
        <v>1247</v>
      </c>
      <c r="H21" s="2466">
        <v>54706</v>
      </c>
      <c r="I21" s="2467">
        <v>-605.20000000000005</v>
      </c>
      <c r="J21" s="2466">
        <f>H21+I21</f>
        <v>54100.800000000003</v>
      </c>
      <c r="K21" s="2468">
        <f>IF(H21=0," ",(J21-H21)/H21)</f>
        <v>-1.106277190801735E-2</v>
      </c>
      <c r="M21" s="2467">
        <v>54101</v>
      </c>
      <c r="N21" s="2467">
        <v>54101</v>
      </c>
      <c r="P21" s="2469" t="s">
        <v>1248</v>
      </c>
      <c r="R21" s="2466">
        <v>54101</v>
      </c>
      <c r="S21" s="2466">
        <v>52411.19</v>
      </c>
      <c r="U21" s="2466">
        <v>54101</v>
      </c>
      <c r="V21" s="2470">
        <v>9111</v>
      </c>
      <c r="W21" s="2466">
        <f>U21+V21</f>
        <v>63212</v>
      </c>
      <c r="X21" s="2468">
        <f>IF(U21=0," ",(W21-U21)/U21)</f>
        <v>0.16840723831352469</v>
      </c>
      <c r="Z21" s="2467">
        <v>63212</v>
      </c>
      <c r="AA21" s="2467">
        <v>63212</v>
      </c>
      <c r="AC21" s="2469" t="s">
        <v>1249</v>
      </c>
      <c r="AE21" s="2466">
        <v>63212</v>
      </c>
      <c r="AF21" s="2471">
        <v>63172.03</v>
      </c>
      <c r="AH21" s="2466">
        <v>63212</v>
      </c>
      <c r="AI21" s="2470">
        <v>3673</v>
      </c>
      <c r="AJ21" s="2466">
        <f t="shared" si="3"/>
        <v>66885</v>
      </c>
      <c r="AK21" s="2468">
        <f t="shared" si="4"/>
        <v>5.8106055812187557E-2</v>
      </c>
      <c r="AM21" s="2467">
        <v>66885</v>
      </c>
      <c r="AN21" s="2467">
        <v>66885</v>
      </c>
      <c r="AP21" s="2469" t="s">
        <v>1250</v>
      </c>
      <c r="AR21" s="2466">
        <v>66885</v>
      </c>
      <c r="AS21" s="2466">
        <f>66821.3+133.84</f>
        <v>66955.14</v>
      </c>
      <c r="AT21" s="2466"/>
      <c r="AU21" s="2466">
        <v>68332</v>
      </c>
      <c r="AV21" s="2466">
        <v>68396.61</v>
      </c>
      <c r="AX21" s="2466">
        <v>68332</v>
      </c>
      <c r="AY21" s="2470">
        <v>1374</v>
      </c>
      <c r="AZ21" s="2466">
        <f>AX21+AY21</f>
        <v>69706</v>
      </c>
      <c r="BA21" s="2468">
        <f>IF(AX21=0," ",(AZ21-AX21)/AX21)</f>
        <v>2.0107709418720365E-2</v>
      </c>
      <c r="BC21" s="2467">
        <v>69706</v>
      </c>
      <c r="BD21" s="2467">
        <v>69706</v>
      </c>
      <c r="BF21" s="2511" t="s">
        <v>1251</v>
      </c>
      <c r="BH21" s="2467">
        <v>69706</v>
      </c>
      <c r="BI21" s="2466">
        <v>69755.759999999995</v>
      </c>
      <c r="BM21" s="2466">
        <v>69706</v>
      </c>
      <c r="BN21" s="2470">
        <v>1077</v>
      </c>
      <c r="BO21" s="2472">
        <f t="shared" si="5"/>
        <v>70783</v>
      </c>
      <c r="BP21" s="2473">
        <f>IF(BM21=0," ",(BO21-BM21)/BM21)</f>
        <v>1.5450606834418845E-2</v>
      </c>
      <c r="BR21" s="2474">
        <v>70783</v>
      </c>
      <c r="BS21" s="2474">
        <v>70783</v>
      </c>
      <c r="BU21" s="2512" t="s">
        <v>1252</v>
      </c>
      <c r="BW21" s="2474">
        <v>70783</v>
      </c>
      <c r="BX21" s="2466">
        <v>9535.82</v>
      </c>
      <c r="BZ21" s="2474">
        <v>70783</v>
      </c>
      <c r="CA21" s="2470">
        <v>-7280</v>
      </c>
      <c r="CB21" s="2472">
        <f t="shared" si="6"/>
        <v>63503</v>
      </c>
      <c r="CC21" s="2473">
        <f>IF(BZ21=0," ",(CB21-BZ21)/BZ21)</f>
        <v>-0.10284955427150587</v>
      </c>
      <c r="CE21" s="2474">
        <v>64772</v>
      </c>
      <c r="CF21" s="2476">
        <f>IF(CB21=0," ",(CE21-CB21)/CB21)</f>
        <v>1.9983307875218494E-2</v>
      </c>
      <c r="CG21" s="2474">
        <v>64772</v>
      </c>
      <c r="CH21" s="2449" t="s">
        <v>1217</v>
      </c>
      <c r="CI21" s="2449"/>
      <c r="CJ21" s="2450" t="s">
        <v>1253</v>
      </c>
      <c r="CK21" s="2518">
        <f>-CG21*0</f>
        <v>0</v>
      </c>
      <c r="CO21" s="2477">
        <v>7.1385533526524547E-4</v>
      </c>
      <c r="CP21" s="2478">
        <f t="shared" si="0"/>
        <v>49.759999999994761</v>
      </c>
      <c r="CQ21" s="2478"/>
      <c r="CR21" s="2478"/>
      <c r="CS21" s="2478"/>
      <c r="CT21" s="2478"/>
    </row>
    <row r="22" spans="1:98" hidden="1" x14ac:dyDescent="0.2">
      <c r="A22" s="2395">
        <v>122</v>
      </c>
      <c r="C22" s="2396">
        <v>12202</v>
      </c>
      <c r="D22" s="2396">
        <v>51142</v>
      </c>
      <c r="E22" s="2397" t="s">
        <v>319</v>
      </c>
      <c r="G22" s="2440" t="s">
        <v>1254</v>
      </c>
      <c r="I22" s="2467"/>
      <c r="M22" s="2467"/>
      <c r="N22" s="2467"/>
      <c r="P22" s="2469"/>
      <c r="V22" s="2470"/>
      <c r="Z22" s="2467"/>
      <c r="AA22" s="2467"/>
      <c r="AC22" s="2469"/>
      <c r="AI22" s="2470"/>
      <c r="AM22" s="2467"/>
      <c r="AN22" s="2467"/>
      <c r="AP22" s="2469"/>
      <c r="AS22" s="2466"/>
      <c r="AT22" s="2466"/>
      <c r="AY22" s="2470"/>
      <c r="BC22" s="2467"/>
      <c r="BD22" s="2467"/>
      <c r="BF22" s="2511"/>
      <c r="BH22" s="2467"/>
      <c r="BI22" s="2466">
        <v>4424</v>
      </c>
      <c r="BN22" s="2470"/>
      <c r="BR22" s="2474"/>
      <c r="BS22" s="2474">
        <v>8413</v>
      </c>
      <c r="BU22" s="2512" t="s">
        <v>1255</v>
      </c>
      <c r="BW22" s="2474">
        <v>8413</v>
      </c>
      <c r="BX22" s="2466">
        <v>6381.54</v>
      </c>
      <c r="BZ22" s="2474">
        <v>8413</v>
      </c>
      <c r="CA22" s="2470">
        <f>-33+5028</f>
        <v>4995</v>
      </c>
      <c r="CB22" s="2472">
        <f t="shared" si="6"/>
        <v>13408</v>
      </c>
      <c r="CC22" s="2473">
        <f t="shared" ref="CC22:CC23" si="7">IF(BZ22=0," ",(CB22-BZ22)/BZ22)</f>
        <v>0.593723998573636</v>
      </c>
      <c r="CE22" s="2474">
        <f>8547+5128</f>
        <v>13675</v>
      </c>
      <c r="CF22" s="2476">
        <f>IF(CB22=0," ",(CE22-CB22)/CB22)</f>
        <v>1.9913484486873509E-2</v>
      </c>
      <c r="CG22" s="2474">
        <v>8547</v>
      </c>
      <c r="CH22" s="2449" t="s">
        <v>1217</v>
      </c>
      <c r="CI22" s="2449"/>
      <c r="CJ22" s="2450" t="s">
        <v>1256</v>
      </c>
      <c r="CK22" s="2518">
        <f t="shared" ref="CK22:CK24" si="8">-CG22</f>
        <v>-8547</v>
      </c>
      <c r="CO22" s="2477" t="s">
        <v>1257</v>
      </c>
      <c r="CP22" s="2478">
        <f t="shared" si="0"/>
        <v>4424</v>
      </c>
      <c r="CQ22" s="2478"/>
      <c r="CR22" s="2478"/>
      <c r="CS22" s="2478"/>
      <c r="CT22" s="2478"/>
    </row>
    <row r="23" spans="1:98" hidden="1" x14ac:dyDescent="0.2">
      <c r="A23" s="2395">
        <v>122</v>
      </c>
      <c r="C23" s="2396">
        <v>12202</v>
      </c>
      <c r="D23" s="2396">
        <v>51143</v>
      </c>
      <c r="E23" s="2397" t="s">
        <v>319</v>
      </c>
      <c r="G23" s="2440" t="s">
        <v>1258</v>
      </c>
      <c r="I23" s="2467"/>
      <c r="M23" s="2467"/>
      <c r="N23" s="2467"/>
      <c r="P23" s="2469"/>
      <c r="V23" s="2470"/>
      <c r="Z23" s="2467"/>
      <c r="AA23" s="2467"/>
      <c r="AC23" s="2469"/>
      <c r="AF23" s="2471">
        <v>1055.3</v>
      </c>
      <c r="AI23" s="2470"/>
      <c r="AJ23" s="2466">
        <f t="shared" si="3"/>
        <v>0</v>
      </c>
      <c r="AK23" s="2468" t="str">
        <f t="shared" si="4"/>
        <v xml:space="preserve"> </v>
      </c>
      <c r="AM23" s="2467">
        <v>2125</v>
      </c>
      <c r="AN23" s="2467">
        <v>2125</v>
      </c>
      <c r="AP23" s="2530" t="s">
        <v>1259</v>
      </c>
      <c r="AR23" s="2466">
        <v>2125</v>
      </c>
      <c r="AS23" s="2466">
        <v>3027.08</v>
      </c>
      <c r="AT23" s="2466"/>
      <c r="AU23" s="2466">
        <v>2120</v>
      </c>
      <c r="AV23" s="2466">
        <v>3701.09</v>
      </c>
      <c r="AX23" s="2466">
        <v>2120</v>
      </c>
      <c r="AY23" s="2470">
        <v>42</v>
      </c>
      <c r="AZ23" s="2466">
        <f>AX23+AY23</f>
        <v>2162</v>
      </c>
      <c r="BA23" s="2468">
        <f>IF(AX23=0," ",(AZ23-AX23)/AX23)</f>
        <v>1.981132075471698E-2</v>
      </c>
      <c r="BC23" s="2467">
        <v>2162</v>
      </c>
      <c r="BD23" s="2467">
        <v>2162</v>
      </c>
      <c r="BF23" s="2531" t="s">
        <v>1260</v>
      </c>
      <c r="BH23" s="2467">
        <v>2162</v>
      </c>
      <c r="BI23" s="2466">
        <v>3327.49</v>
      </c>
      <c r="BM23" s="2466">
        <v>2162</v>
      </c>
      <c r="BN23" s="2470">
        <v>44</v>
      </c>
      <c r="BO23" s="2472">
        <f t="shared" si="5"/>
        <v>2206</v>
      </c>
      <c r="BP23" s="2473">
        <f>IF(BM23=0," ",(BO23-BM23)/BM23)</f>
        <v>2.0351526364477335E-2</v>
      </c>
      <c r="BR23" s="2474">
        <v>2206</v>
      </c>
      <c r="BS23" s="2474">
        <v>2206</v>
      </c>
      <c r="BU23" s="2512" t="s">
        <v>1261</v>
      </c>
      <c r="BW23" s="2474">
        <v>2206</v>
      </c>
      <c r="BX23" s="2466">
        <v>1175.04</v>
      </c>
      <c r="BZ23" s="2474">
        <v>2206</v>
      </c>
      <c r="CA23" s="2470"/>
      <c r="CB23" s="2472">
        <f t="shared" si="6"/>
        <v>2206</v>
      </c>
      <c r="CC23" s="2473">
        <f t="shared" si="7"/>
        <v>0</v>
      </c>
      <c r="CE23" s="2474">
        <v>2250</v>
      </c>
      <c r="CF23" s="2476">
        <f>IF(CB23=0," ",(CE23-CB23)/CB23)</f>
        <v>1.9945602901178604E-2</v>
      </c>
      <c r="CG23" s="2474">
        <v>2250</v>
      </c>
      <c r="CH23" s="2449" t="s">
        <v>1217</v>
      </c>
      <c r="CI23" s="2449"/>
      <c r="CJ23" s="2450"/>
      <c r="CK23" s="2450"/>
      <c r="CO23" s="2477">
        <v>0.53907955596669743</v>
      </c>
      <c r="CP23" s="2478">
        <f t="shared" si="0"/>
        <v>1165.4899999999998</v>
      </c>
      <c r="CQ23" s="2478"/>
      <c r="CR23" s="2478"/>
      <c r="CS23" s="2478"/>
      <c r="CT23" s="2478"/>
    </row>
    <row r="24" spans="1:98" hidden="1" x14ac:dyDescent="0.2">
      <c r="A24" s="2395">
        <v>122</v>
      </c>
      <c r="C24" s="2396">
        <v>12202</v>
      </c>
      <c r="D24" s="2396">
        <v>51144</v>
      </c>
      <c r="E24" s="2397" t="s">
        <v>319</v>
      </c>
      <c r="G24" s="2440" t="s">
        <v>1262</v>
      </c>
      <c r="I24" s="2467"/>
      <c r="M24" s="2467"/>
      <c r="N24" s="2467"/>
      <c r="P24" s="2469"/>
      <c r="V24" s="2470"/>
      <c r="Z24" s="2467"/>
      <c r="AA24" s="2467"/>
      <c r="AC24" s="2469"/>
      <c r="AI24" s="2470"/>
      <c r="AM24" s="2467"/>
      <c r="AN24" s="2467"/>
      <c r="AP24" s="2530"/>
      <c r="AS24" s="2466"/>
      <c r="AT24" s="2466"/>
      <c r="AY24" s="2470"/>
      <c r="BC24" s="2467"/>
      <c r="BD24" s="2467"/>
      <c r="BF24" s="2531"/>
      <c r="BH24" s="2467"/>
      <c r="BN24" s="2470"/>
      <c r="BR24" s="2474"/>
      <c r="BS24" s="2474"/>
      <c r="BU24" s="2512"/>
      <c r="BW24" s="2474">
        <v>0</v>
      </c>
      <c r="BX24" s="2466">
        <v>6803.73</v>
      </c>
      <c r="BZ24" s="2474">
        <v>0</v>
      </c>
      <c r="CA24" s="2470"/>
      <c r="CB24" s="2472">
        <f t="shared" si="6"/>
        <v>0</v>
      </c>
      <c r="CE24" s="2474">
        <v>0</v>
      </c>
      <c r="CF24" s="2476"/>
      <c r="CG24" s="2474">
        <v>0</v>
      </c>
      <c r="CH24" s="2449" t="s">
        <v>1217</v>
      </c>
      <c r="CI24" s="2449"/>
      <c r="CJ24" s="2450" t="s">
        <v>1263</v>
      </c>
      <c r="CK24" s="2518">
        <f t="shared" si="8"/>
        <v>0</v>
      </c>
      <c r="CP24" s="2478">
        <f t="shared" si="0"/>
        <v>0</v>
      </c>
      <c r="CQ24" s="2478"/>
      <c r="CR24" s="2478"/>
      <c r="CS24" s="2478"/>
      <c r="CT24" s="2478"/>
    </row>
    <row r="25" spans="1:98" hidden="1" x14ac:dyDescent="0.2">
      <c r="A25" s="2395">
        <v>122</v>
      </c>
      <c r="C25" s="2396">
        <v>12202</v>
      </c>
      <c r="D25" s="2396">
        <v>51912</v>
      </c>
      <c r="E25" s="2397" t="s">
        <v>319</v>
      </c>
      <c r="G25" s="2440" t="s">
        <v>1264</v>
      </c>
      <c r="I25" s="2467"/>
      <c r="M25" s="2467"/>
      <c r="N25" s="2467"/>
      <c r="P25" s="2469"/>
      <c r="S25" s="2466">
        <v>0</v>
      </c>
      <c r="V25" s="2470"/>
      <c r="Z25" s="2467"/>
      <c r="AA25" s="2467"/>
      <c r="AC25" s="2469"/>
      <c r="AF25" s="2471">
        <v>428.18</v>
      </c>
      <c r="AI25" s="2470"/>
      <c r="AJ25" s="2466">
        <f t="shared" si="3"/>
        <v>0</v>
      </c>
      <c r="AM25" s="2467"/>
      <c r="AN25" s="2467"/>
      <c r="AP25" s="2530"/>
      <c r="AR25" s="2466">
        <v>0</v>
      </c>
      <c r="AS25" s="2466"/>
      <c r="AT25" s="2466"/>
      <c r="AY25" s="2470"/>
      <c r="BC25" s="2467"/>
      <c r="BD25" s="2467"/>
      <c r="BF25" s="2469"/>
      <c r="BH25" s="2467"/>
      <c r="BN25" s="2470"/>
      <c r="BO25" s="2472">
        <f t="shared" si="5"/>
        <v>0</v>
      </c>
      <c r="BR25" s="2474">
        <v>0</v>
      </c>
      <c r="BS25" s="2474">
        <v>0</v>
      </c>
      <c r="BU25" s="2475"/>
      <c r="BW25" s="2474">
        <v>0</v>
      </c>
      <c r="BZ25" s="2474">
        <v>0</v>
      </c>
      <c r="CA25" s="2470"/>
      <c r="CB25" s="2472">
        <f t="shared" si="6"/>
        <v>0</v>
      </c>
      <c r="CE25" s="2474">
        <v>0</v>
      </c>
      <c r="CF25" s="2476"/>
      <c r="CG25" s="2474">
        <v>0</v>
      </c>
      <c r="CH25" s="2449" t="s">
        <v>1217</v>
      </c>
      <c r="CI25" s="2449"/>
      <c r="CJ25" s="2450"/>
      <c r="CK25" s="2450"/>
      <c r="CP25" s="2478">
        <f t="shared" si="0"/>
        <v>0</v>
      </c>
      <c r="CQ25" s="2478"/>
      <c r="CR25" s="2478"/>
      <c r="CS25" s="2478"/>
      <c r="CT25" s="2478"/>
    </row>
    <row r="26" spans="1:98" hidden="1" x14ac:dyDescent="0.2">
      <c r="A26" s="2395">
        <v>122</v>
      </c>
      <c r="B26" s="2440" t="s">
        <v>1214</v>
      </c>
      <c r="C26" s="2396">
        <v>12202</v>
      </c>
      <c r="D26" s="2396">
        <v>51310</v>
      </c>
      <c r="E26" s="2397" t="s">
        <v>319</v>
      </c>
      <c r="F26" s="2440" t="s">
        <v>1214</v>
      </c>
      <c r="G26" s="2440" t="s">
        <v>1265</v>
      </c>
      <c r="H26" s="2466">
        <v>750</v>
      </c>
      <c r="I26" s="2467"/>
      <c r="J26" s="2466">
        <f>H26+I26</f>
        <v>750</v>
      </c>
      <c r="K26" s="2468">
        <f>IF(H26=0," ",(J26-H26)/H26)</f>
        <v>0</v>
      </c>
      <c r="M26" s="2467"/>
      <c r="N26" s="2467"/>
      <c r="P26" s="2469"/>
      <c r="V26" s="2470"/>
      <c r="W26" s="2466">
        <f>U26+V26</f>
        <v>0</v>
      </c>
      <c r="X26" s="2468" t="str">
        <f>IF(U26=0," ",(W26-U26)/U26)</f>
        <v xml:space="preserve"> </v>
      </c>
      <c r="Z26" s="2467"/>
      <c r="AA26" s="2467"/>
      <c r="AC26" s="2469"/>
      <c r="AI26" s="2470"/>
      <c r="AJ26" s="2466">
        <f t="shared" si="3"/>
        <v>0</v>
      </c>
      <c r="AK26" s="2468" t="str">
        <f t="shared" si="4"/>
        <v xml:space="preserve"> </v>
      </c>
      <c r="AM26" s="2467"/>
      <c r="AN26" s="2467"/>
      <c r="AP26" s="2469"/>
      <c r="AR26" s="2466">
        <v>0</v>
      </c>
      <c r="AS26" s="2466"/>
      <c r="AT26" s="2466"/>
      <c r="AY26" s="2470"/>
      <c r="AZ26" s="2466">
        <f>AX26+AY26</f>
        <v>0</v>
      </c>
      <c r="BA26" s="2468" t="str">
        <f>IF(AX26=0," ",(AZ26-AX26)/AX26)</f>
        <v xml:space="preserve"> </v>
      </c>
      <c r="BC26" s="2467"/>
      <c r="BD26" s="2467"/>
      <c r="BF26" s="2469"/>
      <c r="BH26" s="2467"/>
      <c r="BN26" s="2470"/>
      <c r="BO26" s="2472">
        <f t="shared" si="5"/>
        <v>0</v>
      </c>
      <c r="BP26" s="2473" t="str">
        <f>IF(BM26=0," ",(BO26-BM26)/BM26)</f>
        <v xml:space="preserve"> </v>
      </c>
      <c r="BR26" s="2474">
        <v>0</v>
      </c>
      <c r="BS26" s="2474">
        <v>0</v>
      </c>
      <c r="BU26" s="2475"/>
      <c r="BW26" s="2474">
        <v>0</v>
      </c>
      <c r="BZ26" s="2474">
        <v>0</v>
      </c>
      <c r="CA26" s="2470"/>
      <c r="CB26" s="2472">
        <f t="shared" si="6"/>
        <v>0</v>
      </c>
      <c r="CC26" s="2473" t="str">
        <f>IF(BZ26=0," ",(CB26-BZ26)/BZ26)</f>
        <v xml:space="preserve"> </v>
      </c>
      <c r="CE26" s="2474">
        <v>0</v>
      </c>
      <c r="CF26" s="2476" t="str">
        <f>IF(CB26=0," ",(CE26-CB26)/CB26)</f>
        <v xml:space="preserve"> </v>
      </c>
      <c r="CG26" s="2474">
        <v>0</v>
      </c>
      <c r="CH26" s="2449" t="s">
        <v>1217</v>
      </c>
      <c r="CI26" s="2449"/>
      <c r="CJ26" s="2450"/>
      <c r="CK26" s="2450"/>
      <c r="CP26" s="2478">
        <f t="shared" si="0"/>
        <v>0</v>
      </c>
      <c r="CQ26" s="2478"/>
      <c r="CR26" s="2478"/>
      <c r="CS26" s="2478"/>
      <c r="CT26" s="2478"/>
    </row>
    <row r="27" spans="1:98" hidden="1" x14ac:dyDescent="0.2">
      <c r="A27" s="2395">
        <v>122</v>
      </c>
      <c r="B27" s="2440" t="s">
        <v>1214</v>
      </c>
      <c r="C27" s="2396">
        <v>12202</v>
      </c>
      <c r="D27" s="2396">
        <v>51490</v>
      </c>
      <c r="E27" s="2397" t="s">
        <v>319</v>
      </c>
      <c r="F27" s="2440" t="s">
        <v>1214</v>
      </c>
      <c r="G27" s="2440" t="s">
        <v>1266</v>
      </c>
      <c r="H27" s="2519">
        <v>750</v>
      </c>
      <c r="I27" s="2520"/>
      <c r="J27" s="2519">
        <f>H27+I27</f>
        <v>750</v>
      </c>
      <c r="K27" s="2521">
        <f>IF(H27=0," ",(J27-H27)/H27)</f>
        <v>0</v>
      </c>
      <c r="M27" s="2520">
        <v>750</v>
      </c>
      <c r="N27" s="2520">
        <v>750</v>
      </c>
      <c r="P27" s="2522"/>
      <c r="R27" s="2519">
        <v>750</v>
      </c>
      <c r="S27" s="2519">
        <v>750</v>
      </c>
      <c r="U27" s="2519">
        <v>750</v>
      </c>
      <c r="V27" s="2523">
        <v>-750</v>
      </c>
      <c r="W27" s="2519">
        <f>U27+V27</f>
        <v>0</v>
      </c>
      <c r="X27" s="2521">
        <f>IF(U27=0," ",(W27-U27)/U27)</f>
        <v>-1</v>
      </c>
      <c r="Z27" s="2520"/>
      <c r="AA27" s="2520"/>
      <c r="AC27" s="2522" t="s">
        <v>1237</v>
      </c>
      <c r="AE27" s="2519"/>
      <c r="AF27" s="2524"/>
      <c r="AH27" s="2519"/>
      <c r="AI27" s="2523"/>
      <c r="AJ27" s="2519">
        <f t="shared" si="3"/>
        <v>0</v>
      </c>
      <c r="AK27" s="2521" t="str">
        <f t="shared" si="4"/>
        <v xml:space="preserve"> </v>
      </c>
      <c r="AM27" s="2520"/>
      <c r="AN27" s="2520"/>
      <c r="AP27" s="2522"/>
      <c r="AR27" s="2519">
        <v>0</v>
      </c>
      <c r="AS27" s="2519"/>
      <c r="AT27" s="2519"/>
      <c r="AU27" s="2519"/>
      <c r="AV27" s="2519"/>
      <c r="AX27" s="2519"/>
      <c r="AY27" s="2523"/>
      <c r="AZ27" s="2519">
        <f>AX27+AY27</f>
        <v>0</v>
      </c>
      <c r="BA27" s="2521" t="str">
        <f>IF(AX27=0," ",(AZ27-AX27)/AX27)</f>
        <v xml:space="preserve"> </v>
      </c>
      <c r="BC27" s="2520"/>
      <c r="BD27" s="2520"/>
      <c r="BF27" s="2522"/>
      <c r="BH27" s="2520"/>
      <c r="BI27" s="2519"/>
      <c r="BM27" s="2519"/>
      <c r="BN27" s="2523"/>
      <c r="BO27" s="2525">
        <f t="shared" si="5"/>
        <v>0</v>
      </c>
      <c r="BP27" s="2526" t="str">
        <f>IF(BM27=0," ",(BO27-BM27)/BM27)</f>
        <v xml:space="preserve"> </v>
      </c>
      <c r="BR27" s="2527">
        <v>0</v>
      </c>
      <c r="BS27" s="2527">
        <v>0</v>
      </c>
      <c r="BU27" s="2528"/>
      <c r="BW27" s="2527">
        <v>0</v>
      </c>
      <c r="BX27" s="2519"/>
      <c r="BZ27" s="2527">
        <v>0</v>
      </c>
      <c r="CA27" s="2523"/>
      <c r="CB27" s="2525">
        <f t="shared" si="6"/>
        <v>0</v>
      </c>
      <c r="CC27" s="2526" t="str">
        <f>IF(BZ27=0," ",(CB27-BZ27)/BZ27)</f>
        <v xml:space="preserve"> </v>
      </c>
      <c r="CE27" s="2527">
        <v>0</v>
      </c>
      <c r="CF27" s="2529" t="str">
        <f>IF(CB27=0," ",(CE27-CB27)/CB27)</f>
        <v xml:space="preserve"> </v>
      </c>
      <c r="CG27" s="2527">
        <v>0</v>
      </c>
      <c r="CH27" s="2449" t="s">
        <v>1217</v>
      </c>
      <c r="CI27" s="2449"/>
      <c r="CJ27" s="2450"/>
      <c r="CK27" s="2450"/>
      <c r="CP27" s="2478">
        <f t="shared" si="0"/>
        <v>0</v>
      </c>
      <c r="CQ27" s="2478"/>
      <c r="CR27" s="2478"/>
      <c r="CS27" s="2478"/>
      <c r="CT27" s="2478"/>
    </row>
    <row r="28" spans="1:98" hidden="1" x14ac:dyDescent="0.2">
      <c r="H28" s="2466">
        <f t="shared" ref="H28" si="9">SUM(H20:H27)</f>
        <v>116905</v>
      </c>
      <c r="I28" s="2466">
        <f>SUM(I20:I27)</f>
        <v>2073.3999999999996</v>
      </c>
      <c r="J28" s="2466">
        <f>SUM(J20:J27)</f>
        <v>118978.4</v>
      </c>
      <c r="K28" s="2468">
        <f>IF(H28=0," ",(J28-H28)/H28)</f>
        <v>1.7735768358923862E-2</v>
      </c>
      <c r="M28" s="2466">
        <f>SUM(M20:M27)</f>
        <v>118229</v>
      </c>
      <c r="N28" s="2466">
        <f>SUM(N20:N27)</f>
        <v>118229</v>
      </c>
      <c r="P28" s="2493">
        <f>SUM(P20:P27)</f>
        <v>0</v>
      </c>
      <c r="R28" s="2466">
        <f>SUM(R20:R27)</f>
        <v>118229</v>
      </c>
      <c r="S28" s="2466">
        <f>SUM(S20:S27)</f>
        <v>116721.61</v>
      </c>
      <c r="U28" s="2466">
        <f>SUM(U20:U27)</f>
        <v>118229</v>
      </c>
      <c r="V28" s="2466">
        <f>SUM(V20:V27)</f>
        <v>-55017</v>
      </c>
      <c r="W28" s="2466">
        <f>SUM(W20:W27)</f>
        <v>63212</v>
      </c>
      <c r="X28" s="2468">
        <f>IF(U28=0," ",(W28-U28)/U28)</f>
        <v>-0.46534268242140253</v>
      </c>
      <c r="Z28" s="2466">
        <f>SUM(Z20:Z27)</f>
        <v>63212</v>
      </c>
      <c r="AA28" s="2466">
        <f>SUM(AA20:AA27)</f>
        <v>63212</v>
      </c>
      <c r="AE28" s="2466">
        <f>SUM(AE20:AE27)</f>
        <v>63212</v>
      </c>
      <c r="AF28" s="2471">
        <f>SUM(AF20:AF27)</f>
        <v>64655.51</v>
      </c>
      <c r="AH28" s="2466">
        <v>63212</v>
      </c>
      <c r="AI28" s="2466">
        <f>SUM(AI20:AI27)</f>
        <v>3673</v>
      </c>
      <c r="AJ28" s="2466">
        <f>SUM(AJ20:AJ27)</f>
        <v>66885</v>
      </c>
      <c r="AK28" s="2468">
        <f t="shared" si="4"/>
        <v>5.8106055812187557E-2</v>
      </c>
      <c r="AM28" s="2466">
        <f>SUM(AM20:AM27)</f>
        <v>69010</v>
      </c>
      <c r="AN28" s="2466">
        <f>SUM(AN20:AN27)</f>
        <v>69010</v>
      </c>
      <c r="AR28" s="2466">
        <f>SUM(AR20:AR27)</f>
        <v>69010</v>
      </c>
      <c r="AS28" s="2466">
        <f>SUM(AS20:AS27)</f>
        <v>69982.22</v>
      </c>
      <c r="AT28" s="2466"/>
      <c r="AU28" s="2466">
        <f>SUM(AU20:AU27)</f>
        <v>70452</v>
      </c>
      <c r="AV28" s="2466">
        <f>SUM(AV20:AV27)</f>
        <v>72097.7</v>
      </c>
      <c r="AX28" s="2466">
        <f>SUM(AX20:AX27)</f>
        <v>70452</v>
      </c>
      <c r="AY28" s="2466">
        <f>SUM(AY20:AY27)</f>
        <v>1416</v>
      </c>
      <c r="AZ28" s="2466">
        <f>SUM(AZ20:AZ27)</f>
        <v>71868</v>
      </c>
      <c r="BA28" s="2468">
        <f>IF(AX28=0," ",(AZ28-AX28)/AX28)</f>
        <v>2.0098790665985352E-2</v>
      </c>
      <c r="BC28" s="2466">
        <f>SUM(BC20:BC27)</f>
        <v>71868</v>
      </c>
      <c r="BD28" s="2466">
        <f>SUM(BD20:BD27)</f>
        <v>71868</v>
      </c>
      <c r="BH28" s="2466">
        <f>SUM(BH20:BH27)</f>
        <v>71868</v>
      </c>
      <c r="BI28" s="2466">
        <f>SUM(BI20:BI27)</f>
        <v>77507.25</v>
      </c>
      <c r="BM28" s="2466">
        <f>SUM(BM20:BM27)</f>
        <v>71868</v>
      </c>
      <c r="BN28" s="2466">
        <f>SUM(BN20:BN27)</f>
        <v>1121</v>
      </c>
      <c r="BO28" s="2472">
        <f>SUM(BO20:BO27)</f>
        <v>72989</v>
      </c>
      <c r="BP28" s="2473">
        <f>IF(BM28=0," ",(BO28-BM28)/BM28)</f>
        <v>1.5598040852674347E-2</v>
      </c>
      <c r="BR28" s="2472">
        <f>SUM(BR20:BR27)</f>
        <v>72989</v>
      </c>
      <c r="BS28" s="2472">
        <f>SUM(BS20:BS27)</f>
        <v>81402</v>
      </c>
      <c r="BW28" s="2472">
        <f>SUM(BW20:BW27)</f>
        <v>81402</v>
      </c>
      <c r="BX28" s="2466">
        <f>SUM(BX20:BX27)</f>
        <v>23896.13</v>
      </c>
      <c r="BZ28" s="2472">
        <f>SUM(BZ20:BZ27)</f>
        <v>81402</v>
      </c>
      <c r="CA28" s="2466">
        <f>SUM(CA20:CA27)</f>
        <v>-2285</v>
      </c>
      <c r="CB28" s="2472">
        <f>SUM(CB20:CB27)</f>
        <v>79117</v>
      </c>
      <c r="CC28" s="2473">
        <f>IF(BZ28=0," ",(CB28-BZ28)/BZ28)</f>
        <v>-2.8070563376821209E-2</v>
      </c>
      <c r="CE28" s="2472">
        <f>SUM(CE20:CE27)</f>
        <v>80697</v>
      </c>
      <c r="CF28" s="2473">
        <f>IF(CB28=0," ",(CE28-CB28)/CB28)</f>
        <v>1.9970423549932378E-2</v>
      </c>
      <c r="CG28" s="2472">
        <f>SUM(CG20:CG27)</f>
        <v>75569</v>
      </c>
      <c r="CH28" s="2449" t="s">
        <v>1243</v>
      </c>
      <c r="CI28" s="2449"/>
      <c r="CJ28" s="2450"/>
      <c r="CK28" s="2450"/>
      <c r="CO28" s="2477">
        <v>7.846677241609612E-2</v>
      </c>
      <c r="CP28" s="2478">
        <f t="shared" si="0"/>
        <v>5639.25</v>
      </c>
      <c r="CQ28" s="2478"/>
      <c r="CR28" s="2478"/>
      <c r="CS28" s="2478"/>
      <c r="CT28" s="2478"/>
    </row>
    <row r="29" spans="1:98" hidden="1" x14ac:dyDescent="0.2">
      <c r="AS29" s="2466"/>
      <c r="AT29" s="2466"/>
      <c r="BZ29" s="2472"/>
      <c r="CH29" s="2449" t="s">
        <v>1091</v>
      </c>
      <c r="CI29" s="2449"/>
      <c r="CJ29" s="2450"/>
      <c r="CK29" s="2450"/>
      <c r="CP29" s="2478">
        <f t="shared" si="0"/>
        <v>0</v>
      </c>
      <c r="CQ29" s="2478"/>
      <c r="CR29" s="2478"/>
      <c r="CS29" s="2478"/>
      <c r="CT29" s="2478"/>
    </row>
    <row r="30" spans="1:98" s="2485" customFormat="1" hidden="1" x14ac:dyDescent="0.2">
      <c r="A30" s="2532"/>
      <c r="B30" s="2533"/>
      <c r="C30" s="2534"/>
      <c r="D30" s="2534"/>
      <c r="E30" s="2535"/>
      <c r="F30" s="2533"/>
      <c r="G30" s="2533" t="s">
        <v>1267</v>
      </c>
      <c r="H30" s="2536">
        <f t="shared" ref="H30" si="10">H18+H28</f>
        <v>234354</v>
      </c>
      <c r="I30" s="2536">
        <f>I18+I28</f>
        <v>16329.4</v>
      </c>
      <c r="J30" s="2536">
        <f>J18+J28</f>
        <v>250683.4</v>
      </c>
      <c r="K30" s="2484">
        <f>IF(H30=0," ",(J30-H30)/H30)</f>
        <v>6.9678349846812912E-2</v>
      </c>
      <c r="M30" s="2536">
        <f>M18+M28</f>
        <v>249934</v>
      </c>
      <c r="N30" s="2536">
        <f>N18+N28</f>
        <v>249934</v>
      </c>
      <c r="P30" s="2537">
        <f>P18+P28</f>
        <v>0</v>
      </c>
      <c r="R30" s="2536">
        <f>R18+R28</f>
        <v>249934</v>
      </c>
      <c r="S30" s="2536">
        <f>S18+S28</f>
        <v>248789.76000000001</v>
      </c>
      <c r="U30" s="2536">
        <f>U18+U28</f>
        <v>249934</v>
      </c>
      <c r="V30" s="2536">
        <f>V18+V28</f>
        <v>14677</v>
      </c>
      <c r="W30" s="2536">
        <f>W18+W28</f>
        <v>264611</v>
      </c>
      <c r="X30" s="2484">
        <f>IF(U30=0," ",(W30-U30)/U30)</f>
        <v>5.8723503004793266E-2</v>
      </c>
      <c r="Z30" s="2536">
        <f>Z18+Z28</f>
        <v>264611</v>
      </c>
      <c r="AA30" s="2536">
        <f>AA18+AA28</f>
        <v>264611</v>
      </c>
      <c r="AC30" s="2537"/>
      <c r="AE30" s="2536">
        <f>AE18+AE28</f>
        <v>264611</v>
      </c>
      <c r="AF30" s="2538">
        <f>AF18+AF28</f>
        <v>352749.02</v>
      </c>
      <c r="AH30" s="2538">
        <f>AH18+AH28</f>
        <v>264611</v>
      </c>
      <c r="AI30" s="2538">
        <f>AI18+AI28</f>
        <v>7412</v>
      </c>
      <c r="AJ30" s="2538">
        <f>AJ18+AJ28</f>
        <v>272023</v>
      </c>
      <c r="AK30" s="2484">
        <f>IF(AH30=0," ",(AJ30-AH30)/AH30)</f>
        <v>2.8010929250862588E-2</v>
      </c>
      <c r="AM30" s="2538">
        <f>AM18+AM28</f>
        <v>274148</v>
      </c>
      <c r="AN30" s="2538">
        <f>AN18+AN28</f>
        <v>274148</v>
      </c>
      <c r="AP30" s="2537"/>
      <c r="AR30" s="2536">
        <f>AR18+AR28</f>
        <v>274148</v>
      </c>
      <c r="AS30" s="2536">
        <f>AS18+AS28</f>
        <v>264488.41000000003</v>
      </c>
      <c r="AT30" s="2536"/>
      <c r="AU30" s="2536">
        <f>AU18+AU28</f>
        <v>280015</v>
      </c>
      <c r="AV30" s="2536">
        <f>AV18+AV28</f>
        <v>281586.09999999998</v>
      </c>
      <c r="AX30" s="2536">
        <f>AX18+AX28</f>
        <v>280015</v>
      </c>
      <c r="AY30" s="2536">
        <f>AY18+AY28</f>
        <v>5536</v>
      </c>
      <c r="AZ30" s="2536">
        <f>AZ18+AZ28</f>
        <v>285551</v>
      </c>
      <c r="BA30" s="2484">
        <f>IF(AX30=0," ",(AZ30-AX30)/AX30)</f>
        <v>1.9770369444494045E-2</v>
      </c>
      <c r="BC30" s="2536">
        <f>BC18+BC28</f>
        <v>285551</v>
      </c>
      <c r="BD30" s="2536">
        <f>BD18+BD28</f>
        <v>285551</v>
      </c>
      <c r="BF30" s="2537"/>
      <c r="BH30" s="2536">
        <f>BH18+BH28</f>
        <v>285551</v>
      </c>
      <c r="BI30" s="2536">
        <f>BI18+BI28</f>
        <v>278833.49</v>
      </c>
      <c r="BJ30" s="2536"/>
      <c r="BK30" s="2536"/>
      <c r="BM30" s="2536">
        <f>BM18+BM28</f>
        <v>285551</v>
      </c>
      <c r="BN30" s="2539">
        <f>BN18+BN28</f>
        <v>1833</v>
      </c>
      <c r="BO30" s="2540">
        <f>BO18+BO28</f>
        <v>287384</v>
      </c>
      <c r="BP30" s="2490">
        <f>IF(BM30=0," ",(BO30-BM30)/BM30)</f>
        <v>6.4191685548290849E-3</v>
      </c>
      <c r="BQ30" s="2491"/>
      <c r="BR30" s="2540">
        <f>BR18+BR28</f>
        <v>287384</v>
      </c>
      <c r="BS30" s="2540">
        <f>BS18+BS28</f>
        <v>309137</v>
      </c>
      <c r="BT30" s="2491"/>
      <c r="BU30" s="2541"/>
      <c r="BV30" s="2491"/>
      <c r="BW30" s="2540">
        <f>BW18+BW28</f>
        <v>309137</v>
      </c>
      <c r="BX30" s="2536">
        <f>BX18+BX28</f>
        <v>127873.13</v>
      </c>
      <c r="BZ30" s="2540">
        <f>BZ18+BZ28</f>
        <v>309137</v>
      </c>
      <c r="CA30" s="2539">
        <f>CA18+CA28</f>
        <v>429</v>
      </c>
      <c r="CB30" s="2540">
        <f>CB18+CB28</f>
        <v>309566</v>
      </c>
      <c r="CC30" s="2490">
        <f>IF(BZ30=0," ",(CB30-BZ30)/BZ30)</f>
        <v>1.3877342408058562E-3</v>
      </c>
      <c r="CD30" s="2491"/>
      <c r="CE30" s="2540">
        <f>CE18+CE28</f>
        <v>313043</v>
      </c>
      <c r="CF30" s="2490">
        <f>IF(CB30=0," ",(CE30-CB30)/CB30)</f>
        <v>1.1231853627336336E-2</v>
      </c>
      <c r="CG30" s="2540">
        <f>CG18+CG28</f>
        <v>307915</v>
      </c>
      <c r="CH30" s="2449" t="s">
        <v>1220</v>
      </c>
      <c r="CI30" s="2449"/>
      <c r="CJ30" s="2450"/>
      <c r="CK30" s="2450"/>
      <c r="CL30" s="2451"/>
      <c r="CM30" s="2451"/>
      <c r="CN30" s="2451"/>
      <c r="CO30" s="2477">
        <v>-2.3524729382842335E-2</v>
      </c>
      <c r="CP30" s="2478">
        <f t="shared" si="0"/>
        <v>-6717.5100000000093</v>
      </c>
      <c r="CQ30" s="2478"/>
      <c r="CR30" s="2478"/>
      <c r="CS30" s="2478"/>
      <c r="CT30" s="2478"/>
    </row>
    <row r="31" spans="1:98" hidden="1" x14ac:dyDescent="0.2">
      <c r="AS31" s="2466"/>
      <c r="AT31" s="2466"/>
      <c r="BZ31" s="2472"/>
      <c r="CH31" s="2449" t="s">
        <v>1091</v>
      </c>
      <c r="CI31" s="2449"/>
      <c r="CJ31" s="2450"/>
      <c r="CK31" s="2450"/>
      <c r="CP31" s="2478">
        <f t="shared" si="0"/>
        <v>0</v>
      </c>
      <c r="CQ31" s="2478"/>
      <c r="CR31" s="2478"/>
      <c r="CS31" s="2478"/>
      <c r="CT31" s="2478"/>
    </row>
    <row r="32" spans="1:98" hidden="1" x14ac:dyDescent="0.2">
      <c r="A32" s="2395">
        <v>122</v>
      </c>
      <c r="B32" s="2440" t="s">
        <v>1214</v>
      </c>
      <c r="C32" s="2396">
        <v>12205</v>
      </c>
      <c r="D32" s="2396">
        <v>53200</v>
      </c>
      <c r="E32" s="2397" t="s">
        <v>1268</v>
      </c>
      <c r="F32" s="2440" t="s">
        <v>1214</v>
      </c>
      <c r="G32" s="2440" t="s">
        <v>1269</v>
      </c>
      <c r="H32" s="2466">
        <v>4491</v>
      </c>
      <c r="I32" s="2467">
        <v>89</v>
      </c>
      <c r="J32" s="2466">
        <f>H32+I32</f>
        <v>4580</v>
      </c>
      <c r="K32" s="2468">
        <f>IF(H32=0," ",(J32-H32)/H32)</f>
        <v>1.9817412602983746E-2</v>
      </c>
      <c r="M32" s="2467">
        <v>4580</v>
      </c>
      <c r="N32" s="2467">
        <v>4580</v>
      </c>
      <c r="P32" s="2469"/>
      <c r="R32" s="2466">
        <v>4580</v>
      </c>
      <c r="S32" s="2466">
        <v>5189.6400000000003</v>
      </c>
      <c r="U32" s="2466">
        <v>4580</v>
      </c>
      <c r="V32" s="2470">
        <v>0</v>
      </c>
      <c r="W32" s="2466">
        <f>U32+V32</f>
        <v>4580</v>
      </c>
      <c r="X32" s="2468">
        <f>IF(U32=0," ",(W32-U32)/U32)</f>
        <v>0</v>
      </c>
      <c r="Z32" s="2467">
        <v>4580</v>
      </c>
      <c r="AA32" s="2467">
        <v>4580</v>
      </c>
      <c r="AC32" s="2469"/>
      <c r="AE32" s="2466">
        <v>4580</v>
      </c>
      <c r="AF32" s="2471">
        <v>5185.6000000000004</v>
      </c>
      <c r="AH32" s="2466">
        <v>4580</v>
      </c>
      <c r="AI32" s="2470"/>
      <c r="AJ32" s="2466">
        <f>AH32+AI32</f>
        <v>4580</v>
      </c>
      <c r="AK32" s="2468">
        <f>IF(AH32=0," ",(AJ32-AH32)/AH32)</f>
        <v>0</v>
      </c>
      <c r="AM32" s="2467">
        <v>4580</v>
      </c>
      <c r="AN32" s="2467">
        <v>4580</v>
      </c>
      <c r="AP32" s="2469"/>
      <c r="AR32" s="2466">
        <v>4580</v>
      </c>
      <c r="AS32" s="2466">
        <v>1412.79</v>
      </c>
      <c r="AT32" s="2466"/>
      <c r="AU32" s="2466">
        <v>5130</v>
      </c>
      <c r="AV32" s="2466">
        <v>50</v>
      </c>
      <c r="AX32" s="2466">
        <v>5130</v>
      </c>
      <c r="AY32" s="2470"/>
      <c r="AZ32" s="2466">
        <f>AX32+AY32</f>
        <v>5130</v>
      </c>
      <c r="BA32" s="2468">
        <f>IF(AX32=0," ",(AZ32-AX32)/AX32)</f>
        <v>0</v>
      </c>
      <c r="BC32" s="2467">
        <v>5130</v>
      </c>
      <c r="BD32" s="2467">
        <v>5130</v>
      </c>
      <c r="BF32" s="2469"/>
      <c r="BH32" s="2467">
        <v>5130</v>
      </c>
      <c r="BI32" s="2466">
        <v>360</v>
      </c>
      <c r="BM32" s="2466">
        <v>5130</v>
      </c>
      <c r="BN32" s="2470">
        <v>-500</v>
      </c>
      <c r="BO32" s="2472">
        <f>BM32+BN32</f>
        <v>4630</v>
      </c>
      <c r="BP32" s="2473">
        <f>IF(BM32=0," ",(BO32-BM32)/BM32)</f>
        <v>-9.7465886939571145E-2</v>
      </c>
      <c r="BR32" s="2474">
        <v>4630</v>
      </c>
      <c r="BS32" s="2474">
        <v>4630</v>
      </c>
      <c r="BU32" s="2475"/>
      <c r="BW32" s="2474">
        <v>4630</v>
      </c>
      <c r="BX32" s="2466">
        <v>2085</v>
      </c>
      <c r="BZ32" s="2474">
        <v>4630</v>
      </c>
      <c r="CA32" s="2470"/>
      <c r="CB32" s="2472">
        <f>BZ32+CA32</f>
        <v>4630</v>
      </c>
      <c r="CC32" s="2473">
        <f>IF(BZ32=0," ",(CB32-BZ32)/BZ32)</f>
        <v>0</v>
      </c>
      <c r="CE32" s="2474">
        <v>4630</v>
      </c>
      <c r="CF32" s="2476">
        <f t="shared" ref="CF32:CF40" si="11">IF(CB32=0," ",(CE32-CB32)/CB32)</f>
        <v>0</v>
      </c>
      <c r="CG32" s="2474">
        <v>4630</v>
      </c>
      <c r="CH32" s="2449" t="s">
        <v>1217</v>
      </c>
      <c r="CI32" s="2449"/>
      <c r="CJ32" s="2450"/>
      <c r="CK32" s="2450"/>
      <c r="CO32" s="2477">
        <v>-0.92982456140350878</v>
      </c>
      <c r="CP32" s="2478">
        <f t="shared" si="0"/>
        <v>-4770</v>
      </c>
      <c r="CQ32" s="2478"/>
      <c r="CR32" s="2478"/>
      <c r="CS32" s="2478"/>
      <c r="CT32" s="2478"/>
    </row>
    <row r="33" spans="1:98" hidden="1" x14ac:dyDescent="0.2">
      <c r="A33" s="2395">
        <v>122</v>
      </c>
      <c r="B33" s="2440" t="s">
        <v>1214</v>
      </c>
      <c r="C33" s="2396">
        <v>12205</v>
      </c>
      <c r="D33" s="2396">
        <v>53400</v>
      </c>
      <c r="E33" s="2397" t="s">
        <v>1268</v>
      </c>
      <c r="F33" s="2440" t="s">
        <v>1214</v>
      </c>
      <c r="G33" s="2440" t="s">
        <v>1270</v>
      </c>
      <c r="H33" s="2466">
        <v>23925</v>
      </c>
      <c r="I33" s="2467">
        <v>-23925</v>
      </c>
      <c r="J33" s="2466">
        <f t="shared" ref="J33:J39" si="12">H33+I33</f>
        <v>0</v>
      </c>
      <c r="K33" s="2468">
        <f t="shared" ref="K33:K38" si="13">IF(H33=0," ",(J33-H33)/H33)</f>
        <v>-1</v>
      </c>
      <c r="M33" s="2467">
        <v>0</v>
      </c>
      <c r="N33" s="2467">
        <v>0</v>
      </c>
      <c r="P33" s="2469" t="s">
        <v>1271</v>
      </c>
      <c r="R33" s="2466">
        <v>0</v>
      </c>
      <c r="S33" s="2466">
        <v>560.89</v>
      </c>
      <c r="U33" s="2466">
        <v>0</v>
      </c>
      <c r="V33" s="2470">
        <v>0</v>
      </c>
      <c r="W33" s="2466">
        <f t="shared" ref="W33:W39" si="14">U33+V33</f>
        <v>0</v>
      </c>
      <c r="X33" s="2468" t="str">
        <f>IF(U33=0," ",(W33-U33)/U33)</f>
        <v xml:space="preserve"> </v>
      </c>
      <c r="Z33" s="2467"/>
      <c r="AA33" s="2467"/>
      <c r="AC33" s="2469"/>
      <c r="AF33" s="2471">
        <v>0</v>
      </c>
      <c r="AI33" s="2470"/>
      <c r="AJ33" s="2466">
        <f t="shared" ref="AJ33:AJ39" si="15">AH33+AI33</f>
        <v>0</v>
      </c>
      <c r="AK33" s="2468" t="str">
        <f>IF(AH33=0," ",(AJ33-AH33)/AH33)</f>
        <v xml:space="preserve"> </v>
      </c>
      <c r="AM33" s="2467">
        <v>0</v>
      </c>
      <c r="AN33" s="2467">
        <v>0</v>
      </c>
      <c r="AP33" s="2469"/>
      <c r="AR33" s="2466">
        <v>0</v>
      </c>
      <c r="AS33" s="2466"/>
      <c r="AT33" s="2466"/>
      <c r="AY33" s="2470"/>
      <c r="AZ33" s="2466">
        <f t="shared" ref="AZ33:AZ39" si="16">AX33+AY33</f>
        <v>0</v>
      </c>
      <c r="BA33" s="2468" t="str">
        <f t="shared" ref="BA33:BA40" si="17">IF(AX33=0," ",(AZ33-AX33)/AX33)</f>
        <v xml:space="preserve"> </v>
      </c>
      <c r="BC33" s="2467"/>
      <c r="BD33" s="2467"/>
      <c r="BF33" s="2469"/>
      <c r="BH33" s="2467"/>
      <c r="BN33" s="2470"/>
      <c r="BO33" s="2472">
        <f t="shared" ref="BO33:BO39" si="18">BM33+BN33</f>
        <v>0</v>
      </c>
      <c r="BP33" s="2473" t="str">
        <f t="shared" ref="BP33:BP40" si="19">IF(BM33=0," ",(BO33-BM33)/BM33)</f>
        <v xml:space="preserve"> </v>
      </c>
      <c r="BR33" s="2474">
        <v>0</v>
      </c>
      <c r="BS33" s="2474">
        <v>0</v>
      </c>
      <c r="BU33" s="2475"/>
      <c r="BW33" s="2474">
        <v>0</v>
      </c>
      <c r="BZ33" s="2474">
        <v>0</v>
      </c>
      <c r="CA33" s="2470"/>
      <c r="CB33" s="2472">
        <f t="shared" ref="CB33:CB39" si="20">BZ33+CA33</f>
        <v>0</v>
      </c>
      <c r="CC33" s="2473" t="str">
        <f t="shared" ref="CC33:CC40" si="21">IF(BZ33=0," ",(CB33-BZ33)/BZ33)</f>
        <v xml:space="preserve"> </v>
      </c>
      <c r="CE33" s="2474">
        <v>0</v>
      </c>
      <c r="CF33" s="2476" t="str">
        <f t="shared" si="11"/>
        <v xml:space="preserve"> </v>
      </c>
      <c r="CG33" s="2474">
        <v>0</v>
      </c>
      <c r="CH33" s="2449" t="s">
        <v>1217</v>
      </c>
      <c r="CI33" s="2449"/>
      <c r="CJ33" s="2450"/>
      <c r="CK33" s="2450"/>
      <c r="CP33" s="2478">
        <f t="shared" si="0"/>
        <v>0</v>
      </c>
      <c r="CQ33" s="2478"/>
      <c r="CR33" s="2478"/>
      <c r="CS33" s="2478"/>
      <c r="CT33" s="2478"/>
    </row>
    <row r="34" spans="1:98" hidden="1" x14ac:dyDescent="0.2">
      <c r="A34" s="2395">
        <v>122</v>
      </c>
      <c r="B34" s="2440" t="s">
        <v>1214</v>
      </c>
      <c r="C34" s="2396">
        <v>12205</v>
      </c>
      <c r="D34" s="2396">
        <v>53422</v>
      </c>
      <c r="E34" s="2397" t="s">
        <v>1268</v>
      </c>
      <c r="F34" s="2440" t="s">
        <v>1214</v>
      </c>
      <c r="G34" s="2440" t="s">
        <v>1272</v>
      </c>
      <c r="H34" s="2466">
        <v>4721</v>
      </c>
      <c r="I34" s="2467"/>
      <c r="J34" s="2466">
        <f t="shared" si="12"/>
        <v>4721</v>
      </c>
      <c r="K34" s="2468">
        <f t="shared" si="13"/>
        <v>0</v>
      </c>
      <c r="M34" s="2467">
        <v>4721</v>
      </c>
      <c r="N34" s="2467">
        <v>4721</v>
      </c>
      <c r="P34" s="2469"/>
      <c r="R34" s="2466">
        <v>4721</v>
      </c>
      <c r="S34" s="2466">
        <v>2734.15</v>
      </c>
      <c r="U34" s="2466">
        <v>4721</v>
      </c>
      <c r="V34" s="2470">
        <v>0</v>
      </c>
      <c r="W34" s="2466">
        <f t="shared" si="14"/>
        <v>4721</v>
      </c>
      <c r="X34" s="2468">
        <f t="shared" ref="X34:X39" si="22">IF(U34=0," ",(W34-U34)/U34)</f>
        <v>0</v>
      </c>
      <c r="Z34" s="2467">
        <v>4721</v>
      </c>
      <c r="AA34" s="2467">
        <v>4721</v>
      </c>
      <c r="AC34" s="2469"/>
      <c r="AE34" s="2466">
        <v>4721</v>
      </c>
      <c r="AF34" s="2471">
        <v>3016.34</v>
      </c>
      <c r="AH34" s="2466">
        <v>4721</v>
      </c>
      <c r="AI34" s="2470"/>
      <c r="AJ34" s="2466">
        <f t="shared" si="15"/>
        <v>4721</v>
      </c>
      <c r="AK34" s="2468">
        <f>IF(AH34=0," ",(AJ34-AH34)/AH34)</f>
        <v>0</v>
      </c>
      <c r="AM34" s="2467">
        <v>4721</v>
      </c>
      <c r="AN34" s="2467">
        <v>4721</v>
      </c>
      <c r="AP34" s="2469"/>
      <c r="AR34" s="2466">
        <v>4721</v>
      </c>
      <c r="AS34" s="2466">
        <v>3068.85</v>
      </c>
      <c r="AT34" s="2466"/>
      <c r="AU34" s="2466">
        <v>4721</v>
      </c>
      <c r="AV34" s="2466">
        <v>3242.58</v>
      </c>
      <c r="AX34" s="2466">
        <v>4721</v>
      </c>
      <c r="AY34" s="2542">
        <v>-1000</v>
      </c>
      <c r="AZ34" s="2466">
        <f t="shared" si="16"/>
        <v>3721</v>
      </c>
      <c r="BA34" s="2468">
        <f t="shared" si="17"/>
        <v>-0.21181952976064394</v>
      </c>
      <c r="BC34" s="2467">
        <v>3721</v>
      </c>
      <c r="BD34" s="2467">
        <v>3721</v>
      </c>
      <c r="BF34" s="2543" t="s">
        <v>1273</v>
      </c>
      <c r="BH34" s="2467">
        <v>3721</v>
      </c>
      <c r="BI34" s="2466">
        <v>3299.12</v>
      </c>
      <c r="BM34" s="2466">
        <v>3721</v>
      </c>
      <c r="BN34" s="2470"/>
      <c r="BO34" s="2472">
        <f t="shared" si="18"/>
        <v>3721</v>
      </c>
      <c r="BP34" s="2473">
        <f t="shared" si="19"/>
        <v>0</v>
      </c>
      <c r="BR34" s="2474">
        <v>3721</v>
      </c>
      <c r="BS34" s="2474">
        <v>3721</v>
      </c>
      <c r="BU34" s="2544"/>
      <c r="BW34" s="2474">
        <v>3721</v>
      </c>
      <c r="BZ34" s="2474">
        <v>3721</v>
      </c>
      <c r="CA34" s="2470">
        <v>-221</v>
      </c>
      <c r="CB34" s="2472">
        <f t="shared" si="20"/>
        <v>3500</v>
      </c>
      <c r="CC34" s="2473">
        <f t="shared" si="21"/>
        <v>-5.9392636388067722E-2</v>
      </c>
      <c r="CE34" s="2474">
        <v>3500</v>
      </c>
      <c r="CF34" s="2476">
        <f t="shared" si="11"/>
        <v>0</v>
      </c>
      <c r="CG34" s="2474">
        <v>3500</v>
      </c>
      <c r="CH34" s="2449" t="s">
        <v>1217</v>
      </c>
      <c r="CI34" s="2449"/>
      <c r="CJ34" s="2450"/>
      <c r="CK34" s="2450"/>
      <c r="CO34" s="2477">
        <v>-0.11337812416017201</v>
      </c>
      <c r="CP34" s="2478">
        <f t="shared" si="0"/>
        <v>-421.88000000000011</v>
      </c>
      <c r="CQ34" s="2478"/>
      <c r="CR34" s="2478"/>
      <c r="CS34" s="2478"/>
      <c r="CT34" s="2478"/>
    </row>
    <row r="35" spans="1:98" hidden="1" x14ac:dyDescent="0.2">
      <c r="A35" s="2395">
        <v>122</v>
      </c>
      <c r="B35" s="2440" t="s">
        <v>1214</v>
      </c>
      <c r="C35" s="2396">
        <v>12205</v>
      </c>
      <c r="D35" s="2396">
        <v>53430</v>
      </c>
      <c r="E35" s="2397" t="s">
        <v>1268</v>
      </c>
      <c r="F35" s="2440" t="s">
        <v>1214</v>
      </c>
      <c r="G35" s="2440" t="s">
        <v>1274</v>
      </c>
      <c r="H35" s="2466">
        <v>710</v>
      </c>
      <c r="I35" s="2467"/>
      <c r="J35" s="2466">
        <f t="shared" si="12"/>
        <v>710</v>
      </c>
      <c r="K35" s="2468">
        <f t="shared" si="13"/>
        <v>0</v>
      </c>
      <c r="M35" s="2467">
        <v>710</v>
      </c>
      <c r="N35" s="2467">
        <v>710</v>
      </c>
      <c r="P35" s="2469"/>
      <c r="R35" s="2466">
        <v>710</v>
      </c>
      <c r="S35" s="2466">
        <v>439.59</v>
      </c>
      <c r="U35" s="2466">
        <v>710</v>
      </c>
      <c r="V35" s="2470">
        <v>0</v>
      </c>
      <c r="W35" s="2466">
        <f t="shared" si="14"/>
        <v>710</v>
      </c>
      <c r="X35" s="2468">
        <f t="shared" si="22"/>
        <v>0</v>
      </c>
      <c r="Z35" s="2467">
        <v>710</v>
      </c>
      <c r="AA35" s="2467">
        <v>710</v>
      </c>
      <c r="AC35" s="2469"/>
      <c r="AE35" s="2466">
        <v>710</v>
      </c>
      <c r="AF35" s="2471">
        <v>141.05000000000001</v>
      </c>
      <c r="AH35" s="2466">
        <v>710</v>
      </c>
      <c r="AI35" s="2470"/>
      <c r="AJ35" s="2466">
        <f t="shared" si="15"/>
        <v>710</v>
      </c>
      <c r="AK35" s="2468">
        <f>IF(AH35=0," ",(AJ35-AH35)/AH35)</f>
        <v>0</v>
      </c>
      <c r="AM35" s="2467">
        <v>710</v>
      </c>
      <c r="AN35" s="2467">
        <v>710</v>
      </c>
      <c r="AP35" s="2469"/>
      <c r="AR35" s="2466">
        <v>710</v>
      </c>
      <c r="AS35" s="2466">
        <v>647.14</v>
      </c>
      <c r="AT35" s="2466"/>
      <c r="AU35" s="2466">
        <v>710</v>
      </c>
      <c r="AV35" s="2466">
        <v>728.79</v>
      </c>
      <c r="AX35" s="2466">
        <v>710</v>
      </c>
      <c r="AY35" s="2470"/>
      <c r="AZ35" s="2466">
        <f t="shared" si="16"/>
        <v>710</v>
      </c>
      <c r="BA35" s="2468">
        <f t="shared" si="17"/>
        <v>0</v>
      </c>
      <c r="BC35" s="2467">
        <v>710</v>
      </c>
      <c r="BD35" s="2467">
        <v>710</v>
      </c>
      <c r="BF35" s="2469"/>
      <c r="BH35" s="2467">
        <v>710</v>
      </c>
      <c r="BI35" s="2466">
        <v>970.77</v>
      </c>
      <c r="BM35" s="2466">
        <v>710</v>
      </c>
      <c r="BN35" s="2470"/>
      <c r="BO35" s="2472">
        <f t="shared" si="18"/>
        <v>710</v>
      </c>
      <c r="BP35" s="2473">
        <f t="shared" si="19"/>
        <v>0</v>
      </c>
      <c r="BR35" s="2474">
        <v>710</v>
      </c>
      <c r="BS35" s="2474">
        <v>710</v>
      </c>
      <c r="BU35" s="2475"/>
      <c r="BW35" s="2474">
        <v>710</v>
      </c>
      <c r="BX35" s="2466">
        <v>170.87</v>
      </c>
      <c r="BZ35" s="2474">
        <v>710</v>
      </c>
      <c r="CA35" s="2470"/>
      <c r="CB35" s="2472">
        <f t="shared" si="20"/>
        <v>710</v>
      </c>
      <c r="CC35" s="2473">
        <f t="shared" si="21"/>
        <v>0</v>
      </c>
      <c r="CE35" s="2474">
        <v>710</v>
      </c>
      <c r="CF35" s="2476">
        <f t="shared" si="11"/>
        <v>0</v>
      </c>
      <c r="CG35" s="2474">
        <v>710</v>
      </c>
      <c r="CH35" s="2449" t="s">
        <v>1217</v>
      </c>
      <c r="CI35" s="2449"/>
      <c r="CJ35" s="2450"/>
      <c r="CK35" s="2450"/>
      <c r="CO35" s="2477">
        <v>0.36728169014084511</v>
      </c>
      <c r="CP35" s="2478">
        <f t="shared" si="0"/>
        <v>260.77</v>
      </c>
      <c r="CQ35" s="2478"/>
      <c r="CR35" s="2478"/>
      <c r="CS35" s="2478"/>
      <c r="CT35" s="2478"/>
    </row>
    <row r="36" spans="1:98" hidden="1" x14ac:dyDescent="0.2">
      <c r="A36" s="2395">
        <v>122</v>
      </c>
      <c r="B36" s="2440" t="s">
        <v>1214</v>
      </c>
      <c r="C36" s="2396">
        <v>12205</v>
      </c>
      <c r="D36" s="2396">
        <v>53450</v>
      </c>
      <c r="E36" s="2397" t="s">
        <v>1268</v>
      </c>
      <c r="F36" s="2440" t="s">
        <v>1214</v>
      </c>
      <c r="G36" s="2440" t="s">
        <v>1275</v>
      </c>
      <c r="H36" s="2466">
        <v>1000</v>
      </c>
      <c r="I36" s="2467"/>
      <c r="J36" s="2466">
        <f t="shared" si="12"/>
        <v>1000</v>
      </c>
      <c r="K36" s="2468">
        <f t="shared" si="13"/>
        <v>0</v>
      </c>
      <c r="M36" s="2467">
        <v>1000</v>
      </c>
      <c r="N36" s="2467">
        <v>1000</v>
      </c>
      <c r="P36" s="2469"/>
      <c r="R36" s="2466">
        <v>1000</v>
      </c>
      <c r="S36" s="2466">
        <v>990.25</v>
      </c>
      <c r="U36" s="2466">
        <v>1000</v>
      </c>
      <c r="V36" s="2470">
        <v>0</v>
      </c>
      <c r="W36" s="2466">
        <f t="shared" si="14"/>
        <v>1000</v>
      </c>
      <c r="X36" s="2468">
        <f t="shared" si="22"/>
        <v>0</v>
      </c>
      <c r="Z36" s="2467">
        <v>1000</v>
      </c>
      <c r="AA36" s="2467">
        <v>1000</v>
      </c>
      <c r="AC36" s="2469"/>
      <c r="AE36" s="2466">
        <v>1000</v>
      </c>
      <c r="AF36" s="2471">
        <v>410.81</v>
      </c>
      <c r="AH36" s="2466">
        <v>1000</v>
      </c>
      <c r="AI36" s="2470"/>
      <c r="AJ36" s="2466">
        <f t="shared" si="15"/>
        <v>1000</v>
      </c>
      <c r="AK36" s="2468">
        <f>IF(AH36=0," ",(AJ36-AH36)/AH36)</f>
        <v>0</v>
      </c>
      <c r="AM36" s="2467">
        <v>1000</v>
      </c>
      <c r="AN36" s="2467">
        <v>1000</v>
      </c>
      <c r="AP36" s="2469"/>
      <c r="AR36" s="2466">
        <v>1000</v>
      </c>
      <c r="AS36" s="2466">
        <v>1835.26</v>
      </c>
      <c r="AT36" s="2466"/>
      <c r="AU36" s="2466">
        <v>1000</v>
      </c>
      <c r="AV36" s="2466">
        <v>2178.4699999999998</v>
      </c>
      <c r="AX36" s="2466">
        <v>1000</v>
      </c>
      <c r="AY36" s="2470"/>
      <c r="AZ36" s="2466">
        <f t="shared" si="16"/>
        <v>1000</v>
      </c>
      <c r="BA36" s="2468">
        <f t="shared" si="17"/>
        <v>0</v>
      </c>
      <c r="BC36" s="2467">
        <v>1000</v>
      </c>
      <c r="BD36" s="2467">
        <v>1000</v>
      </c>
      <c r="BF36" s="2469"/>
      <c r="BH36" s="2467">
        <v>1000</v>
      </c>
      <c r="BI36" s="2466">
        <v>1830.6</v>
      </c>
      <c r="BM36" s="2466">
        <v>1000</v>
      </c>
      <c r="BN36" s="2470">
        <v>500</v>
      </c>
      <c r="BO36" s="2472">
        <f t="shared" si="18"/>
        <v>1500</v>
      </c>
      <c r="BP36" s="2473">
        <f t="shared" si="19"/>
        <v>0.5</v>
      </c>
      <c r="BR36" s="2474">
        <v>1500</v>
      </c>
      <c r="BS36" s="2474">
        <v>1500</v>
      </c>
      <c r="BU36" s="2475"/>
      <c r="BW36" s="2474">
        <v>1500</v>
      </c>
      <c r="BX36" s="2466">
        <v>675</v>
      </c>
      <c r="BZ36" s="2474">
        <v>1500</v>
      </c>
      <c r="CA36" s="2470"/>
      <c r="CB36" s="2472">
        <f t="shared" si="20"/>
        <v>1500</v>
      </c>
      <c r="CC36" s="2473">
        <f t="shared" si="21"/>
        <v>0</v>
      </c>
      <c r="CE36" s="2474">
        <v>1500</v>
      </c>
      <c r="CF36" s="2476">
        <f t="shared" si="11"/>
        <v>0</v>
      </c>
      <c r="CG36" s="2474">
        <v>1500</v>
      </c>
      <c r="CH36" s="2449" t="s">
        <v>1217</v>
      </c>
      <c r="CI36" s="2449"/>
      <c r="CJ36" s="2450"/>
      <c r="CK36" s="2450"/>
      <c r="CO36" s="2477">
        <v>0.8306</v>
      </c>
      <c r="CP36" s="2478">
        <f t="shared" si="0"/>
        <v>830.59999999999991</v>
      </c>
      <c r="CQ36" s="2478"/>
      <c r="CR36" s="2478"/>
      <c r="CS36" s="2478"/>
      <c r="CT36" s="2478"/>
    </row>
    <row r="37" spans="1:98" hidden="1" x14ac:dyDescent="0.2">
      <c r="A37" s="2395">
        <v>122</v>
      </c>
      <c r="C37" s="2396">
        <v>12205</v>
      </c>
      <c r="D37" s="2396">
        <v>55800</v>
      </c>
      <c r="E37" s="2397" t="s">
        <v>1268</v>
      </c>
      <c r="G37" s="2440" t="s">
        <v>1276</v>
      </c>
      <c r="I37" s="2467"/>
      <c r="M37" s="2467"/>
      <c r="N37" s="2467"/>
      <c r="P37" s="2469"/>
      <c r="S37" s="2466">
        <v>0</v>
      </c>
      <c r="V37" s="2470"/>
      <c r="Z37" s="2467"/>
      <c r="AA37" s="2467"/>
      <c r="AC37" s="2469"/>
      <c r="AF37" s="2471">
        <v>0</v>
      </c>
      <c r="AI37" s="2470"/>
      <c r="AM37" s="2467"/>
      <c r="AN37" s="2467"/>
      <c r="AP37" s="2469"/>
      <c r="AR37" s="2466">
        <v>0</v>
      </c>
      <c r="AS37" s="2466">
        <v>282.87</v>
      </c>
      <c r="AT37" s="2466"/>
      <c r="AY37" s="2470"/>
      <c r="AZ37" s="2466">
        <f t="shared" si="16"/>
        <v>0</v>
      </c>
      <c r="BA37" s="2468" t="str">
        <f t="shared" si="17"/>
        <v xml:space="preserve"> </v>
      </c>
      <c r="BC37" s="2467"/>
      <c r="BD37" s="2467"/>
      <c r="BF37" s="2469"/>
      <c r="BH37" s="2467"/>
      <c r="BN37" s="2470"/>
      <c r="BO37" s="2472">
        <f t="shared" si="18"/>
        <v>0</v>
      </c>
      <c r="BP37" s="2473" t="str">
        <f t="shared" si="19"/>
        <v xml:space="preserve"> </v>
      </c>
      <c r="BR37" s="2474">
        <v>0</v>
      </c>
      <c r="BS37" s="2474">
        <v>0</v>
      </c>
      <c r="BU37" s="2475"/>
      <c r="BW37" s="2474">
        <v>0</v>
      </c>
      <c r="BZ37" s="2474">
        <v>0</v>
      </c>
      <c r="CA37" s="2470"/>
      <c r="CB37" s="2472">
        <f t="shared" si="20"/>
        <v>0</v>
      </c>
      <c r="CC37" s="2473" t="str">
        <f t="shared" si="21"/>
        <v xml:space="preserve"> </v>
      </c>
      <c r="CE37" s="2474">
        <v>0</v>
      </c>
      <c r="CF37" s="2476" t="str">
        <f t="shared" si="11"/>
        <v xml:space="preserve"> </v>
      </c>
      <c r="CG37" s="2474">
        <v>0</v>
      </c>
      <c r="CH37" s="2449" t="s">
        <v>1217</v>
      </c>
      <c r="CI37" s="2449"/>
      <c r="CJ37" s="2450"/>
      <c r="CK37" s="2450"/>
      <c r="CP37" s="2478">
        <f t="shared" si="0"/>
        <v>0</v>
      </c>
      <c r="CQ37" s="2478"/>
      <c r="CR37" s="2478"/>
      <c r="CS37" s="2478"/>
      <c r="CT37" s="2478"/>
    </row>
    <row r="38" spans="1:98" hidden="1" x14ac:dyDescent="0.2">
      <c r="A38" s="2395">
        <v>122</v>
      </c>
      <c r="B38" s="2440" t="s">
        <v>1214</v>
      </c>
      <c r="C38" s="2396">
        <v>12205</v>
      </c>
      <c r="D38" s="2396">
        <v>55850</v>
      </c>
      <c r="E38" s="2397" t="s">
        <v>1268</v>
      </c>
      <c r="F38" s="2440" t="s">
        <v>1214</v>
      </c>
      <c r="G38" s="2440" t="s">
        <v>1277</v>
      </c>
      <c r="H38" s="2466">
        <v>40</v>
      </c>
      <c r="I38" s="2467"/>
      <c r="J38" s="2466">
        <f t="shared" si="12"/>
        <v>40</v>
      </c>
      <c r="K38" s="2468">
        <f t="shared" si="13"/>
        <v>0</v>
      </c>
      <c r="M38" s="2467">
        <v>40</v>
      </c>
      <c r="N38" s="2467">
        <v>40</v>
      </c>
      <c r="P38" s="2469"/>
      <c r="R38" s="2466">
        <v>40</v>
      </c>
      <c r="S38" s="2466">
        <v>215.56</v>
      </c>
      <c r="U38" s="2466">
        <v>40</v>
      </c>
      <c r="V38" s="2470">
        <v>0</v>
      </c>
      <c r="W38" s="2466">
        <f t="shared" si="14"/>
        <v>40</v>
      </c>
      <c r="X38" s="2468">
        <f t="shared" si="22"/>
        <v>0</v>
      </c>
      <c r="Z38" s="2467">
        <v>40</v>
      </c>
      <c r="AA38" s="2467">
        <v>40</v>
      </c>
      <c r="AC38" s="2469"/>
      <c r="AE38" s="2466">
        <v>40</v>
      </c>
      <c r="AF38" s="2471">
        <v>49.5</v>
      </c>
      <c r="AH38" s="2466">
        <v>40</v>
      </c>
      <c r="AI38" s="2470"/>
      <c r="AJ38" s="2466">
        <f t="shared" si="15"/>
        <v>40</v>
      </c>
      <c r="AK38" s="2468">
        <f>IF(AH38=0," ",(AJ38-AH38)/AH38)</f>
        <v>0</v>
      </c>
      <c r="AM38" s="2467">
        <v>40</v>
      </c>
      <c r="AN38" s="2467">
        <v>40</v>
      </c>
      <c r="AP38" s="2469"/>
      <c r="AR38" s="2466">
        <v>40</v>
      </c>
      <c r="AS38" s="2466"/>
      <c r="AT38" s="2466"/>
      <c r="AY38" s="2470"/>
      <c r="AZ38" s="2466">
        <f t="shared" si="16"/>
        <v>0</v>
      </c>
      <c r="BA38" s="2468" t="str">
        <f t="shared" si="17"/>
        <v xml:space="preserve"> </v>
      </c>
      <c r="BC38" s="2467"/>
      <c r="BD38" s="2467"/>
      <c r="BF38" s="2469"/>
      <c r="BH38" s="2467"/>
      <c r="BN38" s="2470"/>
      <c r="BO38" s="2472">
        <f t="shared" si="18"/>
        <v>0</v>
      </c>
      <c r="BP38" s="2473" t="str">
        <f t="shared" si="19"/>
        <v xml:space="preserve"> </v>
      </c>
      <c r="BR38" s="2474">
        <v>0</v>
      </c>
      <c r="BS38" s="2474">
        <v>0</v>
      </c>
      <c r="BU38" s="2475"/>
      <c r="BW38" s="2474">
        <v>0</v>
      </c>
      <c r="BZ38" s="2474">
        <v>0</v>
      </c>
      <c r="CA38" s="2470"/>
      <c r="CB38" s="2472">
        <f t="shared" si="20"/>
        <v>0</v>
      </c>
      <c r="CC38" s="2473" t="str">
        <f t="shared" si="21"/>
        <v xml:space="preserve"> </v>
      </c>
      <c r="CE38" s="2474">
        <v>0</v>
      </c>
      <c r="CF38" s="2476" t="str">
        <f t="shared" si="11"/>
        <v xml:space="preserve"> </v>
      </c>
      <c r="CG38" s="2474">
        <v>0</v>
      </c>
      <c r="CH38" s="2449" t="s">
        <v>1217</v>
      </c>
      <c r="CI38" s="2449"/>
      <c r="CJ38" s="2450"/>
      <c r="CK38" s="2450"/>
      <c r="CP38" s="2478">
        <f t="shared" si="0"/>
        <v>0</v>
      </c>
      <c r="CQ38" s="2478"/>
      <c r="CR38" s="2478"/>
      <c r="CS38" s="2478"/>
      <c r="CT38" s="2478"/>
    </row>
    <row r="39" spans="1:98" hidden="1" x14ac:dyDescent="0.2">
      <c r="A39" s="2395">
        <v>122</v>
      </c>
      <c r="B39" s="2440" t="s">
        <v>1214</v>
      </c>
      <c r="C39" s="2396">
        <v>12205</v>
      </c>
      <c r="D39" s="2396">
        <v>57300</v>
      </c>
      <c r="E39" s="2397" t="s">
        <v>1268</v>
      </c>
      <c r="F39" s="2440" t="s">
        <v>1214</v>
      </c>
      <c r="G39" s="2440" t="s">
        <v>1278</v>
      </c>
      <c r="H39" s="2466">
        <v>3000</v>
      </c>
      <c r="I39" s="2467">
        <v>60</v>
      </c>
      <c r="J39" s="2466">
        <f t="shared" si="12"/>
        <v>3060</v>
      </c>
      <c r="K39" s="2468">
        <v>8.6091860014635615E-3</v>
      </c>
      <c r="M39" s="2467">
        <v>3060</v>
      </c>
      <c r="N39" s="2467">
        <v>3060</v>
      </c>
      <c r="P39" s="2469"/>
      <c r="R39" s="2466">
        <v>3060</v>
      </c>
      <c r="S39" s="2466">
        <v>3571.73</v>
      </c>
      <c r="U39" s="2466">
        <v>3060</v>
      </c>
      <c r="V39" s="2470">
        <v>0</v>
      </c>
      <c r="W39" s="2466">
        <f t="shared" si="14"/>
        <v>3060</v>
      </c>
      <c r="X39" s="2468">
        <f t="shared" si="22"/>
        <v>0</v>
      </c>
      <c r="Z39" s="2467">
        <v>3060</v>
      </c>
      <c r="AA39" s="2467">
        <v>3060</v>
      </c>
      <c r="AC39" s="2469"/>
      <c r="AE39" s="2466">
        <v>3060</v>
      </c>
      <c r="AF39" s="2471">
        <v>3797.09</v>
      </c>
      <c r="AH39" s="2466">
        <v>3060</v>
      </c>
      <c r="AI39" s="2470"/>
      <c r="AJ39" s="2466">
        <f t="shared" si="15"/>
        <v>3060</v>
      </c>
      <c r="AK39" s="2468">
        <f>IF(AH39=0," ",(AJ39-AH39)/AH39)</f>
        <v>0</v>
      </c>
      <c r="AM39" s="2467">
        <v>3060</v>
      </c>
      <c r="AN39" s="2467">
        <v>3060</v>
      </c>
      <c r="AP39" s="2469"/>
      <c r="AR39" s="2466">
        <v>3060</v>
      </c>
      <c r="AS39" s="2466">
        <v>3250</v>
      </c>
      <c r="AT39" s="2466"/>
      <c r="AU39" s="2466">
        <v>2550</v>
      </c>
      <c r="AV39" s="2466">
        <v>2162</v>
      </c>
      <c r="AX39" s="2466">
        <v>2550</v>
      </c>
      <c r="AY39" s="2542">
        <v>1000</v>
      </c>
      <c r="AZ39" s="2466">
        <f t="shared" si="16"/>
        <v>3550</v>
      </c>
      <c r="BA39" s="2468">
        <f t="shared" si="17"/>
        <v>0.39215686274509803</v>
      </c>
      <c r="BC39" s="2467">
        <v>3550</v>
      </c>
      <c r="BD39" s="2467">
        <v>3550</v>
      </c>
      <c r="BF39" s="2543" t="s">
        <v>1273</v>
      </c>
      <c r="BH39" s="2467">
        <v>3550</v>
      </c>
      <c r="BI39" s="2466">
        <v>3565.99</v>
      </c>
      <c r="BM39" s="2466">
        <v>3550</v>
      </c>
      <c r="BN39" s="2470"/>
      <c r="BO39" s="2472">
        <f t="shared" si="18"/>
        <v>3550</v>
      </c>
      <c r="BP39" s="2473">
        <f t="shared" si="19"/>
        <v>0</v>
      </c>
      <c r="BR39" s="2474">
        <v>3550</v>
      </c>
      <c r="BS39" s="2474">
        <v>3550</v>
      </c>
      <c r="BU39" s="2544"/>
      <c r="BW39" s="2474">
        <v>3550</v>
      </c>
      <c r="BX39" s="2466">
        <v>2677.8</v>
      </c>
      <c r="BZ39" s="2474">
        <v>3550</v>
      </c>
      <c r="CA39" s="2470"/>
      <c r="CB39" s="2472">
        <f t="shared" si="20"/>
        <v>3550</v>
      </c>
      <c r="CC39" s="2473">
        <f t="shared" si="21"/>
        <v>0</v>
      </c>
      <c r="CE39" s="2474">
        <v>3550</v>
      </c>
      <c r="CF39" s="2476">
        <f t="shared" si="11"/>
        <v>0</v>
      </c>
      <c r="CG39" s="2474">
        <v>3550</v>
      </c>
      <c r="CH39" s="2449" t="s">
        <v>1217</v>
      </c>
      <c r="CI39" s="2449"/>
      <c r="CJ39" s="2450"/>
      <c r="CK39" s="2450"/>
      <c r="CO39" s="2477">
        <v>4.5042253521125897E-3</v>
      </c>
      <c r="CP39" s="2478">
        <f t="shared" si="0"/>
        <v>15.989999999999782</v>
      </c>
      <c r="CQ39" s="2478"/>
      <c r="CR39" s="2478"/>
      <c r="CS39" s="2478"/>
      <c r="CT39" s="2478"/>
    </row>
    <row r="40" spans="1:98" s="2485" customFormat="1" hidden="1" x14ac:dyDescent="0.2">
      <c r="A40" s="2532"/>
      <c r="B40" s="2533"/>
      <c r="C40" s="2534"/>
      <c r="D40" s="2534"/>
      <c r="E40" s="2535"/>
      <c r="F40" s="2533"/>
      <c r="G40" s="2533" t="s">
        <v>1279</v>
      </c>
      <c r="H40" s="2536">
        <f>SUM(H33:H39)</f>
        <v>33396</v>
      </c>
      <c r="I40" s="2536">
        <f>SUM(I33:I39)</f>
        <v>-23865</v>
      </c>
      <c r="J40" s="2536">
        <f>SUM(J33:J39)</f>
        <v>9531</v>
      </c>
      <c r="K40" s="2484">
        <f>IF(H40=0," ",(J40-H40)/H40)</f>
        <v>-0.71460653970535393</v>
      </c>
      <c r="M40" s="2536">
        <f>SUM(M33:M39)</f>
        <v>9531</v>
      </c>
      <c r="N40" s="2536">
        <f>SUM(N33:N39)</f>
        <v>9531</v>
      </c>
      <c r="P40" s="2537">
        <f>SUM(P15:P39)</f>
        <v>0</v>
      </c>
      <c r="R40" s="2536">
        <f>SUM(R33:R39)</f>
        <v>9531</v>
      </c>
      <c r="S40" s="2536">
        <f>SUM(S32:S39)</f>
        <v>13701.81</v>
      </c>
      <c r="U40" s="2536">
        <f>SUM(U32:U39)</f>
        <v>14111</v>
      </c>
      <c r="V40" s="2536">
        <f>SUM(V32:V39)</f>
        <v>0</v>
      </c>
      <c r="W40" s="2536">
        <f>SUM(W32:W39)</f>
        <v>14111</v>
      </c>
      <c r="X40" s="2484">
        <f>IF(U40=0," ",(W40-U40)/U40)</f>
        <v>0</v>
      </c>
      <c r="Z40" s="2536">
        <f>SUM(Z32:Z39)</f>
        <v>14111</v>
      </c>
      <c r="AA40" s="2536">
        <f>SUM(AA32:AA39)</f>
        <v>14111</v>
      </c>
      <c r="AC40" s="2537"/>
      <c r="AE40" s="2536">
        <f>SUM(AE32:AE39)</f>
        <v>14111</v>
      </c>
      <c r="AF40" s="2536">
        <f>SUM(AF32:AF39)</f>
        <v>12600.39</v>
      </c>
      <c r="AH40" s="2536">
        <f>SUM(AH33:AH39)</f>
        <v>9531</v>
      </c>
      <c r="AI40" s="2536">
        <f>SUM(AI33:AI39)</f>
        <v>0</v>
      </c>
      <c r="AJ40" s="2536">
        <f>SUM(AJ33:AJ39)</f>
        <v>9531</v>
      </c>
      <c r="AK40" s="2484">
        <f>IF(AH40=0," ",(AJ40-AH40)/AH40)</f>
        <v>0</v>
      </c>
      <c r="AM40" s="2536">
        <f>SUM(AM33:AM39)</f>
        <v>9531</v>
      </c>
      <c r="AN40" s="2536">
        <f>SUM(AN33:AN39)</f>
        <v>9531</v>
      </c>
      <c r="AP40" s="2537"/>
      <c r="AR40" s="2536">
        <f>SUM(AR32:AR39)</f>
        <v>14111</v>
      </c>
      <c r="AS40" s="2536">
        <f>SUM(AS32:AS39)</f>
        <v>10496.91</v>
      </c>
      <c r="AT40" s="2536"/>
      <c r="AU40" s="2536">
        <f>SUM(AU32:AU39)</f>
        <v>14111</v>
      </c>
      <c r="AV40" s="2536">
        <f>SUM(AV32:AV39)</f>
        <v>8361.84</v>
      </c>
      <c r="AX40" s="2536">
        <f>SUM(AX32:AX39)</f>
        <v>14111</v>
      </c>
      <c r="AY40" s="2536">
        <f>SUM(AY32:AY39)</f>
        <v>0</v>
      </c>
      <c r="AZ40" s="2536">
        <f>SUM(AZ32:AZ39)</f>
        <v>14111</v>
      </c>
      <c r="BA40" s="2484">
        <f t="shared" si="17"/>
        <v>0</v>
      </c>
      <c r="BC40" s="2536">
        <f>SUM(BC32:BC39)</f>
        <v>14111</v>
      </c>
      <c r="BD40" s="2536">
        <f>SUM(BD32:BD39)</f>
        <v>14111</v>
      </c>
      <c r="BF40" s="2537"/>
      <c r="BH40" s="2536">
        <f>SUM(BH32:BH39)</f>
        <v>14111</v>
      </c>
      <c r="BI40" s="2536">
        <f>SUM(BI32:BI39)</f>
        <v>10026.48</v>
      </c>
      <c r="BJ40" s="2536"/>
      <c r="BK40" s="2536"/>
      <c r="BM40" s="2536">
        <f>SUM(BM32:BM39)</f>
        <v>14111</v>
      </c>
      <c r="BN40" s="2539">
        <f>SUM(BN32:BN39)</f>
        <v>0</v>
      </c>
      <c r="BO40" s="2540">
        <f>SUM(BO32:BO39)</f>
        <v>14111</v>
      </c>
      <c r="BP40" s="2490">
        <f t="shared" si="19"/>
        <v>0</v>
      </c>
      <c r="BQ40" s="2491"/>
      <c r="BR40" s="2540">
        <f>SUM(BR32:BR39)</f>
        <v>14111</v>
      </c>
      <c r="BS40" s="2540">
        <f>SUM(BS32:BS39)</f>
        <v>14111</v>
      </c>
      <c r="BT40" s="2491"/>
      <c r="BU40" s="2541"/>
      <c r="BV40" s="2491"/>
      <c r="BW40" s="2540">
        <f>SUM(BW32:BW39)</f>
        <v>14111</v>
      </c>
      <c r="BX40" s="2536">
        <f>SUM(BX32:BX39)</f>
        <v>5608.67</v>
      </c>
      <c r="BZ40" s="2540">
        <f>SUM(BZ32:BZ39)</f>
        <v>14111</v>
      </c>
      <c r="CA40" s="2539">
        <f>SUM(CA32:CA39)</f>
        <v>-221</v>
      </c>
      <c r="CB40" s="2540">
        <f>SUM(CB32:CB39)</f>
        <v>13890</v>
      </c>
      <c r="CC40" s="2490">
        <f t="shared" si="21"/>
        <v>-1.5661540642052298E-2</v>
      </c>
      <c r="CD40" s="2491"/>
      <c r="CE40" s="2540">
        <f>SUM(CE32:CE39)</f>
        <v>13890</v>
      </c>
      <c r="CF40" s="2490">
        <f t="shared" si="11"/>
        <v>0</v>
      </c>
      <c r="CG40" s="2540">
        <f>SUM(CG32:CG39)</f>
        <v>13890</v>
      </c>
      <c r="CH40" s="2449" t="s">
        <v>1220</v>
      </c>
      <c r="CI40" s="2449"/>
      <c r="CJ40" s="2450"/>
      <c r="CK40" s="2450"/>
      <c r="CL40" s="2451"/>
      <c r="CM40" s="2451"/>
      <c r="CN40" s="2451"/>
      <c r="CO40" s="2477">
        <v>-0.28945645241301121</v>
      </c>
      <c r="CP40" s="2478">
        <f t="shared" si="0"/>
        <v>-4084.5200000000004</v>
      </c>
      <c r="CQ40" s="2478"/>
      <c r="CR40" s="2478"/>
      <c r="CS40" s="2478"/>
      <c r="CT40" s="2478"/>
    </row>
    <row r="41" spans="1:98" ht="9.9499999999999993" hidden="1" customHeight="1" x14ac:dyDescent="0.2">
      <c r="AS41" s="2466"/>
      <c r="AT41" s="2466"/>
      <c r="BZ41" s="2472"/>
      <c r="CH41" s="2449" t="s">
        <v>1091</v>
      </c>
      <c r="CI41" s="2449"/>
      <c r="CJ41" s="2450"/>
      <c r="CK41" s="2450"/>
      <c r="CP41" s="2478">
        <f t="shared" si="0"/>
        <v>0</v>
      </c>
      <c r="CQ41" s="2478"/>
      <c r="CR41" s="2478"/>
      <c r="CS41" s="2478"/>
      <c r="CT41" s="2478"/>
    </row>
    <row r="42" spans="1:98" x14ac:dyDescent="0.2">
      <c r="A42" s="2495"/>
      <c r="B42" s="2496"/>
      <c r="C42" s="2497"/>
      <c r="D42" s="2497"/>
      <c r="E42" s="2498"/>
      <c r="F42" s="2496"/>
      <c r="G42" s="2499" t="s">
        <v>1280</v>
      </c>
      <c r="H42" s="2500">
        <f>H30+H40</f>
        <v>267750</v>
      </c>
      <c r="I42" s="2500">
        <f>I30+I40</f>
        <v>-7535.6</v>
      </c>
      <c r="J42" s="2500">
        <f>J30+J40</f>
        <v>260214.39999999999</v>
      </c>
      <c r="K42" s="2501">
        <f>IF(H42=0," ",(J42-H42)/H42)</f>
        <v>-2.8144164332399649E-2</v>
      </c>
      <c r="M42" s="2500">
        <f>M30+M40</f>
        <v>259465</v>
      </c>
      <c r="N42" s="2500">
        <f>N30+N40</f>
        <v>259465</v>
      </c>
      <c r="P42" s="2502">
        <f>P30+P40</f>
        <v>0</v>
      </c>
      <c r="R42" s="2500">
        <f>R30+R40</f>
        <v>259465</v>
      </c>
      <c r="S42" s="2500">
        <f>S30+S40</f>
        <v>262491.57</v>
      </c>
      <c r="U42" s="2500">
        <f>U30+U40</f>
        <v>264045</v>
      </c>
      <c r="V42" s="2500">
        <f>V30+V40</f>
        <v>14677</v>
      </c>
      <c r="W42" s="2500">
        <f>W30+W40</f>
        <v>278722</v>
      </c>
      <c r="X42" s="2501">
        <f>IF(U42=0," ",(W42-U42)/U42)</f>
        <v>5.5585222215910168E-2</v>
      </c>
      <c r="Z42" s="2500">
        <f>Z30+Z40</f>
        <v>278722</v>
      </c>
      <c r="AA42" s="2500">
        <f>AA30+AA40</f>
        <v>278722</v>
      </c>
      <c r="AC42" s="2502"/>
      <c r="AE42" s="2500">
        <f>AE30+AE40</f>
        <v>278722</v>
      </c>
      <c r="AF42" s="2503">
        <f>AF30+AF40</f>
        <v>365349.41000000003</v>
      </c>
      <c r="AH42" s="2500">
        <v>278722</v>
      </c>
      <c r="AI42" s="2500">
        <f>AI30+AI40</f>
        <v>7412</v>
      </c>
      <c r="AJ42" s="2500">
        <f>AJ30+AJ40</f>
        <v>281554</v>
      </c>
      <c r="AK42" s="2501">
        <f>IF(AH42=0," ",(AJ42-AH42)/AH42)</f>
        <v>1.0160661878143814E-2</v>
      </c>
      <c r="AM42" s="2500">
        <f>AM30+AM40</f>
        <v>283679</v>
      </c>
      <c r="AN42" s="2500">
        <f>AN30+AN40</f>
        <v>283679</v>
      </c>
      <c r="AP42" s="2502"/>
      <c r="AR42" s="2500">
        <f>AR30+AR40</f>
        <v>288259</v>
      </c>
      <c r="AS42" s="2500">
        <f>AS30+AS40</f>
        <v>274985.32</v>
      </c>
      <c r="AT42" s="2500"/>
      <c r="AU42" s="2500">
        <f>AU30+AU40</f>
        <v>294126</v>
      </c>
      <c r="AV42" s="2500">
        <f>AV30+AV40</f>
        <v>289947.94</v>
      </c>
      <c r="AX42" s="2500">
        <f>AX30+AX40</f>
        <v>294126</v>
      </c>
      <c r="AY42" s="2500">
        <f>AY30+AY40</f>
        <v>5536</v>
      </c>
      <c r="AZ42" s="2500">
        <f>AZ30+AZ40</f>
        <v>299662</v>
      </c>
      <c r="BA42" s="2501">
        <f>IF(AX42=0," ",(AZ42-AX42)/AX42)</f>
        <v>1.8821865459020964E-2</v>
      </c>
      <c r="BC42" s="2500">
        <f>BC30+BC40</f>
        <v>299662</v>
      </c>
      <c r="BD42" s="2500">
        <f>BD30+BD40</f>
        <v>299662</v>
      </c>
      <c r="BF42" s="2502"/>
      <c r="BH42" s="2500">
        <f>BH30+BH40</f>
        <v>299662</v>
      </c>
      <c r="BI42" s="2500">
        <f>BI30+BI40</f>
        <v>288859.96999999997</v>
      </c>
      <c r="BJ42" s="2500"/>
      <c r="BK42" s="2500"/>
      <c r="BM42" s="2500">
        <f>BM30+BM40</f>
        <v>299662</v>
      </c>
      <c r="BN42" s="2504">
        <f>BN30+BN40</f>
        <v>1833</v>
      </c>
      <c r="BO42" s="2505">
        <f>BO30+BO40</f>
        <v>301495</v>
      </c>
      <c r="BP42" s="2506">
        <f>IF(BM42=0," ",(BO42-BM42)/BM42)</f>
        <v>6.1168916979797237E-3</v>
      </c>
      <c r="BR42" s="2505">
        <f>BR30+BR40</f>
        <v>301495</v>
      </c>
      <c r="BS42" s="2505">
        <f>BS30+BS40</f>
        <v>323248</v>
      </c>
      <c r="BU42" s="2507"/>
      <c r="BW42" s="2505">
        <f>BW30+BW40</f>
        <v>323248</v>
      </c>
      <c r="BX42" s="2500">
        <f>BX30+BX40</f>
        <v>133481.80000000002</v>
      </c>
      <c r="BZ42" s="2505">
        <f>BZ30+BZ40</f>
        <v>323248</v>
      </c>
      <c r="CA42" s="2504">
        <f>CA30+CA40</f>
        <v>208</v>
      </c>
      <c r="CB42" s="2505">
        <f>CB30+CB40</f>
        <v>323456</v>
      </c>
      <c r="CC42" s="2506">
        <f>IF(BZ42=0," ",(CB42-BZ42)/BZ42)</f>
        <v>6.4346879176359947E-4</v>
      </c>
      <c r="CE42" s="2505">
        <f>CE30+CE40</f>
        <v>326933</v>
      </c>
      <c r="CF42" s="2506">
        <f>IF(CB42=0," ",(CE42-CB42)/CB42)</f>
        <v>1.0749530075187971E-2</v>
      </c>
      <c r="CG42" s="2505">
        <f>CG30+CG40</f>
        <v>321805</v>
      </c>
      <c r="CH42" s="2449" t="s">
        <v>1222</v>
      </c>
      <c r="CI42" s="2508">
        <f>IF(CG42-CE42=0,"",CG42-CE42)</f>
        <v>-5128</v>
      </c>
      <c r="CJ42" s="2509"/>
      <c r="CK42" s="2509"/>
      <c r="CL42" s="2451" t="str">
        <f>IF(CO42&lt;-1*CM$2,"examine","ignore")</f>
        <v>ignore</v>
      </c>
      <c r="CM42" s="2545" t="str">
        <f>IF(CL42="examine",CP42+CM$2*CP42/CO42,"")</f>
        <v/>
      </c>
      <c r="CN42" s="2545"/>
      <c r="CO42" s="2477">
        <v>-3.6047380048187749E-2</v>
      </c>
      <c r="CP42" s="2510">
        <f t="shared" si="0"/>
        <v>-10802.030000000028</v>
      </c>
      <c r="CQ42" s="2510">
        <f>AV42-AU42</f>
        <v>-4178.0599999999977</v>
      </c>
      <c r="CR42" s="2510">
        <f>AS42-AR42</f>
        <v>-13273.679999999993</v>
      </c>
      <c r="CS42" s="2510">
        <f>AF42-AE42</f>
        <v>86627.410000000033</v>
      </c>
    </row>
    <row r="43" spans="1:98" ht="20.100000000000001" hidden="1" customHeight="1" x14ac:dyDescent="0.2">
      <c r="AS43" s="2466"/>
      <c r="AT43" s="2466"/>
      <c r="BZ43" s="2472"/>
      <c r="CH43" s="2449" t="s">
        <v>1091</v>
      </c>
      <c r="CI43" s="2449"/>
      <c r="CJ43" s="2450"/>
      <c r="CK43" s="2450"/>
      <c r="CP43" s="2478">
        <f t="shared" si="0"/>
        <v>0</v>
      </c>
      <c r="CQ43" s="2478"/>
      <c r="CR43" s="2478"/>
      <c r="CS43" s="2478"/>
      <c r="CT43" s="2478"/>
    </row>
    <row r="44" spans="1:98" ht="15.75" hidden="1" x14ac:dyDescent="0.2">
      <c r="A44" s="2453" t="s">
        <v>1281</v>
      </c>
      <c r="B44" s="2454"/>
      <c r="C44" s="2455"/>
      <c r="D44" s="2455"/>
      <c r="E44" s="2456"/>
      <c r="F44" s="2454"/>
      <c r="G44" s="2454"/>
      <c r="H44" s="2457"/>
      <c r="I44" s="2457"/>
      <c r="J44" s="2457"/>
      <c r="K44" s="2458"/>
      <c r="M44" s="2457"/>
      <c r="N44" s="2457"/>
      <c r="P44" s="2459"/>
      <c r="R44" s="2457"/>
      <c r="S44" s="2457"/>
      <c r="U44" s="2457"/>
      <c r="V44" s="2457"/>
      <c r="W44" s="2457"/>
      <c r="X44" s="2458"/>
      <c r="Z44" s="2457"/>
      <c r="AA44" s="2457"/>
      <c r="AC44" s="2459"/>
      <c r="AE44" s="2457"/>
      <c r="AF44" s="2460"/>
      <c r="AH44" s="2457"/>
      <c r="AI44" s="2457"/>
      <c r="AJ44" s="2457"/>
      <c r="AK44" s="2458"/>
      <c r="AM44" s="2457"/>
      <c r="AN44" s="2457"/>
      <c r="AP44" s="2459"/>
      <c r="AR44" s="2457"/>
      <c r="AS44" s="2457"/>
      <c r="AT44" s="2457"/>
      <c r="AU44" s="2457"/>
      <c r="AV44" s="2457"/>
      <c r="AX44" s="2457"/>
      <c r="AY44" s="2457"/>
      <c r="AZ44" s="2457"/>
      <c r="BA44" s="2458"/>
      <c r="BC44" s="2457"/>
      <c r="BD44" s="2457"/>
      <c r="BF44" s="2461"/>
      <c r="BH44" s="2457"/>
      <c r="BI44" s="2457"/>
      <c r="BJ44" s="2457"/>
      <c r="BK44" s="2457"/>
      <c r="BM44" s="2457"/>
      <c r="BN44" s="2462"/>
      <c r="BO44" s="2463"/>
      <c r="BP44" s="2464"/>
      <c r="BR44" s="2463"/>
      <c r="BS44" s="2463"/>
      <c r="BU44" s="2465"/>
      <c r="BW44" s="2463"/>
      <c r="BX44" s="2457"/>
      <c r="BZ44" s="2463"/>
      <c r="CA44" s="2462"/>
      <c r="CB44" s="2463"/>
      <c r="CC44" s="2464"/>
      <c r="CE44" s="2463"/>
      <c r="CF44" s="2464"/>
      <c r="CG44" s="2463"/>
      <c r="CH44" s="2449" t="s">
        <v>1212</v>
      </c>
      <c r="CI44" s="2449"/>
      <c r="CJ44" s="2450"/>
      <c r="CK44" s="2450"/>
      <c r="CP44" s="2478">
        <f t="shared" si="0"/>
        <v>0</v>
      </c>
      <c r="CQ44" s="2478"/>
      <c r="CR44" s="2478"/>
      <c r="CS44" s="2478"/>
      <c r="CT44" s="2478"/>
    </row>
    <row r="45" spans="1:98" hidden="1" x14ac:dyDescent="0.2">
      <c r="A45" s="2395">
        <v>124</v>
      </c>
      <c r="B45" s="2440" t="s">
        <v>1214</v>
      </c>
      <c r="C45" s="2396">
        <v>12405</v>
      </c>
      <c r="D45" s="2396">
        <v>53030</v>
      </c>
      <c r="E45" s="2397" t="s">
        <v>1268</v>
      </c>
      <c r="F45" s="2440" t="s">
        <v>1214</v>
      </c>
      <c r="G45" s="2440" t="s">
        <v>1282</v>
      </c>
      <c r="H45" s="2466">
        <v>50000</v>
      </c>
      <c r="I45" s="2467"/>
      <c r="J45" s="2466">
        <f t="shared" ref="J45:J50" si="23">H45+I45</f>
        <v>50000</v>
      </c>
      <c r="K45" s="2468">
        <f t="shared" ref="K45:K51" si="24">IF(H45=0," ",(J45-H45)/H45)</f>
        <v>0</v>
      </c>
      <c r="M45" s="2467">
        <v>50000</v>
      </c>
      <c r="N45" s="2467">
        <v>50000</v>
      </c>
      <c r="P45" s="2469"/>
      <c r="R45" s="2466">
        <v>50000</v>
      </c>
      <c r="S45" s="2466">
        <v>58083.98</v>
      </c>
      <c r="U45" s="2466">
        <v>50000</v>
      </c>
      <c r="V45" s="2470">
        <v>0</v>
      </c>
      <c r="W45" s="2466">
        <f t="shared" ref="W45:W50" si="25">U45+V45</f>
        <v>50000</v>
      </c>
      <c r="X45" s="2468">
        <f t="shared" ref="X45:X51" si="26">IF(U45=0," ",(W45-U45)/U45)</f>
        <v>0</v>
      </c>
      <c r="Z45" s="2467">
        <v>50000</v>
      </c>
      <c r="AA45" s="2467">
        <v>55000</v>
      </c>
      <c r="AC45" s="2469" t="s">
        <v>1283</v>
      </c>
      <c r="AE45" s="2466">
        <v>55000</v>
      </c>
      <c r="AF45" s="2471">
        <v>50943.51</v>
      </c>
      <c r="AH45" s="2466">
        <v>55000</v>
      </c>
      <c r="AI45" s="2470"/>
      <c r="AJ45" s="2466">
        <f t="shared" ref="AJ45:AJ50" si="27">AH45+AI45</f>
        <v>55000</v>
      </c>
      <c r="AK45" s="2468">
        <f t="shared" ref="AK45:AK50" si="28">IF(AH45=0," ",(AJ45-AH45)/AH45)</f>
        <v>0</v>
      </c>
      <c r="AM45" s="2467">
        <v>55000</v>
      </c>
      <c r="AN45" s="2467">
        <v>55000</v>
      </c>
      <c r="AO45" s="2546"/>
      <c r="AP45" s="2530"/>
      <c r="AR45" s="2466">
        <v>55000</v>
      </c>
      <c r="AS45" s="2466">
        <v>25354.62</v>
      </c>
      <c r="AT45" s="2466"/>
      <c r="AU45" s="2466">
        <v>55000</v>
      </c>
      <c r="AV45" s="2466">
        <v>34444.39</v>
      </c>
      <c r="AX45" s="2466">
        <v>55000</v>
      </c>
      <c r="AY45" s="2470"/>
      <c r="AZ45" s="2466">
        <f t="shared" ref="AZ45:AZ50" si="29">AX45+AY45</f>
        <v>55000</v>
      </c>
      <c r="BA45" s="2468">
        <f t="shared" ref="BA45:BA51" si="30">IF(AX45=0," ",(AZ45-AX45)/AX45)</f>
        <v>0</v>
      </c>
      <c r="BC45" s="2467">
        <v>55000</v>
      </c>
      <c r="BD45" s="2467">
        <v>55000</v>
      </c>
      <c r="BE45" s="2546"/>
      <c r="BF45" s="2469"/>
      <c r="BH45" s="2467">
        <v>55000</v>
      </c>
      <c r="BI45" s="2466">
        <v>39800.769999999997</v>
      </c>
      <c r="BM45" s="2466">
        <v>55000</v>
      </c>
      <c r="BN45" s="2470">
        <v>-5000</v>
      </c>
      <c r="BO45" s="2472">
        <f t="shared" ref="BO45:BO50" si="31">BM45+BN45</f>
        <v>50000</v>
      </c>
      <c r="BP45" s="2473">
        <f t="shared" ref="BP45:BP51" si="32">IF(BM45=0," ",(BO45-BM45)/BM45)</f>
        <v>-9.0909090909090912E-2</v>
      </c>
      <c r="BR45" s="2474">
        <v>50000</v>
      </c>
      <c r="BS45" s="2474">
        <v>50000</v>
      </c>
      <c r="BU45" s="2475"/>
      <c r="BW45" s="2474">
        <v>50000</v>
      </c>
      <c r="BZ45" s="2474">
        <v>50000</v>
      </c>
      <c r="CA45" s="2470"/>
      <c r="CB45" s="2472">
        <f t="shared" ref="CB45:CB46" si="33">BZ45+CA45</f>
        <v>50000</v>
      </c>
      <c r="CC45" s="2473">
        <f t="shared" ref="CC45:CC46" si="34">IF(BZ45=0," ",(CB45-BZ45)/BZ45)</f>
        <v>0</v>
      </c>
      <c r="CE45" s="2474">
        <v>50000</v>
      </c>
      <c r="CF45" s="2476">
        <f>IF(CB45=0," ",(CE45-CB45)/CB45)</f>
        <v>0</v>
      </c>
      <c r="CG45" s="2474">
        <v>50000</v>
      </c>
      <c r="CH45" s="2449" t="s">
        <v>1217</v>
      </c>
      <c r="CI45" s="2449"/>
      <c r="CJ45" s="2450"/>
      <c r="CK45" s="2450"/>
      <c r="CO45" s="2477">
        <v>-0.27634963636363641</v>
      </c>
      <c r="CP45" s="2478">
        <f t="shared" si="0"/>
        <v>-15199.230000000003</v>
      </c>
      <c r="CQ45" s="2478"/>
      <c r="CR45" s="2478"/>
      <c r="CS45" s="2478"/>
      <c r="CT45" s="2478"/>
    </row>
    <row r="46" spans="1:98" hidden="1" x14ac:dyDescent="0.2">
      <c r="A46" s="2395">
        <v>124</v>
      </c>
      <c r="B46" s="2440" t="s">
        <v>1214</v>
      </c>
      <c r="C46" s="2396">
        <v>12405</v>
      </c>
      <c r="D46" s="2396">
        <v>53050</v>
      </c>
      <c r="E46" s="2397" t="s">
        <v>1268</v>
      </c>
      <c r="F46" s="2440" t="s">
        <v>1214</v>
      </c>
      <c r="G46" s="2440" t="s">
        <v>1284</v>
      </c>
      <c r="H46" s="2466">
        <v>20000</v>
      </c>
      <c r="I46" s="2467"/>
      <c r="J46" s="2466">
        <f t="shared" si="23"/>
        <v>20000</v>
      </c>
      <c r="K46" s="2468">
        <f t="shared" si="24"/>
        <v>0</v>
      </c>
      <c r="M46" s="2467">
        <v>20000</v>
      </c>
      <c r="N46" s="2467">
        <v>20000</v>
      </c>
      <c r="P46" s="2469"/>
      <c r="R46" s="2466">
        <v>20000</v>
      </c>
      <c r="S46" s="2466">
        <v>19639.080000000002</v>
      </c>
      <c r="U46" s="2466">
        <v>20000</v>
      </c>
      <c r="V46" s="2470">
        <v>0</v>
      </c>
      <c r="W46" s="2466">
        <f t="shared" si="25"/>
        <v>20000</v>
      </c>
      <c r="X46" s="2468">
        <f t="shared" si="26"/>
        <v>0</v>
      </c>
      <c r="Z46" s="2467">
        <v>20000</v>
      </c>
      <c r="AA46" s="2467">
        <v>20000</v>
      </c>
      <c r="AC46" s="2469"/>
      <c r="AE46" s="2466">
        <v>20000</v>
      </c>
      <c r="AF46" s="2471">
        <v>20831.12</v>
      </c>
      <c r="AH46" s="2466">
        <v>20000</v>
      </c>
      <c r="AI46" s="2470"/>
      <c r="AJ46" s="2466">
        <f t="shared" si="27"/>
        <v>20000</v>
      </c>
      <c r="AK46" s="2468">
        <f t="shared" si="28"/>
        <v>0</v>
      </c>
      <c r="AM46" s="2467">
        <v>20000</v>
      </c>
      <c r="AN46" s="2467">
        <v>20000</v>
      </c>
      <c r="AP46" s="2469"/>
      <c r="AR46" s="2466">
        <v>20000</v>
      </c>
      <c r="AS46" s="2466">
        <v>31065</v>
      </c>
      <c r="AT46" s="2466"/>
      <c r="AU46" s="2466">
        <v>20000</v>
      </c>
      <c r="AV46" s="2466">
        <v>34376.43</v>
      </c>
      <c r="AX46" s="2466">
        <v>20000</v>
      </c>
      <c r="AY46" s="2470"/>
      <c r="AZ46" s="2466">
        <f t="shared" si="29"/>
        <v>20000</v>
      </c>
      <c r="BA46" s="2468">
        <f t="shared" si="30"/>
        <v>0</v>
      </c>
      <c r="BC46" s="2467">
        <v>20000</v>
      </c>
      <c r="BD46" s="2467">
        <v>20000</v>
      </c>
      <c r="BF46" s="2469"/>
      <c r="BH46" s="2467">
        <v>20000</v>
      </c>
      <c r="BI46" s="2466">
        <v>11735</v>
      </c>
      <c r="BM46" s="2466">
        <v>20000</v>
      </c>
      <c r="BN46" s="2470">
        <v>5000</v>
      </c>
      <c r="BO46" s="2472">
        <f t="shared" si="31"/>
        <v>25000</v>
      </c>
      <c r="BP46" s="2473">
        <f t="shared" si="32"/>
        <v>0.25</v>
      </c>
      <c r="BR46" s="2474">
        <v>25000</v>
      </c>
      <c r="BS46" s="2474">
        <v>25000</v>
      </c>
      <c r="BU46" s="2475"/>
      <c r="BW46" s="2474">
        <v>25000</v>
      </c>
      <c r="BX46" s="2466">
        <v>4395</v>
      </c>
      <c r="BZ46" s="2474">
        <v>25000</v>
      </c>
      <c r="CA46" s="2470"/>
      <c r="CB46" s="2472">
        <f t="shared" si="33"/>
        <v>25000</v>
      </c>
      <c r="CC46" s="2473">
        <f t="shared" si="34"/>
        <v>0</v>
      </c>
      <c r="CE46" s="2474">
        <v>25000</v>
      </c>
      <c r="CF46" s="2476">
        <f>IF(CB46=0," ",(CE46-CB46)/CB46)</f>
        <v>0</v>
      </c>
      <c r="CG46" s="2474">
        <v>25000</v>
      </c>
      <c r="CH46" s="2449" t="s">
        <v>1217</v>
      </c>
      <c r="CI46" s="2449"/>
      <c r="CJ46" s="2450"/>
      <c r="CK46" s="2450"/>
      <c r="CO46" s="2477">
        <v>-0.41325000000000001</v>
      </c>
      <c r="CP46" s="2478">
        <f t="shared" si="0"/>
        <v>-8265</v>
      </c>
      <c r="CQ46" s="2478"/>
      <c r="CR46" s="2478"/>
      <c r="CS46" s="2478"/>
      <c r="CT46" s="2478"/>
    </row>
    <row r="47" spans="1:98" hidden="1" x14ac:dyDescent="0.2">
      <c r="A47" s="2395">
        <v>124</v>
      </c>
      <c r="B47" s="2440" t="s">
        <v>1214</v>
      </c>
      <c r="C47" s="2396">
        <v>12405</v>
      </c>
      <c r="D47" s="2396" t="s">
        <v>1285</v>
      </c>
      <c r="E47" s="2397" t="s">
        <v>1268</v>
      </c>
      <c r="G47" s="2440" t="s">
        <v>1286</v>
      </c>
      <c r="I47" s="2467"/>
      <c r="M47" s="2467"/>
      <c r="N47" s="2467"/>
      <c r="P47" s="2469"/>
      <c r="V47" s="2470"/>
      <c r="Z47" s="2467"/>
      <c r="AA47" s="2467"/>
      <c r="AC47" s="2469"/>
      <c r="AI47" s="2470"/>
      <c r="AM47" s="2467"/>
      <c r="AN47" s="2467"/>
      <c r="AP47" s="2469"/>
      <c r="AS47" s="2466"/>
      <c r="AT47" s="2466"/>
      <c r="AY47" s="2470"/>
      <c r="BC47" s="2467"/>
      <c r="BD47" s="2467"/>
      <c r="BF47" s="2469"/>
      <c r="BH47" s="2467"/>
      <c r="BN47" s="2470"/>
      <c r="BR47" s="2474"/>
      <c r="BS47" s="2474"/>
      <c r="BU47" s="2547" t="s">
        <v>1287</v>
      </c>
      <c r="BW47" s="2474"/>
      <c r="BZ47" s="2474"/>
      <c r="CA47" s="2470"/>
      <c r="CE47" s="2474"/>
      <c r="CF47" s="2476"/>
      <c r="CG47" s="2474"/>
      <c r="CH47" s="2449" t="s">
        <v>1217</v>
      </c>
      <c r="CI47" s="2449"/>
      <c r="CJ47" s="2450"/>
      <c r="CK47" s="2450"/>
      <c r="CP47" s="2478">
        <f t="shared" si="0"/>
        <v>0</v>
      </c>
      <c r="CQ47" s="2478"/>
      <c r="CR47" s="2478"/>
      <c r="CS47" s="2478"/>
      <c r="CT47" s="2478"/>
    </row>
    <row r="48" spans="1:98" hidden="1" x14ac:dyDescent="0.2">
      <c r="A48" s="2395">
        <v>124</v>
      </c>
      <c r="B48" s="2440" t="s">
        <v>1214</v>
      </c>
      <c r="C48" s="2396">
        <v>12405</v>
      </c>
      <c r="D48" s="2396">
        <v>53200</v>
      </c>
      <c r="E48" s="2397" t="s">
        <v>1268</v>
      </c>
      <c r="F48" s="2440" t="s">
        <v>1214</v>
      </c>
      <c r="G48" s="2440" t="s">
        <v>1288</v>
      </c>
      <c r="H48" s="2466">
        <v>2100</v>
      </c>
      <c r="I48" s="2467"/>
      <c r="J48" s="2466">
        <f>H48+I48</f>
        <v>2100</v>
      </c>
      <c r="K48" s="2468">
        <f>IF(H48=0," ",(J48-H48)/H48)</f>
        <v>0</v>
      </c>
      <c r="M48" s="2467">
        <v>2100</v>
      </c>
      <c r="N48" s="2467">
        <v>2100</v>
      </c>
      <c r="P48" s="2469" t="s">
        <v>1289</v>
      </c>
      <c r="R48" s="2466">
        <v>2100</v>
      </c>
      <c r="S48" s="2466">
        <v>0</v>
      </c>
      <c r="U48" s="2466">
        <v>2100</v>
      </c>
      <c r="V48" s="2470">
        <v>0</v>
      </c>
      <c r="W48" s="2466">
        <f>U48+V48</f>
        <v>2100</v>
      </c>
      <c r="X48" s="2468">
        <f>IF(U48=0," ",(W48-U48)/U48)</f>
        <v>0</v>
      </c>
      <c r="Z48" s="2467">
        <v>2100</v>
      </c>
      <c r="AA48" s="2467">
        <v>2100</v>
      </c>
      <c r="AC48" s="2469"/>
      <c r="AE48" s="2466">
        <v>2100</v>
      </c>
      <c r="AF48" s="2471">
        <v>1035</v>
      </c>
      <c r="AH48" s="2466">
        <v>2100</v>
      </c>
      <c r="AI48" s="2470"/>
      <c r="AJ48" s="2466">
        <f>AH48+AI48</f>
        <v>2100</v>
      </c>
      <c r="AK48" s="2468">
        <f>IF(AH48=0," ",(AJ48-AH48)/AH48)</f>
        <v>0</v>
      </c>
      <c r="AM48" s="2467">
        <v>2100</v>
      </c>
      <c r="AN48" s="2467">
        <v>2100</v>
      </c>
      <c r="AP48" s="2469"/>
      <c r="AR48" s="2466">
        <v>2100</v>
      </c>
      <c r="AS48" s="2466">
        <v>2290</v>
      </c>
      <c r="AT48" s="2466"/>
      <c r="AU48" s="2466">
        <v>2100</v>
      </c>
      <c r="AV48" s="2466">
        <v>1175</v>
      </c>
      <c r="AX48" s="2466">
        <v>2100</v>
      </c>
      <c r="AY48" s="2470"/>
      <c r="AZ48" s="2466">
        <f t="shared" si="29"/>
        <v>2100</v>
      </c>
      <c r="BA48" s="2468">
        <f t="shared" si="30"/>
        <v>0</v>
      </c>
      <c r="BC48" s="2467">
        <v>2100</v>
      </c>
      <c r="BD48" s="2467">
        <v>2100</v>
      </c>
      <c r="BF48" s="2469"/>
      <c r="BH48" s="2467">
        <v>2100</v>
      </c>
      <c r="BI48" s="2466">
        <v>149.9</v>
      </c>
      <c r="BM48" s="2466">
        <v>2100</v>
      </c>
      <c r="BN48" s="2470"/>
      <c r="BO48" s="2472">
        <f t="shared" si="31"/>
        <v>2100</v>
      </c>
      <c r="BP48" s="2473">
        <f t="shared" si="32"/>
        <v>0</v>
      </c>
      <c r="BR48" s="2474">
        <v>2100</v>
      </c>
      <c r="BS48" s="2474">
        <v>2100</v>
      </c>
      <c r="BU48" s="2475"/>
      <c r="BW48" s="2474">
        <v>2100</v>
      </c>
      <c r="BZ48" s="2474">
        <v>2100</v>
      </c>
      <c r="CA48" s="2470"/>
      <c r="CB48" s="2472">
        <f t="shared" ref="CB48:CB50" si="35">BZ48+CA48</f>
        <v>2100</v>
      </c>
      <c r="CC48" s="2473">
        <f t="shared" ref="CC48:CC51" si="36">IF(BZ48=0," ",(CB48-BZ48)/BZ48)</f>
        <v>0</v>
      </c>
      <c r="CE48" s="2474">
        <v>2100</v>
      </c>
      <c r="CF48" s="2476">
        <f>IF(CB48=0," ",(CE48-CB48)/CB48)</f>
        <v>0</v>
      </c>
      <c r="CG48" s="2474">
        <v>2100</v>
      </c>
      <c r="CH48" s="2449" t="s">
        <v>1217</v>
      </c>
      <c r="CI48" s="2449"/>
      <c r="CJ48" s="2450"/>
      <c r="CK48" s="2450"/>
      <c r="CO48" s="2477">
        <v>-0.92861904761904768</v>
      </c>
      <c r="CP48" s="2478">
        <f t="shared" si="0"/>
        <v>-1950.1</v>
      </c>
      <c r="CQ48" s="2478"/>
      <c r="CR48" s="2478"/>
      <c r="CS48" s="2478"/>
      <c r="CT48" s="2478"/>
    </row>
    <row r="49" spans="1:98" hidden="1" x14ac:dyDescent="0.2">
      <c r="A49" s="2395">
        <v>124</v>
      </c>
      <c r="B49" s="2440" t="s">
        <v>1214</v>
      </c>
      <c r="C49" s="2396">
        <v>12405</v>
      </c>
      <c r="D49" s="2396">
        <v>53801</v>
      </c>
      <c r="E49" s="2397" t="s">
        <v>1268</v>
      </c>
      <c r="F49" s="2440" t="s">
        <v>1214</v>
      </c>
      <c r="G49" s="2440" t="s">
        <v>1290</v>
      </c>
      <c r="H49" s="2466">
        <v>200</v>
      </c>
      <c r="I49" s="2467"/>
      <c r="J49" s="2466">
        <f t="shared" si="23"/>
        <v>200</v>
      </c>
      <c r="K49" s="2468">
        <f t="shared" si="24"/>
        <v>0</v>
      </c>
      <c r="M49" s="2467">
        <v>200</v>
      </c>
      <c r="N49" s="2467">
        <v>200</v>
      </c>
      <c r="P49" s="2469"/>
      <c r="R49" s="2466">
        <v>200</v>
      </c>
      <c r="S49" s="2466">
        <v>0</v>
      </c>
      <c r="U49" s="2466">
        <v>200</v>
      </c>
      <c r="V49" s="2470">
        <v>0</v>
      </c>
      <c r="W49" s="2466">
        <f t="shared" si="25"/>
        <v>200</v>
      </c>
      <c r="X49" s="2468">
        <f t="shared" si="26"/>
        <v>0</v>
      </c>
      <c r="Z49" s="2467">
        <v>200</v>
      </c>
      <c r="AA49" s="2467">
        <v>200</v>
      </c>
      <c r="AC49" s="2469"/>
      <c r="AE49" s="2466">
        <v>200</v>
      </c>
      <c r="AF49" s="2471">
        <v>16</v>
      </c>
      <c r="AH49" s="2466">
        <v>200</v>
      </c>
      <c r="AI49" s="2470"/>
      <c r="AJ49" s="2466">
        <f t="shared" si="27"/>
        <v>200</v>
      </c>
      <c r="AK49" s="2468">
        <f t="shared" si="28"/>
        <v>0</v>
      </c>
      <c r="AM49" s="2467">
        <v>200</v>
      </c>
      <c r="AN49" s="2467">
        <v>200</v>
      </c>
      <c r="AP49" s="2469"/>
      <c r="AR49" s="2466">
        <v>200</v>
      </c>
      <c r="AS49" s="2466">
        <v>0</v>
      </c>
      <c r="AT49" s="2466"/>
      <c r="AU49" s="2466">
        <v>200</v>
      </c>
      <c r="AX49" s="2466">
        <v>200</v>
      </c>
      <c r="AY49" s="2470"/>
      <c r="AZ49" s="2466">
        <f t="shared" si="29"/>
        <v>200</v>
      </c>
      <c r="BA49" s="2468">
        <f t="shared" si="30"/>
        <v>0</v>
      </c>
      <c r="BC49" s="2467">
        <v>200</v>
      </c>
      <c r="BD49" s="2467">
        <v>200</v>
      </c>
      <c r="BF49" s="2469"/>
      <c r="BH49" s="2467">
        <v>200</v>
      </c>
      <c r="BM49" s="2466">
        <v>200</v>
      </c>
      <c r="BN49" s="2470"/>
      <c r="BO49" s="2472">
        <f t="shared" si="31"/>
        <v>200</v>
      </c>
      <c r="BP49" s="2473">
        <f t="shared" si="32"/>
        <v>0</v>
      </c>
      <c r="BR49" s="2474">
        <v>200</v>
      </c>
      <c r="BS49" s="2474">
        <v>200</v>
      </c>
      <c r="BU49" s="2475"/>
      <c r="BW49" s="2474">
        <v>200</v>
      </c>
      <c r="BZ49" s="2474">
        <v>200</v>
      </c>
      <c r="CA49" s="2470"/>
      <c r="CB49" s="2472">
        <f t="shared" si="35"/>
        <v>200</v>
      </c>
      <c r="CC49" s="2473">
        <f t="shared" si="36"/>
        <v>0</v>
      </c>
      <c r="CE49" s="2474">
        <v>200</v>
      </c>
      <c r="CF49" s="2476">
        <f>IF(CB49=0," ",(CE49-CB49)/CB49)</f>
        <v>0</v>
      </c>
      <c r="CG49" s="2474">
        <v>200</v>
      </c>
      <c r="CH49" s="2449" t="s">
        <v>1217</v>
      </c>
      <c r="CI49" s="2449"/>
      <c r="CJ49" s="2450"/>
      <c r="CK49" s="2450"/>
      <c r="CO49" s="2477" t="s">
        <v>1218</v>
      </c>
      <c r="CP49" s="2478">
        <f t="shared" si="0"/>
        <v>-200</v>
      </c>
      <c r="CQ49" s="2478"/>
      <c r="CR49" s="2478"/>
      <c r="CS49" s="2478"/>
      <c r="CT49" s="2478"/>
    </row>
    <row r="50" spans="1:98" hidden="1" x14ac:dyDescent="0.2">
      <c r="A50" s="2395">
        <v>124</v>
      </c>
      <c r="B50" s="2440" t="s">
        <v>1214</v>
      </c>
      <c r="C50" s="2396">
        <v>12405</v>
      </c>
      <c r="D50" s="2396">
        <v>57900</v>
      </c>
      <c r="E50" s="2397" t="s">
        <v>1268</v>
      </c>
      <c r="F50" s="2440" t="s">
        <v>1214</v>
      </c>
      <c r="G50" s="2440" t="s">
        <v>1291</v>
      </c>
      <c r="H50" s="2466">
        <v>0</v>
      </c>
      <c r="I50" s="2467"/>
      <c r="J50" s="2466">
        <f t="shared" si="23"/>
        <v>0</v>
      </c>
      <c r="K50" s="2468" t="str">
        <f t="shared" si="24"/>
        <v xml:space="preserve"> </v>
      </c>
      <c r="M50" s="2467">
        <v>0</v>
      </c>
      <c r="N50" s="2467">
        <v>0</v>
      </c>
      <c r="P50" s="2469"/>
      <c r="R50" s="2466">
        <v>0</v>
      </c>
      <c r="S50" s="2466">
        <v>59</v>
      </c>
      <c r="U50" s="2466">
        <v>0</v>
      </c>
      <c r="V50" s="2470">
        <v>0</v>
      </c>
      <c r="W50" s="2466">
        <f t="shared" si="25"/>
        <v>0</v>
      </c>
      <c r="X50" s="2468" t="str">
        <f t="shared" si="26"/>
        <v xml:space="preserve"> </v>
      </c>
      <c r="Z50" s="2467">
        <v>0</v>
      </c>
      <c r="AA50" s="2467">
        <v>0</v>
      </c>
      <c r="AC50" s="2469"/>
      <c r="AE50" s="2466">
        <v>0</v>
      </c>
      <c r="AF50" s="2471">
        <v>0</v>
      </c>
      <c r="AH50" s="2466">
        <v>0</v>
      </c>
      <c r="AI50" s="2470"/>
      <c r="AJ50" s="2466">
        <f t="shared" si="27"/>
        <v>0</v>
      </c>
      <c r="AK50" s="2468" t="str">
        <f t="shared" si="28"/>
        <v xml:space="preserve"> </v>
      </c>
      <c r="AM50" s="2467">
        <v>0</v>
      </c>
      <c r="AN50" s="2467">
        <v>0</v>
      </c>
      <c r="AP50" s="2469"/>
      <c r="AR50" s="2466">
        <v>0</v>
      </c>
      <c r="AS50" s="2466"/>
      <c r="AT50" s="2466"/>
      <c r="AY50" s="2470"/>
      <c r="AZ50" s="2466">
        <f t="shared" si="29"/>
        <v>0</v>
      </c>
      <c r="BA50" s="2468" t="str">
        <f t="shared" si="30"/>
        <v xml:space="preserve"> </v>
      </c>
      <c r="BC50" s="2467"/>
      <c r="BD50" s="2467"/>
      <c r="BF50" s="2469"/>
      <c r="BH50" s="2467"/>
      <c r="BN50" s="2470"/>
      <c r="BO50" s="2472">
        <f t="shared" si="31"/>
        <v>0</v>
      </c>
      <c r="BP50" s="2473" t="str">
        <f t="shared" si="32"/>
        <v xml:space="preserve"> </v>
      </c>
      <c r="BR50" s="2474">
        <v>0</v>
      </c>
      <c r="BS50" s="2474">
        <v>0</v>
      </c>
      <c r="BU50" s="2475"/>
      <c r="BW50" s="2474">
        <v>0</v>
      </c>
      <c r="BZ50" s="2474">
        <v>0</v>
      </c>
      <c r="CA50" s="2470"/>
      <c r="CB50" s="2472">
        <f t="shared" si="35"/>
        <v>0</v>
      </c>
      <c r="CC50" s="2473" t="str">
        <f t="shared" si="36"/>
        <v xml:space="preserve"> </v>
      </c>
      <c r="CE50" s="2474">
        <v>0</v>
      </c>
      <c r="CF50" s="2476" t="str">
        <f>IF(CB50=0," ",(CE50-CB50)/CB50)</f>
        <v xml:space="preserve"> </v>
      </c>
      <c r="CG50" s="2474">
        <v>0</v>
      </c>
      <c r="CH50" s="2449" t="s">
        <v>1217</v>
      </c>
      <c r="CI50" s="2449"/>
      <c r="CJ50" s="2450"/>
      <c r="CK50" s="2450"/>
      <c r="CP50" s="2478">
        <f t="shared" si="0"/>
        <v>0</v>
      </c>
      <c r="CQ50" s="2478"/>
      <c r="CR50" s="2478"/>
      <c r="CS50" s="2478"/>
      <c r="CT50" s="2478"/>
    </row>
    <row r="51" spans="1:98" s="2485" customFormat="1" hidden="1" x14ac:dyDescent="0.2">
      <c r="A51" s="2532"/>
      <c r="B51" s="2533"/>
      <c r="C51" s="2534"/>
      <c r="D51" s="2534"/>
      <c r="E51" s="2535"/>
      <c r="F51" s="2533"/>
      <c r="G51" s="2533" t="s">
        <v>1292</v>
      </c>
      <c r="H51" s="2536">
        <f>SUM(H45:H50)</f>
        <v>72300</v>
      </c>
      <c r="I51" s="2536">
        <f>SUM(I45:I50)</f>
        <v>0</v>
      </c>
      <c r="J51" s="2536">
        <f>SUM(J45:J50)</f>
        <v>72300</v>
      </c>
      <c r="K51" s="2484">
        <f t="shared" si="24"/>
        <v>0</v>
      </c>
      <c r="M51" s="2536">
        <f>SUM(M45:M50)</f>
        <v>72300</v>
      </c>
      <c r="N51" s="2536">
        <f>SUM(N45:N50)</f>
        <v>72300</v>
      </c>
      <c r="P51" s="2537">
        <f>SUM(P45:P50)</f>
        <v>0</v>
      </c>
      <c r="R51" s="2536">
        <f>SUM(R45:R50)</f>
        <v>72300</v>
      </c>
      <c r="S51" s="2536">
        <f>SUM(S45:S50)</f>
        <v>77782.06</v>
      </c>
      <c r="U51" s="2536">
        <f>SUM(U45:U50)</f>
        <v>72300</v>
      </c>
      <c r="V51" s="2536">
        <f>SUM(V45:V50)</f>
        <v>0</v>
      </c>
      <c r="W51" s="2536">
        <f>SUM(W45:W50)</f>
        <v>72300</v>
      </c>
      <c r="X51" s="2484">
        <f t="shared" si="26"/>
        <v>0</v>
      </c>
      <c r="Z51" s="2536">
        <f>SUM(Z45:Z50)</f>
        <v>72300</v>
      </c>
      <c r="AA51" s="2536">
        <f>SUM(AA45:AA50)</f>
        <v>77300</v>
      </c>
      <c r="AC51" s="2537"/>
      <c r="AE51" s="2536">
        <f>SUM(AE45:AE50)</f>
        <v>77300</v>
      </c>
      <c r="AF51" s="2538">
        <f>SUM(AF45:AF50)</f>
        <v>72825.63</v>
      </c>
      <c r="AH51" s="2536">
        <v>77300</v>
      </c>
      <c r="AI51" s="2536">
        <f>SUM(AI45:AI50)</f>
        <v>0</v>
      </c>
      <c r="AJ51" s="2536">
        <f>SUM(AJ45:AJ50)</f>
        <v>77300</v>
      </c>
      <c r="AK51" s="2484">
        <f>IF(AH51=0," ",(AJ51-AH51)/AH51)</f>
        <v>0</v>
      </c>
      <c r="AM51" s="2536">
        <f>SUM(AM45:AM50)</f>
        <v>77300</v>
      </c>
      <c r="AN51" s="2536">
        <f>SUM(AN45:AN50)</f>
        <v>77300</v>
      </c>
      <c r="AP51" s="2537"/>
      <c r="AR51" s="2536">
        <f>SUM(AR45:AR50)</f>
        <v>77300</v>
      </c>
      <c r="AS51" s="2536">
        <f>SUM(AS45:AS50)</f>
        <v>58709.619999999995</v>
      </c>
      <c r="AT51" s="2536"/>
      <c r="AU51" s="2536">
        <f>SUM(AU45:AU50)</f>
        <v>77300</v>
      </c>
      <c r="AV51" s="2536">
        <f>SUM(AV45:AV50)</f>
        <v>69995.820000000007</v>
      </c>
      <c r="AX51" s="2536">
        <f>SUM(AX45:AX50)</f>
        <v>77300</v>
      </c>
      <c r="AY51" s="2536">
        <f>SUM(AY45:AY50)</f>
        <v>0</v>
      </c>
      <c r="AZ51" s="2536">
        <f>SUM(AZ45:AZ50)</f>
        <v>77300</v>
      </c>
      <c r="BA51" s="2484">
        <f t="shared" si="30"/>
        <v>0</v>
      </c>
      <c r="BC51" s="2536">
        <f>SUM(BC45:BC50)</f>
        <v>77300</v>
      </c>
      <c r="BD51" s="2536">
        <f>SUM(BD45:BD50)</f>
        <v>77300</v>
      </c>
      <c r="BF51" s="2537"/>
      <c r="BH51" s="2536">
        <f>SUM(BH45:BH50)</f>
        <v>77300</v>
      </c>
      <c r="BI51" s="2536">
        <f>SUM(BI45:BI50)</f>
        <v>51685.67</v>
      </c>
      <c r="BJ51" s="2536"/>
      <c r="BK51" s="2536"/>
      <c r="BM51" s="2536">
        <f>SUM(BM45:BM50)</f>
        <v>77300</v>
      </c>
      <c r="BN51" s="2539">
        <f>SUM(BN45:BN50)</f>
        <v>0</v>
      </c>
      <c r="BO51" s="2540">
        <f>SUM(BO45:BO50)</f>
        <v>77300</v>
      </c>
      <c r="BP51" s="2490">
        <f t="shared" si="32"/>
        <v>0</v>
      </c>
      <c r="BQ51" s="2491"/>
      <c r="BR51" s="2540">
        <f>SUM(BR45:BR50)</f>
        <v>77300</v>
      </c>
      <c r="BS51" s="2540">
        <f>SUM(BS45:BS50)</f>
        <v>77300</v>
      </c>
      <c r="BT51" s="2491"/>
      <c r="BU51" s="2541"/>
      <c r="BV51" s="2491"/>
      <c r="BW51" s="2540">
        <f>SUM(BW45:BW50)</f>
        <v>77300</v>
      </c>
      <c r="BX51" s="2536">
        <f>SUM(BX45:BX50)</f>
        <v>4395</v>
      </c>
      <c r="BZ51" s="2540">
        <f>SUM(BZ45:BZ50)</f>
        <v>77300</v>
      </c>
      <c r="CA51" s="2539">
        <f>SUM(CA45:CA50)</f>
        <v>0</v>
      </c>
      <c r="CB51" s="2540">
        <f>SUM(CB45:CB50)</f>
        <v>77300</v>
      </c>
      <c r="CC51" s="2490">
        <f t="shared" si="36"/>
        <v>0</v>
      </c>
      <c r="CD51" s="2491"/>
      <c r="CE51" s="2540">
        <f>SUM(CE45:CE50)</f>
        <v>77300</v>
      </c>
      <c r="CF51" s="2490">
        <f>IF(CB51=0," ",(CE51-CB51)/CB51)</f>
        <v>0</v>
      </c>
      <c r="CG51" s="2540">
        <f>SUM(CG45:CG50)</f>
        <v>77300</v>
      </c>
      <c r="CH51" s="2449" t="s">
        <v>1220</v>
      </c>
      <c r="CI51" s="2449"/>
      <c r="CJ51" s="2450"/>
      <c r="CK51" s="2450"/>
      <c r="CL51" s="2451"/>
      <c r="CM51" s="2451"/>
      <c r="CN51" s="2451"/>
      <c r="CO51" s="2477">
        <v>-0.33136261319534288</v>
      </c>
      <c r="CP51" s="2478">
        <f t="shared" si="0"/>
        <v>-25614.33</v>
      </c>
      <c r="CQ51" s="2478"/>
      <c r="CR51" s="2478"/>
      <c r="CS51" s="2478"/>
      <c r="CT51" s="2478"/>
    </row>
    <row r="52" spans="1:98" hidden="1" x14ac:dyDescent="0.2">
      <c r="AS52" s="2466"/>
      <c r="AT52" s="2466"/>
      <c r="BZ52" s="2472"/>
      <c r="CH52" s="2449" t="s">
        <v>1091</v>
      </c>
      <c r="CI52" s="2449"/>
      <c r="CJ52" s="2450"/>
      <c r="CK52" s="2450"/>
      <c r="CP52" s="2478">
        <f t="shared" si="0"/>
        <v>0</v>
      </c>
      <c r="CQ52" s="2478"/>
      <c r="CR52" s="2478"/>
      <c r="CS52" s="2478"/>
      <c r="CT52" s="2478"/>
    </row>
    <row r="53" spans="1:98" x14ac:dyDescent="0.2">
      <c r="A53" s="2495"/>
      <c r="B53" s="2496"/>
      <c r="C53" s="2497"/>
      <c r="D53" s="2497"/>
      <c r="E53" s="2498"/>
      <c r="F53" s="2496"/>
      <c r="G53" s="2499" t="s">
        <v>1293</v>
      </c>
      <c r="H53" s="2500">
        <f t="shared" ref="H53" si="37">SUM(H51)</f>
        <v>72300</v>
      </c>
      <c r="I53" s="2500">
        <f>SUM(I51)</f>
        <v>0</v>
      </c>
      <c r="J53" s="2500">
        <f>SUM(J51)</f>
        <v>72300</v>
      </c>
      <c r="K53" s="2501">
        <f>IF(H53=0," ",(J53-H53)/H53)</f>
        <v>0</v>
      </c>
      <c r="M53" s="2500">
        <f>SUM(M51)</f>
        <v>72300</v>
      </c>
      <c r="N53" s="2500">
        <f>SUM(N51)</f>
        <v>72300</v>
      </c>
      <c r="P53" s="2502">
        <f>SUM(P51)</f>
        <v>0</v>
      </c>
      <c r="R53" s="2500">
        <f>SUM(R51)</f>
        <v>72300</v>
      </c>
      <c r="S53" s="2500">
        <f>SUM(S51)</f>
        <v>77782.06</v>
      </c>
      <c r="U53" s="2500">
        <f>SUM(U51)</f>
        <v>72300</v>
      </c>
      <c r="V53" s="2500">
        <f>SUM(V51)</f>
        <v>0</v>
      </c>
      <c r="W53" s="2500">
        <f>SUM(W51)</f>
        <v>72300</v>
      </c>
      <c r="X53" s="2501">
        <f>IF(U53=0," ",(W53-U53)/U53)</f>
        <v>0</v>
      </c>
      <c r="Z53" s="2500">
        <f>SUM(Z51)</f>
        <v>72300</v>
      </c>
      <c r="AA53" s="2500">
        <f>SUM(AA51)</f>
        <v>77300</v>
      </c>
      <c r="AC53" s="2502"/>
      <c r="AE53" s="2500">
        <f>SUM(AE51)</f>
        <v>77300</v>
      </c>
      <c r="AF53" s="2503">
        <f>SUM(AF51)</f>
        <v>72825.63</v>
      </c>
      <c r="AH53" s="2500">
        <v>77300</v>
      </c>
      <c r="AI53" s="2500">
        <f>SUM(AI51)</f>
        <v>0</v>
      </c>
      <c r="AJ53" s="2500">
        <f>SUM(AJ51)</f>
        <v>77300</v>
      </c>
      <c r="AK53" s="2501">
        <f>IF(AH53=0," ",(AJ53-AH53)/AH53)</f>
        <v>0</v>
      </c>
      <c r="AM53" s="2500">
        <f>SUM(AM51)</f>
        <v>77300</v>
      </c>
      <c r="AN53" s="2500">
        <f>SUM(AN51)</f>
        <v>77300</v>
      </c>
      <c r="AP53" s="2502"/>
      <c r="AR53" s="2500">
        <f>SUM(AR51)</f>
        <v>77300</v>
      </c>
      <c r="AS53" s="2500">
        <f>SUM(AS51)</f>
        <v>58709.619999999995</v>
      </c>
      <c r="AT53" s="2500"/>
      <c r="AU53" s="2500">
        <f>SUM(AU51)</f>
        <v>77300</v>
      </c>
      <c r="AV53" s="2500">
        <f>SUM(AV51)</f>
        <v>69995.820000000007</v>
      </c>
      <c r="AX53" s="2500">
        <f>SUM(AX51)</f>
        <v>77300</v>
      </c>
      <c r="AY53" s="2500">
        <f>SUM(AY51)</f>
        <v>0</v>
      </c>
      <c r="AZ53" s="2500">
        <f>SUM(AZ51)</f>
        <v>77300</v>
      </c>
      <c r="BA53" s="2501">
        <f>IF(AX53=0," ",(AZ53-AX53)/AX53)</f>
        <v>0</v>
      </c>
      <c r="BC53" s="2500">
        <f>SUM(BC51)</f>
        <v>77300</v>
      </c>
      <c r="BD53" s="2500">
        <f>SUM(BD51)</f>
        <v>77300</v>
      </c>
      <c r="BF53" s="2502"/>
      <c r="BH53" s="2500">
        <f>SUM(BH51)</f>
        <v>77300</v>
      </c>
      <c r="BI53" s="2500">
        <f>SUM(BI51)</f>
        <v>51685.67</v>
      </c>
      <c r="BJ53" s="2500"/>
      <c r="BK53" s="2500"/>
      <c r="BM53" s="2500">
        <f>SUM(BM51)</f>
        <v>77300</v>
      </c>
      <c r="BN53" s="2504">
        <f>SUM(BN51)</f>
        <v>0</v>
      </c>
      <c r="BO53" s="2505">
        <f>SUM(BO51)</f>
        <v>77300</v>
      </c>
      <c r="BP53" s="2506">
        <f>IF(BM53=0," ",(BO53-BM53)/BM53)</f>
        <v>0</v>
      </c>
      <c r="BR53" s="2505">
        <f>SUM(BR51)</f>
        <v>77300</v>
      </c>
      <c r="BS53" s="2505">
        <f>SUM(BS51)</f>
        <v>77300</v>
      </c>
      <c r="BU53" s="2507"/>
      <c r="BW53" s="2505">
        <f>SUM(BW51)</f>
        <v>77300</v>
      </c>
      <c r="BX53" s="2500">
        <f>SUM(BX51)</f>
        <v>4395</v>
      </c>
      <c r="BZ53" s="2505">
        <f>SUM(BZ51)</f>
        <v>77300</v>
      </c>
      <c r="CA53" s="2504">
        <f>SUM(CA51)</f>
        <v>0</v>
      </c>
      <c r="CB53" s="2505">
        <f>SUM(CB51)</f>
        <v>77300</v>
      </c>
      <c r="CC53" s="2506">
        <f>IF(BZ53=0," ",(CB53-BZ53)/BZ53)</f>
        <v>0</v>
      </c>
      <c r="CE53" s="2505">
        <f>SUM(CE51)</f>
        <v>77300</v>
      </c>
      <c r="CF53" s="2506">
        <f>IF(CB53=0," ",(CE53-CB53)/CB53)</f>
        <v>0</v>
      </c>
      <c r="CG53" s="2505">
        <f>SUM(CG51)</f>
        <v>77300</v>
      </c>
      <c r="CH53" s="2449" t="s">
        <v>1222</v>
      </c>
      <c r="CI53" s="2508" t="str">
        <f>IF(CG53-CE53=0,"",CG53-CE53)</f>
        <v/>
      </c>
      <c r="CJ53" s="2509"/>
      <c r="CK53" s="2509"/>
      <c r="CL53" s="2451" t="str">
        <f>IF(CO53&lt;-1*CM$2,"examine","ignore")</f>
        <v>examine</v>
      </c>
      <c r="CM53" s="2545">
        <f>IF(CL53="examine",CP53+CM$2*CP53/CO53,"")</f>
        <v>-22522.33</v>
      </c>
      <c r="CN53" s="2545">
        <f>IF(CI53="",CM53,CM53-CI53)</f>
        <v>-22522.33</v>
      </c>
      <c r="CO53" s="2477">
        <v>-0.33136261319534288</v>
      </c>
      <c r="CP53" s="2510">
        <f t="shared" si="0"/>
        <v>-25614.33</v>
      </c>
      <c r="CQ53" s="2510">
        <f>AV53-AU53</f>
        <v>-7304.179999999993</v>
      </c>
      <c r="CR53" s="2510">
        <f>AS53-AR53</f>
        <v>-18590.380000000005</v>
      </c>
      <c r="CS53" s="2510">
        <f>AF53-AE53</f>
        <v>-4474.3699999999953</v>
      </c>
    </row>
    <row r="54" spans="1:98" hidden="1" x14ac:dyDescent="0.2">
      <c r="AS54" s="2466"/>
      <c r="AT54" s="2466"/>
      <c r="BZ54" s="2472"/>
      <c r="CH54" s="2449" t="s">
        <v>1091</v>
      </c>
      <c r="CI54" s="2449"/>
      <c r="CJ54" s="2450"/>
      <c r="CK54" s="2450"/>
      <c r="CP54" s="2478">
        <f t="shared" si="0"/>
        <v>0</v>
      </c>
      <c r="CQ54" s="2478"/>
      <c r="CR54" s="2478"/>
      <c r="CS54" s="2478"/>
      <c r="CT54" s="2478"/>
    </row>
    <row r="55" spans="1:98" ht="15.75" hidden="1" x14ac:dyDescent="0.2">
      <c r="A55" s="2453" t="s">
        <v>1294</v>
      </c>
      <c r="B55" s="2454"/>
      <c r="C55" s="2455"/>
      <c r="D55" s="2455"/>
      <c r="E55" s="2456"/>
      <c r="F55" s="2454"/>
      <c r="G55" s="2454"/>
      <c r="H55" s="2457"/>
      <c r="I55" s="2457"/>
      <c r="J55" s="2457"/>
      <c r="K55" s="2458"/>
      <c r="M55" s="2457"/>
      <c r="N55" s="2457"/>
      <c r="P55" s="2459"/>
      <c r="R55" s="2457"/>
      <c r="S55" s="2457"/>
      <c r="U55" s="2457"/>
      <c r="V55" s="2457"/>
      <c r="W55" s="2457"/>
      <c r="X55" s="2458"/>
      <c r="Z55" s="2457"/>
      <c r="AA55" s="2457"/>
      <c r="AC55" s="2459"/>
      <c r="AE55" s="2457"/>
      <c r="AF55" s="2460"/>
      <c r="AH55" s="2457"/>
      <c r="AI55" s="2457"/>
      <c r="AJ55" s="2457"/>
      <c r="AK55" s="2458"/>
      <c r="AM55" s="2457"/>
      <c r="AN55" s="2457"/>
      <c r="AP55" s="2459"/>
      <c r="AR55" s="2457"/>
      <c r="AS55" s="2457"/>
      <c r="AT55" s="2457"/>
      <c r="AU55" s="2457"/>
      <c r="AV55" s="2457"/>
      <c r="AX55" s="2457"/>
      <c r="AY55" s="2457"/>
      <c r="AZ55" s="2457"/>
      <c r="BA55" s="2458"/>
      <c r="BC55" s="2457"/>
      <c r="BD55" s="2457"/>
      <c r="BF55" s="2461"/>
      <c r="BH55" s="2457"/>
      <c r="BI55" s="2457"/>
      <c r="BJ55" s="2457"/>
      <c r="BK55" s="2457"/>
      <c r="BM55" s="2457"/>
      <c r="BN55" s="2462"/>
      <c r="BO55" s="2463"/>
      <c r="BP55" s="2464"/>
      <c r="BR55" s="2463"/>
      <c r="BS55" s="2463"/>
      <c r="BU55" s="2465"/>
      <c r="BW55" s="2463"/>
      <c r="BX55" s="2457"/>
      <c r="BZ55" s="2463"/>
      <c r="CA55" s="2462"/>
      <c r="CB55" s="2463"/>
      <c r="CC55" s="2464"/>
      <c r="CE55" s="2463"/>
      <c r="CF55" s="2464"/>
      <c r="CG55" s="2463"/>
      <c r="CH55" s="2449" t="s">
        <v>1212</v>
      </c>
      <c r="CI55" s="2449"/>
      <c r="CJ55" s="2450"/>
      <c r="CK55" s="2450"/>
      <c r="CP55" s="2478">
        <f t="shared" si="0"/>
        <v>0</v>
      </c>
      <c r="CQ55" s="2478"/>
      <c r="CR55" s="2478"/>
      <c r="CS55" s="2478"/>
      <c r="CT55" s="2478"/>
    </row>
    <row r="56" spans="1:98" hidden="1" x14ac:dyDescent="0.2">
      <c r="A56" s="2395">
        <v>131</v>
      </c>
      <c r="B56" s="2440" t="s">
        <v>1214</v>
      </c>
      <c r="C56" s="2396">
        <v>13102</v>
      </c>
      <c r="D56" s="2396">
        <v>51140</v>
      </c>
      <c r="E56" s="2397" t="s">
        <v>319</v>
      </c>
      <c r="F56" s="2440" t="s">
        <v>1214</v>
      </c>
      <c r="G56" s="2440" t="s">
        <v>1295</v>
      </c>
      <c r="H56" s="2466">
        <v>1308</v>
      </c>
      <c r="I56" s="2467">
        <v>62.88</v>
      </c>
      <c r="J56" s="2466">
        <f>H56+I56</f>
        <v>1370.88</v>
      </c>
      <c r="K56" s="2468">
        <f>IF(H56=0," ",(J56-H56)/H56)</f>
        <v>4.8073394495412924E-2</v>
      </c>
      <c r="M56" s="2467">
        <v>1371</v>
      </c>
      <c r="N56" s="2467">
        <v>1371</v>
      </c>
      <c r="P56" s="2469" t="s">
        <v>1296</v>
      </c>
      <c r="R56" s="2466">
        <v>1371</v>
      </c>
      <c r="S56" s="2466">
        <v>1185.24</v>
      </c>
      <c r="U56" s="2466">
        <v>1371</v>
      </c>
      <c r="V56" s="2470">
        <v>66</v>
      </c>
      <c r="W56" s="2466">
        <f>U56+V56</f>
        <v>1437</v>
      </c>
      <c r="X56" s="2468">
        <f>IF(U56=0," ",(W56-U56)/U56)</f>
        <v>4.8140043763676151E-2</v>
      </c>
      <c r="Z56" s="2467">
        <v>1437</v>
      </c>
      <c r="AA56" s="2467">
        <v>1437</v>
      </c>
      <c r="AC56" s="2469" t="s">
        <v>1297</v>
      </c>
      <c r="AE56" s="2466">
        <v>1437</v>
      </c>
      <c r="AF56" s="2471">
        <v>1336.67</v>
      </c>
      <c r="AH56" s="2466">
        <v>1437</v>
      </c>
      <c r="AI56" s="2470">
        <v>68</v>
      </c>
      <c r="AJ56" s="2466">
        <f>AH56+AI56</f>
        <v>1505</v>
      </c>
      <c r="AK56" s="2468">
        <f>IF(AH56=0," ",(AJ56-AH56)/AH56)</f>
        <v>4.7320807237299929E-2</v>
      </c>
      <c r="AM56" s="2467">
        <v>1505</v>
      </c>
      <c r="AN56" s="2467">
        <v>1505</v>
      </c>
      <c r="AP56" s="2469" t="s">
        <v>1298</v>
      </c>
      <c r="AR56" s="2466">
        <v>1505</v>
      </c>
      <c r="AS56" s="2466">
        <v>1358.52</v>
      </c>
      <c r="AT56" s="2466"/>
      <c r="AU56" s="2466">
        <v>1548</v>
      </c>
      <c r="AV56" s="2466">
        <v>800.4</v>
      </c>
      <c r="AX56" s="2466">
        <v>1548</v>
      </c>
      <c r="AY56" s="2470">
        <v>31</v>
      </c>
      <c r="AZ56" s="2466">
        <f>AX56+AY56</f>
        <v>1579</v>
      </c>
      <c r="BA56" s="2468">
        <f>IF(AX56=0," ",(AZ56-AX56)/AX56)</f>
        <v>2.0025839793281652E-2</v>
      </c>
      <c r="BC56" s="2467">
        <v>1579</v>
      </c>
      <c r="BD56" s="2467">
        <v>1579</v>
      </c>
      <c r="BF56" s="2511" t="s">
        <v>1299</v>
      </c>
      <c r="BH56" s="2467">
        <v>1579</v>
      </c>
      <c r="BM56" s="2466">
        <v>1579</v>
      </c>
      <c r="BN56" s="2470">
        <v>31</v>
      </c>
      <c r="BO56" s="2472">
        <f>BM56+BN56</f>
        <v>1610</v>
      </c>
      <c r="BP56" s="2473">
        <f>IF(BM56=0," ",(BO56-BM56)/BM56)</f>
        <v>1.9632678910702975E-2</v>
      </c>
      <c r="BR56" s="2474">
        <v>1610</v>
      </c>
      <c r="BS56" s="2474">
        <v>1610</v>
      </c>
      <c r="BU56" s="2512" t="s">
        <v>1300</v>
      </c>
      <c r="BW56" s="2474">
        <v>1610</v>
      </c>
      <c r="BZ56" s="2474">
        <v>1610</v>
      </c>
      <c r="CA56" s="2470"/>
      <c r="CB56" s="2472">
        <f>BZ56+CA56</f>
        <v>1610</v>
      </c>
      <c r="CC56" s="2473">
        <f>IF(BZ56=0," ",(CB56-BZ56)/BZ56)</f>
        <v>0</v>
      </c>
      <c r="CE56" s="2474">
        <v>1687</v>
      </c>
      <c r="CF56" s="2476">
        <f>IF(CB56=0," ",(CE56-CB56)/CB56)</f>
        <v>4.7826086956521741E-2</v>
      </c>
      <c r="CG56" s="2474">
        <v>1687</v>
      </c>
      <c r="CH56" s="2449" t="s">
        <v>1217</v>
      </c>
      <c r="CI56" s="2449"/>
      <c r="CJ56" s="2450"/>
      <c r="CK56" s="2450"/>
      <c r="CO56" s="2477" t="s">
        <v>1218</v>
      </c>
      <c r="CP56" s="2478">
        <f t="shared" si="0"/>
        <v>-1579</v>
      </c>
      <c r="CQ56" s="2478"/>
      <c r="CR56" s="2478"/>
      <c r="CS56" s="2478"/>
      <c r="CT56" s="2478"/>
    </row>
    <row r="57" spans="1:98" hidden="1" x14ac:dyDescent="0.2">
      <c r="A57" s="2532"/>
      <c r="B57" s="2533"/>
      <c r="C57" s="2534"/>
      <c r="D57" s="2534"/>
      <c r="E57" s="2535"/>
      <c r="F57" s="2533"/>
      <c r="G57" s="2533" t="s">
        <v>1301</v>
      </c>
      <c r="H57" s="2536">
        <f t="shared" ref="H57" si="38">SUM(H56)</f>
        <v>1308</v>
      </c>
      <c r="I57" s="2536">
        <f>SUM(I56)</f>
        <v>62.88</v>
      </c>
      <c r="J57" s="2536">
        <f>SUM(J56)</f>
        <v>1370.88</v>
      </c>
      <c r="K57" s="2484">
        <f>IF(H57=0," ",(J57-H57)/H57)</f>
        <v>4.8073394495412924E-2</v>
      </c>
      <c r="M57" s="2536">
        <f>SUM(M56)</f>
        <v>1371</v>
      </c>
      <c r="N57" s="2536">
        <f>SUM(N56)</f>
        <v>1371</v>
      </c>
      <c r="P57" s="2537">
        <f>SUM(P56)</f>
        <v>0</v>
      </c>
      <c r="R57" s="2536">
        <f>SUM(R56)</f>
        <v>1371</v>
      </c>
      <c r="S57" s="2536">
        <f>SUM(S56)</f>
        <v>1185.24</v>
      </c>
      <c r="U57" s="2536">
        <f>SUM(U56)</f>
        <v>1371</v>
      </c>
      <c r="V57" s="2536">
        <f>SUM(V56)</f>
        <v>66</v>
      </c>
      <c r="W57" s="2536">
        <f>SUM(W56)</f>
        <v>1437</v>
      </c>
      <c r="X57" s="2484">
        <f>IF(U57=0," ",(W57-U57)/U57)</f>
        <v>4.8140043763676151E-2</v>
      </c>
      <c r="Z57" s="2536">
        <f>SUM(Z56)</f>
        <v>1437</v>
      </c>
      <c r="AA57" s="2536">
        <f>SUM(AA56)</f>
        <v>1437</v>
      </c>
      <c r="AC57" s="2537"/>
      <c r="AE57" s="2536">
        <f>SUM(AE56)</f>
        <v>1437</v>
      </c>
      <c r="AF57" s="2538">
        <f>SUM(AF56)</f>
        <v>1336.67</v>
      </c>
      <c r="AH57" s="2536">
        <v>1437</v>
      </c>
      <c r="AI57" s="2536">
        <f>SUM(AI56)</f>
        <v>68</v>
      </c>
      <c r="AJ57" s="2536">
        <f>SUM(AJ56)</f>
        <v>1505</v>
      </c>
      <c r="AK57" s="2484">
        <f>IF(AH57=0," ",(AJ57-AH57)/AH57)</f>
        <v>4.7320807237299929E-2</v>
      </c>
      <c r="AM57" s="2536">
        <f>SUM(AM56)</f>
        <v>1505</v>
      </c>
      <c r="AN57" s="2536">
        <f>SUM(AN56)</f>
        <v>1505</v>
      </c>
      <c r="AP57" s="2537"/>
      <c r="AR57" s="2536">
        <f>SUM(AR56)</f>
        <v>1505</v>
      </c>
      <c r="AS57" s="2536">
        <f>SUM(AS56)</f>
        <v>1358.52</v>
      </c>
      <c r="AT57" s="2536"/>
      <c r="AU57" s="2536">
        <f>SUM(AU56)</f>
        <v>1548</v>
      </c>
      <c r="AV57" s="2536">
        <f>SUM(AV56)</f>
        <v>800.4</v>
      </c>
      <c r="AX57" s="2536">
        <f>SUM(AX56)</f>
        <v>1548</v>
      </c>
      <c r="AY57" s="2536">
        <f>SUM(AY56)</f>
        <v>31</v>
      </c>
      <c r="AZ57" s="2536">
        <f>SUM(AZ56)</f>
        <v>1579</v>
      </c>
      <c r="BA57" s="2484">
        <f>IF(AX57=0," ",(AZ57-AX57)/AX57)</f>
        <v>2.0025839793281652E-2</v>
      </c>
      <c r="BC57" s="2536">
        <f>SUM(BC56)</f>
        <v>1579</v>
      </c>
      <c r="BD57" s="2536">
        <f>SUM(BD56)</f>
        <v>1579</v>
      </c>
      <c r="BF57" s="2537"/>
      <c r="BH57" s="2536">
        <f>SUM(BH56)</f>
        <v>1579</v>
      </c>
      <c r="BI57" s="2536">
        <f>SUM(BI56)</f>
        <v>0</v>
      </c>
      <c r="BJ57" s="2536"/>
      <c r="BK57" s="2536"/>
      <c r="BM57" s="2536">
        <f>SUM(BM56)</f>
        <v>1579</v>
      </c>
      <c r="BN57" s="2539">
        <f>SUM(BN56)</f>
        <v>31</v>
      </c>
      <c r="BO57" s="2540">
        <f>SUM(BO56)</f>
        <v>1610</v>
      </c>
      <c r="BP57" s="2490">
        <f>IF(BM57=0," ",(BO57-BM57)/BM57)</f>
        <v>1.9632678910702975E-2</v>
      </c>
      <c r="BR57" s="2540">
        <f>SUM(BR56)</f>
        <v>1610</v>
      </c>
      <c r="BS57" s="2540">
        <f>SUM(BS56)</f>
        <v>1610</v>
      </c>
      <c r="BU57" s="2541"/>
      <c r="BW57" s="2540">
        <f>SUM(BW56)</f>
        <v>1610</v>
      </c>
      <c r="BX57" s="2536">
        <f>SUM(BX56)</f>
        <v>0</v>
      </c>
      <c r="BZ57" s="2540">
        <f>SUM(BZ56)</f>
        <v>1610</v>
      </c>
      <c r="CA57" s="2539">
        <f>SUM(CA56)</f>
        <v>0</v>
      </c>
      <c r="CB57" s="2540">
        <f>SUM(CB56)</f>
        <v>1610</v>
      </c>
      <c r="CC57" s="2490">
        <f>IF(BZ57=0," ",(CB57-BZ57)/BZ57)</f>
        <v>0</v>
      </c>
      <c r="CE57" s="2540">
        <f>SUM(CE56)</f>
        <v>1687</v>
      </c>
      <c r="CF57" s="2490">
        <f>IF(CB57=0," ",(CE57-CB57)/CB57)</f>
        <v>4.7826086956521741E-2</v>
      </c>
      <c r="CG57" s="2540">
        <f>SUM(CG56)</f>
        <v>1687</v>
      </c>
      <c r="CH57" s="2449" t="s">
        <v>1220</v>
      </c>
      <c r="CI57" s="2449"/>
      <c r="CJ57" s="2450"/>
      <c r="CK57" s="2450"/>
      <c r="CO57" s="2477" t="s">
        <v>1218</v>
      </c>
      <c r="CP57" s="2478">
        <f t="shared" si="0"/>
        <v>-1579</v>
      </c>
      <c r="CQ57" s="2478"/>
      <c r="CR57" s="2478"/>
      <c r="CS57" s="2478"/>
      <c r="CT57" s="2478"/>
    </row>
    <row r="58" spans="1:98" hidden="1" x14ac:dyDescent="0.2">
      <c r="AS58" s="2466"/>
      <c r="AT58" s="2466"/>
      <c r="BZ58" s="2472"/>
      <c r="CH58" s="2449" t="s">
        <v>1091</v>
      </c>
      <c r="CI58" s="2449"/>
      <c r="CJ58" s="2450"/>
      <c r="CK58" s="2450"/>
      <c r="CP58" s="2478">
        <f t="shared" si="0"/>
        <v>0</v>
      </c>
      <c r="CQ58" s="2478"/>
      <c r="CR58" s="2478"/>
      <c r="CS58" s="2478"/>
      <c r="CT58" s="2478"/>
    </row>
    <row r="59" spans="1:98" hidden="1" x14ac:dyDescent="0.2">
      <c r="A59" s="2395">
        <v>131</v>
      </c>
      <c r="B59" s="2440" t="s">
        <v>1214</v>
      </c>
      <c r="C59" s="2396">
        <v>13105</v>
      </c>
      <c r="D59" s="2396">
        <v>53000</v>
      </c>
      <c r="E59" s="2397" t="s">
        <v>1268</v>
      </c>
      <c r="F59" s="2440" t="s">
        <v>1214</v>
      </c>
      <c r="G59" s="2440" t="s">
        <v>1302</v>
      </c>
      <c r="H59" s="2466">
        <v>10</v>
      </c>
      <c r="I59" s="2467"/>
      <c r="J59" s="2466">
        <f>H59+I59</f>
        <v>10</v>
      </c>
      <c r="K59" s="2468">
        <f>IF(H59=0," ",(J59-H59)/H59)</f>
        <v>0</v>
      </c>
      <c r="M59" s="2467">
        <v>10</v>
      </c>
      <c r="N59" s="2467">
        <v>10</v>
      </c>
      <c r="P59" s="2469" t="s">
        <v>1216</v>
      </c>
      <c r="R59" s="2466">
        <v>10</v>
      </c>
      <c r="S59" s="2466">
        <v>0</v>
      </c>
      <c r="U59" s="2466">
        <v>10</v>
      </c>
      <c r="V59" s="2470">
        <v>0</v>
      </c>
      <c r="W59" s="2466">
        <f>U59+V59</f>
        <v>10</v>
      </c>
      <c r="X59" s="2468">
        <f>IF(U59=0," ",(W59-U59)/U59)</f>
        <v>0</v>
      </c>
      <c r="Z59" s="2467">
        <v>10</v>
      </c>
      <c r="AA59" s="2467">
        <v>10</v>
      </c>
      <c r="AC59" s="2469"/>
      <c r="AE59" s="2466">
        <v>10</v>
      </c>
      <c r="AF59" s="2471">
        <v>0</v>
      </c>
      <c r="AH59" s="2466">
        <v>10</v>
      </c>
      <c r="AI59" s="2470"/>
      <c r="AJ59" s="2466">
        <f>AH59+AI59</f>
        <v>10</v>
      </c>
      <c r="AK59" s="2468">
        <f>IF(AH59=0," ",(AJ59-AH59)/AH59)</f>
        <v>0</v>
      </c>
      <c r="AM59" s="2467">
        <v>10</v>
      </c>
      <c r="AN59" s="2467">
        <v>10</v>
      </c>
      <c r="AP59" s="2469"/>
      <c r="AR59" s="2466">
        <v>10</v>
      </c>
      <c r="AS59" s="2466"/>
      <c r="AT59" s="2466"/>
      <c r="AV59" s="2466">
        <v>0</v>
      </c>
      <c r="AY59" s="2470"/>
      <c r="AZ59" s="2466">
        <f>AX59+AY59</f>
        <v>0</v>
      </c>
      <c r="BA59" s="2468" t="str">
        <f>IF(AX59=0," ",(AZ59-AX59)/AX59)</f>
        <v xml:space="preserve"> </v>
      </c>
      <c r="BC59" s="2467"/>
      <c r="BD59" s="2467"/>
      <c r="BF59" s="2469"/>
      <c r="BH59" s="2467"/>
      <c r="BN59" s="2470"/>
      <c r="BO59" s="2472">
        <f>BM59+BN59</f>
        <v>0</v>
      </c>
      <c r="BP59" s="2473" t="str">
        <f>IF(BM59=0," ",(BO59-BM59)/BM59)</f>
        <v xml:space="preserve"> </v>
      </c>
      <c r="BR59" s="2474">
        <v>0</v>
      </c>
      <c r="BS59" s="2474">
        <v>0</v>
      </c>
      <c r="BU59" s="2475"/>
      <c r="BW59" s="2474">
        <v>0</v>
      </c>
      <c r="BZ59" s="2474">
        <v>0</v>
      </c>
      <c r="CA59" s="2470"/>
      <c r="CB59" s="2472">
        <f>BZ59+CA59</f>
        <v>0</v>
      </c>
      <c r="CC59" s="2473" t="str">
        <f>IF(BZ59=0," ",(CB59-BZ59)/BZ59)</f>
        <v xml:space="preserve"> </v>
      </c>
      <c r="CE59" s="2474">
        <v>0</v>
      </c>
      <c r="CF59" s="2476" t="str">
        <f>IF(CB59=0," ",(CE59-CB59)/CB59)</f>
        <v xml:space="preserve"> </v>
      </c>
      <c r="CG59" s="2474">
        <v>0</v>
      </c>
      <c r="CH59" s="2449" t="s">
        <v>1217</v>
      </c>
      <c r="CI59" s="2449"/>
      <c r="CJ59" s="2450"/>
      <c r="CK59" s="2450"/>
      <c r="CP59" s="2478">
        <f t="shared" si="0"/>
        <v>0</v>
      </c>
      <c r="CQ59" s="2478"/>
      <c r="CR59" s="2478"/>
      <c r="CS59" s="2478"/>
      <c r="CT59" s="2478"/>
    </row>
    <row r="60" spans="1:98" hidden="1" x14ac:dyDescent="0.2">
      <c r="A60" s="2395">
        <v>131</v>
      </c>
      <c r="B60" s="2440" t="s">
        <v>1214</v>
      </c>
      <c r="C60" s="2396">
        <v>13105</v>
      </c>
      <c r="D60" s="2396">
        <v>53450</v>
      </c>
      <c r="E60" s="2397" t="s">
        <v>1268</v>
      </c>
      <c r="F60" s="2440" t="s">
        <v>1214</v>
      </c>
      <c r="G60" s="2440" t="s">
        <v>1303</v>
      </c>
      <c r="H60" s="2466">
        <v>150</v>
      </c>
      <c r="I60" s="2467"/>
      <c r="J60" s="2466">
        <f>H60+I60</f>
        <v>150</v>
      </c>
      <c r="K60" s="2468">
        <f>IF(H60=0," ",(J60-H60)/H60)</f>
        <v>0</v>
      </c>
      <c r="M60" s="2467">
        <v>150</v>
      </c>
      <c r="N60" s="2467">
        <v>150</v>
      </c>
      <c r="P60" s="2469"/>
      <c r="R60" s="2466">
        <v>150</v>
      </c>
      <c r="S60" s="2466">
        <v>0</v>
      </c>
      <c r="U60" s="2466">
        <v>150</v>
      </c>
      <c r="V60" s="2470">
        <v>0</v>
      </c>
      <c r="W60" s="2466">
        <f>U60+V60</f>
        <v>150</v>
      </c>
      <c r="X60" s="2468">
        <f>IF(U60=0," ",(W60-U60)/U60)</f>
        <v>0</v>
      </c>
      <c r="Z60" s="2467">
        <v>150</v>
      </c>
      <c r="AA60" s="2467">
        <v>150</v>
      </c>
      <c r="AC60" s="2469"/>
      <c r="AE60" s="2466">
        <v>150</v>
      </c>
      <c r="AF60" s="2471">
        <v>0</v>
      </c>
      <c r="AH60" s="2466">
        <v>150</v>
      </c>
      <c r="AI60" s="2470"/>
      <c r="AJ60" s="2466">
        <f>AH60+AI60</f>
        <v>150</v>
      </c>
      <c r="AK60" s="2468">
        <f>IF(AH60=0," ",(AJ60-AH60)/AH60)</f>
        <v>0</v>
      </c>
      <c r="AM60" s="2467">
        <v>150</v>
      </c>
      <c r="AN60" s="2467">
        <v>150</v>
      </c>
      <c r="AP60" s="2469"/>
      <c r="AR60" s="2466">
        <v>150</v>
      </c>
      <c r="AS60" s="2466"/>
      <c r="AT60" s="2466"/>
      <c r="AV60" s="2466">
        <v>0</v>
      </c>
      <c r="AY60" s="2470"/>
      <c r="AZ60" s="2466">
        <f>AX60+AY60</f>
        <v>0</v>
      </c>
      <c r="BA60" s="2468" t="str">
        <f>IF(AX60=0," ",(AZ60-AX60)/AX60)</f>
        <v xml:space="preserve"> </v>
      </c>
      <c r="BC60" s="2467"/>
      <c r="BD60" s="2467"/>
      <c r="BF60" s="2469"/>
      <c r="BH60" s="2467"/>
      <c r="BN60" s="2470"/>
      <c r="BO60" s="2472">
        <f>BM60+BN60</f>
        <v>0</v>
      </c>
      <c r="BP60" s="2473" t="str">
        <f>IF(BM60=0," ",(BO60-BM60)/BM60)</f>
        <v xml:space="preserve"> </v>
      </c>
      <c r="BR60" s="2474">
        <v>0</v>
      </c>
      <c r="BS60" s="2474">
        <v>0</v>
      </c>
      <c r="BU60" s="2475"/>
      <c r="BW60" s="2474">
        <v>0</v>
      </c>
      <c r="BZ60" s="2474">
        <v>0</v>
      </c>
      <c r="CA60" s="2470"/>
      <c r="CB60" s="2472">
        <f>BZ60+CA60</f>
        <v>0</v>
      </c>
      <c r="CC60" s="2473" t="str">
        <f>IF(BZ60=0," ",(CB60-BZ60)/BZ60)</f>
        <v xml:space="preserve"> </v>
      </c>
      <c r="CE60" s="2474">
        <v>0</v>
      </c>
      <c r="CF60" s="2476" t="str">
        <f>IF(CB60=0," ",(CE60-CB60)/CB60)</f>
        <v xml:space="preserve"> </v>
      </c>
      <c r="CG60" s="2474">
        <v>0</v>
      </c>
      <c r="CH60" s="2449" t="s">
        <v>1217</v>
      </c>
      <c r="CI60" s="2449"/>
      <c r="CJ60" s="2450"/>
      <c r="CK60" s="2450"/>
      <c r="CP60" s="2478">
        <f t="shared" si="0"/>
        <v>0</v>
      </c>
      <c r="CQ60" s="2478"/>
      <c r="CR60" s="2478"/>
      <c r="CS60" s="2478"/>
      <c r="CT60" s="2478"/>
    </row>
    <row r="61" spans="1:98" hidden="1" x14ac:dyDescent="0.2">
      <c r="A61" s="2395">
        <v>131</v>
      </c>
      <c r="B61" s="2440" t="s">
        <v>1214</v>
      </c>
      <c r="C61" s="2396">
        <v>13105</v>
      </c>
      <c r="D61" s="2396">
        <v>57300</v>
      </c>
      <c r="E61" s="2397" t="s">
        <v>1268</v>
      </c>
      <c r="F61" s="2440" t="s">
        <v>1214</v>
      </c>
      <c r="G61" s="2440" t="s">
        <v>1304</v>
      </c>
      <c r="H61" s="2466">
        <v>185</v>
      </c>
      <c r="I61" s="2467"/>
      <c r="J61" s="2466">
        <f>H61+I61</f>
        <v>185</v>
      </c>
      <c r="K61" s="2468">
        <f>IF(H61=0," ",(J61-H61)/H61)</f>
        <v>0</v>
      </c>
      <c r="M61" s="2467">
        <v>185</v>
      </c>
      <c r="N61" s="2467">
        <v>185</v>
      </c>
      <c r="P61" s="2469"/>
      <c r="R61" s="2466">
        <v>185</v>
      </c>
      <c r="S61" s="2466">
        <v>180</v>
      </c>
      <c r="U61" s="2466">
        <v>185</v>
      </c>
      <c r="V61" s="2470">
        <v>0</v>
      </c>
      <c r="W61" s="2466">
        <f>U61+V61</f>
        <v>185</v>
      </c>
      <c r="X61" s="2468">
        <f>IF(U61=0," ",(W61-U61)/U61)</f>
        <v>0</v>
      </c>
      <c r="Z61" s="2467">
        <v>185</v>
      </c>
      <c r="AA61" s="2467">
        <v>185</v>
      </c>
      <c r="AC61" s="2469"/>
      <c r="AE61" s="2466">
        <v>185</v>
      </c>
      <c r="AF61" s="2471">
        <v>180</v>
      </c>
      <c r="AH61" s="2466">
        <v>185</v>
      </c>
      <c r="AI61" s="2470"/>
      <c r="AJ61" s="2466">
        <f>AH61+AI61</f>
        <v>185</v>
      </c>
      <c r="AK61" s="2468">
        <f>IF(AH61=0," ",(AJ61-AH61)/AH61)</f>
        <v>0</v>
      </c>
      <c r="AM61" s="2467">
        <v>185</v>
      </c>
      <c r="AN61" s="2467">
        <v>185</v>
      </c>
      <c r="AP61" s="2469"/>
      <c r="AR61" s="2466">
        <v>185</v>
      </c>
      <c r="AS61" s="2466">
        <v>180</v>
      </c>
      <c r="AT61" s="2466"/>
      <c r="AU61" s="2466">
        <v>200</v>
      </c>
      <c r="AV61" s="2466">
        <v>0</v>
      </c>
      <c r="AX61" s="2466">
        <v>200</v>
      </c>
      <c r="AY61" s="2470"/>
      <c r="AZ61" s="2466">
        <f>AX61+AY61</f>
        <v>200</v>
      </c>
      <c r="BA61" s="2468">
        <f>IF(AX61=0," ",(AZ61-AX61)/AX61)</f>
        <v>0</v>
      </c>
      <c r="BC61" s="2467">
        <v>200</v>
      </c>
      <c r="BD61" s="2467">
        <v>200</v>
      </c>
      <c r="BF61" s="2469"/>
      <c r="BH61" s="2467">
        <v>200</v>
      </c>
      <c r="BI61" s="2466">
        <v>180</v>
      </c>
      <c r="BM61" s="2466">
        <v>200</v>
      </c>
      <c r="BN61" s="2470"/>
      <c r="BO61" s="2472">
        <f>BM61+BN61</f>
        <v>200</v>
      </c>
      <c r="BP61" s="2473">
        <f>IF(BM61=0," ",(BO61-BM61)/BM61)</f>
        <v>0</v>
      </c>
      <c r="BR61" s="2474">
        <v>200</v>
      </c>
      <c r="BS61" s="2474">
        <v>200</v>
      </c>
      <c r="BU61" s="2475"/>
      <c r="BW61" s="2474">
        <v>200</v>
      </c>
      <c r="BX61" s="2466">
        <v>184</v>
      </c>
      <c r="BZ61" s="2474">
        <v>200</v>
      </c>
      <c r="CA61" s="2470"/>
      <c r="CB61" s="2472">
        <f>BZ61+CA61</f>
        <v>200</v>
      </c>
      <c r="CC61" s="2473">
        <f>IF(BZ61=0," ",(CB61-BZ61)/BZ61)</f>
        <v>0</v>
      </c>
      <c r="CE61" s="2474">
        <v>200</v>
      </c>
      <c r="CF61" s="2476">
        <f>IF(CB61=0," ",(CE61-CB61)/CB61)</f>
        <v>0</v>
      </c>
      <c r="CG61" s="2474">
        <v>200</v>
      </c>
      <c r="CH61" s="2449" t="s">
        <v>1217</v>
      </c>
      <c r="CI61" s="2449"/>
      <c r="CJ61" s="2450"/>
      <c r="CK61" s="2450"/>
      <c r="CO61" s="2477">
        <v>-9.9999999999999978E-2</v>
      </c>
      <c r="CP61" s="2478">
        <f t="shared" si="0"/>
        <v>-20</v>
      </c>
      <c r="CQ61" s="2478"/>
      <c r="CR61" s="2478"/>
      <c r="CS61" s="2478"/>
      <c r="CT61" s="2478"/>
    </row>
    <row r="62" spans="1:98" hidden="1" x14ac:dyDescent="0.2">
      <c r="A62" s="2395">
        <v>131</v>
      </c>
      <c r="B62" s="2440" t="s">
        <v>1214</v>
      </c>
      <c r="C62" s="2396">
        <v>13105</v>
      </c>
      <c r="D62" s="2396">
        <v>57800</v>
      </c>
      <c r="E62" s="2397" t="s">
        <v>1268</v>
      </c>
      <c r="F62" s="2440" t="s">
        <v>1214</v>
      </c>
      <c r="G62" s="2440" t="s">
        <v>1305</v>
      </c>
      <c r="H62" s="2466">
        <v>50</v>
      </c>
      <c r="I62" s="2467"/>
      <c r="J62" s="2466">
        <f>H62+I62</f>
        <v>50</v>
      </c>
      <c r="K62" s="2468">
        <f>IF(H62=0," ",(J62-H62)/H62)</f>
        <v>0</v>
      </c>
      <c r="M62" s="2467">
        <v>50</v>
      </c>
      <c r="N62" s="2467">
        <v>50</v>
      </c>
      <c r="P62" s="2469"/>
      <c r="R62" s="2466">
        <v>50</v>
      </c>
      <c r="S62" s="2466">
        <v>0</v>
      </c>
      <c r="U62" s="2466">
        <v>50</v>
      </c>
      <c r="V62" s="2470">
        <v>0</v>
      </c>
      <c r="W62" s="2466">
        <f>U62+V62</f>
        <v>50</v>
      </c>
      <c r="X62" s="2468">
        <f>IF(U62=0," ",(W62-U62)/U62)</f>
        <v>0</v>
      </c>
      <c r="Z62" s="2467">
        <v>50</v>
      </c>
      <c r="AA62" s="2467">
        <v>50</v>
      </c>
      <c r="AC62" s="2469"/>
      <c r="AE62" s="2466">
        <v>50</v>
      </c>
      <c r="AF62" s="2471">
        <v>0</v>
      </c>
      <c r="AH62" s="2466">
        <v>50</v>
      </c>
      <c r="AI62" s="2470"/>
      <c r="AJ62" s="2466">
        <f>AH62+AI62</f>
        <v>50</v>
      </c>
      <c r="AK62" s="2468">
        <f>IF(AH62=0," ",(AJ62-AH62)/AH62)</f>
        <v>0</v>
      </c>
      <c r="AM62" s="2467">
        <v>50</v>
      </c>
      <c r="AN62" s="2467">
        <v>50</v>
      </c>
      <c r="AP62" s="2469"/>
      <c r="AR62" s="2466">
        <v>50</v>
      </c>
      <c r="AS62" s="2466"/>
      <c r="AT62" s="2466"/>
      <c r="AU62" s="2466">
        <v>150</v>
      </c>
      <c r="AV62" s="2466">
        <v>0</v>
      </c>
      <c r="AX62" s="2466">
        <v>150</v>
      </c>
      <c r="AY62" s="2470"/>
      <c r="AZ62" s="2466">
        <f>AX62+AY62</f>
        <v>150</v>
      </c>
      <c r="BA62" s="2468">
        <f>IF(AX62=0," ",(AZ62-AX62)/AX62)</f>
        <v>0</v>
      </c>
      <c r="BC62" s="2467">
        <v>150</v>
      </c>
      <c r="BD62" s="2467">
        <v>150</v>
      </c>
      <c r="BF62" s="2469"/>
      <c r="BH62" s="2467">
        <v>150</v>
      </c>
      <c r="BM62" s="2466">
        <v>150</v>
      </c>
      <c r="BN62" s="2470"/>
      <c r="BO62" s="2472">
        <f>BM62+BN62</f>
        <v>150</v>
      </c>
      <c r="BP62" s="2473">
        <f>IF(BM62=0," ",(BO62-BM62)/BM62)</f>
        <v>0</v>
      </c>
      <c r="BR62" s="2474">
        <v>150</v>
      </c>
      <c r="BS62" s="2474">
        <v>150</v>
      </c>
      <c r="BU62" s="2475"/>
      <c r="BW62" s="2474">
        <v>150</v>
      </c>
      <c r="BZ62" s="2474">
        <v>150</v>
      </c>
      <c r="CA62" s="2470"/>
      <c r="CB62" s="2472">
        <f>BZ62+CA62</f>
        <v>150</v>
      </c>
      <c r="CC62" s="2473">
        <f>IF(BZ62=0," ",(CB62-BZ62)/BZ62)</f>
        <v>0</v>
      </c>
      <c r="CE62" s="2474">
        <v>150</v>
      </c>
      <c r="CF62" s="2476">
        <f>IF(CB62=0," ",(CE62-CB62)/CB62)</f>
        <v>0</v>
      </c>
      <c r="CG62" s="2474">
        <v>150</v>
      </c>
      <c r="CH62" s="2449" t="s">
        <v>1217</v>
      </c>
      <c r="CI62" s="2449"/>
      <c r="CJ62" s="2450"/>
      <c r="CK62" s="2450"/>
      <c r="CO62" s="2477" t="s">
        <v>1218</v>
      </c>
      <c r="CP62" s="2478">
        <f t="shared" si="0"/>
        <v>-150</v>
      </c>
      <c r="CQ62" s="2478"/>
      <c r="CR62" s="2478"/>
      <c r="CS62" s="2478"/>
      <c r="CT62" s="2478"/>
    </row>
    <row r="63" spans="1:98" hidden="1" x14ac:dyDescent="0.2">
      <c r="A63" s="2532"/>
      <c r="B63" s="2533"/>
      <c r="C63" s="2534"/>
      <c r="D63" s="2534"/>
      <c r="E63" s="2535"/>
      <c r="F63" s="2533"/>
      <c r="G63" s="2533" t="s">
        <v>1306</v>
      </c>
      <c r="H63" s="2536">
        <f t="shared" ref="H63:J63" si="39">SUM(H59:H62)</f>
        <v>395</v>
      </c>
      <c r="I63" s="2536">
        <f t="shared" si="39"/>
        <v>0</v>
      </c>
      <c r="J63" s="2536">
        <f t="shared" si="39"/>
        <v>395</v>
      </c>
      <c r="K63" s="2548">
        <f>IF(H63=0," ",(J63-H63)/H63)</f>
        <v>0</v>
      </c>
      <c r="M63" s="2536">
        <f>SUM(M59:M62)</f>
        <v>395</v>
      </c>
      <c r="N63" s="2536">
        <f>SUM(N59:N62)</f>
        <v>395</v>
      </c>
      <c r="P63" s="2537">
        <f>SUM(P56:P62)</f>
        <v>0</v>
      </c>
      <c r="R63" s="2536">
        <f t="shared" ref="R63:W63" si="40">SUM(R59:R62)</f>
        <v>395</v>
      </c>
      <c r="S63" s="2536">
        <f t="shared" si="40"/>
        <v>180</v>
      </c>
      <c r="T63" s="2536">
        <f t="shared" si="40"/>
        <v>0</v>
      </c>
      <c r="U63" s="2536">
        <f t="shared" si="40"/>
        <v>395</v>
      </c>
      <c r="V63" s="2536">
        <f t="shared" si="40"/>
        <v>0</v>
      </c>
      <c r="W63" s="2536">
        <f t="shared" si="40"/>
        <v>395</v>
      </c>
      <c r="X63" s="2548">
        <f>IF(U63=0," ",(W63-U63)/U63)</f>
        <v>0</v>
      </c>
      <c r="Z63" s="2536">
        <f>SUM(Z59:Z62)</f>
        <v>395</v>
      </c>
      <c r="AA63" s="2536">
        <f>SUM(AA59:AA62)</f>
        <v>395</v>
      </c>
      <c r="AC63" s="2537"/>
      <c r="AE63" s="2536">
        <f>SUM(AE59:AE62)</f>
        <v>395</v>
      </c>
      <c r="AF63" s="2538">
        <f>SUM(AF59:AF62)</f>
        <v>180</v>
      </c>
      <c r="AH63" s="2536">
        <v>395</v>
      </c>
      <c r="AI63" s="2536">
        <f>SUM(AI59:AI62)</f>
        <v>0</v>
      </c>
      <c r="AJ63" s="2536">
        <f>SUM(AJ59:AJ62)</f>
        <v>395</v>
      </c>
      <c r="AK63" s="2484">
        <f>IF(AH63=0," ",(AJ63-AH63)/AH63)</f>
        <v>0</v>
      </c>
      <c r="AM63" s="2536">
        <f>SUM(AM59:AM62)</f>
        <v>395</v>
      </c>
      <c r="AN63" s="2536">
        <f>SUM(AN59:AN62)</f>
        <v>395</v>
      </c>
      <c r="AP63" s="2537"/>
      <c r="AR63" s="2536">
        <f>SUM(AR59:AR62)</f>
        <v>395</v>
      </c>
      <c r="AS63" s="2536">
        <f>SUM(AS59:AS62)</f>
        <v>180</v>
      </c>
      <c r="AT63" s="2536"/>
      <c r="AU63" s="2536">
        <f>SUM(AU59:AU62)</f>
        <v>350</v>
      </c>
      <c r="AV63" s="2536">
        <f>SUM(AV59:AV62)</f>
        <v>0</v>
      </c>
      <c r="AX63" s="2536">
        <f>SUM(AX59:AX62)</f>
        <v>350</v>
      </c>
      <c r="AY63" s="2536">
        <f>SUM(AY59:AY62)</f>
        <v>0</v>
      </c>
      <c r="AZ63" s="2536">
        <f>SUM(AZ59:AZ62)</f>
        <v>350</v>
      </c>
      <c r="BA63" s="2484">
        <f>IF(AX63=0," ",(AZ63-AX63)/AX63)</f>
        <v>0</v>
      </c>
      <c r="BC63" s="2536">
        <f>SUM(BC59:BC62)</f>
        <v>350</v>
      </c>
      <c r="BD63" s="2536">
        <f>SUM(BD59:BD62)</f>
        <v>350</v>
      </c>
      <c r="BF63" s="2537"/>
      <c r="BH63" s="2536">
        <f>SUM(BH59:BH62)</f>
        <v>350</v>
      </c>
      <c r="BI63" s="2536">
        <f>SUM(BI59:BI62)</f>
        <v>180</v>
      </c>
      <c r="BJ63" s="2536"/>
      <c r="BK63" s="2536"/>
      <c r="BM63" s="2536">
        <f>SUM(BM59:BM62)</f>
        <v>350</v>
      </c>
      <c r="BN63" s="2539">
        <f>SUM(BN59:BN62)</f>
        <v>0</v>
      </c>
      <c r="BO63" s="2540">
        <f>SUM(BO59:BO62)</f>
        <v>350</v>
      </c>
      <c r="BP63" s="2490">
        <f>IF(BM63=0," ",(BO63-BM63)/BM63)</f>
        <v>0</v>
      </c>
      <c r="BR63" s="2540">
        <f>SUM(BR59:BR62)</f>
        <v>350</v>
      </c>
      <c r="BS63" s="2540">
        <f>SUM(BS59:BS62)</f>
        <v>350</v>
      </c>
      <c r="BU63" s="2541"/>
      <c r="BW63" s="2540">
        <f>SUM(BW59:BW62)</f>
        <v>350</v>
      </c>
      <c r="BX63" s="2536">
        <f>SUM(BX59:BX62)</f>
        <v>184</v>
      </c>
      <c r="BZ63" s="2540">
        <f>SUM(BZ59:BZ62)</f>
        <v>350</v>
      </c>
      <c r="CA63" s="2539">
        <f>SUM(CA59:CA62)</f>
        <v>0</v>
      </c>
      <c r="CB63" s="2540">
        <f>SUM(CB59:CB62)</f>
        <v>350</v>
      </c>
      <c r="CC63" s="2490">
        <f>IF(BZ63=0," ",(CB63-BZ63)/BZ63)</f>
        <v>0</v>
      </c>
      <c r="CE63" s="2540">
        <f>SUM(CE59:CE62)</f>
        <v>350</v>
      </c>
      <c r="CF63" s="2490">
        <f>IF(CB63=0," ",(CE63-CB63)/CB63)</f>
        <v>0</v>
      </c>
      <c r="CG63" s="2540">
        <f>SUM(CG59:CG62)</f>
        <v>350</v>
      </c>
      <c r="CH63" s="2449" t="s">
        <v>1220</v>
      </c>
      <c r="CI63" s="2449"/>
      <c r="CJ63" s="2450"/>
      <c r="CK63" s="2450"/>
      <c r="CO63" s="2477">
        <v>-0.48571428571428577</v>
      </c>
      <c r="CP63" s="2478">
        <f t="shared" si="0"/>
        <v>-170</v>
      </c>
      <c r="CQ63" s="2478"/>
      <c r="CR63" s="2478"/>
      <c r="CS63" s="2478"/>
      <c r="CT63" s="2478"/>
    </row>
    <row r="64" spans="1:98" hidden="1" x14ac:dyDescent="0.2">
      <c r="A64" s="2328"/>
      <c r="B64" s="2485"/>
      <c r="C64" s="2329"/>
      <c r="D64" s="2329"/>
      <c r="E64" s="2330"/>
      <c r="F64" s="2485"/>
      <c r="G64" s="2485"/>
      <c r="H64" s="2549"/>
      <c r="I64" s="2549"/>
      <c r="J64" s="2549"/>
      <c r="K64" s="2550"/>
      <c r="M64" s="2549"/>
      <c r="N64" s="2549"/>
      <c r="P64" s="2551"/>
      <c r="R64" s="2549"/>
      <c r="S64" s="2549"/>
      <c r="U64" s="2549"/>
      <c r="V64" s="2549"/>
      <c r="W64" s="2549"/>
      <c r="X64" s="2550"/>
      <c r="Z64" s="2549"/>
      <c r="AA64" s="2549"/>
      <c r="AC64" s="2551"/>
      <c r="AE64" s="2549"/>
      <c r="AF64" s="2552"/>
      <c r="AH64" s="2549"/>
      <c r="AI64" s="2549"/>
      <c r="AJ64" s="2549"/>
      <c r="AK64" s="2550"/>
      <c r="AM64" s="2549"/>
      <c r="AN64" s="2549"/>
      <c r="AP64" s="2551"/>
      <c r="AR64" s="2549"/>
      <c r="AS64" s="2549"/>
      <c r="AT64" s="2549"/>
      <c r="AU64" s="2549"/>
      <c r="AV64" s="2549"/>
      <c r="AX64" s="2549"/>
      <c r="AY64" s="2549"/>
      <c r="AZ64" s="2549"/>
      <c r="BA64" s="2550"/>
      <c r="BC64" s="2549"/>
      <c r="BD64" s="2549"/>
      <c r="BF64" s="2551"/>
      <c r="BH64" s="2549"/>
      <c r="BI64" s="2549"/>
      <c r="BJ64" s="2549"/>
      <c r="BK64" s="2549"/>
      <c r="BM64" s="2549"/>
      <c r="BO64" s="2553"/>
      <c r="BP64" s="2554"/>
      <c r="BR64" s="2553"/>
      <c r="BS64" s="2553"/>
      <c r="BU64" s="2555"/>
      <c r="BW64" s="2553"/>
      <c r="BX64" s="2549"/>
      <c r="BZ64" s="2553"/>
      <c r="CB64" s="2553"/>
      <c r="CC64" s="2554"/>
      <c r="CE64" s="2553"/>
      <c r="CF64" s="2554"/>
      <c r="CG64" s="2553"/>
      <c r="CH64" s="2449" t="s">
        <v>1091</v>
      </c>
      <c r="CI64" s="2449"/>
      <c r="CJ64" s="2450"/>
      <c r="CK64" s="2450"/>
      <c r="CP64" s="2478">
        <f t="shared" si="0"/>
        <v>0</v>
      </c>
      <c r="CQ64" s="2478"/>
      <c r="CR64" s="2478"/>
      <c r="CS64" s="2478"/>
      <c r="CT64" s="2478"/>
    </row>
    <row r="65" spans="1:98" hidden="1" x14ac:dyDescent="0.2">
      <c r="A65" s="2395">
        <v>131</v>
      </c>
      <c r="B65" s="2440" t="s">
        <v>1214</v>
      </c>
      <c r="C65" s="2396">
        <v>13105</v>
      </c>
      <c r="D65" s="2396">
        <v>57999</v>
      </c>
      <c r="E65" s="2397" t="s">
        <v>882</v>
      </c>
      <c r="F65" s="2440" t="s">
        <v>1214</v>
      </c>
      <c r="G65" s="2556" t="s">
        <v>1307</v>
      </c>
      <c r="I65" s="2467"/>
      <c r="J65" s="2466">
        <f>H65+I65</f>
        <v>0</v>
      </c>
      <c r="K65" s="2468" t="str">
        <f>IF(H65=0," ",(J65-H65)/H65)</f>
        <v xml:space="preserve"> </v>
      </c>
      <c r="M65" s="2467">
        <v>100000</v>
      </c>
      <c r="N65" s="2467">
        <v>100000</v>
      </c>
      <c r="P65" s="2469"/>
      <c r="R65" s="2466">
        <v>100000</v>
      </c>
      <c r="S65" s="2466">
        <v>0</v>
      </c>
      <c r="U65" s="2466">
        <v>100000</v>
      </c>
      <c r="V65" s="2470">
        <v>0</v>
      </c>
      <c r="W65" s="2466">
        <f>U65+V65</f>
        <v>100000</v>
      </c>
      <c r="X65" s="2468">
        <f>IF(U65=0," ",(W65-U65)/U65)</f>
        <v>0</v>
      </c>
      <c r="Z65" s="2467">
        <v>100000</v>
      </c>
      <c r="AA65" s="2467">
        <v>100000</v>
      </c>
      <c r="AC65" s="2469"/>
      <c r="AE65" s="2557">
        <v>100000</v>
      </c>
      <c r="AF65" s="2558"/>
      <c r="AH65" s="2466">
        <v>100000</v>
      </c>
      <c r="AI65" s="2470"/>
      <c r="AJ65" s="2466">
        <f>AH65+AI65</f>
        <v>100000</v>
      </c>
      <c r="AK65" s="2468">
        <f>IF(AH65=0," ",(AJ65-AH65)/AH65)</f>
        <v>0</v>
      </c>
      <c r="AM65" s="2467">
        <v>100000</v>
      </c>
      <c r="AN65" s="2467">
        <v>100000</v>
      </c>
      <c r="AP65" s="2469"/>
      <c r="AR65" s="2466">
        <v>100000</v>
      </c>
      <c r="AS65" s="2466">
        <v>0</v>
      </c>
      <c r="AT65" s="2466"/>
      <c r="AU65" s="2466">
        <v>100000</v>
      </c>
      <c r="AV65" s="2466">
        <v>0</v>
      </c>
      <c r="AX65" s="2466">
        <v>100000</v>
      </c>
      <c r="AY65" s="2470"/>
      <c r="AZ65" s="2466">
        <f>AX65+AY65</f>
        <v>100000</v>
      </c>
      <c r="BA65" s="2468">
        <f>IF(AX65=0," ",(AZ65-AX65)/AX65)</f>
        <v>0</v>
      </c>
      <c r="BC65" s="2467">
        <v>100000</v>
      </c>
      <c r="BD65" s="2467">
        <v>100000</v>
      </c>
      <c r="BF65" s="2469"/>
      <c r="BH65" s="2467">
        <v>100000</v>
      </c>
      <c r="BM65" s="2466">
        <v>100000</v>
      </c>
      <c r="BN65" s="2470"/>
      <c r="BO65" s="2472">
        <f>BM65+BN65</f>
        <v>100000</v>
      </c>
      <c r="BP65" s="2473">
        <f>IF(BM65=0," ",(BO65-BM65)/BM65)</f>
        <v>0</v>
      </c>
      <c r="BR65" s="2474">
        <v>100000</v>
      </c>
      <c r="BS65" s="2474">
        <v>100000</v>
      </c>
      <c r="BU65" s="2475"/>
      <c r="BW65" s="2474">
        <v>100000</v>
      </c>
      <c r="BZ65" s="2474">
        <v>100000</v>
      </c>
      <c r="CA65" s="2470"/>
      <c r="CB65" s="2472">
        <f>BZ65+CA65</f>
        <v>100000</v>
      </c>
      <c r="CC65" s="2473">
        <f>IF(BZ65=0," ",(CB65-BZ65)/BZ65)</f>
        <v>0</v>
      </c>
      <c r="CE65" s="2474">
        <v>100000</v>
      </c>
      <c r="CF65" s="2476">
        <f>IF(CB65=0," ",(CE65-CB65)/CB65)</f>
        <v>0</v>
      </c>
      <c r="CG65" s="2474">
        <v>100000</v>
      </c>
      <c r="CH65" s="2449" t="s">
        <v>1217</v>
      </c>
      <c r="CI65" s="2449"/>
      <c r="CJ65" s="2450" t="s">
        <v>1308</v>
      </c>
      <c r="CK65" s="2450"/>
      <c r="CO65" s="2477" t="s">
        <v>1218</v>
      </c>
      <c r="CP65" s="2478">
        <f t="shared" si="0"/>
        <v>-100000</v>
      </c>
      <c r="CQ65" s="2478"/>
      <c r="CR65" s="2478"/>
      <c r="CS65" s="2478"/>
      <c r="CT65" s="2478"/>
    </row>
    <row r="66" spans="1:98" hidden="1" x14ac:dyDescent="0.2">
      <c r="A66" s="2532"/>
      <c r="B66" s="2533"/>
      <c r="C66" s="2534"/>
      <c r="D66" s="2534"/>
      <c r="E66" s="2535"/>
      <c r="F66" s="2533"/>
      <c r="G66" s="2533" t="s">
        <v>1307</v>
      </c>
      <c r="H66" s="2536">
        <f>SUM(H65)</f>
        <v>0</v>
      </c>
      <c r="I66" s="2536">
        <f>SUM(I65)</f>
        <v>0</v>
      </c>
      <c r="J66" s="2536">
        <f>SUM(J65)</f>
        <v>0</v>
      </c>
      <c r="K66" s="2548" t="str">
        <f>IF(H66=0," ",(J66-H66)/H66)</f>
        <v xml:space="preserve"> </v>
      </c>
      <c r="M66" s="2536">
        <f>SUM(M65)</f>
        <v>100000</v>
      </c>
      <c r="N66" s="2536">
        <f>SUM(N65)</f>
        <v>100000</v>
      </c>
      <c r="P66" s="2537">
        <f>SUM(P59:P65)</f>
        <v>0</v>
      </c>
      <c r="R66" s="2536">
        <f>SUM(R65)</f>
        <v>100000</v>
      </c>
      <c r="S66" s="2536">
        <f>SUM(S65)</f>
        <v>0</v>
      </c>
      <c r="U66" s="2536">
        <f>SUM(U65)</f>
        <v>100000</v>
      </c>
      <c r="V66" s="2536">
        <f>SUM(V65)</f>
        <v>0</v>
      </c>
      <c r="W66" s="2536">
        <f>SUM(W65)</f>
        <v>100000</v>
      </c>
      <c r="X66" s="2548">
        <f>IF(U66=0," ",(W66-U66)/U66)</f>
        <v>0</v>
      </c>
      <c r="Z66" s="2536">
        <f>SUM(Z65)</f>
        <v>100000</v>
      </c>
      <c r="AA66" s="2536">
        <f>SUM(AA65)</f>
        <v>100000</v>
      </c>
      <c r="AC66" s="2537"/>
      <c r="AE66" s="2536">
        <f>SUM(AE65)</f>
        <v>100000</v>
      </c>
      <c r="AF66" s="2538">
        <f>SUM(AF65)</f>
        <v>0</v>
      </c>
      <c r="AH66" s="2536">
        <v>100000</v>
      </c>
      <c r="AI66" s="2536">
        <f>SUM(AI65)</f>
        <v>0</v>
      </c>
      <c r="AJ66" s="2536">
        <f>SUM(AJ65)</f>
        <v>100000</v>
      </c>
      <c r="AK66" s="2484">
        <f>IF(AH66=0," ",(AJ66-AH66)/AH66)</f>
        <v>0</v>
      </c>
      <c r="AM66" s="2536">
        <f>SUM(AM65)</f>
        <v>100000</v>
      </c>
      <c r="AN66" s="2536">
        <f>SUM(AN65)</f>
        <v>100000</v>
      </c>
      <c r="AP66" s="2537"/>
      <c r="AR66" s="2536">
        <f>SUM(AR65)</f>
        <v>100000</v>
      </c>
      <c r="AS66" s="2536">
        <f>SUM(AS65)</f>
        <v>0</v>
      </c>
      <c r="AT66" s="2536"/>
      <c r="AU66" s="2536">
        <f>SUM(AU65)</f>
        <v>100000</v>
      </c>
      <c r="AV66" s="2536">
        <f>SUM(AV65)</f>
        <v>0</v>
      </c>
      <c r="AX66" s="2536">
        <f>SUM(AX65)</f>
        <v>100000</v>
      </c>
      <c r="AY66" s="2536">
        <f>SUM(AY65)</f>
        <v>0</v>
      </c>
      <c r="AZ66" s="2536">
        <f>SUM(AZ65)</f>
        <v>100000</v>
      </c>
      <c r="BA66" s="2484">
        <f>IF(AX66=0," ",(AZ66-AX66)/AX66)</f>
        <v>0</v>
      </c>
      <c r="BC66" s="2536">
        <f>SUM(BC65)</f>
        <v>100000</v>
      </c>
      <c r="BD66" s="2536">
        <f>SUM(BD65)</f>
        <v>100000</v>
      </c>
      <c r="BF66" s="2537"/>
      <c r="BH66" s="2536">
        <f>SUM(BH65)</f>
        <v>100000</v>
      </c>
      <c r="BI66" s="2536">
        <f>SUM(BI65)</f>
        <v>0</v>
      </c>
      <c r="BJ66" s="2536"/>
      <c r="BK66" s="2536"/>
      <c r="BM66" s="2536">
        <f>SUM(BM65)</f>
        <v>100000</v>
      </c>
      <c r="BN66" s="2539">
        <f>SUM(BN65)</f>
        <v>0</v>
      </c>
      <c r="BO66" s="2540">
        <f>SUM(BO65)</f>
        <v>100000</v>
      </c>
      <c r="BP66" s="2490">
        <f>IF(BM66=0," ",(BO66-BM66)/BM66)</f>
        <v>0</v>
      </c>
      <c r="BR66" s="2540">
        <f>SUM(BR65)</f>
        <v>100000</v>
      </c>
      <c r="BS66" s="2540">
        <f>SUM(BS65)</f>
        <v>100000</v>
      </c>
      <c r="BU66" s="2541"/>
      <c r="BW66" s="2540">
        <f>SUM(BW65)</f>
        <v>100000</v>
      </c>
      <c r="BX66" s="2536">
        <f>SUM(BX65)</f>
        <v>0</v>
      </c>
      <c r="BZ66" s="2540">
        <f>SUM(BZ65)</f>
        <v>100000</v>
      </c>
      <c r="CA66" s="2539">
        <f>SUM(CA65)</f>
        <v>0</v>
      </c>
      <c r="CB66" s="2540">
        <f>SUM(CB65)</f>
        <v>100000</v>
      </c>
      <c r="CC66" s="2490">
        <f>IF(BZ66=0," ",(CB66-BZ66)/BZ66)</f>
        <v>0</v>
      </c>
      <c r="CE66" s="2540">
        <f>SUM(CE65)</f>
        <v>100000</v>
      </c>
      <c r="CF66" s="2490">
        <f>IF(CB66=0," ",(CE66-CB66)/CB66)</f>
        <v>0</v>
      </c>
      <c r="CG66" s="2540">
        <f>SUM(CG65)</f>
        <v>100000</v>
      </c>
      <c r="CH66" s="2449" t="s">
        <v>1220</v>
      </c>
      <c r="CI66" s="2449"/>
      <c r="CJ66" s="2450"/>
      <c r="CK66" s="2450"/>
      <c r="CO66" s="2477" t="s">
        <v>1218</v>
      </c>
      <c r="CP66" s="2478">
        <f t="shared" si="0"/>
        <v>-100000</v>
      </c>
      <c r="CQ66" s="2478"/>
      <c r="CR66" s="2478"/>
      <c r="CS66" s="2478"/>
      <c r="CT66" s="2478"/>
    </row>
    <row r="67" spans="1:98" hidden="1" x14ac:dyDescent="0.2">
      <c r="A67" s="2328"/>
      <c r="B67" s="2485"/>
      <c r="C67" s="2329"/>
      <c r="D67" s="2329"/>
      <c r="E67" s="2330"/>
      <c r="F67" s="2485"/>
      <c r="G67" s="2485"/>
      <c r="H67" s="2549"/>
      <c r="I67" s="2549"/>
      <c r="J67" s="2549"/>
      <c r="K67" s="2550"/>
      <c r="M67" s="2549"/>
      <c r="N67" s="2549"/>
      <c r="P67" s="2551"/>
      <c r="R67" s="2549"/>
      <c r="S67" s="2549"/>
      <c r="U67" s="2549"/>
      <c r="V67" s="2549"/>
      <c r="W67" s="2549"/>
      <c r="X67" s="2550"/>
      <c r="Z67" s="2549"/>
      <c r="AA67" s="2549"/>
      <c r="AC67" s="2551"/>
      <c r="AE67" s="2549"/>
      <c r="AF67" s="2552"/>
      <c r="AH67" s="2549"/>
      <c r="AI67" s="2549"/>
      <c r="AJ67" s="2549"/>
      <c r="AK67" s="2550"/>
      <c r="AM67" s="2549"/>
      <c r="AN67" s="2549"/>
      <c r="AP67" s="2551"/>
      <c r="AR67" s="2549"/>
      <c r="AS67" s="2549"/>
      <c r="AT67" s="2549"/>
      <c r="AU67" s="2549"/>
      <c r="AV67" s="2549"/>
      <c r="AX67" s="2549"/>
      <c r="AY67" s="2549"/>
      <c r="AZ67" s="2549"/>
      <c r="BA67" s="2550"/>
      <c r="BC67" s="2549"/>
      <c r="BD67" s="2549"/>
      <c r="BF67" s="2551"/>
      <c r="BH67" s="2549"/>
      <c r="BI67" s="2549"/>
      <c r="BJ67" s="2549"/>
      <c r="BK67" s="2549"/>
      <c r="BM67" s="2549"/>
      <c r="BO67" s="2553"/>
      <c r="BP67" s="2554"/>
      <c r="BR67" s="2553"/>
      <c r="BS67" s="2553"/>
      <c r="BU67" s="2555"/>
      <c r="BW67" s="2553"/>
      <c r="BX67" s="2549"/>
      <c r="BZ67" s="2553"/>
      <c r="CB67" s="2553"/>
      <c r="CC67" s="2554"/>
      <c r="CE67" s="2553"/>
      <c r="CF67" s="2554"/>
      <c r="CG67" s="2553"/>
      <c r="CH67" s="2449" t="s">
        <v>1091</v>
      </c>
      <c r="CI67" s="2449"/>
      <c r="CJ67" s="2450"/>
      <c r="CK67" s="2450"/>
      <c r="CP67" s="2478">
        <f t="shared" si="0"/>
        <v>0</v>
      </c>
      <c r="CQ67" s="2478"/>
      <c r="CR67" s="2478"/>
      <c r="CS67" s="2478"/>
      <c r="CT67" s="2478"/>
    </row>
    <row r="68" spans="1:98" hidden="1" x14ac:dyDescent="0.2">
      <c r="A68" s="2495"/>
      <c r="B68" s="2496"/>
      <c r="C68" s="2497"/>
      <c r="D68" s="2497"/>
      <c r="E68" s="2498"/>
      <c r="F68" s="2496"/>
      <c r="G68" s="2499" t="s">
        <v>1309</v>
      </c>
      <c r="H68" s="2500">
        <f>H66+H63+H57</f>
        <v>1703</v>
      </c>
      <c r="I68" s="2500">
        <f>I66+I63+I57</f>
        <v>62.88</v>
      </c>
      <c r="J68" s="2500">
        <f>J66+J63+J57</f>
        <v>1765.88</v>
      </c>
      <c r="K68" s="2559">
        <f>IF(H68=0," ",(J68-H68)/H68)</f>
        <v>3.6923076923076989E-2</v>
      </c>
      <c r="M68" s="2500">
        <f>M66+M63+M57</f>
        <v>101766</v>
      </c>
      <c r="N68" s="2500">
        <f>N66+N63+N57</f>
        <v>101766</v>
      </c>
      <c r="P68" s="2502">
        <f>P57+P66</f>
        <v>0</v>
      </c>
      <c r="R68" s="2500">
        <f>R66+R63+R57</f>
        <v>101766</v>
      </c>
      <c r="S68" s="2500">
        <f>S66+S63+S57</f>
        <v>1365.24</v>
      </c>
      <c r="U68" s="2500">
        <f>U66+U63+U57</f>
        <v>101766</v>
      </c>
      <c r="V68" s="2500">
        <f>V66+V63+V57</f>
        <v>66</v>
      </c>
      <c r="W68" s="2500">
        <f>W66+W63+W57</f>
        <v>101832</v>
      </c>
      <c r="X68" s="2559">
        <f>IF(U68=0," ",(W68-U68)/U68)</f>
        <v>6.4854666588054955E-4</v>
      </c>
      <c r="Z68" s="2500">
        <f>Z66+Z63+Z57</f>
        <v>101832</v>
      </c>
      <c r="AA68" s="2500">
        <f>AA66+AA63+AA57</f>
        <v>101832</v>
      </c>
      <c r="AC68" s="2502"/>
      <c r="AE68" s="2500">
        <f>AE66+AE63+AE57</f>
        <v>101832</v>
      </c>
      <c r="AF68" s="2503">
        <f>AF66+AF63+AF57</f>
        <v>1516.67</v>
      </c>
      <c r="AH68" s="2500">
        <v>101832</v>
      </c>
      <c r="AI68" s="2500">
        <f>AI66+AI63+AI57</f>
        <v>68</v>
      </c>
      <c r="AJ68" s="2500">
        <f>AJ66+AJ63+AJ57</f>
        <v>101900</v>
      </c>
      <c r="AK68" s="2559">
        <f>IF(AH68=0," ",(AJ68-AH68)/AH68)</f>
        <v>6.6776651740120985E-4</v>
      </c>
      <c r="AM68" s="2500">
        <f>AM66+AM63+AM57</f>
        <v>101900</v>
      </c>
      <c r="AN68" s="2500">
        <f>AN66+AN63+AN57</f>
        <v>101900</v>
      </c>
      <c r="AP68" s="2502"/>
      <c r="AR68" s="2500">
        <f>AR66+AR63+AR57</f>
        <v>101900</v>
      </c>
      <c r="AS68" s="2500">
        <f>AS66+AS63+AS57</f>
        <v>1538.52</v>
      </c>
      <c r="AT68" s="2500"/>
      <c r="AU68" s="2500">
        <f>AU66+AU63+AU57</f>
        <v>101898</v>
      </c>
      <c r="AV68" s="2500">
        <f>AV66+AV63+AV57</f>
        <v>800.4</v>
      </c>
      <c r="AX68" s="2500">
        <f>AX66+AX63+AX57</f>
        <v>101898</v>
      </c>
      <c r="AY68" s="2500">
        <f>AY66+AY63+AY57</f>
        <v>31</v>
      </c>
      <c r="AZ68" s="2500">
        <f>AZ66+AZ63+AZ57</f>
        <v>101929</v>
      </c>
      <c r="BA68" s="2559">
        <f>IF(AX68=0," ",(AZ68-AX68)/AX68)</f>
        <v>3.0422579442187283E-4</v>
      </c>
      <c r="BC68" s="2500">
        <f>BC66+BC63+BC57</f>
        <v>101929</v>
      </c>
      <c r="BD68" s="2500">
        <f>BD66+BD63+BD57</f>
        <v>101929</v>
      </c>
      <c r="BF68" s="2502"/>
      <c r="BH68" s="2500">
        <f>BH66+BH63+BH57</f>
        <v>101929</v>
      </c>
      <c r="BI68" s="2500">
        <f>BI66+BI63+BI57</f>
        <v>180</v>
      </c>
      <c r="BJ68" s="2500"/>
      <c r="BK68" s="2500"/>
      <c r="BM68" s="2500">
        <f>BM66+BM63+BM57</f>
        <v>101929</v>
      </c>
      <c r="BN68" s="2504">
        <f>BN66+BN63+BN57</f>
        <v>31</v>
      </c>
      <c r="BO68" s="2505">
        <f>BO66+BO63+BO57</f>
        <v>101960</v>
      </c>
      <c r="BP68" s="2449">
        <f>IF(BM68=0," ",(BO68-BM68)/BM68)</f>
        <v>3.0413326923642926E-4</v>
      </c>
      <c r="BR68" s="2505">
        <f>BR66+BR63+BR57</f>
        <v>101960</v>
      </c>
      <c r="BS68" s="2505">
        <f>BS66+BS63+BS57</f>
        <v>101960</v>
      </c>
      <c r="BU68" s="2507"/>
      <c r="BW68" s="2505">
        <f>BW66+BW63+BW57</f>
        <v>101960</v>
      </c>
      <c r="BX68" s="2500">
        <f>BX66+BX63+BX57</f>
        <v>184</v>
      </c>
      <c r="BZ68" s="2505">
        <f>BZ66+BZ63+BZ57</f>
        <v>101960</v>
      </c>
      <c r="CA68" s="2504">
        <f>CA66+CA63+CA57</f>
        <v>0</v>
      </c>
      <c r="CB68" s="2505">
        <f>CB66+CB63+CB57</f>
        <v>101960</v>
      </c>
      <c r="CC68" s="2449">
        <f>IF(BZ68=0," ",(CB68-BZ68)/BZ68)</f>
        <v>0</v>
      </c>
      <c r="CE68" s="2505">
        <f>CE66+CE63+CE57</f>
        <v>102037</v>
      </c>
      <c r="CF68" s="2449">
        <f>IF(CB68=0," ",(CE68-CB68)/CB68)</f>
        <v>7.5519811690859164E-4</v>
      </c>
      <c r="CG68" s="2505">
        <f>CG66+CG63+CG57</f>
        <v>102037</v>
      </c>
      <c r="CH68" s="2449" t="s">
        <v>1310</v>
      </c>
      <c r="CI68" s="2449"/>
      <c r="CJ68" s="2450"/>
      <c r="CK68" s="2450"/>
      <c r="CO68" s="2477">
        <v>-0.99823406488830457</v>
      </c>
      <c r="CP68" s="2478">
        <f t="shared" si="0"/>
        <v>-101749</v>
      </c>
      <c r="CQ68" s="2478">
        <f>AV68-AU68</f>
        <v>-101097.60000000001</v>
      </c>
      <c r="CR68" s="2478">
        <f>AS68-AR68</f>
        <v>-100361.48</v>
      </c>
      <c r="CS68" s="2478">
        <f>AF68-AE68</f>
        <v>-100315.33</v>
      </c>
      <c r="CT68" s="2478"/>
    </row>
    <row r="69" spans="1:98" ht="20.100000000000001" hidden="1" customHeight="1" x14ac:dyDescent="0.2">
      <c r="AS69" s="2466"/>
      <c r="AT69" s="2466"/>
      <c r="BZ69" s="2472"/>
      <c r="CH69" s="2449" t="s">
        <v>1091</v>
      </c>
      <c r="CI69" s="2449"/>
      <c r="CJ69" s="2450"/>
      <c r="CK69" s="2450"/>
      <c r="CP69" s="2478">
        <f t="shared" si="0"/>
        <v>0</v>
      </c>
      <c r="CQ69" s="2478"/>
      <c r="CR69" s="2478"/>
      <c r="CS69" s="2478"/>
      <c r="CT69" s="2478"/>
    </row>
    <row r="70" spans="1:98" ht="15.75" hidden="1" x14ac:dyDescent="0.2">
      <c r="A70" s="2453" t="s">
        <v>1311</v>
      </c>
      <c r="B70" s="2454"/>
      <c r="C70" s="2455"/>
      <c r="D70" s="2455"/>
      <c r="E70" s="2456"/>
      <c r="F70" s="2454"/>
      <c r="G70" s="2454"/>
      <c r="H70" s="2457"/>
      <c r="I70" s="2457"/>
      <c r="J70" s="2457"/>
      <c r="K70" s="2458"/>
      <c r="M70" s="2457"/>
      <c r="N70" s="2457"/>
      <c r="P70" s="2459"/>
      <c r="R70" s="2457"/>
      <c r="S70" s="2457"/>
      <c r="U70" s="2457"/>
      <c r="V70" s="2457"/>
      <c r="W70" s="2457"/>
      <c r="X70" s="2458"/>
      <c r="Z70" s="2457"/>
      <c r="AA70" s="2457"/>
      <c r="AC70" s="2459"/>
      <c r="AE70" s="2457"/>
      <c r="AF70" s="2460"/>
      <c r="AH70" s="2457"/>
      <c r="AI70" s="2457"/>
      <c r="AJ70" s="2457"/>
      <c r="AK70" s="2458"/>
      <c r="AM70" s="2457"/>
      <c r="AN70" s="2457"/>
      <c r="AP70" s="2459"/>
      <c r="AR70" s="2457"/>
      <c r="AS70" s="2457"/>
      <c r="AT70" s="2457"/>
      <c r="AU70" s="2457"/>
      <c r="AV70" s="2457"/>
      <c r="AX70" s="2457"/>
      <c r="AY70" s="2457"/>
      <c r="AZ70" s="2457"/>
      <c r="BA70" s="2458"/>
      <c r="BC70" s="2457"/>
      <c r="BD70" s="2457"/>
      <c r="BF70" s="2461"/>
      <c r="BH70" s="2457"/>
      <c r="BI70" s="2457"/>
      <c r="BJ70" s="2457"/>
      <c r="BK70" s="2457"/>
      <c r="BM70" s="2457"/>
      <c r="BN70" s="2462"/>
      <c r="BO70" s="2463"/>
      <c r="BP70" s="2464"/>
      <c r="BR70" s="2463"/>
      <c r="BS70" s="2463"/>
      <c r="BU70" s="2465"/>
      <c r="BW70" s="2463"/>
      <c r="BX70" s="2457"/>
      <c r="BZ70" s="2463"/>
      <c r="CA70" s="2462"/>
      <c r="CB70" s="2463"/>
      <c r="CC70" s="2464"/>
      <c r="CE70" s="2463"/>
      <c r="CF70" s="2464"/>
      <c r="CG70" s="2463"/>
      <c r="CH70" s="2449" t="s">
        <v>1212</v>
      </c>
      <c r="CI70" s="2449"/>
      <c r="CJ70" s="2450"/>
      <c r="CK70" s="2450"/>
      <c r="CP70" s="2478">
        <f t="shared" ref="CP70:CP133" si="41">IFERROR(BI70-BH70,"")</f>
        <v>0</v>
      </c>
      <c r="CQ70" s="2478"/>
      <c r="CR70" s="2478"/>
      <c r="CS70" s="2478"/>
      <c r="CT70" s="2478"/>
    </row>
    <row r="71" spans="1:98" hidden="1" x14ac:dyDescent="0.2">
      <c r="A71" s="2395">
        <v>135</v>
      </c>
      <c r="B71" s="2440" t="s">
        <v>1214</v>
      </c>
      <c r="C71" s="2396">
        <v>13501</v>
      </c>
      <c r="D71" s="2396">
        <v>51120</v>
      </c>
      <c r="E71" s="2397" t="s">
        <v>59</v>
      </c>
      <c r="F71" s="2440" t="s">
        <v>1214</v>
      </c>
      <c r="G71" s="2440" t="s">
        <v>1312</v>
      </c>
      <c r="H71" s="2466">
        <v>89910</v>
      </c>
      <c r="I71" s="2470">
        <v>3982</v>
      </c>
      <c r="J71" s="2466">
        <f>H71+I71</f>
        <v>93892</v>
      </c>
      <c r="K71" s="2468">
        <f>IF(H71=0," ",(J71-H71)/H71)</f>
        <v>4.4288733177622067E-2</v>
      </c>
      <c r="M71" s="2467">
        <v>93892</v>
      </c>
      <c r="N71" s="2467">
        <v>93892</v>
      </c>
      <c r="P71" s="2469" t="s">
        <v>1313</v>
      </c>
      <c r="R71" s="2466">
        <v>93892</v>
      </c>
      <c r="S71" s="2466">
        <v>93891.199999999997</v>
      </c>
      <c r="U71" s="2466">
        <v>93892</v>
      </c>
      <c r="V71" s="2470">
        <v>4513</v>
      </c>
      <c r="W71" s="2466">
        <f>U71+V71</f>
        <v>98405</v>
      </c>
      <c r="X71" s="2468">
        <f>IF(U71=0," ",(W71-U71)/U71)</f>
        <v>4.8065862906317897E-2</v>
      </c>
      <c r="Z71" s="2467">
        <v>98405</v>
      </c>
      <c r="AA71" s="2467">
        <v>98405</v>
      </c>
      <c r="AC71" s="2469" t="s">
        <v>1314</v>
      </c>
      <c r="AE71" s="2466">
        <v>98405</v>
      </c>
      <c r="AF71" s="2471">
        <v>98404.800000000003</v>
      </c>
      <c r="AH71" s="2466">
        <v>98405</v>
      </c>
      <c r="AI71" s="2470">
        <v>5515</v>
      </c>
      <c r="AJ71" s="2466">
        <f>AH71+AI71</f>
        <v>103920</v>
      </c>
      <c r="AK71" s="2468">
        <f>IF(AH71=0," ",(AJ71-AH71)/AH71)</f>
        <v>5.6043900208322749E-2</v>
      </c>
      <c r="AM71" s="2467">
        <v>103920</v>
      </c>
      <c r="AN71" s="2467">
        <v>103920</v>
      </c>
      <c r="AP71" s="2469" t="s">
        <v>1315</v>
      </c>
      <c r="AR71" s="2466">
        <v>103920</v>
      </c>
      <c r="AS71" s="2466">
        <v>103919.67999999999</v>
      </c>
      <c r="AT71" s="2466"/>
      <c r="AU71" s="2466">
        <v>106363</v>
      </c>
      <c r="AV71" s="2466">
        <v>106362.72</v>
      </c>
      <c r="AX71" s="2466">
        <v>106363</v>
      </c>
      <c r="AY71" s="2470">
        <v>2130</v>
      </c>
      <c r="AZ71" s="2466">
        <f>AX71+AY71</f>
        <v>108493</v>
      </c>
      <c r="BA71" s="2468">
        <f>IF(AX71=0," ",(AZ71-AX71)/AX71)</f>
        <v>2.0025760837885355E-2</v>
      </c>
      <c r="BC71" s="2467">
        <v>108493</v>
      </c>
      <c r="BD71" s="2467">
        <v>108493</v>
      </c>
      <c r="BF71" s="2511" t="s">
        <v>1316</v>
      </c>
      <c r="BH71" s="2467">
        <v>108493</v>
      </c>
      <c r="BI71" s="2466">
        <v>108493</v>
      </c>
      <c r="BM71" s="2466">
        <v>108493</v>
      </c>
      <c r="BN71" s="2470">
        <v>2171</v>
      </c>
      <c r="BO71" s="2472">
        <f>BM71+BN71</f>
        <v>110664</v>
      </c>
      <c r="BP71" s="2473">
        <f>IF(BM71=0," ",(BO71-BM71)/BM71)</f>
        <v>2.0010507590351452E-2</v>
      </c>
      <c r="BR71" s="2474">
        <v>110664</v>
      </c>
      <c r="BS71" s="2474">
        <v>110664</v>
      </c>
      <c r="BU71" s="2512" t="s">
        <v>1317</v>
      </c>
      <c r="BW71" s="2474">
        <v>110664</v>
      </c>
      <c r="BX71" s="2466">
        <v>53424</v>
      </c>
      <c r="BZ71" s="2474">
        <v>110664</v>
      </c>
      <c r="CA71" s="2470">
        <v>-424</v>
      </c>
      <c r="CB71" s="2472">
        <f>BZ71+CA71</f>
        <v>110240</v>
      </c>
      <c r="CC71" s="2473">
        <f>IF(BZ71=0," ",(CB71-BZ71)/BZ71)</f>
        <v>-3.8314176245210726E-3</v>
      </c>
      <c r="CE71" s="2474">
        <v>115544</v>
      </c>
      <c r="CF71" s="2476">
        <f>IF(CB71=0," ",(CE71-CB71)/CB71)</f>
        <v>4.8113207547169815E-2</v>
      </c>
      <c r="CG71" s="2474">
        <v>115544</v>
      </c>
      <c r="CH71" s="2449" t="s">
        <v>1217</v>
      </c>
      <c r="CI71" s="2449"/>
      <c r="CJ71" s="2450"/>
      <c r="CK71" s="2450"/>
      <c r="CO71" s="2477">
        <v>0</v>
      </c>
      <c r="CP71" s="2478">
        <f t="shared" si="41"/>
        <v>0</v>
      </c>
      <c r="CQ71" s="2478"/>
      <c r="CR71" s="2478"/>
      <c r="CS71" s="2478"/>
      <c r="CT71" s="2478"/>
    </row>
    <row r="72" spans="1:98" hidden="1" x14ac:dyDescent="0.2">
      <c r="A72" s="2513">
        <v>135</v>
      </c>
      <c r="B72" s="2514" t="s">
        <v>1214</v>
      </c>
      <c r="C72" s="2515">
        <v>13501</v>
      </c>
      <c r="D72" s="2515">
        <v>51490</v>
      </c>
      <c r="E72" s="2516" t="s">
        <v>59</v>
      </c>
      <c r="F72" s="2514"/>
      <c r="G72" s="2514" t="s">
        <v>1318</v>
      </c>
      <c r="I72" s="2470"/>
      <c r="M72" s="2467"/>
      <c r="N72" s="2467"/>
      <c r="P72" s="2469"/>
      <c r="V72" s="2470"/>
      <c r="Z72" s="2467"/>
      <c r="AA72" s="2467"/>
      <c r="AC72" s="2469"/>
      <c r="AI72" s="2470"/>
      <c r="AM72" s="2467"/>
      <c r="AN72" s="2467"/>
      <c r="AP72" s="2469"/>
      <c r="AS72" s="2466"/>
      <c r="AT72" s="2466"/>
      <c r="AY72" s="2470"/>
      <c r="BC72" s="2467"/>
      <c r="BD72" s="2467"/>
      <c r="BF72" s="2511"/>
      <c r="BH72" s="2467"/>
      <c r="BN72" s="2470"/>
      <c r="BR72" s="2474"/>
      <c r="BS72" s="2474"/>
      <c r="BU72" s="2512"/>
      <c r="BW72" s="2474"/>
      <c r="BZ72" s="2474"/>
      <c r="CA72" s="2470"/>
      <c r="CE72" s="2517">
        <v>400</v>
      </c>
      <c r="CF72" s="2476"/>
      <c r="CG72" s="2517">
        <v>400</v>
      </c>
      <c r="CH72" s="2449" t="s">
        <v>1217</v>
      </c>
      <c r="CI72" s="2449"/>
      <c r="CJ72" s="2450" t="s">
        <v>1239</v>
      </c>
      <c r="CK72" s="2518">
        <f t="shared" ref="CK72" si="42">-CG72</f>
        <v>-400</v>
      </c>
      <c r="CP72" s="2478">
        <f t="shared" si="41"/>
        <v>0</v>
      </c>
      <c r="CQ72" s="2478"/>
      <c r="CR72" s="2478"/>
      <c r="CS72" s="2478"/>
      <c r="CT72" s="2478" t="s">
        <v>1319</v>
      </c>
    </row>
    <row r="73" spans="1:98" hidden="1" x14ac:dyDescent="0.2">
      <c r="H73" s="2560">
        <f>SUM(H71:H71)</f>
        <v>89910</v>
      </c>
      <c r="I73" s="2560">
        <f>SUM(I71:I71)</f>
        <v>3982</v>
      </c>
      <c r="J73" s="2560">
        <f>SUM(J71:J71)</f>
        <v>93892</v>
      </c>
      <c r="K73" s="2561">
        <f>IF(H73=0," ",(J73-H73)/H73)</f>
        <v>4.4288733177622067E-2</v>
      </c>
      <c r="M73" s="2560">
        <f>SUM(M71:M71)</f>
        <v>93892</v>
      </c>
      <c r="N73" s="2560">
        <f>SUM(N71:N71)</f>
        <v>93892</v>
      </c>
      <c r="P73" s="2562">
        <f>SUM(P71:P71)</f>
        <v>0</v>
      </c>
      <c r="R73" s="2560">
        <f>SUM(R71:R71)</f>
        <v>93892</v>
      </c>
      <c r="S73" s="2560">
        <f>SUM(S71:S71)</f>
        <v>93891.199999999997</v>
      </c>
      <c r="U73" s="2560">
        <f>SUM(U71:U71)</f>
        <v>93892</v>
      </c>
      <c r="V73" s="2560">
        <f>SUM(V71:V71)</f>
        <v>4513</v>
      </c>
      <c r="W73" s="2560">
        <f>SUM(W71:W71)</f>
        <v>98405</v>
      </c>
      <c r="X73" s="2561">
        <f>IF(U73=0," ",(W73-U73)/U73)</f>
        <v>4.8065862906317897E-2</v>
      </c>
      <c r="Z73" s="2560">
        <f>SUM(Z71:Z71)</f>
        <v>98405</v>
      </c>
      <c r="AA73" s="2560">
        <f>SUM(AA71:AA71)</f>
        <v>98405</v>
      </c>
      <c r="AC73" s="2562"/>
      <c r="AE73" s="2560">
        <f>SUM(AE71:AE71)</f>
        <v>98405</v>
      </c>
      <c r="AF73" s="2563">
        <f>SUM(AF71:AF71)</f>
        <v>98404.800000000003</v>
      </c>
      <c r="AH73" s="2560">
        <v>98405</v>
      </c>
      <c r="AI73" s="2560">
        <f>SUM(AI71:AI71)</f>
        <v>5515</v>
      </c>
      <c r="AJ73" s="2560">
        <f>SUM(AJ71:AJ71)</f>
        <v>103920</v>
      </c>
      <c r="AK73" s="2561">
        <f>IF(AH73=0," ",(AJ73-AH73)/AH73)</f>
        <v>5.6043900208322749E-2</v>
      </c>
      <c r="AM73" s="2560">
        <f>SUM(AM71:AM71)</f>
        <v>103920</v>
      </c>
      <c r="AN73" s="2560">
        <f>SUM(AN71:AN71)</f>
        <v>103920</v>
      </c>
      <c r="AP73" s="2562"/>
      <c r="AR73" s="2560">
        <f>SUM(AR71:AR71)</f>
        <v>103920</v>
      </c>
      <c r="AS73" s="2560">
        <f>SUM(AS71:AS71)</f>
        <v>103919.67999999999</v>
      </c>
      <c r="AT73" s="2560"/>
      <c r="AU73" s="2560">
        <f>SUM(AU71:AU71)</f>
        <v>106363</v>
      </c>
      <c r="AV73" s="2560">
        <f>SUM(AV71:AV71)</f>
        <v>106362.72</v>
      </c>
      <c r="AX73" s="2560">
        <f>SUM(AX71:AX71)</f>
        <v>106363</v>
      </c>
      <c r="AY73" s="2560">
        <f>SUM(AY71:AY71)</f>
        <v>2130</v>
      </c>
      <c r="AZ73" s="2560">
        <f>SUM(AZ71:AZ71)</f>
        <v>108493</v>
      </c>
      <c r="BA73" s="2561">
        <f>IF(AX73=0," ",(AZ73-AX73)/AX73)</f>
        <v>2.0025760837885355E-2</v>
      </c>
      <c r="BC73" s="2560">
        <f>SUM(BC71:BC71)</f>
        <v>108493</v>
      </c>
      <c r="BD73" s="2560">
        <f>SUM(BD71:BD71)</f>
        <v>108493</v>
      </c>
      <c r="BF73" s="2562"/>
      <c r="BH73" s="2560">
        <f>SUM(BH71:BH71)</f>
        <v>108493</v>
      </c>
      <c r="BI73" s="2560">
        <f>SUM(BI71:BI71)</f>
        <v>108493</v>
      </c>
      <c r="BM73" s="2560">
        <f>SUM(BM71:BM71)</f>
        <v>108493</v>
      </c>
      <c r="BN73" s="2560">
        <f>SUM(BN71:BN71)</f>
        <v>2171</v>
      </c>
      <c r="BO73" s="2564">
        <f>SUM(BO71:BO71)</f>
        <v>110664</v>
      </c>
      <c r="BP73" s="2565">
        <f>IF(BM73=0," ",(BO73-BM73)/BM73)</f>
        <v>2.0010507590351452E-2</v>
      </c>
      <c r="BR73" s="2564">
        <f>SUM(BR71:BR71)</f>
        <v>110664</v>
      </c>
      <c r="BS73" s="2564">
        <f>SUM(BS71:BS71)</f>
        <v>110664</v>
      </c>
      <c r="BU73" s="2566"/>
      <c r="BW73" s="2564">
        <f>SUM(BW71:BW71)</f>
        <v>110664</v>
      </c>
      <c r="BX73" s="2560">
        <f>SUM(BX71:BX71)</f>
        <v>53424</v>
      </c>
      <c r="BZ73" s="2564">
        <f>SUM(BZ71:BZ72)</f>
        <v>110664</v>
      </c>
      <c r="CA73" s="2564">
        <f>SUM(CA71:CA72)</f>
        <v>-424</v>
      </c>
      <c r="CB73" s="2564">
        <f>SUM(CB71:CB72)</f>
        <v>110240</v>
      </c>
      <c r="CC73" s="2565">
        <f>IF(BZ73=0," ",(CB73-BZ73)/BZ73)</f>
        <v>-3.8314176245210726E-3</v>
      </c>
      <c r="CE73" s="2564">
        <f>SUM(CE71:CE72)</f>
        <v>115944</v>
      </c>
      <c r="CF73" s="2565">
        <f>IF(CB73=0," ",(CE73-CB73)/CB73)</f>
        <v>5.1741654571843251E-2</v>
      </c>
      <c r="CG73" s="2564">
        <f>SUM(CG71:CG72)</f>
        <v>115944</v>
      </c>
      <c r="CH73" s="2449" t="s">
        <v>1243</v>
      </c>
      <c r="CI73" s="2449"/>
      <c r="CJ73" s="2450"/>
      <c r="CK73" s="2450"/>
      <c r="CO73" s="2477">
        <v>0</v>
      </c>
      <c r="CP73" s="2478">
        <f t="shared" si="41"/>
        <v>0</v>
      </c>
      <c r="CQ73" s="2478"/>
      <c r="CR73" s="2478"/>
      <c r="CS73" s="2478"/>
      <c r="CT73" s="2478"/>
    </row>
    <row r="74" spans="1:98" hidden="1" x14ac:dyDescent="0.2">
      <c r="AS74" s="2466"/>
      <c r="AT74" s="2466"/>
      <c r="BZ74" s="2472"/>
      <c r="CH74" s="2449" t="s">
        <v>1091</v>
      </c>
      <c r="CI74" s="2449"/>
      <c r="CJ74" s="2450"/>
      <c r="CK74" s="2450"/>
      <c r="CP74" s="2478">
        <f t="shared" si="41"/>
        <v>0</v>
      </c>
      <c r="CQ74" s="2478"/>
      <c r="CR74" s="2478"/>
      <c r="CS74" s="2478"/>
      <c r="CT74" s="2478"/>
    </row>
    <row r="75" spans="1:98" hidden="1" x14ac:dyDescent="0.2">
      <c r="A75" s="2395">
        <v>135</v>
      </c>
      <c r="B75" s="2440" t="s">
        <v>1214</v>
      </c>
      <c r="C75" s="2396">
        <v>13502</v>
      </c>
      <c r="D75" s="2396">
        <v>51140</v>
      </c>
      <c r="E75" s="2397" t="s">
        <v>319</v>
      </c>
      <c r="F75" s="2440" t="s">
        <v>1214</v>
      </c>
      <c r="G75" s="2440" t="s">
        <v>1320</v>
      </c>
      <c r="H75" s="2466">
        <v>44051</v>
      </c>
      <c r="I75" s="2470">
        <v>1935</v>
      </c>
      <c r="J75" s="2466">
        <f>H75+I75</f>
        <v>45986</v>
      </c>
      <c r="K75" s="2468">
        <f>IF(H75=0," ",(J75-H75)/H75)</f>
        <v>4.3926358084946993E-2</v>
      </c>
      <c r="M75" s="2467">
        <v>45986</v>
      </c>
      <c r="N75" s="2467">
        <v>45986</v>
      </c>
      <c r="P75" s="2469" t="s">
        <v>1321</v>
      </c>
      <c r="R75" s="2466">
        <v>45986</v>
      </c>
      <c r="S75" s="2466">
        <v>39832.94</v>
      </c>
      <c r="U75" s="2466">
        <v>45986</v>
      </c>
      <c r="V75" s="2470">
        <v>2192</v>
      </c>
      <c r="W75" s="2466">
        <f>U75+V75</f>
        <v>48178</v>
      </c>
      <c r="X75" s="2468">
        <f>IF(U75=0," ",(W75-U75)/U75)</f>
        <v>4.7666681163832471E-2</v>
      </c>
      <c r="Z75" s="2467">
        <v>48178</v>
      </c>
      <c r="AA75" s="2467">
        <v>48178</v>
      </c>
      <c r="AC75" s="2469" t="s">
        <v>1322</v>
      </c>
      <c r="AE75" s="2466">
        <v>48178</v>
      </c>
      <c r="AF75" s="2471">
        <v>47640.21</v>
      </c>
      <c r="AH75" s="2466">
        <v>48178</v>
      </c>
      <c r="AI75" s="2470">
        <v>2763</v>
      </c>
      <c r="AJ75" s="2466">
        <f>AH75+AI75</f>
        <v>50941</v>
      </c>
      <c r="AK75" s="2468">
        <f>IF(AH75=0," ",(AJ75-AH75)/AH75)</f>
        <v>5.734982772219685E-2</v>
      </c>
      <c r="AM75" s="2467">
        <v>50941</v>
      </c>
      <c r="AN75" s="2467">
        <v>50941</v>
      </c>
      <c r="AP75" s="2469" t="s">
        <v>1323</v>
      </c>
      <c r="AR75" s="2466">
        <v>50941</v>
      </c>
      <c r="AS75" s="2466">
        <v>50940.3</v>
      </c>
      <c r="AT75" s="2466"/>
      <c r="AU75" s="2466">
        <v>52094</v>
      </c>
      <c r="AV75" s="2466">
        <v>52093.17</v>
      </c>
      <c r="AX75" s="2466">
        <v>52094</v>
      </c>
      <c r="AY75" s="2470">
        <v>1062</v>
      </c>
      <c r="AZ75" s="2466">
        <f>AX75+AY75</f>
        <v>53156</v>
      </c>
      <c r="BA75" s="2468">
        <f>IF(AX75=0," ",(AZ75-AX75)/AX75)</f>
        <v>2.0386224901140247E-2</v>
      </c>
      <c r="BC75" s="2467">
        <v>53156</v>
      </c>
      <c r="BD75" s="2467">
        <f>53156+9397</f>
        <v>62553</v>
      </c>
      <c r="BF75" s="2531" t="s">
        <v>1324</v>
      </c>
      <c r="BH75" s="2467">
        <f>53156+9397</f>
        <v>62553</v>
      </c>
      <c r="BI75" s="2466">
        <v>62538.73</v>
      </c>
      <c r="BM75" s="2466">
        <f>53156+9397</f>
        <v>62553</v>
      </c>
      <c r="BN75" s="2470">
        <v>1240</v>
      </c>
      <c r="BO75" s="2472">
        <f>BM75+BN75</f>
        <v>63793</v>
      </c>
      <c r="BP75" s="2473">
        <f>IF(BM75=0," ",(BO75-BM75)/BM75)</f>
        <v>1.9823189934935176E-2</v>
      </c>
      <c r="BR75" s="2474">
        <v>63793</v>
      </c>
      <c r="BS75" s="2474">
        <v>63793</v>
      </c>
      <c r="BU75" s="2512" t="s">
        <v>1325</v>
      </c>
      <c r="BW75" s="2474">
        <v>63793</v>
      </c>
      <c r="BX75" s="2466">
        <v>30667.39</v>
      </c>
      <c r="BZ75" s="2474">
        <v>63793</v>
      </c>
      <c r="CA75" s="2470">
        <v>-290</v>
      </c>
      <c r="CB75" s="2472">
        <f>BZ75+CA75</f>
        <v>63503</v>
      </c>
      <c r="CC75" s="2473">
        <f>IF(BZ75=0," ",(CB75-BZ75)/BZ75)</f>
        <v>-4.5459533177621371E-3</v>
      </c>
      <c r="CE75" s="2474">
        <v>64772</v>
      </c>
      <c r="CF75" s="2476">
        <f>IF(CB75=0," ",(CE75-CB75)/CB75)</f>
        <v>1.9983307875218494E-2</v>
      </c>
      <c r="CG75" s="2474">
        <v>64772</v>
      </c>
      <c r="CH75" s="2449" t="s">
        <v>1217</v>
      </c>
      <c r="CI75" s="2449"/>
      <c r="CJ75" s="2450"/>
      <c r="CK75" s="2450"/>
      <c r="CO75" s="2477">
        <v>-2.2812654868664684E-4</v>
      </c>
      <c r="CP75" s="2478">
        <f t="shared" si="41"/>
        <v>-14.269999999996799</v>
      </c>
      <c r="CQ75" s="2478"/>
      <c r="CR75" s="2478"/>
      <c r="CS75" s="2478"/>
      <c r="CT75" s="2478"/>
    </row>
    <row r="76" spans="1:98" hidden="1" x14ac:dyDescent="0.2">
      <c r="A76" s="2513">
        <v>135</v>
      </c>
      <c r="B76" s="2514" t="s">
        <v>1214</v>
      </c>
      <c r="C76" s="2515">
        <v>13502</v>
      </c>
      <c r="D76" s="2515">
        <v>51490</v>
      </c>
      <c r="E76" s="2516" t="s">
        <v>319</v>
      </c>
      <c r="F76" s="2514"/>
      <c r="G76" s="2514" t="s">
        <v>1326</v>
      </c>
      <c r="I76" s="2470"/>
      <c r="M76" s="2467"/>
      <c r="N76" s="2467"/>
      <c r="P76" s="2469"/>
      <c r="V76" s="2470"/>
      <c r="Z76" s="2467"/>
      <c r="AA76" s="2467"/>
      <c r="AC76" s="2469"/>
      <c r="AI76" s="2470"/>
      <c r="AM76" s="2467"/>
      <c r="AN76" s="2467"/>
      <c r="AP76" s="2469"/>
      <c r="AS76" s="2466"/>
      <c r="AT76" s="2466"/>
      <c r="AY76" s="2470"/>
      <c r="BC76" s="2467"/>
      <c r="BD76" s="2467"/>
      <c r="BF76" s="2531"/>
      <c r="BH76" s="2467"/>
      <c r="BN76" s="2470"/>
      <c r="BR76" s="2474"/>
      <c r="BS76" s="2474"/>
      <c r="BU76" s="2512"/>
      <c r="BW76" s="2474"/>
      <c r="BZ76" s="2474"/>
      <c r="CA76" s="2470"/>
      <c r="CE76" s="2517">
        <v>650</v>
      </c>
      <c r="CF76" s="2476"/>
      <c r="CG76" s="2517">
        <v>650</v>
      </c>
      <c r="CH76" s="2449" t="s">
        <v>1217</v>
      </c>
      <c r="CI76" s="2449"/>
      <c r="CJ76" s="2450" t="s">
        <v>1239</v>
      </c>
      <c r="CK76" s="2518">
        <f t="shared" ref="CK76" si="43">-CG76</f>
        <v>-650</v>
      </c>
      <c r="CP76" s="2478">
        <f t="shared" si="41"/>
        <v>0</v>
      </c>
      <c r="CQ76" s="2478"/>
      <c r="CR76" s="2478"/>
      <c r="CS76" s="2478"/>
      <c r="CT76" s="2478" t="s">
        <v>1319</v>
      </c>
    </row>
    <row r="77" spans="1:98" hidden="1" x14ac:dyDescent="0.2">
      <c r="H77" s="2560">
        <f>SUM(H75:H75)</f>
        <v>44051</v>
      </c>
      <c r="I77" s="2560">
        <f>SUM(I75:I75)</f>
        <v>1935</v>
      </c>
      <c r="J77" s="2560">
        <f>SUM(J75:J75)</f>
        <v>45986</v>
      </c>
      <c r="K77" s="2561">
        <f>IF(H77=0," ",(J77-H77)/H77)</f>
        <v>4.3926358084946993E-2</v>
      </c>
      <c r="M77" s="2560">
        <f>SUM(M75:M75)</f>
        <v>45986</v>
      </c>
      <c r="N77" s="2560">
        <f>SUM(N75:N75)</f>
        <v>45986</v>
      </c>
      <c r="P77" s="2562">
        <f>SUM(P75:P75)</f>
        <v>0</v>
      </c>
      <c r="R77" s="2560">
        <f>SUM(R75:R75)</f>
        <v>45986</v>
      </c>
      <c r="S77" s="2560">
        <f>SUM(S75:S75)</f>
        <v>39832.94</v>
      </c>
      <c r="U77" s="2560">
        <f>SUM(U75:U75)</f>
        <v>45986</v>
      </c>
      <c r="V77" s="2560">
        <f>SUM(V75:V75)</f>
        <v>2192</v>
      </c>
      <c r="W77" s="2560">
        <f>SUM(W75:W75)</f>
        <v>48178</v>
      </c>
      <c r="X77" s="2561">
        <f>IF(U77=0," ",(W77-U77)/U77)</f>
        <v>4.7666681163832471E-2</v>
      </c>
      <c r="Z77" s="2560">
        <f>SUM(Z75:Z75)</f>
        <v>48178</v>
      </c>
      <c r="AA77" s="2560">
        <f>SUM(AA75:AA75)</f>
        <v>48178</v>
      </c>
      <c r="AC77" s="2562"/>
      <c r="AE77" s="2560">
        <f>SUM(AE75:AE75)</f>
        <v>48178</v>
      </c>
      <c r="AF77" s="2563">
        <f>SUM(AF75:AF75)</f>
        <v>47640.21</v>
      </c>
      <c r="AH77" s="2560">
        <v>48178</v>
      </c>
      <c r="AI77" s="2560">
        <f>SUM(AI75:AI75)</f>
        <v>2763</v>
      </c>
      <c r="AJ77" s="2560">
        <f>SUM(AJ75:AJ75)</f>
        <v>50941</v>
      </c>
      <c r="AK77" s="2561">
        <f>IF(AH77=0," ",(AJ77-AH77)/AH77)</f>
        <v>5.734982772219685E-2</v>
      </c>
      <c r="AM77" s="2560">
        <f>SUM(AM75:AM75)</f>
        <v>50941</v>
      </c>
      <c r="AN77" s="2560">
        <f>SUM(AN75:AN75)</f>
        <v>50941</v>
      </c>
      <c r="AP77" s="2562"/>
      <c r="AR77" s="2560">
        <f>SUM(AR75:AR75)</f>
        <v>50941</v>
      </c>
      <c r="AS77" s="2560">
        <f>SUM(AS75:AS75)</f>
        <v>50940.3</v>
      </c>
      <c r="AT77" s="2560"/>
      <c r="AU77" s="2560">
        <f>SUM(AU75:AU75)</f>
        <v>52094</v>
      </c>
      <c r="AV77" s="2560">
        <f>SUM(AV75:AV75)</f>
        <v>52093.17</v>
      </c>
      <c r="AX77" s="2560">
        <f>SUM(AX75:AX75)</f>
        <v>52094</v>
      </c>
      <c r="AY77" s="2560">
        <f>SUM(AY75:AY75)</f>
        <v>1062</v>
      </c>
      <c r="AZ77" s="2560">
        <f>SUM(AZ75:AZ75)</f>
        <v>53156</v>
      </c>
      <c r="BA77" s="2561">
        <f>IF(AX77=0," ",(AZ77-AX77)/AX77)</f>
        <v>2.0386224901140247E-2</v>
      </c>
      <c r="BC77" s="2560">
        <f>SUM(BC75:BC75)</f>
        <v>53156</v>
      </c>
      <c r="BD77" s="2560">
        <f>SUM(BD75:BD75)</f>
        <v>62553</v>
      </c>
      <c r="BF77" s="2562"/>
      <c r="BH77" s="2560">
        <f>SUM(BH75:BH75)</f>
        <v>62553</v>
      </c>
      <c r="BI77" s="2560">
        <f>SUM(BI75:BI75)</f>
        <v>62538.73</v>
      </c>
      <c r="BM77" s="2560">
        <f>SUM(BM75:BM75)</f>
        <v>62553</v>
      </c>
      <c r="BN77" s="2560">
        <f>SUM(BN75:BN75)</f>
        <v>1240</v>
      </c>
      <c r="BO77" s="2564">
        <f>SUM(BO75:BO75)</f>
        <v>63793</v>
      </c>
      <c r="BP77" s="2565">
        <f>IF(BM77=0," ",(BO77-BM77)/BM77)</f>
        <v>1.9823189934935176E-2</v>
      </c>
      <c r="BR77" s="2564">
        <f>SUM(BR75:BR75)</f>
        <v>63793</v>
      </c>
      <c r="BS77" s="2564">
        <f>SUM(BS75:BS75)</f>
        <v>63793</v>
      </c>
      <c r="BU77" s="2566"/>
      <c r="BW77" s="2564">
        <f>SUM(BW75:BW75)</f>
        <v>63793</v>
      </c>
      <c r="BX77" s="2560">
        <f>SUM(BX75:BX75)</f>
        <v>30667.39</v>
      </c>
      <c r="BZ77" s="2564">
        <f>SUM(BZ75:BZ76)</f>
        <v>63793</v>
      </c>
      <c r="CA77" s="2564">
        <f>SUM(CA75:CA76)</f>
        <v>-290</v>
      </c>
      <c r="CB77" s="2564">
        <f>SUM(CB75:CB76)</f>
        <v>63503</v>
      </c>
      <c r="CC77" s="2565">
        <f>IF(BZ77=0," ",(CB77-BZ77)/BZ77)</f>
        <v>-4.5459533177621371E-3</v>
      </c>
      <c r="CE77" s="2564">
        <f>SUM(CE75:CE76)</f>
        <v>65422</v>
      </c>
      <c r="CF77" s="2565">
        <f>IF(CB77=0," ",(CE77-CB77)/CB77)</f>
        <v>3.0219044769538447E-2</v>
      </c>
      <c r="CG77" s="2564">
        <f>SUM(CG75:CG76)</f>
        <v>65422</v>
      </c>
      <c r="CH77" s="2449" t="s">
        <v>1243</v>
      </c>
      <c r="CI77" s="2449"/>
      <c r="CJ77" s="2450"/>
      <c r="CK77" s="2450"/>
      <c r="CO77" s="2477">
        <v>-2.2812654868664684E-4</v>
      </c>
      <c r="CP77" s="2478">
        <f t="shared" si="41"/>
        <v>-14.269999999996799</v>
      </c>
      <c r="CQ77" s="2478"/>
      <c r="CR77" s="2478"/>
      <c r="CS77" s="2478"/>
      <c r="CT77" s="2478"/>
    </row>
    <row r="78" spans="1:98" hidden="1" x14ac:dyDescent="0.2">
      <c r="AS78" s="2466"/>
      <c r="AT78" s="2466"/>
      <c r="BZ78" s="2472"/>
      <c r="CH78" s="2449" t="s">
        <v>1091</v>
      </c>
      <c r="CI78" s="2449"/>
      <c r="CJ78" s="2450"/>
      <c r="CK78" s="2450"/>
      <c r="CP78" s="2478">
        <f t="shared" si="41"/>
        <v>0</v>
      </c>
      <c r="CQ78" s="2478"/>
      <c r="CR78" s="2478"/>
      <c r="CS78" s="2478"/>
      <c r="CT78" s="2478"/>
    </row>
    <row r="79" spans="1:98" hidden="1" x14ac:dyDescent="0.2">
      <c r="A79" s="2532"/>
      <c r="B79" s="2533"/>
      <c r="C79" s="2534"/>
      <c r="D79" s="2534"/>
      <c r="E79" s="2535"/>
      <c r="F79" s="2533"/>
      <c r="G79" s="2533" t="s">
        <v>1327</v>
      </c>
      <c r="H79" s="2536">
        <f>H73+H77</f>
        <v>133961</v>
      </c>
      <c r="I79" s="2536">
        <f>I73+I77</f>
        <v>5917</v>
      </c>
      <c r="J79" s="2536">
        <f>J73+J77</f>
        <v>139878</v>
      </c>
      <c r="K79" s="2484">
        <f>IF(H79=0," ",(J79-H79)/H79)</f>
        <v>4.4169571741029104E-2</v>
      </c>
      <c r="M79" s="2536">
        <f>M73+M77</f>
        <v>139878</v>
      </c>
      <c r="N79" s="2536">
        <f>N73+N77</f>
        <v>139878</v>
      </c>
      <c r="P79" s="2537">
        <f>P73+P77</f>
        <v>0</v>
      </c>
      <c r="R79" s="2536">
        <f>R73+R77</f>
        <v>139878</v>
      </c>
      <c r="S79" s="2536">
        <f>S73+S77</f>
        <v>133724.14000000001</v>
      </c>
      <c r="U79" s="2536">
        <f>U73+U77</f>
        <v>139878</v>
      </c>
      <c r="V79" s="2536">
        <f>V73+V77</f>
        <v>6705</v>
      </c>
      <c r="W79" s="2536">
        <f>W73+W77</f>
        <v>146583</v>
      </c>
      <c r="X79" s="2484">
        <f>IF(U79=0," ",(W79-U79)/U79)</f>
        <v>4.7934628747908894E-2</v>
      </c>
      <c r="Z79" s="2536">
        <f>Z73+Z77</f>
        <v>146583</v>
      </c>
      <c r="AA79" s="2536">
        <f>AA73+AA77</f>
        <v>146583</v>
      </c>
      <c r="AC79" s="2537"/>
      <c r="AE79" s="2536">
        <f>AE73+AE77</f>
        <v>146583</v>
      </c>
      <c r="AF79" s="2538">
        <f>AF73+AF77</f>
        <v>146045.01</v>
      </c>
      <c r="AH79" s="2536">
        <v>146583</v>
      </c>
      <c r="AI79" s="2536">
        <f>AI73+AI77</f>
        <v>8278</v>
      </c>
      <c r="AJ79" s="2536">
        <f>AJ73+AJ77</f>
        <v>154861</v>
      </c>
      <c r="AK79" s="2484">
        <f>IF(AH79=0," ",(AJ79-AH79)/AH79)</f>
        <v>5.6473124441442729E-2</v>
      </c>
      <c r="AM79" s="2536">
        <f>AM73+AM77</f>
        <v>154861</v>
      </c>
      <c r="AN79" s="2536">
        <f>AN73+AN77</f>
        <v>154861</v>
      </c>
      <c r="AP79" s="2537"/>
      <c r="AR79" s="2536">
        <f>AR73+AR77</f>
        <v>154861</v>
      </c>
      <c r="AS79" s="2536">
        <f>AS73+AS77</f>
        <v>154859.97999999998</v>
      </c>
      <c r="AT79" s="2536"/>
      <c r="AU79" s="2536">
        <f>AU73+AU77</f>
        <v>158457</v>
      </c>
      <c r="AV79" s="2536">
        <f>AV73+AV77</f>
        <v>158455.89000000001</v>
      </c>
      <c r="AX79" s="2536">
        <f>AX73+AX77</f>
        <v>158457</v>
      </c>
      <c r="AY79" s="2536">
        <f>AY73+AY77</f>
        <v>3192</v>
      </c>
      <c r="AZ79" s="2536">
        <f>AZ73+AZ77</f>
        <v>161649</v>
      </c>
      <c r="BA79" s="2484">
        <f>IF(AX79=0," ",(AZ79-AX79)/AX79)</f>
        <v>2.0144266267820291E-2</v>
      </c>
      <c r="BC79" s="2536">
        <f>BC73+BC77</f>
        <v>161649</v>
      </c>
      <c r="BD79" s="2536">
        <f>BD73+BD77</f>
        <v>171046</v>
      </c>
      <c r="BF79" s="2537"/>
      <c r="BH79" s="2536">
        <f>BH73+BH77</f>
        <v>171046</v>
      </c>
      <c r="BI79" s="2536">
        <f>BI73+BI77</f>
        <v>171031.73</v>
      </c>
      <c r="BJ79" s="2536"/>
      <c r="BK79" s="2536"/>
      <c r="BM79" s="2536">
        <f>BM73+BM77</f>
        <v>171046</v>
      </c>
      <c r="BN79" s="2539">
        <f>BN73+BN77</f>
        <v>3411</v>
      </c>
      <c r="BO79" s="2540">
        <f>BO73+BO77</f>
        <v>174457</v>
      </c>
      <c r="BP79" s="2490">
        <f>IF(BM79=0," ",(BO79-BM79)/BM79)</f>
        <v>1.9942003905382179E-2</v>
      </c>
      <c r="BR79" s="2540">
        <f>BR73+BR77</f>
        <v>174457</v>
      </c>
      <c r="BS79" s="2540">
        <f>BS73+BS77</f>
        <v>174457</v>
      </c>
      <c r="BU79" s="2541"/>
      <c r="BW79" s="2540">
        <f>BW73+BW77</f>
        <v>174457</v>
      </c>
      <c r="BX79" s="2536">
        <f>BX73+BX77</f>
        <v>84091.39</v>
      </c>
      <c r="BZ79" s="2540">
        <f>BZ73+BZ77</f>
        <v>174457</v>
      </c>
      <c r="CA79" s="2540">
        <f>CA73+CA77</f>
        <v>-714</v>
      </c>
      <c r="CB79" s="2540">
        <f>CB73+CB77</f>
        <v>173743</v>
      </c>
      <c r="CC79" s="2490">
        <f>IF(BZ79=0," ",(CB79-BZ79)/BZ79)</f>
        <v>-4.0926990605134788E-3</v>
      </c>
      <c r="CE79" s="2540">
        <f>CE73+CE77</f>
        <v>181366</v>
      </c>
      <c r="CF79" s="2490">
        <f>IF(CB79=0," ",(CE79-CB79)/CB79)</f>
        <v>4.3875148926863242E-2</v>
      </c>
      <c r="CG79" s="2540">
        <f>CG73+CG77</f>
        <v>181366</v>
      </c>
      <c r="CH79" s="2449" t="s">
        <v>1220</v>
      </c>
      <c r="CI79" s="2449"/>
      <c r="CJ79" s="2450"/>
      <c r="CK79" s="2450"/>
      <c r="CO79" s="2477">
        <v>-8.3427849818074051E-5</v>
      </c>
      <c r="CP79" s="2478">
        <f t="shared" si="41"/>
        <v>-14.269999999989523</v>
      </c>
      <c r="CQ79" s="2478"/>
      <c r="CR79" s="2478"/>
      <c r="CS79" s="2478"/>
      <c r="CT79" s="2478"/>
    </row>
    <row r="80" spans="1:98" hidden="1" x14ac:dyDescent="0.2">
      <c r="AS80" s="2466"/>
      <c r="AT80" s="2466"/>
      <c r="BZ80" s="2472"/>
      <c r="CH80" s="2449" t="s">
        <v>1091</v>
      </c>
      <c r="CI80" s="2449"/>
      <c r="CJ80" s="2450"/>
      <c r="CK80" s="2450"/>
      <c r="CP80" s="2478">
        <f t="shared" si="41"/>
        <v>0</v>
      </c>
      <c r="CQ80" s="2478"/>
      <c r="CR80" s="2478"/>
      <c r="CS80" s="2478"/>
      <c r="CT80" s="2478"/>
    </row>
    <row r="81" spans="1:98" hidden="1" x14ac:dyDescent="0.2">
      <c r="A81" s="2395">
        <v>135</v>
      </c>
      <c r="B81" s="2440" t="s">
        <v>1214</v>
      </c>
      <c r="C81" s="2396">
        <v>13505</v>
      </c>
      <c r="D81" s="2396">
        <v>53140</v>
      </c>
      <c r="E81" s="2397" t="s">
        <v>1268</v>
      </c>
      <c r="F81" s="2440" t="s">
        <v>1214</v>
      </c>
      <c r="G81" s="2440" t="s">
        <v>1328</v>
      </c>
      <c r="AF81" s="2471">
        <v>846.75</v>
      </c>
      <c r="AI81" s="2470"/>
      <c r="AM81" s="2467"/>
      <c r="AN81" s="2467"/>
      <c r="AO81" s="2546"/>
      <c r="AP81" s="2567"/>
      <c r="AS81" s="2466">
        <v>1053.99</v>
      </c>
      <c r="AT81" s="2466"/>
      <c r="AU81" s="2466">
        <v>500</v>
      </c>
      <c r="AV81" s="2466">
        <v>1567.7</v>
      </c>
      <c r="AX81" s="2466">
        <v>500</v>
      </c>
      <c r="AY81" s="2470"/>
      <c r="AZ81" s="2466">
        <f>AX81+AY81</f>
        <v>500</v>
      </c>
      <c r="BA81" s="2468">
        <f>IF(AX81=0," ",(AZ81-AX81)/AX81)</f>
        <v>0</v>
      </c>
      <c r="BC81" s="2467">
        <v>500</v>
      </c>
      <c r="BD81" s="2467">
        <v>500</v>
      </c>
      <c r="BE81" s="2546"/>
      <c r="BF81" s="2469"/>
      <c r="BH81" s="2467">
        <v>500</v>
      </c>
      <c r="BI81" s="2466">
        <v>900.24</v>
      </c>
      <c r="BM81" s="2466">
        <v>500</v>
      </c>
      <c r="BN81" s="2470"/>
      <c r="BO81" s="2472">
        <f>BM81+BN81</f>
        <v>500</v>
      </c>
      <c r="BP81" s="2473">
        <f>IF(BM81=0," ",(BO81-BM81)/BM81)</f>
        <v>0</v>
      </c>
      <c r="BR81" s="2474">
        <v>500</v>
      </c>
      <c r="BS81" s="2474">
        <v>500</v>
      </c>
      <c r="BU81" s="2475"/>
      <c r="BW81" s="2474">
        <v>500</v>
      </c>
      <c r="BZ81" s="2474">
        <v>500</v>
      </c>
      <c r="CA81" s="2470"/>
      <c r="CB81" s="2472">
        <f>BZ81+CA81</f>
        <v>500</v>
      </c>
      <c r="CC81" s="2473">
        <f>IF(BZ81=0," ",(CB81-BZ81)/BZ81)</f>
        <v>0</v>
      </c>
      <c r="CE81" s="2474">
        <v>500</v>
      </c>
      <c r="CF81" s="2476">
        <f t="shared" ref="CF81:CF88" si="44">IF(CB81=0," ",(CE81-CB81)/CB81)</f>
        <v>0</v>
      </c>
      <c r="CG81" s="2474">
        <v>500</v>
      </c>
      <c r="CH81" s="2449" t="s">
        <v>1217</v>
      </c>
      <c r="CI81" s="2449"/>
      <c r="CJ81" s="2450"/>
      <c r="CK81" s="2450"/>
      <c r="CO81" s="2477">
        <v>0.80048000000000008</v>
      </c>
      <c r="CP81" s="2478">
        <f t="shared" si="41"/>
        <v>400.24</v>
      </c>
      <c r="CQ81" s="2478"/>
      <c r="CR81" s="2478"/>
      <c r="CS81" s="2478"/>
      <c r="CT81" s="2478"/>
    </row>
    <row r="82" spans="1:98" hidden="1" x14ac:dyDescent="0.2">
      <c r="A82" s="2395">
        <v>135</v>
      </c>
      <c r="B82" s="2440" t="s">
        <v>1214</v>
      </c>
      <c r="C82" s="2396">
        <v>13505</v>
      </c>
      <c r="D82" s="2396">
        <v>53140</v>
      </c>
      <c r="E82" s="2397" t="s">
        <v>1268</v>
      </c>
      <c r="F82" s="2440" t="s">
        <v>1214</v>
      </c>
      <c r="G82" s="2440" t="s">
        <v>1329</v>
      </c>
      <c r="H82" s="2466">
        <v>20700</v>
      </c>
      <c r="I82" s="2470">
        <v>900</v>
      </c>
      <c r="J82" s="2466">
        <f t="shared" ref="J82:J87" si="45">H82+I82</f>
        <v>21600</v>
      </c>
      <c r="K82" s="2468">
        <f t="shared" ref="K82:K88" si="46">IF(H82=0," ",(J82-H82)/H82)</f>
        <v>4.3478260869565216E-2</v>
      </c>
      <c r="M82" s="2467">
        <v>21600</v>
      </c>
      <c r="N82" s="2467">
        <v>21600</v>
      </c>
      <c r="P82" s="2469" t="s">
        <v>1330</v>
      </c>
      <c r="R82" s="2466">
        <v>21600</v>
      </c>
      <c r="S82" s="2466">
        <v>22800</v>
      </c>
      <c r="U82" s="2466">
        <v>21600</v>
      </c>
      <c r="V82" s="2568">
        <v>0</v>
      </c>
      <c r="W82" s="2466">
        <f t="shared" ref="W82:W87" si="47">U82+V82</f>
        <v>21600</v>
      </c>
      <c r="X82" s="2468">
        <f t="shared" ref="X82:X88" si="48">IF(U82=0," ",(W82-U82)/U82)</f>
        <v>0</v>
      </c>
      <c r="Z82" s="2467">
        <v>21600</v>
      </c>
      <c r="AA82" s="2467">
        <f>21600+4100</f>
        <v>25700</v>
      </c>
      <c r="AC82" s="2469" t="s">
        <v>1331</v>
      </c>
      <c r="AE82" s="2466">
        <f>21600+4100</f>
        <v>25700</v>
      </c>
      <c r="AF82" s="2471">
        <v>24900</v>
      </c>
      <c r="AH82" s="2466">
        <v>25700</v>
      </c>
      <c r="AI82" s="2470"/>
      <c r="AJ82" s="2466">
        <f t="shared" ref="AJ82:AJ87" si="49">AH82+AI82</f>
        <v>25700</v>
      </c>
      <c r="AK82" s="2468">
        <f t="shared" ref="AK82:AK87" si="50">IF(AH82=0," ",(AJ82-AH82)/AH82)</f>
        <v>0</v>
      </c>
      <c r="AM82" s="2467">
        <v>25700</v>
      </c>
      <c r="AN82" s="2467">
        <v>25700</v>
      </c>
      <c r="AO82" s="2546"/>
      <c r="AP82" s="2567" t="s">
        <v>1332</v>
      </c>
      <c r="AR82" s="2466">
        <v>25700</v>
      </c>
      <c r="AS82" s="2466">
        <v>23490</v>
      </c>
      <c r="AT82" s="2466"/>
      <c r="AU82" s="2466">
        <f>25700+1300</f>
        <v>27000</v>
      </c>
      <c r="AV82" s="2466">
        <v>28440</v>
      </c>
      <c r="AX82" s="2466">
        <f>25700+1300</f>
        <v>27000</v>
      </c>
      <c r="AY82" s="2470"/>
      <c r="AZ82" s="2466">
        <f t="shared" ref="AZ82:AZ87" si="51">AX82+AY82</f>
        <v>27000</v>
      </c>
      <c r="BA82" s="2468">
        <f t="shared" ref="BA82:BA87" si="52">IF(AX82=0," ",(AZ82-AX82)/AX82)</f>
        <v>0</v>
      </c>
      <c r="BC82" s="2467">
        <v>27000</v>
      </c>
      <c r="BD82" s="2467">
        <f>27000+5000</f>
        <v>32000</v>
      </c>
      <c r="BE82" s="2546"/>
      <c r="BF82" s="2547" t="s">
        <v>1333</v>
      </c>
      <c r="BH82" s="2467">
        <f>27000+5000</f>
        <v>32000</v>
      </c>
      <c r="BI82" s="2466">
        <v>30000</v>
      </c>
      <c r="BM82" s="2466">
        <f>27000+5000</f>
        <v>32000</v>
      </c>
      <c r="BN82" s="2470"/>
      <c r="BO82" s="2472">
        <f t="shared" ref="BO82:BO87" si="53">BM82+BN82</f>
        <v>32000</v>
      </c>
      <c r="BP82" s="2473">
        <f t="shared" ref="BP82:BP87" si="54">IF(BM82=0," ",(BO82-BM82)/BM82)</f>
        <v>0</v>
      </c>
      <c r="BR82" s="2474">
        <v>32000</v>
      </c>
      <c r="BS82" s="2474">
        <v>32000</v>
      </c>
      <c r="BU82" s="2475"/>
      <c r="BW82" s="2474">
        <v>32000</v>
      </c>
      <c r="BX82" s="2466">
        <v>9000</v>
      </c>
      <c r="BZ82" s="2474">
        <v>32000</v>
      </c>
      <c r="CA82" s="2470"/>
      <c r="CB82" s="2472">
        <f t="shared" ref="CB82:CB87" si="55">BZ82+CA82</f>
        <v>32000</v>
      </c>
      <c r="CC82" s="2473">
        <f t="shared" ref="CC82:CC87" si="56">IF(BZ82=0," ",(CB82-BZ82)/BZ82)</f>
        <v>0</v>
      </c>
      <c r="CE82" s="2474">
        <v>32000</v>
      </c>
      <c r="CF82" s="2476">
        <f t="shared" si="44"/>
        <v>0</v>
      </c>
      <c r="CG82" s="2474">
        <v>32000</v>
      </c>
      <c r="CH82" s="2449" t="s">
        <v>1217</v>
      </c>
      <c r="CI82" s="2449"/>
      <c r="CJ82" s="2450"/>
      <c r="CK82" s="2450"/>
      <c r="CO82" s="2477">
        <v>-6.25E-2</v>
      </c>
      <c r="CP82" s="2478">
        <f t="shared" si="41"/>
        <v>-2000</v>
      </c>
      <c r="CQ82" s="2478"/>
      <c r="CR82" s="2478"/>
      <c r="CS82" s="2478"/>
      <c r="CT82" s="2478"/>
    </row>
    <row r="83" spans="1:98" hidden="1" x14ac:dyDescent="0.2">
      <c r="A83" s="2395">
        <v>135</v>
      </c>
      <c r="B83" s="2440" t="s">
        <v>1214</v>
      </c>
      <c r="C83" s="2396">
        <v>13505</v>
      </c>
      <c r="D83" s="2396">
        <v>53200</v>
      </c>
      <c r="E83" s="2397" t="s">
        <v>1268</v>
      </c>
      <c r="F83" s="2440" t="s">
        <v>1214</v>
      </c>
      <c r="G83" s="2440" t="s">
        <v>1334</v>
      </c>
      <c r="I83" s="2470">
        <v>1130</v>
      </c>
      <c r="J83" s="2466">
        <f t="shared" si="45"/>
        <v>1130</v>
      </c>
      <c r="K83" s="2468" t="str">
        <f t="shared" si="46"/>
        <v xml:space="preserve"> </v>
      </c>
      <c r="M83" s="2467">
        <v>1130</v>
      </c>
      <c r="N83" s="2467">
        <v>1130</v>
      </c>
      <c r="P83" s="2469" t="s">
        <v>1335</v>
      </c>
      <c r="R83" s="2466">
        <v>1130</v>
      </c>
      <c r="S83" s="2466">
        <v>1068</v>
      </c>
      <c r="U83" s="2466">
        <v>1130</v>
      </c>
      <c r="V83" s="2470">
        <v>0</v>
      </c>
      <c r="W83" s="2466">
        <f t="shared" si="47"/>
        <v>1130</v>
      </c>
      <c r="X83" s="2468">
        <f t="shared" si="48"/>
        <v>0</v>
      </c>
      <c r="Z83" s="2467">
        <v>1130</v>
      </c>
      <c r="AA83" s="2467">
        <v>1130</v>
      </c>
      <c r="AC83" s="2469"/>
      <c r="AE83" s="2466">
        <v>1130</v>
      </c>
      <c r="AF83" s="2471">
        <v>713</v>
      </c>
      <c r="AH83" s="2466">
        <v>1130</v>
      </c>
      <c r="AI83" s="2470"/>
      <c r="AJ83" s="2466">
        <f t="shared" si="49"/>
        <v>1130</v>
      </c>
      <c r="AK83" s="2468">
        <f t="shared" si="50"/>
        <v>0</v>
      </c>
      <c r="AM83" s="2467">
        <v>1130</v>
      </c>
      <c r="AN83" s="2467">
        <v>1130</v>
      </c>
      <c r="AP83" s="2469"/>
      <c r="AR83" s="2466">
        <v>1130</v>
      </c>
      <c r="AS83" s="2466">
        <v>960</v>
      </c>
      <c r="AT83" s="2466"/>
      <c r="AU83" s="2466">
        <v>1130</v>
      </c>
      <c r="AV83" s="2466">
        <v>115</v>
      </c>
      <c r="AX83" s="2466">
        <v>1130</v>
      </c>
      <c r="AY83" s="2470"/>
      <c r="AZ83" s="2466">
        <f t="shared" si="51"/>
        <v>1130</v>
      </c>
      <c r="BA83" s="2468">
        <f t="shared" si="52"/>
        <v>0</v>
      </c>
      <c r="BC83" s="2467">
        <v>1130</v>
      </c>
      <c r="BD83" s="2467">
        <v>1130</v>
      </c>
      <c r="BF83" s="2469"/>
      <c r="BH83" s="2467">
        <v>1130</v>
      </c>
      <c r="BI83" s="2466">
        <v>653.84</v>
      </c>
      <c r="BM83" s="2466">
        <v>1130</v>
      </c>
      <c r="BN83" s="2470"/>
      <c r="BO83" s="2472">
        <f t="shared" si="53"/>
        <v>1130</v>
      </c>
      <c r="BP83" s="2473">
        <f t="shared" si="54"/>
        <v>0</v>
      </c>
      <c r="BR83" s="2474">
        <v>1130</v>
      </c>
      <c r="BS83" s="2474">
        <v>1130</v>
      </c>
      <c r="BU83" s="2475"/>
      <c r="BW83" s="2474">
        <v>1130</v>
      </c>
      <c r="BX83" s="2466">
        <v>2270</v>
      </c>
      <c r="BZ83" s="2474">
        <v>1130</v>
      </c>
      <c r="CA83" s="2470"/>
      <c r="CB83" s="2472">
        <f t="shared" si="55"/>
        <v>1130</v>
      </c>
      <c r="CC83" s="2473">
        <f t="shared" si="56"/>
        <v>0</v>
      </c>
      <c r="CE83" s="2474">
        <v>1130</v>
      </c>
      <c r="CF83" s="2476">
        <f t="shared" si="44"/>
        <v>0</v>
      </c>
      <c r="CG83" s="2474">
        <v>1130</v>
      </c>
      <c r="CH83" s="2449" t="s">
        <v>1217</v>
      </c>
      <c r="CI83" s="2449"/>
      <c r="CJ83" s="2450"/>
      <c r="CK83" s="2450"/>
      <c r="CO83" s="2477">
        <v>-0.42138053097345129</v>
      </c>
      <c r="CP83" s="2478">
        <f t="shared" si="41"/>
        <v>-476.15999999999997</v>
      </c>
      <c r="CQ83" s="2478"/>
      <c r="CR83" s="2478"/>
      <c r="CS83" s="2478"/>
      <c r="CT83" s="2478"/>
    </row>
    <row r="84" spans="1:98" hidden="1" x14ac:dyDescent="0.2">
      <c r="A84" s="2395">
        <v>135</v>
      </c>
      <c r="B84" s="2440" t="s">
        <v>1214</v>
      </c>
      <c r="C84" s="2396">
        <v>13505</v>
      </c>
      <c r="D84" s="2396">
        <v>53430</v>
      </c>
      <c r="E84" s="2397" t="s">
        <v>1268</v>
      </c>
      <c r="F84" s="2440" t="s">
        <v>1214</v>
      </c>
      <c r="G84" s="2440" t="s">
        <v>1336</v>
      </c>
      <c r="H84" s="2466">
        <v>50</v>
      </c>
      <c r="I84" s="2470">
        <v>0</v>
      </c>
      <c r="J84" s="2466">
        <f t="shared" si="45"/>
        <v>50</v>
      </c>
      <c r="K84" s="2468">
        <f t="shared" si="46"/>
        <v>0</v>
      </c>
      <c r="M84" s="2467">
        <v>50</v>
      </c>
      <c r="N84" s="2467">
        <v>50</v>
      </c>
      <c r="P84" s="2469"/>
      <c r="R84" s="2466">
        <v>50</v>
      </c>
      <c r="S84" s="2466">
        <v>50</v>
      </c>
      <c r="U84" s="2466">
        <v>50</v>
      </c>
      <c r="V84" s="2470">
        <v>0</v>
      </c>
      <c r="W84" s="2466">
        <f t="shared" si="47"/>
        <v>50</v>
      </c>
      <c r="X84" s="2468">
        <f t="shared" si="48"/>
        <v>0</v>
      </c>
      <c r="Z84" s="2467">
        <v>50</v>
      </c>
      <c r="AA84" s="2467">
        <v>50</v>
      </c>
      <c r="AC84" s="2469"/>
      <c r="AE84" s="2466">
        <v>50</v>
      </c>
      <c r="AF84" s="2471">
        <v>0</v>
      </c>
      <c r="AH84" s="2466">
        <v>50</v>
      </c>
      <c r="AI84" s="2470"/>
      <c r="AJ84" s="2466">
        <f t="shared" si="49"/>
        <v>50</v>
      </c>
      <c r="AK84" s="2468">
        <f t="shared" si="50"/>
        <v>0</v>
      </c>
      <c r="AM84" s="2467">
        <v>50</v>
      </c>
      <c r="AN84" s="2467">
        <v>50</v>
      </c>
      <c r="AP84" s="2469"/>
      <c r="AR84" s="2466">
        <v>50</v>
      </c>
      <c r="AS84" s="2466"/>
      <c r="AT84" s="2466"/>
      <c r="AU84" s="2466">
        <v>50</v>
      </c>
      <c r="AX84" s="2466">
        <v>50</v>
      </c>
      <c r="AY84" s="2470"/>
      <c r="AZ84" s="2466">
        <f t="shared" si="51"/>
        <v>50</v>
      </c>
      <c r="BA84" s="2468">
        <f t="shared" si="52"/>
        <v>0</v>
      </c>
      <c r="BC84" s="2467">
        <v>50</v>
      </c>
      <c r="BD84" s="2467">
        <v>50</v>
      </c>
      <c r="BF84" s="2469"/>
      <c r="BH84" s="2467">
        <v>50</v>
      </c>
      <c r="BM84" s="2466">
        <v>50</v>
      </c>
      <c r="BN84" s="2470"/>
      <c r="BO84" s="2472">
        <f t="shared" si="53"/>
        <v>50</v>
      </c>
      <c r="BP84" s="2473">
        <f t="shared" si="54"/>
        <v>0</v>
      </c>
      <c r="BR84" s="2474">
        <v>50</v>
      </c>
      <c r="BS84" s="2474">
        <v>50</v>
      </c>
      <c r="BU84" s="2475"/>
      <c r="BW84" s="2474">
        <v>50</v>
      </c>
      <c r="BZ84" s="2474">
        <v>50</v>
      </c>
      <c r="CA84" s="2470"/>
      <c r="CB84" s="2472">
        <f t="shared" si="55"/>
        <v>50</v>
      </c>
      <c r="CC84" s="2473">
        <f t="shared" si="56"/>
        <v>0</v>
      </c>
      <c r="CE84" s="2474">
        <v>50</v>
      </c>
      <c r="CF84" s="2476">
        <f t="shared" si="44"/>
        <v>0</v>
      </c>
      <c r="CG84" s="2474">
        <v>50</v>
      </c>
      <c r="CH84" s="2449" t="s">
        <v>1217</v>
      </c>
      <c r="CI84" s="2449"/>
      <c r="CJ84" s="2450"/>
      <c r="CK84" s="2450"/>
      <c r="CO84" s="2477" t="s">
        <v>1218</v>
      </c>
      <c r="CP84" s="2478">
        <f t="shared" si="41"/>
        <v>-50</v>
      </c>
      <c r="CQ84" s="2478"/>
      <c r="CR84" s="2478"/>
      <c r="CS84" s="2478"/>
      <c r="CT84" s="2478"/>
    </row>
    <row r="85" spans="1:98" hidden="1" x14ac:dyDescent="0.2">
      <c r="A85" s="2395">
        <v>135</v>
      </c>
      <c r="B85" s="2440" t="s">
        <v>1214</v>
      </c>
      <c r="C85" s="2396">
        <v>13505</v>
      </c>
      <c r="D85" s="2396">
        <v>54200</v>
      </c>
      <c r="E85" s="2397" t="s">
        <v>1268</v>
      </c>
      <c r="F85" s="2440" t="s">
        <v>1214</v>
      </c>
      <c r="G85" s="2440" t="s">
        <v>1337</v>
      </c>
      <c r="H85" s="2466">
        <v>500</v>
      </c>
      <c r="I85" s="2470">
        <v>0</v>
      </c>
      <c r="J85" s="2466">
        <f t="shared" si="45"/>
        <v>500</v>
      </c>
      <c r="K85" s="2468">
        <f t="shared" si="46"/>
        <v>0</v>
      </c>
      <c r="M85" s="2467">
        <v>500</v>
      </c>
      <c r="N85" s="2467">
        <v>500</v>
      </c>
      <c r="P85" s="2469"/>
      <c r="R85" s="2466">
        <v>500</v>
      </c>
      <c r="S85" s="2466">
        <v>1297.17</v>
      </c>
      <c r="U85" s="2466">
        <v>500</v>
      </c>
      <c r="V85" s="2470">
        <v>0</v>
      </c>
      <c r="W85" s="2466">
        <f t="shared" si="47"/>
        <v>500</v>
      </c>
      <c r="X85" s="2468">
        <f t="shared" si="48"/>
        <v>0</v>
      </c>
      <c r="Z85" s="2467">
        <v>500</v>
      </c>
      <c r="AA85" s="2467">
        <v>500</v>
      </c>
      <c r="AC85" s="2469"/>
      <c r="AE85" s="2466">
        <v>500</v>
      </c>
      <c r="AF85" s="2471">
        <v>1291.32</v>
      </c>
      <c r="AH85" s="2466">
        <v>500</v>
      </c>
      <c r="AI85" s="2470"/>
      <c r="AJ85" s="2466">
        <f t="shared" si="49"/>
        <v>500</v>
      </c>
      <c r="AK85" s="2468">
        <f t="shared" si="50"/>
        <v>0</v>
      </c>
      <c r="AM85" s="2467">
        <v>500</v>
      </c>
      <c r="AN85" s="2467">
        <v>500</v>
      </c>
      <c r="AP85" s="2469"/>
      <c r="AR85" s="2466">
        <v>500</v>
      </c>
      <c r="AS85" s="2466">
        <v>1451.69</v>
      </c>
      <c r="AT85" s="2466"/>
      <c r="AU85" s="2466">
        <v>500</v>
      </c>
      <c r="AV85" s="2466">
        <v>1484.96</v>
      </c>
      <c r="AX85" s="2466">
        <v>500</v>
      </c>
      <c r="AY85" s="2470"/>
      <c r="AZ85" s="2466">
        <f t="shared" si="51"/>
        <v>500</v>
      </c>
      <c r="BA85" s="2468">
        <f t="shared" si="52"/>
        <v>0</v>
      </c>
      <c r="BC85" s="2467">
        <v>500</v>
      </c>
      <c r="BD85" s="2467">
        <v>500</v>
      </c>
      <c r="BF85" s="2469"/>
      <c r="BH85" s="2467">
        <v>500</v>
      </c>
      <c r="BI85" s="2466">
        <v>1494.24</v>
      </c>
      <c r="BM85" s="2466">
        <v>500</v>
      </c>
      <c r="BN85" s="2470"/>
      <c r="BO85" s="2472">
        <f t="shared" si="53"/>
        <v>500</v>
      </c>
      <c r="BP85" s="2473">
        <f t="shared" si="54"/>
        <v>0</v>
      </c>
      <c r="BR85" s="2474">
        <v>500</v>
      </c>
      <c r="BS85" s="2474">
        <v>500</v>
      </c>
      <c r="BU85" s="2475"/>
      <c r="BW85" s="2474">
        <v>500</v>
      </c>
      <c r="BX85" s="2466">
        <v>97.96</v>
      </c>
      <c r="BZ85" s="2474">
        <v>500</v>
      </c>
      <c r="CA85" s="2470"/>
      <c r="CB85" s="2472">
        <f t="shared" si="55"/>
        <v>500</v>
      </c>
      <c r="CC85" s="2473">
        <f t="shared" si="56"/>
        <v>0</v>
      </c>
      <c r="CE85" s="2474">
        <v>500</v>
      </c>
      <c r="CF85" s="2476">
        <f t="shared" si="44"/>
        <v>0</v>
      </c>
      <c r="CG85" s="2474">
        <v>500</v>
      </c>
      <c r="CH85" s="2449" t="s">
        <v>1217</v>
      </c>
      <c r="CI85" s="2449"/>
      <c r="CJ85" s="2450"/>
      <c r="CK85" s="2450"/>
      <c r="CO85" s="2477">
        <v>1.98848</v>
      </c>
      <c r="CP85" s="2478">
        <f t="shared" si="41"/>
        <v>994.24</v>
      </c>
      <c r="CQ85" s="2478"/>
      <c r="CR85" s="2478"/>
      <c r="CS85" s="2478"/>
      <c r="CT85" s="2478"/>
    </row>
    <row r="86" spans="1:98" hidden="1" x14ac:dyDescent="0.2">
      <c r="A86" s="2395">
        <v>135</v>
      </c>
      <c r="B86" s="2440" t="s">
        <v>1214</v>
      </c>
      <c r="C86" s="2396">
        <v>13505</v>
      </c>
      <c r="D86" s="2396">
        <v>57100</v>
      </c>
      <c r="E86" s="2397" t="s">
        <v>1268</v>
      </c>
      <c r="F86" s="2440" t="s">
        <v>1214</v>
      </c>
      <c r="G86" s="2440" t="s">
        <v>1338</v>
      </c>
      <c r="H86" s="2466">
        <v>2626</v>
      </c>
      <c r="I86" s="2470">
        <v>0</v>
      </c>
      <c r="J86" s="2466">
        <f t="shared" si="45"/>
        <v>2626</v>
      </c>
      <c r="K86" s="2468">
        <f t="shared" si="46"/>
        <v>0</v>
      </c>
      <c r="M86" s="2467">
        <v>2626</v>
      </c>
      <c r="N86" s="2467">
        <v>2626</v>
      </c>
      <c r="P86" s="2469" t="s">
        <v>1339</v>
      </c>
      <c r="R86" s="2466">
        <v>2626</v>
      </c>
      <c r="S86" s="2466">
        <v>2124.1799999999998</v>
      </c>
      <c r="U86" s="2466">
        <v>2626</v>
      </c>
      <c r="V86" s="2470">
        <v>0</v>
      </c>
      <c r="W86" s="2466">
        <f t="shared" si="47"/>
        <v>2626</v>
      </c>
      <c r="X86" s="2468">
        <f t="shared" si="48"/>
        <v>0</v>
      </c>
      <c r="Z86" s="2467">
        <v>2626</v>
      </c>
      <c r="AA86" s="2467">
        <v>2626</v>
      </c>
      <c r="AC86" s="2469"/>
      <c r="AE86" s="2466">
        <v>2626</v>
      </c>
      <c r="AF86" s="2471">
        <v>2074.46</v>
      </c>
      <c r="AH86" s="2466">
        <v>2626</v>
      </c>
      <c r="AI86" s="2470"/>
      <c r="AJ86" s="2466">
        <f t="shared" si="49"/>
        <v>2626</v>
      </c>
      <c r="AK86" s="2468">
        <f t="shared" si="50"/>
        <v>0</v>
      </c>
      <c r="AM86" s="2467">
        <v>2626</v>
      </c>
      <c r="AN86" s="2467">
        <v>2626</v>
      </c>
      <c r="AP86" s="2469"/>
      <c r="AR86" s="2466">
        <v>2626</v>
      </c>
      <c r="AS86" s="2466">
        <v>1017.78</v>
      </c>
      <c r="AT86" s="2466"/>
      <c r="AU86" s="2466">
        <v>2626</v>
      </c>
      <c r="AX86" s="2466">
        <v>2626</v>
      </c>
      <c r="AY86" s="2470"/>
      <c r="AZ86" s="2466">
        <f t="shared" si="51"/>
        <v>2626</v>
      </c>
      <c r="BA86" s="2468">
        <f t="shared" si="52"/>
        <v>0</v>
      </c>
      <c r="BC86" s="2467">
        <v>2626</v>
      </c>
      <c r="BD86" s="2467">
        <v>2626</v>
      </c>
      <c r="BF86" s="2469"/>
      <c r="BH86" s="2467">
        <v>2626</v>
      </c>
      <c r="BI86" s="2466">
        <v>1384.17</v>
      </c>
      <c r="BM86" s="2466">
        <v>2626</v>
      </c>
      <c r="BN86" s="2470"/>
      <c r="BO86" s="2472">
        <f t="shared" si="53"/>
        <v>2626</v>
      </c>
      <c r="BP86" s="2473">
        <f t="shared" si="54"/>
        <v>0</v>
      </c>
      <c r="BR86" s="2474">
        <v>2626</v>
      </c>
      <c r="BS86" s="2474">
        <v>2626</v>
      </c>
      <c r="BU86" s="2475"/>
      <c r="BW86" s="2474">
        <v>2626</v>
      </c>
      <c r="BX86" s="2466">
        <v>316.25</v>
      </c>
      <c r="BZ86" s="2474">
        <v>2626</v>
      </c>
      <c r="CA86" s="2470"/>
      <c r="CB86" s="2472">
        <f t="shared" si="55"/>
        <v>2626</v>
      </c>
      <c r="CC86" s="2473">
        <f t="shared" si="56"/>
        <v>0</v>
      </c>
      <c r="CE86" s="2474">
        <v>2626</v>
      </c>
      <c r="CF86" s="2476">
        <f t="shared" si="44"/>
        <v>0</v>
      </c>
      <c r="CG86" s="2474">
        <v>2626</v>
      </c>
      <c r="CH86" s="2449" t="s">
        <v>1217</v>
      </c>
      <c r="CI86" s="2449"/>
      <c r="CJ86" s="2450"/>
      <c r="CK86" s="2450"/>
      <c r="CO86" s="2477">
        <v>-0.47289794364051785</v>
      </c>
      <c r="CP86" s="2478">
        <f t="shared" si="41"/>
        <v>-1241.83</v>
      </c>
      <c r="CQ86" s="2478"/>
      <c r="CR86" s="2478"/>
      <c r="CS86" s="2478"/>
      <c r="CT86" s="2478"/>
    </row>
    <row r="87" spans="1:98" hidden="1" x14ac:dyDescent="0.2">
      <c r="A87" s="2395">
        <v>135</v>
      </c>
      <c r="B87" s="2440" t="s">
        <v>1214</v>
      </c>
      <c r="C87" s="2396">
        <v>13505</v>
      </c>
      <c r="D87" s="2396">
        <v>57300</v>
      </c>
      <c r="E87" s="2397" t="s">
        <v>1268</v>
      </c>
      <c r="F87" s="2440" t="s">
        <v>1214</v>
      </c>
      <c r="G87" s="2440" t="s">
        <v>1340</v>
      </c>
      <c r="H87" s="2466">
        <v>120</v>
      </c>
      <c r="I87" s="2470">
        <v>100</v>
      </c>
      <c r="J87" s="2466">
        <f t="shared" si="45"/>
        <v>220</v>
      </c>
      <c r="K87" s="2468">
        <f t="shared" si="46"/>
        <v>0.83333333333333337</v>
      </c>
      <c r="M87" s="2467">
        <v>220</v>
      </c>
      <c r="N87" s="2467">
        <v>220</v>
      </c>
      <c r="P87" s="2469" t="s">
        <v>1341</v>
      </c>
      <c r="R87" s="2466">
        <v>220</v>
      </c>
      <c r="S87" s="2466">
        <v>190</v>
      </c>
      <c r="U87" s="2466">
        <v>220</v>
      </c>
      <c r="V87" s="2470">
        <v>0</v>
      </c>
      <c r="W87" s="2466">
        <f t="shared" si="47"/>
        <v>220</v>
      </c>
      <c r="X87" s="2468">
        <f t="shared" si="48"/>
        <v>0</v>
      </c>
      <c r="Z87" s="2467">
        <v>220</v>
      </c>
      <c r="AA87" s="2467">
        <v>220</v>
      </c>
      <c r="AC87" s="2469"/>
      <c r="AE87" s="2466">
        <v>220</v>
      </c>
      <c r="AF87" s="2471">
        <v>145</v>
      </c>
      <c r="AH87" s="2466">
        <v>220</v>
      </c>
      <c r="AI87" s="2470"/>
      <c r="AJ87" s="2466">
        <f t="shared" si="49"/>
        <v>220</v>
      </c>
      <c r="AK87" s="2468">
        <f t="shared" si="50"/>
        <v>0</v>
      </c>
      <c r="AM87" s="2467">
        <v>220</v>
      </c>
      <c r="AN87" s="2467">
        <v>220</v>
      </c>
      <c r="AP87" s="2469"/>
      <c r="AR87" s="2466">
        <v>220</v>
      </c>
      <c r="AS87" s="2466">
        <v>145</v>
      </c>
      <c r="AT87" s="2466"/>
      <c r="AU87" s="2466">
        <v>220</v>
      </c>
      <c r="AV87" s="2466">
        <v>145</v>
      </c>
      <c r="AX87" s="2466">
        <v>220</v>
      </c>
      <c r="AY87" s="2470"/>
      <c r="AZ87" s="2466">
        <f t="shared" si="51"/>
        <v>220</v>
      </c>
      <c r="BA87" s="2468">
        <f t="shared" si="52"/>
        <v>0</v>
      </c>
      <c r="BC87" s="2467">
        <v>220</v>
      </c>
      <c r="BD87" s="2467">
        <v>220</v>
      </c>
      <c r="BF87" s="2469"/>
      <c r="BH87" s="2467">
        <v>220</v>
      </c>
      <c r="BI87" s="2466">
        <v>50</v>
      </c>
      <c r="BM87" s="2466">
        <v>220</v>
      </c>
      <c r="BN87" s="2470"/>
      <c r="BO87" s="2472">
        <f t="shared" si="53"/>
        <v>220</v>
      </c>
      <c r="BP87" s="2473">
        <f t="shared" si="54"/>
        <v>0</v>
      </c>
      <c r="BR87" s="2474">
        <v>220</v>
      </c>
      <c r="BS87" s="2474">
        <v>220</v>
      </c>
      <c r="BU87" s="2475"/>
      <c r="BW87" s="2474">
        <v>220</v>
      </c>
      <c r="BX87" s="2466">
        <v>85</v>
      </c>
      <c r="BZ87" s="2474">
        <v>220</v>
      </c>
      <c r="CA87" s="2470"/>
      <c r="CB87" s="2472">
        <f t="shared" si="55"/>
        <v>220</v>
      </c>
      <c r="CC87" s="2473">
        <f t="shared" si="56"/>
        <v>0</v>
      </c>
      <c r="CE87" s="2474">
        <v>220</v>
      </c>
      <c r="CF87" s="2476">
        <f t="shared" si="44"/>
        <v>0</v>
      </c>
      <c r="CG87" s="2474">
        <v>220</v>
      </c>
      <c r="CH87" s="2449" t="s">
        <v>1217</v>
      </c>
      <c r="CI87" s="2449"/>
      <c r="CJ87" s="2450"/>
      <c r="CK87" s="2450"/>
      <c r="CO87" s="2477">
        <v>-0.77272727272727271</v>
      </c>
      <c r="CP87" s="2478">
        <f t="shared" si="41"/>
        <v>-170</v>
      </c>
      <c r="CQ87" s="2478"/>
      <c r="CR87" s="2478"/>
      <c r="CS87" s="2478"/>
      <c r="CT87" s="2478"/>
    </row>
    <row r="88" spans="1:98" s="2485" customFormat="1" hidden="1" x14ac:dyDescent="0.2">
      <c r="A88" s="2532"/>
      <c r="B88" s="2533"/>
      <c r="C88" s="2534"/>
      <c r="D88" s="2534"/>
      <c r="E88" s="2535"/>
      <c r="F88" s="2533"/>
      <c r="G88" s="2533" t="s">
        <v>1342</v>
      </c>
      <c r="H88" s="2536">
        <f>SUM(H80:H87)</f>
        <v>23996</v>
      </c>
      <c r="I88" s="2536">
        <f>SUM(I80:I87)</f>
        <v>2130</v>
      </c>
      <c r="J88" s="2536">
        <f>SUM(J80:J87)</f>
        <v>26126</v>
      </c>
      <c r="K88" s="2484">
        <f t="shared" si="46"/>
        <v>8.8764794132355399E-2</v>
      </c>
      <c r="M88" s="2536">
        <f>SUM(M80:M87)</f>
        <v>26126</v>
      </c>
      <c r="N88" s="2536">
        <f>SUM(N80:N87)</f>
        <v>26126</v>
      </c>
      <c r="P88" s="2537">
        <f>SUM(P80:P87)</f>
        <v>0</v>
      </c>
      <c r="R88" s="2536">
        <f>SUM(R80:R87)</f>
        <v>26126</v>
      </c>
      <c r="S88" s="2536">
        <f>SUM(S80:S87)</f>
        <v>27529.35</v>
      </c>
      <c r="U88" s="2536">
        <f>SUM(U80:U87)</f>
        <v>26126</v>
      </c>
      <c r="V88" s="2536">
        <f>SUM(V80:V87)</f>
        <v>0</v>
      </c>
      <c r="W88" s="2536">
        <f>SUM(W80:W87)</f>
        <v>26126</v>
      </c>
      <c r="X88" s="2484">
        <f t="shared" si="48"/>
        <v>0</v>
      </c>
      <c r="Z88" s="2536">
        <f>SUM(Z80:Z87)</f>
        <v>26126</v>
      </c>
      <c r="AA88" s="2536">
        <f>SUM(AA80:AA87)</f>
        <v>30226</v>
      </c>
      <c r="AC88" s="2537"/>
      <c r="AE88" s="2536">
        <f>SUM(AE80:AE87)</f>
        <v>30226</v>
      </c>
      <c r="AF88" s="2538">
        <f>SUM(AF80:AF87)</f>
        <v>29970.53</v>
      </c>
      <c r="AH88" s="2536">
        <v>30226</v>
      </c>
      <c r="AI88" s="2536">
        <f>SUM(AI80:AI87)</f>
        <v>0</v>
      </c>
      <c r="AJ88" s="2536">
        <f>SUM(AJ80:AJ87)</f>
        <v>30226</v>
      </c>
      <c r="AK88" s="2484">
        <f>IF(AH88=0," ",(AJ88-AH88)/AH88)</f>
        <v>0</v>
      </c>
      <c r="AM88" s="2536">
        <f>SUM(AM80:AM87)</f>
        <v>30226</v>
      </c>
      <c r="AN88" s="2536">
        <f>SUM(AN80:AN87)</f>
        <v>30226</v>
      </c>
      <c r="AP88" s="2537"/>
      <c r="AR88" s="2536">
        <f>SUM(AR80:AR87)</f>
        <v>30226</v>
      </c>
      <c r="AS88" s="2536">
        <f>SUM(AS80:AS87)</f>
        <v>28118.46</v>
      </c>
      <c r="AT88" s="2536"/>
      <c r="AU88" s="2536">
        <f>SUM(AU80:AU87)</f>
        <v>32026</v>
      </c>
      <c r="AV88" s="2536">
        <f>SUM(AV80:AV87)</f>
        <v>31752.66</v>
      </c>
      <c r="AX88" s="2536">
        <f>SUM(AX80:AX87)</f>
        <v>32026</v>
      </c>
      <c r="AY88" s="2536">
        <f>SUM(AY80:AY87)</f>
        <v>0</v>
      </c>
      <c r="AZ88" s="2536">
        <f>SUM(AZ80:AZ87)</f>
        <v>32026</v>
      </c>
      <c r="BA88" s="2484">
        <f>IF(AX88=0," ",(AZ88-AX88)/AX88)</f>
        <v>0</v>
      </c>
      <c r="BC88" s="2536">
        <f>SUM(BC80:BC87)</f>
        <v>32026</v>
      </c>
      <c r="BD88" s="2536">
        <f>SUM(BD80:BD87)</f>
        <v>37026</v>
      </c>
      <c r="BF88" s="2537"/>
      <c r="BH88" s="2536">
        <f>SUM(BH80:BH87)</f>
        <v>37026</v>
      </c>
      <c r="BI88" s="2536">
        <f>SUM(BI80:BI87)</f>
        <v>34482.49</v>
      </c>
      <c r="BJ88" s="2536"/>
      <c r="BK88" s="2536"/>
      <c r="BM88" s="2536">
        <f>SUM(BM80:BM87)</f>
        <v>37026</v>
      </c>
      <c r="BN88" s="2539">
        <f>SUM(BN80:BN87)</f>
        <v>0</v>
      </c>
      <c r="BO88" s="2540">
        <f>SUM(BO80:BO87)</f>
        <v>37026</v>
      </c>
      <c r="BP88" s="2490">
        <f>IF(BM88=0," ",(BO88-BM88)/BM88)</f>
        <v>0</v>
      </c>
      <c r="BQ88" s="2491"/>
      <c r="BR88" s="2540">
        <f>SUM(BR80:BR87)</f>
        <v>37026</v>
      </c>
      <c r="BS88" s="2540">
        <f>SUM(BS80:BS87)</f>
        <v>37026</v>
      </c>
      <c r="BT88" s="2491"/>
      <c r="BU88" s="2541"/>
      <c r="BV88" s="2491"/>
      <c r="BW88" s="2540">
        <f>SUM(BW80:BW87)</f>
        <v>37026</v>
      </c>
      <c r="BX88" s="2536">
        <f>SUM(BX80:BX87)</f>
        <v>11769.21</v>
      </c>
      <c r="BZ88" s="2540">
        <f>SUM(BZ81:BZ87)</f>
        <v>37026</v>
      </c>
      <c r="CA88" s="2540">
        <f>SUM(CA81:CA87)</f>
        <v>0</v>
      </c>
      <c r="CB88" s="2540">
        <f>SUM(CB81:CB87)</f>
        <v>37026</v>
      </c>
      <c r="CC88" s="2490">
        <f>IF(BZ88=0," ",(CB88-BZ88)/BZ88)</f>
        <v>0</v>
      </c>
      <c r="CD88" s="2491"/>
      <c r="CE88" s="2540">
        <f>SUM(CE81:CE87)</f>
        <v>37026</v>
      </c>
      <c r="CF88" s="2490">
        <f t="shared" si="44"/>
        <v>0</v>
      </c>
      <c r="CG88" s="2540">
        <f>SUM(CG81:CG87)</f>
        <v>37026</v>
      </c>
      <c r="CH88" s="2449" t="s">
        <v>1220</v>
      </c>
      <c r="CI88" s="2449"/>
      <c r="CJ88" s="2450"/>
      <c r="CK88" s="2450"/>
      <c r="CL88" s="2451"/>
      <c r="CM88" s="2451"/>
      <c r="CN88" s="2451"/>
      <c r="CO88" s="2477">
        <v>-6.8695241181872202E-2</v>
      </c>
      <c r="CP88" s="2478">
        <f t="shared" si="41"/>
        <v>-2543.510000000002</v>
      </c>
      <c r="CQ88" s="2478"/>
      <c r="CR88" s="2478"/>
      <c r="CS88" s="2478"/>
      <c r="CT88" s="2478"/>
    </row>
    <row r="89" spans="1:98" ht="9.9499999999999993" hidden="1" customHeight="1" x14ac:dyDescent="0.2">
      <c r="AS89" s="2466"/>
      <c r="AT89" s="2466"/>
      <c r="BZ89" s="2472"/>
      <c r="CH89" s="2449" t="s">
        <v>1091</v>
      </c>
      <c r="CI89" s="2449"/>
      <c r="CJ89" s="2450"/>
      <c r="CK89" s="2450"/>
      <c r="CP89" s="2478">
        <f t="shared" si="41"/>
        <v>0</v>
      </c>
      <c r="CQ89" s="2478"/>
      <c r="CR89" s="2478"/>
      <c r="CS89" s="2478"/>
      <c r="CT89" s="2478"/>
    </row>
    <row r="90" spans="1:98" x14ac:dyDescent="0.2">
      <c r="A90" s="2495"/>
      <c r="B90" s="2496"/>
      <c r="C90" s="2497"/>
      <c r="D90" s="2497"/>
      <c r="E90" s="2498"/>
      <c r="F90" s="2496"/>
      <c r="G90" s="2499" t="s">
        <v>1343</v>
      </c>
      <c r="H90" s="2500">
        <f>H79+H88</f>
        <v>157957</v>
      </c>
      <c r="I90" s="2500">
        <f>I79+I88</f>
        <v>8047</v>
      </c>
      <c r="J90" s="2500">
        <f>J79+J88</f>
        <v>166004</v>
      </c>
      <c r="K90" s="2501">
        <f>IF(H90=0," ",(J90-H90)/H90)</f>
        <v>5.0944244319656613E-2</v>
      </c>
      <c r="M90" s="2500">
        <f>M79+M88</f>
        <v>166004</v>
      </c>
      <c r="N90" s="2500">
        <f>N79+N88</f>
        <v>166004</v>
      </c>
      <c r="P90" s="2502">
        <f>P79+P88</f>
        <v>0</v>
      </c>
      <c r="R90" s="2500">
        <f>R79+R88</f>
        <v>166004</v>
      </c>
      <c r="S90" s="2500">
        <f>S79+S88</f>
        <v>161253.49000000002</v>
      </c>
      <c r="U90" s="2500">
        <f>U79+U88</f>
        <v>166004</v>
      </c>
      <c r="V90" s="2500">
        <f>V79+V88</f>
        <v>6705</v>
      </c>
      <c r="W90" s="2500">
        <f>W79+W88</f>
        <v>172709</v>
      </c>
      <c r="X90" s="2501">
        <f>IF(U90=0," ",(W90-U90)/U90)</f>
        <v>4.0390592997759094E-2</v>
      </c>
      <c r="Z90" s="2500">
        <f>Z79+Z88</f>
        <v>172709</v>
      </c>
      <c r="AA90" s="2500">
        <f>AA79+AA88</f>
        <v>176809</v>
      </c>
      <c r="AC90" s="2502"/>
      <c r="AE90" s="2500">
        <f>AE79+AE88</f>
        <v>176809</v>
      </c>
      <c r="AF90" s="2503">
        <f>AF79+AF88</f>
        <v>176015.54</v>
      </c>
      <c r="AH90" s="2500">
        <v>176809</v>
      </c>
      <c r="AI90" s="2500">
        <f>AI79+AI88</f>
        <v>8278</v>
      </c>
      <c r="AJ90" s="2500">
        <f>AJ79+AJ88</f>
        <v>185087</v>
      </c>
      <c r="AK90" s="2501">
        <f>IF(AH90=0," ",(AJ90-AH90)/AH90)</f>
        <v>4.6818883654112631E-2</v>
      </c>
      <c r="AM90" s="2500">
        <f>AM79+AM88</f>
        <v>185087</v>
      </c>
      <c r="AN90" s="2500">
        <f>AN79+AN88</f>
        <v>185087</v>
      </c>
      <c r="AP90" s="2502"/>
      <c r="AR90" s="2500">
        <f>AR79+AR88</f>
        <v>185087</v>
      </c>
      <c r="AS90" s="2500">
        <f>AS79+AS88</f>
        <v>182978.43999999997</v>
      </c>
      <c r="AT90" s="2500"/>
      <c r="AU90" s="2500">
        <f>AU79+AU88</f>
        <v>190483</v>
      </c>
      <c r="AV90" s="2500">
        <f>AV79+AV88</f>
        <v>190208.55000000002</v>
      </c>
      <c r="AX90" s="2500">
        <f>AX79+AX88</f>
        <v>190483</v>
      </c>
      <c r="AY90" s="2500">
        <f>AY79+AY88</f>
        <v>3192</v>
      </c>
      <c r="AZ90" s="2500">
        <f>AZ79+AZ88</f>
        <v>193675</v>
      </c>
      <c r="BA90" s="2501">
        <f>IF(AX90=0," ",(AZ90-AX90)/AX90)</f>
        <v>1.6757400922917005E-2</v>
      </c>
      <c r="BC90" s="2500">
        <f>BC79+BC88</f>
        <v>193675</v>
      </c>
      <c r="BD90" s="2500">
        <f>BD79+BD88</f>
        <v>208072</v>
      </c>
      <c r="BF90" s="2502"/>
      <c r="BH90" s="2500">
        <f>BH79+BH88</f>
        <v>208072</v>
      </c>
      <c r="BI90" s="2500">
        <f>BI79+BI88</f>
        <v>205514.22</v>
      </c>
      <c r="BJ90" s="2500"/>
      <c r="BK90" s="2500"/>
      <c r="BM90" s="2500">
        <f>BM79+BM88</f>
        <v>208072</v>
      </c>
      <c r="BN90" s="2504">
        <f>BN79+BN88</f>
        <v>3411</v>
      </c>
      <c r="BO90" s="2505">
        <f>BO79+BO88</f>
        <v>211483</v>
      </c>
      <c r="BP90" s="2506">
        <f>IF(BM90=0," ",(BO90-BM90)/BM90)</f>
        <v>1.6393363835595372E-2</v>
      </c>
      <c r="BR90" s="2505">
        <f>BR79+BR88</f>
        <v>211483</v>
      </c>
      <c r="BS90" s="2505">
        <f>BS79+BS88</f>
        <v>211483</v>
      </c>
      <c r="BU90" s="2507"/>
      <c r="BW90" s="2505">
        <f>BW79+BW88</f>
        <v>211483</v>
      </c>
      <c r="BX90" s="2500">
        <f>BX79+BX88</f>
        <v>95860.6</v>
      </c>
      <c r="BZ90" s="2505">
        <f>BZ79+BZ88</f>
        <v>211483</v>
      </c>
      <c r="CA90" s="2504">
        <f>CA79+CA88</f>
        <v>-714</v>
      </c>
      <c r="CB90" s="2505">
        <f>CB79+CB88</f>
        <v>210769</v>
      </c>
      <c r="CC90" s="2506">
        <f>IF(BZ90=0," ",(CB90-BZ90)/BZ90)</f>
        <v>-3.3761578944879731E-3</v>
      </c>
      <c r="CE90" s="2505">
        <f>CE79+CE88</f>
        <v>218392</v>
      </c>
      <c r="CF90" s="2506">
        <f>IF(CB90=0," ",(CE90-CB90)/CB90)</f>
        <v>3.6167557847691073E-2</v>
      </c>
      <c r="CG90" s="2505">
        <f>CG79+CG88</f>
        <v>218392</v>
      </c>
      <c r="CH90" s="2449" t="s">
        <v>1222</v>
      </c>
      <c r="CI90" s="2508" t="str">
        <f>IF(CG90-CE90=0,"",CG90-CE90)</f>
        <v/>
      </c>
      <c r="CJ90" s="2509"/>
      <c r="CK90" s="2509"/>
      <c r="CL90" s="2451" t="str">
        <f>IF(CO90&lt;-1*CM$2,"examine","ignore")</f>
        <v>ignore</v>
      </c>
      <c r="CM90" s="2545" t="str">
        <f>IF(CL90="examine",CP90+CM$2*CP90/CO90,"")</f>
        <v/>
      </c>
      <c r="CN90" s="2545"/>
      <c r="CO90" s="2477">
        <v>-1.2292764043215776E-2</v>
      </c>
      <c r="CP90" s="2510">
        <f t="shared" si="41"/>
        <v>-2557.7799999999988</v>
      </c>
      <c r="CQ90" s="2510">
        <f>AV90-AU90</f>
        <v>-274.44999999998254</v>
      </c>
      <c r="CR90" s="2510">
        <f>AS90-AR90</f>
        <v>-2108.5600000000268</v>
      </c>
      <c r="CS90" s="2510">
        <f>AF90-AE90</f>
        <v>-793.45999999999185</v>
      </c>
    </row>
    <row r="91" spans="1:98" ht="20.100000000000001" hidden="1" customHeight="1" x14ac:dyDescent="0.2">
      <c r="AS91" s="2466"/>
      <c r="AT91" s="2466"/>
      <c r="BZ91" s="2472"/>
      <c r="CH91" s="2449" t="s">
        <v>1091</v>
      </c>
      <c r="CI91" s="2449"/>
      <c r="CJ91" s="2450"/>
      <c r="CK91" s="2450"/>
      <c r="CP91" s="2478">
        <f t="shared" si="41"/>
        <v>0</v>
      </c>
      <c r="CQ91" s="2478"/>
      <c r="CR91" s="2478"/>
      <c r="CS91" s="2478"/>
      <c r="CT91" s="2478"/>
    </row>
    <row r="92" spans="1:98" ht="15.75" hidden="1" x14ac:dyDescent="0.2">
      <c r="A92" s="2453" t="s">
        <v>1344</v>
      </c>
      <c r="B92" s="2454"/>
      <c r="C92" s="2455"/>
      <c r="D92" s="2455"/>
      <c r="E92" s="2456"/>
      <c r="F92" s="2454"/>
      <c r="G92" s="2454"/>
      <c r="H92" s="2457"/>
      <c r="I92" s="2457"/>
      <c r="J92" s="2457"/>
      <c r="K92" s="2458"/>
      <c r="M92" s="2457"/>
      <c r="N92" s="2457"/>
      <c r="P92" s="2459"/>
      <c r="R92" s="2457"/>
      <c r="S92" s="2457"/>
      <c r="U92" s="2457"/>
      <c r="V92" s="2457"/>
      <c r="W92" s="2457"/>
      <c r="X92" s="2458"/>
      <c r="Z92" s="2457"/>
      <c r="AA92" s="2569"/>
      <c r="AC92" s="2461"/>
      <c r="AE92" s="2569"/>
      <c r="AF92" s="2570"/>
      <c r="AH92" s="2569"/>
      <c r="AI92" s="2569"/>
      <c r="AJ92" s="2457"/>
      <c r="AK92" s="2458"/>
      <c r="AM92" s="2457"/>
      <c r="AN92" s="2457"/>
      <c r="AP92" s="2459"/>
      <c r="AR92" s="2457"/>
      <c r="AS92" s="2457"/>
      <c r="AT92" s="2457"/>
      <c r="AU92" s="2457"/>
      <c r="AV92" s="2457"/>
      <c r="AX92" s="2457"/>
      <c r="AY92" s="2569"/>
      <c r="AZ92" s="2457"/>
      <c r="BA92" s="2458"/>
      <c r="BC92" s="2457"/>
      <c r="BD92" s="2457"/>
      <c r="BF92" s="2461"/>
      <c r="BH92" s="2457"/>
      <c r="BI92" s="2569"/>
      <c r="BJ92" s="2569"/>
      <c r="BK92" s="2569"/>
      <c r="BM92" s="2457"/>
      <c r="BN92" s="2571"/>
      <c r="BO92" s="2463"/>
      <c r="BP92" s="2464"/>
      <c r="BR92" s="2463"/>
      <c r="BS92" s="2463"/>
      <c r="BU92" s="2465"/>
      <c r="BW92" s="2463"/>
      <c r="BX92" s="2569"/>
      <c r="BZ92" s="2463"/>
      <c r="CA92" s="2571"/>
      <c r="CB92" s="2463"/>
      <c r="CC92" s="2464"/>
      <c r="CE92" s="2463"/>
      <c r="CF92" s="2464"/>
      <c r="CG92" s="2463"/>
      <c r="CH92" s="2449" t="s">
        <v>1212</v>
      </c>
      <c r="CI92" s="2449"/>
      <c r="CJ92" s="2450"/>
      <c r="CK92" s="2450"/>
      <c r="CP92" s="2478">
        <f t="shared" si="41"/>
        <v>0</v>
      </c>
      <c r="CQ92" s="2478"/>
      <c r="CR92" s="2478"/>
      <c r="CS92" s="2478"/>
      <c r="CT92" s="2478"/>
    </row>
    <row r="93" spans="1:98" hidden="1" x14ac:dyDescent="0.2">
      <c r="A93" s="2395">
        <v>141</v>
      </c>
      <c r="B93" s="2440" t="s">
        <v>1214</v>
      </c>
      <c r="C93" s="2396">
        <v>14101</v>
      </c>
      <c r="D93" s="2396">
        <v>51110</v>
      </c>
      <c r="E93" s="2397" t="s">
        <v>59</v>
      </c>
      <c r="F93" s="2440" t="s">
        <v>1214</v>
      </c>
      <c r="G93" s="2440" t="s">
        <v>1345</v>
      </c>
      <c r="H93" s="2466">
        <v>4500</v>
      </c>
      <c r="I93" s="2470"/>
      <c r="J93" s="2466">
        <f>H93+I93</f>
        <v>4500</v>
      </c>
      <c r="K93" s="2468">
        <f>IF(H93=0," ",(J93-H93)/H93)</f>
        <v>0</v>
      </c>
      <c r="M93" s="2467">
        <v>4500</v>
      </c>
      <c r="N93" s="2467">
        <v>4500</v>
      </c>
      <c r="P93" s="2469"/>
      <c r="R93" s="2466">
        <v>4500</v>
      </c>
      <c r="S93" s="2466">
        <v>4500</v>
      </c>
      <c r="U93" s="2466">
        <v>4500</v>
      </c>
      <c r="V93" s="2470">
        <v>0</v>
      </c>
      <c r="W93" s="2466">
        <f>U93+V93</f>
        <v>4500</v>
      </c>
      <c r="X93" s="2468">
        <f>IF(U93=0," ",(W93-U93)/U93)</f>
        <v>0</v>
      </c>
      <c r="Z93" s="2467">
        <v>4500</v>
      </c>
      <c r="AA93" s="2467">
        <v>4500</v>
      </c>
      <c r="AC93" s="2469"/>
      <c r="AE93" s="2466">
        <v>4500</v>
      </c>
      <c r="AF93" s="2471">
        <v>4500</v>
      </c>
      <c r="AH93" s="2466">
        <v>4500</v>
      </c>
      <c r="AI93" s="2470"/>
      <c r="AJ93" s="2466">
        <f>AH93+AI93</f>
        <v>4500</v>
      </c>
      <c r="AK93" s="2468">
        <f>IF(AH93=0," ",(AJ93-AH93)/AH93)</f>
        <v>0</v>
      </c>
      <c r="AM93" s="2467">
        <v>4500</v>
      </c>
      <c r="AN93" s="2467">
        <v>4500</v>
      </c>
      <c r="AP93" s="2469"/>
      <c r="AR93" s="2466">
        <v>4500</v>
      </c>
      <c r="AS93" s="2466">
        <v>4500</v>
      </c>
      <c r="AT93" s="2466"/>
      <c r="AU93" s="2466">
        <v>4500</v>
      </c>
      <c r="AV93" s="2466">
        <v>4500</v>
      </c>
      <c r="AX93" s="2466">
        <v>4500</v>
      </c>
      <c r="AY93" s="2470"/>
      <c r="AZ93" s="2466">
        <f>AX93+AY93</f>
        <v>4500</v>
      </c>
      <c r="BA93" s="2468">
        <f>IF(AX93=0," ",(AZ93-AX93)/AX93)</f>
        <v>0</v>
      </c>
      <c r="BC93" s="2467">
        <v>4500</v>
      </c>
      <c r="BD93" s="2467">
        <v>4500</v>
      </c>
      <c r="BF93" s="2469"/>
      <c r="BH93" s="2467">
        <v>4500</v>
      </c>
      <c r="BI93" s="2466">
        <v>4500</v>
      </c>
      <c r="BM93" s="2466">
        <v>4500</v>
      </c>
      <c r="BN93" s="2470"/>
      <c r="BO93" s="2472">
        <f>BM93+BN93</f>
        <v>4500</v>
      </c>
      <c r="BP93" s="2473">
        <f>IF(BM93=0," ",(BO93-BM93)/BM93)</f>
        <v>0</v>
      </c>
      <c r="BR93" s="2474">
        <v>4500</v>
      </c>
      <c r="BS93" s="2474">
        <v>4500</v>
      </c>
      <c r="BU93" s="2475"/>
      <c r="BW93" s="2474">
        <v>4500</v>
      </c>
      <c r="BX93" s="2466">
        <v>2250</v>
      </c>
      <c r="BZ93" s="2474">
        <v>4500</v>
      </c>
      <c r="CA93" s="2470"/>
      <c r="CB93" s="2472">
        <f>BZ93+CA93</f>
        <v>4500</v>
      </c>
      <c r="CC93" s="2473">
        <f>IF(BZ93=0," ",(CB93-BZ93)/BZ93)</f>
        <v>0</v>
      </c>
      <c r="CE93" s="2474">
        <v>4500</v>
      </c>
      <c r="CF93" s="2476">
        <f>IF(CB93=0," ",(CE93-CB93)/CB93)</f>
        <v>0</v>
      </c>
      <c r="CG93" s="2474">
        <v>4500</v>
      </c>
      <c r="CH93" s="2449" t="s">
        <v>1217</v>
      </c>
      <c r="CI93" s="2449"/>
      <c r="CJ93" s="2450"/>
      <c r="CK93" s="2450"/>
      <c r="CO93" s="2477">
        <v>0</v>
      </c>
      <c r="CP93" s="2478">
        <f t="shared" si="41"/>
        <v>0</v>
      </c>
      <c r="CQ93" s="2478"/>
      <c r="CR93" s="2478"/>
      <c r="CS93" s="2478"/>
      <c r="CT93" s="2478"/>
    </row>
    <row r="94" spans="1:98" hidden="1" x14ac:dyDescent="0.2">
      <c r="A94" s="2395">
        <v>141</v>
      </c>
      <c r="B94" s="2440" t="s">
        <v>1214</v>
      </c>
      <c r="C94" s="2396">
        <v>14101</v>
      </c>
      <c r="D94" s="2396">
        <v>51120</v>
      </c>
      <c r="E94" s="2397" t="s">
        <v>59</v>
      </c>
      <c r="F94" s="2440" t="s">
        <v>1214</v>
      </c>
      <c r="G94" s="2440" t="s">
        <v>1346</v>
      </c>
      <c r="H94" s="2466">
        <v>72726</v>
      </c>
      <c r="I94" s="2470">
        <v>5274</v>
      </c>
      <c r="J94" s="2466">
        <f>H94+I94</f>
        <v>78000</v>
      </c>
      <c r="K94" s="2468">
        <f>IF(H94=0," ",(J94-H94)/H94)</f>
        <v>7.2518769078458875E-2</v>
      </c>
      <c r="M94" s="2467">
        <v>78000</v>
      </c>
      <c r="N94" s="2467">
        <v>78000</v>
      </c>
      <c r="P94" s="2469" t="s">
        <v>1347</v>
      </c>
      <c r="R94" s="2466">
        <v>78000</v>
      </c>
      <c r="S94" s="2466">
        <v>78000</v>
      </c>
      <c r="U94" s="2466">
        <v>78000</v>
      </c>
      <c r="V94" s="2470">
        <v>3744</v>
      </c>
      <c r="W94" s="2466">
        <f>U94+V94</f>
        <v>81744</v>
      </c>
      <c r="X94" s="2468">
        <f>IF(U94=0," ",(W94-U94)/U94)</f>
        <v>4.8000000000000001E-2</v>
      </c>
      <c r="Z94" s="2467">
        <v>81744</v>
      </c>
      <c r="AA94" s="2467">
        <v>81744</v>
      </c>
      <c r="AC94" s="2469" t="s">
        <v>1348</v>
      </c>
      <c r="AE94" s="2466">
        <v>81744</v>
      </c>
      <c r="AF94" s="2471">
        <v>81744</v>
      </c>
      <c r="AH94" s="2466">
        <v>81744</v>
      </c>
      <c r="AI94" s="2470">
        <v>4591</v>
      </c>
      <c r="AJ94" s="2466">
        <f>AH94+AI94</f>
        <v>86335</v>
      </c>
      <c r="AK94" s="2468">
        <f>IF(AH94=0," ",(AJ94-AH94)/AH94)</f>
        <v>5.6163143472303778E-2</v>
      </c>
      <c r="AM94" s="2467">
        <v>86335</v>
      </c>
      <c r="AN94" s="2467">
        <v>86335</v>
      </c>
      <c r="AP94" s="2469" t="s">
        <v>1349</v>
      </c>
      <c r="AR94" s="2466">
        <v>86335</v>
      </c>
      <c r="AS94" s="2466">
        <v>86334.24</v>
      </c>
      <c r="AT94" s="2466"/>
      <c r="AU94" s="2466">
        <v>88365</v>
      </c>
      <c r="AV94" s="2466">
        <v>88364.160000000003</v>
      </c>
      <c r="AX94" s="2466">
        <v>88365</v>
      </c>
      <c r="AY94" s="2470">
        <v>1774</v>
      </c>
      <c r="AZ94" s="2466">
        <f>AX94+AY94</f>
        <v>90139</v>
      </c>
      <c r="BA94" s="2468">
        <f>IF(AX94=0," ",(AZ94-AX94)/AX94)</f>
        <v>2.0075821875176824E-2</v>
      </c>
      <c r="BC94" s="2467">
        <v>90139</v>
      </c>
      <c r="BD94" s="2467">
        <v>90139</v>
      </c>
      <c r="BF94" s="2511" t="s">
        <v>1350</v>
      </c>
      <c r="BH94" s="2467">
        <v>90139</v>
      </c>
      <c r="BI94" s="2466">
        <v>90139</v>
      </c>
      <c r="BM94" s="2466">
        <v>90139</v>
      </c>
      <c r="BN94" s="2470">
        <v>1796</v>
      </c>
      <c r="BO94" s="2472">
        <f>BM94+BN94</f>
        <v>91935</v>
      </c>
      <c r="BP94" s="2473">
        <f>IF(BM94=0," ",(BO94-BM94)/BM94)</f>
        <v>1.9924782835398662E-2</v>
      </c>
      <c r="BR94" s="2474">
        <v>91935</v>
      </c>
      <c r="BS94" s="2474">
        <v>91935</v>
      </c>
      <c r="BU94" s="2512" t="s">
        <v>1351</v>
      </c>
      <c r="BW94" s="2474">
        <v>91935</v>
      </c>
      <c r="BX94" s="2466">
        <v>44382.239999999998</v>
      </c>
      <c r="BZ94" s="2474">
        <v>91935</v>
      </c>
      <c r="CA94" s="2470">
        <v>-352</v>
      </c>
      <c r="CB94" s="2472">
        <f>BZ94+CA94</f>
        <v>91583</v>
      </c>
      <c r="CC94" s="2473">
        <f>IF(BZ94=0," ",(CB94-BZ94)/BZ94)</f>
        <v>-3.8287920813618319E-3</v>
      </c>
      <c r="CE94" s="2474">
        <v>95972</v>
      </c>
      <c r="CF94" s="2476">
        <f>IF(CB94=0," ",(CE94-CB94)/CB94)</f>
        <v>4.7923741305700839E-2</v>
      </c>
      <c r="CG94" s="2474">
        <v>95972</v>
      </c>
      <c r="CH94" s="2449" t="s">
        <v>1217</v>
      </c>
      <c r="CI94" s="2449"/>
      <c r="CJ94" s="2450"/>
      <c r="CK94" s="2450"/>
      <c r="CO94" s="2477">
        <v>0</v>
      </c>
      <c r="CP94" s="2478">
        <f t="shared" si="41"/>
        <v>0</v>
      </c>
      <c r="CQ94" s="2478"/>
      <c r="CR94" s="2478"/>
      <c r="CS94" s="2478"/>
      <c r="CT94" s="2478"/>
    </row>
    <row r="95" spans="1:98" hidden="1" x14ac:dyDescent="0.2">
      <c r="A95" s="2513">
        <v>141</v>
      </c>
      <c r="B95" s="2514" t="s">
        <v>1214</v>
      </c>
      <c r="C95" s="2515">
        <v>14101</v>
      </c>
      <c r="D95" s="2515">
        <v>51490</v>
      </c>
      <c r="E95" s="2516" t="s">
        <v>59</v>
      </c>
      <c r="F95" s="2514"/>
      <c r="G95" s="2514" t="s">
        <v>1352</v>
      </c>
      <c r="I95" s="2470"/>
      <c r="M95" s="2467"/>
      <c r="N95" s="2467"/>
      <c r="P95" s="2469"/>
      <c r="V95" s="2470"/>
      <c r="Z95" s="2467"/>
      <c r="AA95" s="2467"/>
      <c r="AC95" s="2469"/>
      <c r="AI95" s="2470"/>
      <c r="AM95" s="2467"/>
      <c r="AN95" s="2467"/>
      <c r="AP95" s="2469"/>
      <c r="AS95" s="2466"/>
      <c r="AT95" s="2466"/>
      <c r="AY95" s="2470"/>
      <c r="BC95" s="2467"/>
      <c r="BD95" s="2467"/>
      <c r="BF95" s="2511"/>
      <c r="BH95" s="2467"/>
      <c r="BN95" s="2470"/>
      <c r="BR95" s="2474"/>
      <c r="BS95" s="2474"/>
      <c r="BU95" s="2512"/>
      <c r="BW95" s="2474"/>
      <c r="BZ95" s="2474"/>
      <c r="CA95" s="2470"/>
      <c r="CE95" s="2517">
        <v>400</v>
      </c>
      <c r="CF95" s="2476"/>
      <c r="CG95" s="2517">
        <v>400</v>
      </c>
      <c r="CH95" s="2449" t="s">
        <v>1217</v>
      </c>
      <c r="CI95" s="2449"/>
      <c r="CJ95" s="2450" t="s">
        <v>1239</v>
      </c>
      <c r="CK95" s="2518">
        <f t="shared" ref="CK95" si="57">-CG95</f>
        <v>-400</v>
      </c>
      <c r="CP95" s="2478">
        <f t="shared" si="41"/>
        <v>0</v>
      </c>
      <c r="CQ95" s="2478"/>
      <c r="CR95" s="2478"/>
      <c r="CS95" s="2478"/>
      <c r="CT95" s="2478" t="s">
        <v>1319</v>
      </c>
    </row>
    <row r="96" spans="1:98" hidden="1" x14ac:dyDescent="0.2">
      <c r="H96" s="2560">
        <f>SUM(H93:H94)</f>
        <v>77226</v>
      </c>
      <c r="I96" s="2560">
        <f>SUM(I93:I94)</f>
        <v>5274</v>
      </c>
      <c r="J96" s="2560">
        <f>SUM(J93:J94)</f>
        <v>82500</v>
      </c>
      <c r="K96" s="2561">
        <f>IF(H96=0," ",(J96-H96)/H96)</f>
        <v>6.8293061922150566E-2</v>
      </c>
      <c r="M96" s="2560">
        <f>SUM(M93:M94)</f>
        <v>82500</v>
      </c>
      <c r="N96" s="2560">
        <f>SUM(N93:N94)</f>
        <v>82500</v>
      </c>
      <c r="P96" s="2562">
        <f>SUM(P93:P94)</f>
        <v>0</v>
      </c>
      <c r="R96" s="2560">
        <f>SUM(R93:R94)</f>
        <v>82500</v>
      </c>
      <c r="S96" s="2560">
        <f>SUM(S93:S94)</f>
        <v>82500</v>
      </c>
      <c r="U96" s="2560">
        <f>SUM(U93:U94)</f>
        <v>82500</v>
      </c>
      <c r="V96" s="2560">
        <f>SUM(V93:V94)</f>
        <v>3744</v>
      </c>
      <c r="W96" s="2560">
        <f>SUM(W93:W94)</f>
        <v>86244</v>
      </c>
      <c r="X96" s="2561">
        <f>IF(U96=0," ",(W96-U96)/U96)</f>
        <v>4.5381818181818183E-2</v>
      </c>
      <c r="Z96" s="2560">
        <f>SUM(Z93:Z94)</f>
        <v>86244</v>
      </c>
      <c r="AA96" s="2560">
        <f>SUM(AA93:AA94)</f>
        <v>86244</v>
      </c>
      <c r="AC96" s="2562"/>
      <c r="AE96" s="2560">
        <f>SUM(AE93:AE94)</f>
        <v>86244</v>
      </c>
      <c r="AF96" s="2563">
        <f>SUM(AF93:AF94)</f>
        <v>86244</v>
      </c>
      <c r="AH96" s="2560">
        <v>86244</v>
      </c>
      <c r="AI96" s="2560">
        <f>SUM(AI93:AI94)</f>
        <v>4591</v>
      </c>
      <c r="AJ96" s="2560">
        <f>SUM(AJ93:AJ94)</f>
        <v>90835</v>
      </c>
      <c r="AK96" s="2561">
        <f>IF(AH96=0," ",(AJ96-AH96)/AH96)</f>
        <v>5.3232688650804695E-2</v>
      </c>
      <c r="AM96" s="2560">
        <f>SUM(AM93:AM94)</f>
        <v>90835</v>
      </c>
      <c r="AN96" s="2560">
        <f>SUM(AN93:AN94)</f>
        <v>90835</v>
      </c>
      <c r="AP96" s="2562"/>
      <c r="AR96" s="2560">
        <f>SUM(AR93:AR94)</f>
        <v>90835</v>
      </c>
      <c r="AS96" s="2560">
        <f>SUM(AS93:AS94)</f>
        <v>90834.240000000005</v>
      </c>
      <c r="AT96" s="2560"/>
      <c r="AU96" s="2560">
        <f>SUM(AU93:AU94)</f>
        <v>92865</v>
      </c>
      <c r="AV96" s="2560">
        <f>SUM(AV93:AV94)</f>
        <v>92864.16</v>
      </c>
      <c r="AX96" s="2560">
        <f>SUM(AX93:AX94)</f>
        <v>92865</v>
      </c>
      <c r="AY96" s="2560">
        <f>SUM(AY93:AY94)</f>
        <v>1774</v>
      </c>
      <c r="AZ96" s="2560">
        <f>SUM(AZ93:AZ94)</f>
        <v>94639</v>
      </c>
      <c r="BA96" s="2561">
        <f>IF(AX96=0," ",(AZ96-AX96)/AX96)</f>
        <v>1.9102998977009639E-2</v>
      </c>
      <c r="BC96" s="2560">
        <f>SUM(BC93:BC94)</f>
        <v>94639</v>
      </c>
      <c r="BD96" s="2560">
        <f>SUM(BD93:BD94)</f>
        <v>94639</v>
      </c>
      <c r="BF96" s="2562"/>
      <c r="BH96" s="2560">
        <f>SUM(BH93:BH94)</f>
        <v>94639</v>
      </c>
      <c r="BI96" s="2560">
        <f>SUM(BI93:BI94)</f>
        <v>94639</v>
      </c>
      <c r="BM96" s="2560">
        <f>SUM(BM93:BM94)</f>
        <v>94639</v>
      </c>
      <c r="BN96" s="2560">
        <f>SUM(BN93:BN94)</f>
        <v>1796</v>
      </c>
      <c r="BO96" s="2564">
        <f>SUM(BO93:BO94)</f>
        <v>96435</v>
      </c>
      <c r="BP96" s="2565">
        <f>IF(BM96=0," ",(BO96-BM96)/BM96)</f>
        <v>1.8977377191221379E-2</v>
      </c>
      <c r="BR96" s="2564">
        <f>SUM(BR93:BR94)</f>
        <v>96435</v>
      </c>
      <c r="BS96" s="2564">
        <f>SUM(BS93:BS94)</f>
        <v>96435</v>
      </c>
      <c r="BU96" s="2566"/>
      <c r="BW96" s="2564">
        <f>SUM(BW93:BW94)</f>
        <v>96435</v>
      </c>
      <c r="BX96" s="2560">
        <f>SUM(BX93:BX94)</f>
        <v>46632.24</v>
      </c>
      <c r="BZ96" s="2564">
        <f>SUM(BZ93:BZ95)</f>
        <v>96435</v>
      </c>
      <c r="CA96" s="2564">
        <f>SUM(CA93:CA95)</f>
        <v>-352</v>
      </c>
      <c r="CB96" s="2564">
        <f>SUM(CB93:CB95)</f>
        <v>96083</v>
      </c>
      <c r="CC96" s="2565">
        <f>IF(BZ96=0," ",(CB96-BZ96)/BZ96)</f>
        <v>-3.6501270285684657E-3</v>
      </c>
      <c r="CE96" s="2564">
        <f>SUM(CE93:CE95)</f>
        <v>100872</v>
      </c>
      <c r="CF96" s="2565">
        <f>IF(CB96=0," ",(CE96-CB96)/CB96)</f>
        <v>4.9842323824193666E-2</v>
      </c>
      <c r="CG96" s="2564">
        <f>SUM(CG93:CG95)</f>
        <v>100872</v>
      </c>
      <c r="CH96" s="2449" t="s">
        <v>1243</v>
      </c>
      <c r="CI96" s="2449"/>
      <c r="CJ96" s="2450"/>
      <c r="CK96" s="2450"/>
      <c r="CO96" s="2477">
        <v>0</v>
      </c>
      <c r="CP96" s="2478">
        <f t="shared" si="41"/>
        <v>0</v>
      </c>
      <c r="CQ96" s="2478"/>
      <c r="CR96" s="2478"/>
      <c r="CS96" s="2478"/>
      <c r="CT96" s="2478"/>
    </row>
    <row r="97" spans="1:98" hidden="1" x14ac:dyDescent="0.2">
      <c r="AS97" s="2466"/>
      <c r="AT97" s="2466"/>
      <c r="BZ97" s="2472"/>
      <c r="CH97" s="2449" t="s">
        <v>1091</v>
      </c>
      <c r="CI97" s="2449"/>
      <c r="CJ97" s="2450"/>
      <c r="CK97" s="2450"/>
      <c r="CP97" s="2478">
        <f t="shared" si="41"/>
        <v>0</v>
      </c>
      <c r="CQ97" s="2478"/>
      <c r="CR97" s="2478"/>
      <c r="CS97" s="2478"/>
      <c r="CT97" s="2478"/>
    </row>
    <row r="98" spans="1:98" hidden="1" x14ac:dyDescent="0.2">
      <c r="A98" s="2395">
        <v>141</v>
      </c>
      <c r="B98" s="2440" t="s">
        <v>1214</v>
      </c>
      <c r="C98" s="2396">
        <v>14102</v>
      </c>
      <c r="D98" s="2396">
        <v>51130</v>
      </c>
      <c r="E98" s="2397" t="s">
        <v>319</v>
      </c>
      <c r="F98" s="2440" t="s">
        <v>1214</v>
      </c>
      <c r="G98" s="2440" t="s">
        <v>1353</v>
      </c>
      <c r="H98" s="2466">
        <v>44051</v>
      </c>
      <c r="I98" s="2470">
        <v>715</v>
      </c>
      <c r="J98" s="2466">
        <f>H98+I98</f>
        <v>44766</v>
      </c>
      <c r="K98" s="2468">
        <f>IF(H98=0," ",(J98-H98)/H98)</f>
        <v>1.62311865791923E-2</v>
      </c>
      <c r="M98" s="2467">
        <v>44766</v>
      </c>
      <c r="N98" s="2467">
        <v>44766</v>
      </c>
      <c r="P98" s="2469" t="s">
        <v>1354</v>
      </c>
      <c r="R98" s="2466">
        <v>44766</v>
      </c>
      <c r="S98" s="2466">
        <v>44854.38</v>
      </c>
      <c r="U98" s="2466">
        <v>44766</v>
      </c>
      <c r="V98" s="2470">
        <v>2140</v>
      </c>
      <c r="W98" s="2466">
        <f>U98+V98</f>
        <v>46906</v>
      </c>
      <c r="X98" s="2468">
        <f>IF(U98=0," ",(W98-U98)/U98)</f>
        <v>4.780413706831077E-2</v>
      </c>
      <c r="Z98" s="2467">
        <v>46906</v>
      </c>
      <c r="AA98" s="2467">
        <v>46906</v>
      </c>
      <c r="AC98" s="2469" t="s">
        <v>1355</v>
      </c>
      <c r="AE98" s="2466">
        <v>46906</v>
      </c>
      <c r="AF98" s="2471">
        <v>46556.1</v>
      </c>
      <c r="AH98" s="2466">
        <v>46906</v>
      </c>
      <c r="AI98" s="2470">
        <v>2662</v>
      </c>
      <c r="AJ98" s="2466">
        <f>AH98+AI98</f>
        <v>49568</v>
      </c>
      <c r="AK98" s="2468">
        <f>IF(AH98=0," ",(AJ98-AH98)/AH98)</f>
        <v>5.6751801475291005E-2</v>
      </c>
      <c r="AM98" s="2467">
        <v>49568</v>
      </c>
      <c r="AN98" s="2467">
        <v>49568</v>
      </c>
      <c r="AP98" s="2469" t="s">
        <v>1356</v>
      </c>
      <c r="AR98" s="2466">
        <v>49568</v>
      </c>
      <c r="AS98" s="2466">
        <v>49539.6</v>
      </c>
      <c r="AT98" s="2466"/>
      <c r="AU98" s="2466">
        <v>50691</v>
      </c>
      <c r="AV98" s="2466">
        <v>47733.8</v>
      </c>
      <c r="AX98" s="2466">
        <v>50691</v>
      </c>
      <c r="AY98" s="2470">
        <v>1027</v>
      </c>
      <c r="AZ98" s="2466">
        <f>AX98+AY98</f>
        <v>51718</v>
      </c>
      <c r="BA98" s="2468">
        <f>IF(AX98=0," ",(AZ98-AX98)/AX98)</f>
        <v>2.0260006707305045E-2</v>
      </c>
      <c r="BC98" s="2467">
        <v>51718</v>
      </c>
      <c r="BD98" s="2467">
        <v>51718</v>
      </c>
      <c r="BF98" s="2511" t="s">
        <v>1357</v>
      </c>
      <c r="BH98" s="2467">
        <v>51718</v>
      </c>
      <c r="BI98" s="2466">
        <v>45530.1</v>
      </c>
      <c r="BM98" s="2466">
        <v>51718</v>
      </c>
      <c r="BN98" s="2470">
        <v>-587</v>
      </c>
      <c r="BO98" s="2472">
        <f>BM98+BN98</f>
        <v>51131</v>
      </c>
      <c r="BP98" s="2473">
        <f>IF(BM98=0," ",(BO98-BM98)/BM98)</f>
        <v>-1.1350013534939479E-2</v>
      </c>
      <c r="BR98" s="2474">
        <v>51131</v>
      </c>
      <c r="BS98" s="2474">
        <v>51131</v>
      </c>
      <c r="BU98" s="2512" t="s">
        <v>1358</v>
      </c>
      <c r="BW98" s="2474">
        <v>51131</v>
      </c>
      <c r="BX98" s="2466">
        <v>21559.71</v>
      </c>
      <c r="BZ98" s="2474">
        <v>51131</v>
      </c>
      <c r="CA98" s="2470"/>
      <c r="CB98" s="2472">
        <f>BZ98+CA98</f>
        <v>51131</v>
      </c>
      <c r="CC98" s="2473">
        <f>IF(BZ98=0," ",(CB98-BZ98)/BZ98)</f>
        <v>0</v>
      </c>
      <c r="CE98" s="2474">
        <v>52156</v>
      </c>
      <c r="CF98" s="2476">
        <f>IF(CB98=0," ",(CE98-CB98)/CB98)</f>
        <v>2.0046547104496295E-2</v>
      </c>
      <c r="CG98" s="2474">
        <v>52156</v>
      </c>
      <c r="CH98" s="2449" t="s">
        <v>1217</v>
      </c>
      <c r="CI98" s="2449"/>
      <c r="CJ98" s="2450"/>
      <c r="CK98" s="2450"/>
      <c r="CO98" s="2477">
        <v>-0.1196469314358638</v>
      </c>
      <c r="CP98" s="2478">
        <f t="shared" si="41"/>
        <v>-6187.9000000000015</v>
      </c>
      <c r="CQ98" s="2478"/>
      <c r="CR98" s="2478"/>
      <c r="CS98" s="2478"/>
      <c r="CT98" s="2478"/>
    </row>
    <row r="99" spans="1:98" hidden="1" x14ac:dyDescent="0.2">
      <c r="A99" s="2395">
        <v>141</v>
      </c>
      <c r="B99" s="2440" t="s">
        <v>1214</v>
      </c>
      <c r="C99" s="2396">
        <v>14102</v>
      </c>
      <c r="D99" s="2396">
        <v>51310</v>
      </c>
      <c r="E99" s="2397" t="s">
        <v>319</v>
      </c>
      <c r="F99" s="2440" t="s">
        <v>1214</v>
      </c>
      <c r="G99" s="2440" t="s">
        <v>1359</v>
      </c>
      <c r="H99" s="2466">
        <v>500</v>
      </c>
      <c r="I99" s="2470"/>
      <c r="J99" s="2466">
        <f>H99+I99</f>
        <v>500</v>
      </c>
      <c r="K99" s="2468">
        <f>IF(H99=0," ",(J99-H99)/H99)</f>
        <v>0</v>
      </c>
      <c r="M99" s="2467">
        <v>500</v>
      </c>
      <c r="N99" s="2467">
        <v>500</v>
      </c>
      <c r="P99" s="2469"/>
      <c r="R99" s="2466">
        <v>500</v>
      </c>
      <c r="S99" s="2466">
        <v>0</v>
      </c>
      <c r="U99" s="2466">
        <v>500</v>
      </c>
      <c r="V99" s="2470">
        <v>0</v>
      </c>
      <c r="W99" s="2466">
        <f>U99+V99</f>
        <v>500</v>
      </c>
      <c r="X99" s="2468">
        <f>IF(U99=0," ",(W99-U99)/U99)</f>
        <v>0</v>
      </c>
      <c r="Z99" s="2467">
        <v>500</v>
      </c>
      <c r="AA99" s="2467">
        <v>500</v>
      </c>
      <c r="AC99" s="2469"/>
      <c r="AE99" s="2466">
        <v>500</v>
      </c>
      <c r="AF99" s="2471">
        <v>0</v>
      </c>
      <c r="AH99" s="2466">
        <v>500</v>
      </c>
      <c r="AI99" s="2470"/>
      <c r="AJ99" s="2466">
        <f>AH99+AI99</f>
        <v>500</v>
      </c>
      <c r="AK99" s="2468">
        <f>IF(AH99=0," ",(AJ99-AH99)/AH99)</f>
        <v>0</v>
      </c>
      <c r="AM99" s="2467">
        <v>500</v>
      </c>
      <c r="AN99" s="2467">
        <v>500</v>
      </c>
      <c r="AP99" s="2469"/>
      <c r="AR99" s="2466">
        <v>500</v>
      </c>
      <c r="AS99" s="2466"/>
      <c r="AT99" s="2466"/>
      <c r="AY99" s="2470"/>
      <c r="AZ99" s="2466">
        <f>AX99+AY99</f>
        <v>0</v>
      </c>
      <c r="BA99" s="2468" t="str">
        <f>IF(AX99=0," ",(AZ99-AX99)/AX99)</f>
        <v xml:space="preserve"> </v>
      </c>
      <c r="BC99" s="2467">
        <v>0</v>
      </c>
      <c r="BD99" s="2467">
        <v>0</v>
      </c>
      <c r="BF99" s="2469"/>
      <c r="BH99" s="2467">
        <v>0</v>
      </c>
      <c r="BM99" s="2466">
        <v>0</v>
      </c>
      <c r="BN99" s="2470"/>
      <c r="BO99" s="2472">
        <f>BM99+BN99</f>
        <v>0</v>
      </c>
      <c r="BP99" s="2473" t="str">
        <f>IF(BM99=0," ",(BO99-BM99)/BM99)</f>
        <v xml:space="preserve"> </v>
      </c>
      <c r="BR99" s="2474">
        <v>0</v>
      </c>
      <c r="BS99" s="2474">
        <v>0</v>
      </c>
      <c r="BU99" s="2475"/>
      <c r="BW99" s="2474">
        <v>0</v>
      </c>
      <c r="BZ99" s="2474">
        <v>0</v>
      </c>
      <c r="CA99" s="2470"/>
      <c r="CB99" s="2472">
        <f>BZ99+CA99</f>
        <v>0</v>
      </c>
      <c r="CC99" s="2473" t="str">
        <f>IF(BZ99=0," ",(CB99-BZ99)/BZ99)</f>
        <v xml:space="preserve"> </v>
      </c>
      <c r="CE99" s="2474">
        <v>0</v>
      </c>
      <c r="CF99" s="2476" t="str">
        <f>IF(CB99=0," ",(CE99-CB99)/CB99)</f>
        <v xml:space="preserve"> </v>
      </c>
      <c r="CG99" s="2474">
        <v>0</v>
      </c>
      <c r="CH99" s="2449" t="s">
        <v>1217</v>
      </c>
      <c r="CI99" s="2449"/>
      <c r="CJ99" s="2450"/>
      <c r="CK99" s="2450"/>
      <c r="CP99" s="2478">
        <f t="shared" si="41"/>
        <v>0</v>
      </c>
      <c r="CQ99" s="2478"/>
      <c r="CR99" s="2478"/>
      <c r="CS99" s="2478"/>
      <c r="CT99" s="2478"/>
    </row>
    <row r="100" spans="1:98" hidden="1" x14ac:dyDescent="0.2">
      <c r="H100" s="2560">
        <f>SUM(H98:H99)</f>
        <v>44551</v>
      </c>
      <c r="I100" s="2560">
        <f>SUM(I98:I99)</f>
        <v>715</v>
      </c>
      <c r="J100" s="2560">
        <f>SUM(J98:J99)</f>
        <v>45266</v>
      </c>
      <c r="K100" s="2561">
        <f>IF(H100=0," ",(J100-H100)/H100)</f>
        <v>1.6049022468631456E-2</v>
      </c>
      <c r="M100" s="2560">
        <f>SUM(M98:M99)</f>
        <v>45266</v>
      </c>
      <c r="N100" s="2560">
        <f>SUM(N98:N99)</f>
        <v>45266</v>
      </c>
      <c r="P100" s="2562">
        <f>SUM(P98:P99)</f>
        <v>0</v>
      </c>
      <c r="R100" s="2560">
        <f>SUM(R98:R99)</f>
        <v>45266</v>
      </c>
      <c r="S100" s="2560">
        <f>SUM(S98:S99)</f>
        <v>44854.38</v>
      </c>
      <c r="U100" s="2560">
        <f>SUM(U98:U99)</f>
        <v>45266</v>
      </c>
      <c r="V100" s="2560">
        <f>SUM(V98:V99)</f>
        <v>2140</v>
      </c>
      <c r="W100" s="2560">
        <f>SUM(W98:W99)</f>
        <v>47406</v>
      </c>
      <c r="X100" s="2561">
        <f>IF(U100=0," ",(W100-U100)/U100)</f>
        <v>4.7276101268059915E-2</v>
      </c>
      <c r="Z100" s="2560">
        <f>SUM(Z98:Z99)</f>
        <v>47406</v>
      </c>
      <c r="AA100" s="2560">
        <f>SUM(AA98:AA99)</f>
        <v>47406</v>
      </c>
      <c r="AC100" s="2562"/>
      <c r="AE100" s="2560">
        <f>SUM(AE98:AE99)</f>
        <v>47406</v>
      </c>
      <c r="AF100" s="2563">
        <f>SUM(AF98:AF99)</f>
        <v>46556.1</v>
      </c>
      <c r="AH100" s="2560">
        <v>47406</v>
      </c>
      <c r="AI100" s="2560">
        <f>SUM(AI98:AI99)</f>
        <v>2662</v>
      </c>
      <c r="AJ100" s="2560">
        <f>SUM(AJ98:AJ99)</f>
        <v>50068</v>
      </c>
      <c r="AK100" s="2561">
        <f>IF(AH100=0," ",(AJ100-AH100)/AH100)</f>
        <v>5.6153229549002238E-2</v>
      </c>
      <c r="AM100" s="2560">
        <f>SUM(AM98:AM99)</f>
        <v>50068</v>
      </c>
      <c r="AN100" s="2560">
        <f>SUM(AN98:AN99)</f>
        <v>50068</v>
      </c>
      <c r="AP100" s="2562"/>
      <c r="AR100" s="2560">
        <f>SUM(AR98:AR99)</f>
        <v>50068</v>
      </c>
      <c r="AS100" s="2560">
        <f>SUM(AS98:AS99)</f>
        <v>49539.6</v>
      </c>
      <c r="AT100" s="2560"/>
      <c r="AU100" s="2560">
        <f>SUM(AU98:AU99)</f>
        <v>50691</v>
      </c>
      <c r="AV100" s="2560">
        <f>SUM(AV98:AV99)</f>
        <v>47733.8</v>
      </c>
      <c r="AX100" s="2560">
        <f>SUM(AX98:AX99)</f>
        <v>50691</v>
      </c>
      <c r="AY100" s="2560">
        <f>SUM(AY98:AY99)</f>
        <v>1027</v>
      </c>
      <c r="AZ100" s="2560">
        <f>SUM(AZ98:AZ99)</f>
        <v>51718</v>
      </c>
      <c r="BA100" s="2561">
        <f>IF(AX100=0," ",(AZ100-AX100)/AX100)</f>
        <v>2.0260006707305045E-2</v>
      </c>
      <c r="BC100" s="2560">
        <f>SUM(BC98:BC99)</f>
        <v>51718</v>
      </c>
      <c r="BD100" s="2560">
        <f>SUM(BD98:BD99)</f>
        <v>51718</v>
      </c>
      <c r="BF100" s="2562"/>
      <c r="BH100" s="2560">
        <f>SUM(BH98:BH99)</f>
        <v>51718</v>
      </c>
      <c r="BI100" s="2560">
        <f>SUM(BI98:BI99)</f>
        <v>45530.1</v>
      </c>
      <c r="BM100" s="2560">
        <f>SUM(BM98:BM99)</f>
        <v>51718</v>
      </c>
      <c r="BN100" s="2560">
        <f>SUM(BN98:BN99)</f>
        <v>-587</v>
      </c>
      <c r="BO100" s="2564">
        <f>SUM(BO98:BO99)</f>
        <v>51131</v>
      </c>
      <c r="BP100" s="2565">
        <f>IF(BM100=0," ",(BO100-BM100)/BM100)</f>
        <v>-1.1350013534939479E-2</v>
      </c>
      <c r="BR100" s="2564">
        <f>SUM(BR98:BR99)</f>
        <v>51131</v>
      </c>
      <c r="BS100" s="2564">
        <f>SUM(BS98:BS99)</f>
        <v>51131</v>
      </c>
      <c r="BU100" s="2566"/>
      <c r="BW100" s="2564">
        <f>SUM(BW98:BW99)</f>
        <v>51131</v>
      </c>
      <c r="BX100" s="2560">
        <f>SUM(BX98:BX99)</f>
        <v>21559.71</v>
      </c>
      <c r="BZ100" s="2564">
        <f>SUM(BZ98:BZ99)</f>
        <v>51131</v>
      </c>
      <c r="CA100" s="2564">
        <f>SUM(CA98:CA99)</f>
        <v>0</v>
      </c>
      <c r="CB100" s="2564">
        <f>SUM(CB98:CB99)</f>
        <v>51131</v>
      </c>
      <c r="CC100" s="2565">
        <f>IF(BZ100=0," ",(CB100-BZ100)/BZ100)</f>
        <v>0</v>
      </c>
      <c r="CE100" s="2564">
        <f>SUM(CE98:CE99)</f>
        <v>52156</v>
      </c>
      <c r="CF100" s="2565">
        <f>IF(CB100=0," ",(CE100-CB100)/CB100)</f>
        <v>2.0046547104496295E-2</v>
      </c>
      <c r="CG100" s="2564">
        <f>SUM(CG98:CG99)</f>
        <v>52156</v>
      </c>
      <c r="CH100" s="2449" t="s">
        <v>1243</v>
      </c>
      <c r="CI100" s="2449"/>
      <c r="CJ100" s="2450"/>
      <c r="CK100" s="2450"/>
      <c r="CO100" s="2477">
        <v>-0.1196469314358638</v>
      </c>
      <c r="CP100" s="2478">
        <f t="shared" si="41"/>
        <v>-6187.9000000000015</v>
      </c>
      <c r="CQ100" s="2478"/>
      <c r="CR100" s="2478"/>
      <c r="CS100" s="2478"/>
      <c r="CT100" s="2478"/>
    </row>
    <row r="101" spans="1:98" hidden="1" x14ac:dyDescent="0.2">
      <c r="AS101" s="2466"/>
      <c r="AT101" s="2466"/>
      <c r="BZ101" s="2472"/>
      <c r="CH101" s="2449" t="s">
        <v>1091</v>
      </c>
      <c r="CI101" s="2449"/>
      <c r="CJ101" s="2450"/>
      <c r="CK101" s="2450"/>
      <c r="CP101" s="2478">
        <f t="shared" si="41"/>
        <v>0</v>
      </c>
      <c r="CQ101" s="2478"/>
      <c r="CR101" s="2478"/>
      <c r="CS101" s="2478"/>
      <c r="CT101" s="2478"/>
    </row>
    <row r="102" spans="1:98" s="2485" customFormat="1" hidden="1" x14ac:dyDescent="0.2">
      <c r="A102" s="2532"/>
      <c r="B102" s="2533"/>
      <c r="C102" s="2534"/>
      <c r="D102" s="2534"/>
      <c r="E102" s="2535"/>
      <c r="F102" s="2533"/>
      <c r="G102" s="2533" t="s">
        <v>1360</v>
      </c>
      <c r="H102" s="2536">
        <f>H96+H100</f>
        <v>121777</v>
      </c>
      <c r="I102" s="2536">
        <f>I96+I100</f>
        <v>5989</v>
      </c>
      <c r="J102" s="2536">
        <f>J96+J100</f>
        <v>127766</v>
      </c>
      <c r="K102" s="2484">
        <f>IF(H102=0," ",(J102-H102)/H102)</f>
        <v>4.9180058631761336E-2</v>
      </c>
      <c r="M102" s="2536">
        <f>M96+M100</f>
        <v>127766</v>
      </c>
      <c r="N102" s="2536">
        <f>N96+N100</f>
        <v>127766</v>
      </c>
      <c r="P102" s="2537">
        <f>P96+P100</f>
        <v>0</v>
      </c>
      <c r="R102" s="2536">
        <f>R96+R100</f>
        <v>127766</v>
      </c>
      <c r="S102" s="2536">
        <f>S96+S100</f>
        <v>127354.38</v>
      </c>
      <c r="U102" s="2536">
        <f>U96+U100</f>
        <v>127766</v>
      </c>
      <c r="V102" s="2536">
        <f>V96+V100</f>
        <v>5884</v>
      </c>
      <c r="W102" s="2536">
        <f>W96+W100</f>
        <v>133650</v>
      </c>
      <c r="X102" s="2484">
        <f>IF(U102=0," ",(W102-U102)/U102)</f>
        <v>4.6052940531909899E-2</v>
      </c>
      <c r="Z102" s="2536">
        <f>Z96+Z100</f>
        <v>133650</v>
      </c>
      <c r="AA102" s="2536">
        <f>AA96+AA100</f>
        <v>133650</v>
      </c>
      <c r="AC102" s="2537"/>
      <c r="AE102" s="2536">
        <f>AE96+AE100</f>
        <v>133650</v>
      </c>
      <c r="AF102" s="2538">
        <f>AF96+AF100</f>
        <v>132800.1</v>
      </c>
      <c r="AH102" s="2536">
        <v>133650</v>
      </c>
      <c r="AI102" s="2536">
        <f>AI96+AI100</f>
        <v>7253</v>
      </c>
      <c r="AJ102" s="2536">
        <f>AJ96+AJ100</f>
        <v>140903</v>
      </c>
      <c r="AK102" s="2484">
        <f>IF(AH102=0," ",(AJ102-AH102)/AH102)</f>
        <v>5.4268612046389823E-2</v>
      </c>
      <c r="AM102" s="2536">
        <f>AM96+AM100</f>
        <v>140903</v>
      </c>
      <c r="AN102" s="2536">
        <f>AN96+AN100</f>
        <v>140903</v>
      </c>
      <c r="AP102" s="2537"/>
      <c r="AR102" s="2536">
        <f>AR96+AR100</f>
        <v>140903</v>
      </c>
      <c r="AS102" s="2536">
        <f>AS96+AS100</f>
        <v>140373.84</v>
      </c>
      <c r="AT102" s="2536"/>
      <c r="AU102" s="2536">
        <f>AU96+AU100</f>
        <v>143556</v>
      </c>
      <c r="AV102" s="2536">
        <f>AV96+AV100</f>
        <v>140597.96000000002</v>
      </c>
      <c r="AX102" s="2536">
        <f>AX96+AX100</f>
        <v>143556</v>
      </c>
      <c r="AY102" s="2536">
        <f>AY96+AY100</f>
        <v>2801</v>
      </c>
      <c r="AZ102" s="2536">
        <f>AZ96+AZ100</f>
        <v>146357</v>
      </c>
      <c r="BA102" s="2484">
        <f>IF(AX102=0," ",(AZ102-AX102)/AX102)</f>
        <v>1.951154949984675E-2</v>
      </c>
      <c r="BC102" s="2536">
        <f>BC96+BC100</f>
        <v>146357</v>
      </c>
      <c r="BD102" s="2536">
        <f>BD96+BD100</f>
        <v>146357</v>
      </c>
      <c r="BF102" s="2537"/>
      <c r="BH102" s="2536">
        <f>BH96+BH100</f>
        <v>146357</v>
      </c>
      <c r="BI102" s="2536">
        <f>BI96+BI100</f>
        <v>140169.1</v>
      </c>
      <c r="BJ102" s="2536"/>
      <c r="BK102" s="2536"/>
      <c r="BM102" s="2536">
        <f>BM96+BM100</f>
        <v>146357</v>
      </c>
      <c r="BN102" s="2539">
        <f>BN96+BN100</f>
        <v>1209</v>
      </c>
      <c r="BO102" s="2540">
        <f>BO96+BO100</f>
        <v>147566</v>
      </c>
      <c r="BP102" s="2490">
        <f>IF(BM102=0," ",(BO102-BM102)/BM102)</f>
        <v>8.2606229971917983E-3</v>
      </c>
      <c r="BQ102" s="2491"/>
      <c r="BR102" s="2540">
        <f>BR96+BR100</f>
        <v>147566</v>
      </c>
      <c r="BS102" s="2540">
        <f>BS96+BS100</f>
        <v>147566</v>
      </c>
      <c r="BT102" s="2491"/>
      <c r="BU102" s="2541"/>
      <c r="BV102" s="2491"/>
      <c r="BW102" s="2540">
        <f>BW96+BW100</f>
        <v>147566</v>
      </c>
      <c r="BX102" s="2536">
        <f>BX96+BX100</f>
        <v>68191.95</v>
      </c>
      <c r="BZ102" s="2540">
        <f>BZ96+BZ100</f>
        <v>147566</v>
      </c>
      <c r="CA102" s="2540">
        <f>CA96+CA100</f>
        <v>-352</v>
      </c>
      <c r="CB102" s="2540">
        <f>CB96+CB100</f>
        <v>147214</v>
      </c>
      <c r="CC102" s="2490">
        <f>IF(BZ102=0," ",(CB102-BZ102)/BZ102)</f>
        <v>-2.3853733244785383E-3</v>
      </c>
      <c r="CD102" s="2491"/>
      <c r="CE102" s="2540">
        <f>CE96+CE100</f>
        <v>153028</v>
      </c>
      <c r="CF102" s="2490">
        <f>IF(CB102=0," ",(CE102-CB102)/CB102)</f>
        <v>3.94935264309101E-2</v>
      </c>
      <c r="CG102" s="2540">
        <f>CG96+CG100</f>
        <v>153028</v>
      </c>
      <c r="CH102" s="2449" t="s">
        <v>1220</v>
      </c>
      <c r="CI102" s="2449"/>
      <c r="CJ102" s="2450"/>
      <c r="CK102" s="2450"/>
      <c r="CL102" s="2451"/>
      <c r="CM102" s="2451"/>
      <c r="CN102" s="2451"/>
      <c r="CO102" s="2477">
        <v>-4.2279494660316885E-2</v>
      </c>
      <c r="CP102" s="2478">
        <f t="shared" si="41"/>
        <v>-6187.8999999999942</v>
      </c>
      <c r="CQ102" s="2478"/>
      <c r="CR102" s="2478"/>
      <c r="CS102" s="2478"/>
      <c r="CT102" s="2478"/>
    </row>
    <row r="103" spans="1:98" hidden="1" x14ac:dyDescent="0.2">
      <c r="AS103" s="2466"/>
      <c r="AT103" s="2466"/>
      <c r="BZ103" s="2472"/>
      <c r="CH103" s="2449" t="s">
        <v>1091</v>
      </c>
      <c r="CI103" s="2449"/>
      <c r="CJ103" s="2450"/>
      <c r="CK103" s="2450"/>
      <c r="CP103" s="2478">
        <f t="shared" si="41"/>
        <v>0</v>
      </c>
      <c r="CQ103" s="2478"/>
      <c r="CR103" s="2478"/>
      <c r="CS103" s="2478"/>
      <c r="CT103" s="2478"/>
    </row>
    <row r="104" spans="1:98" hidden="1" x14ac:dyDescent="0.2">
      <c r="A104" s="2395">
        <v>141</v>
      </c>
      <c r="C104" s="2396">
        <v>14105</v>
      </c>
      <c r="D104" s="2396">
        <v>53050</v>
      </c>
      <c r="E104" s="2397" t="s">
        <v>1268</v>
      </c>
      <c r="G104" s="2440" t="s">
        <v>1361</v>
      </c>
      <c r="AI104" s="2572"/>
      <c r="AJ104" s="2466">
        <f>AH104+AI104</f>
        <v>0</v>
      </c>
      <c r="AM104" s="2467">
        <v>10000</v>
      </c>
      <c r="AN104" s="2467">
        <v>10000</v>
      </c>
      <c r="AP104" s="2530" t="s">
        <v>1362</v>
      </c>
      <c r="AR104" s="2466">
        <v>10000</v>
      </c>
      <c r="AS104" s="2466">
        <v>10250</v>
      </c>
      <c r="AT104" s="2466"/>
      <c r="AU104" s="2466">
        <v>10000</v>
      </c>
      <c r="AV104" s="2466">
        <v>10000</v>
      </c>
      <c r="AX104" s="2466">
        <v>10000</v>
      </c>
      <c r="AY104" s="2572"/>
      <c r="AZ104" s="2466">
        <f t="shared" ref="AZ104:AZ116" si="58">AX104+AY104</f>
        <v>10000</v>
      </c>
      <c r="BA104" s="2468">
        <f>IF(AX104=0," ",(AZ104-AX104)/AX104)</f>
        <v>0</v>
      </c>
      <c r="BC104" s="2467">
        <v>10000</v>
      </c>
      <c r="BD104" s="2467">
        <v>10000</v>
      </c>
      <c r="BF104" s="2469"/>
      <c r="BH104" s="2467">
        <v>10000</v>
      </c>
      <c r="BI104" s="2466">
        <v>10000</v>
      </c>
      <c r="BM104" s="2466">
        <v>10000</v>
      </c>
      <c r="BN104" s="2572"/>
      <c r="BO104" s="2472">
        <f t="shared" ref="BO104:BO116" si="59">BM104+BN104</f>
        <v>10000</v>
      </c>
      <c r="BP104" s="2473">
        <f>IF(BM104=0," ",(BO104-BM104)/BM104)</f>
        <v>0</v>
      </c>
      <c r="BR104" s="2474">
        <v>10000</v>
      </c>
      <c r="BS104" s="2474">
        <v>10000</v>
      </c>
      <c r="BU104" s="2475"/>
      <c r="BW104" s="2474">
        <v>10000</v>
      </c>
      <c r="BZ104" s="2474">
        <v>10000</v>
      </c>
      <c r="CA104" s="2572"/>
      <c r="CB104" s="2472">
        <f t="shared" ref="CB104:CB116" si="60">BZ104+CA104</f>
        <v>10000</v>
      </c>
      <c r="CC104" s="2473">
        <f>IF(BZ104=0," ",(CB104-BZ104)/BZ104)</f>
        <v>0</v>
      </c>
      <c r="CE104" s="2474">
        <v>10000</v>
      </c>
      <c r="CF104" s="2476">
        <f>IF(CB104=0," ",(CE104-CB104)/CB104)</f>
        <v>0</v>
      </c>
      <c r="CG104" s="2474">
        <v>10000</v>
      </c>
      <c r="CH104" s="2449" t="s">
        <v>1217</v>
      </c>
      <c r="CI104" s="2449"/>
      <c r="CJ104" s="2450"/>
      <c r="CK104" s="2450"/>
      <c r="CO104" s="2477">
        <v>0</v>
      </c>
      <c r="CP104" s="2478">
        <f t="shared" si="41"/>
        <v>0</v>
      </c>
      <c r="CQ104" s="2478"/>
      <c r="CR104" s="2478"/>
      <c r="CS104" s="2478"/>
      <c r="CT104" s="2478"/>
    </row>
    <row r="105" spans="1:98" hidden="1" x14ac:dyDescent="0.2">
      <c r="A105" s="2395">
        <v>141</v>
      </c>
      <c r="B105" s="2440" t="s">
        <v>1214</v>
      </c>
      <c r="C105" s="2396">
        <v>14105</v>
      </c>
      <c r="D105" s="2396">
        <v>53052</v>
      </c>
      <c r="E105" s="2397" t="s">
        <v>1268</v>
      </c>
      <c r="F105" s="2440" t="s">
        <v>1214</v>
      </c>
      <c r="G105" s="2440" t="s">
        <v>1363</v>
      </c>
      <c r="H105" s="2466">
        <v>15800</v>
      </c>
      <c r="I105" s="2572"/>
      <c r="J105" s="2466">
        <f>H105+I105</f>
        <v>15800</v>
      </c>
      <c r="K105" s="2468">
        <f>IF(H105=0," ",(J105-H105)/H105)</f>
        <v>0</v>
      </c>
      <c r="M105" s="2467">
        <v>15800</v>
      </c>
      <c r="N105" s="2467">
        <v>15800</v>
      </c>
      <c r="P105" s="2469" t="s">
        <v>1364</v>
      </c>
      <c r="R105" s="2466">
        <v>15800</v>
      </c>
      <c r="S105" s="2466">
        <v>17966.66</v>
      </c>
      <c r="U105" s="2466">
        <v>15800</v>
      </c>
      <c r="V105" s="2572">
        <v>0</v>
      </c>
      <c r="W105" s="2466">
        <f>U105+V105</f>
        <v>15800</v>
      </c>
      <c r="X105" s="2468">
        <f>IF(U105=0," ",(W105-U105)/U105)</f>
        <v>0</v>
      </c>
      <c r="Z105" s="2467">
        <v>15800</v>
      </c>
      <c r="AA105" s="2467">
        <v>15800</v>
      </c>
      <c r="AC105" s="2469"/>
      <c r="AE105" s="2466">
        <v>15800</v>
      </c>
      <c r="AF105" s="2471">
        <v>15185.84</v>
      </c>
      <c r="AH105" s="2466">
        <v>15800</v>
      </c>
      <c r="AI105" s="2572">
        <v>3400</v>
      </c>
      <c r="AJ105" s="2466">
        <f>AH105+AI105</f>
        <v>19200</v>
      </c>
      <c r="AK105" s="2468">
        <f>IF(AH105=0," ",(AJ105-AH105)/AH105)</f>
        <v>0.21518987341772153</v>
      </c>
      <c r="AM105" s="2467">
        <v>19200</v>
      </c>
      <c r="AN105" s="2467">
        <v>19200</v>
      </c>
      <c r="AP105" s="2469"/>
      <c r="AR105" s="2466">
        <v>19200</v>
      </c>
      <c r="AS105" s="2466">
        <v>11250</v>
      </c>
      <c r="AT105" s="2466"/>
      <c r="AU105" s="2466">
        <v>19200</v>
      </c>
      <c r="AV105" s="2466">
        <v>14550</v>
      </c>
      <c r="AX105" s="2466">
        <v>19200</v>
      </c>
      <c r="AY105" s="2572"/>
      <c r="AZ105" s="2466">
        <f t="shared" si="58"/>
        <v>19200</v>
      </c>
      <c r="BA105" s="2468">
        <f>IF(AX105=0," ",(AZ105-AX105)/AX105)</f>
        <v>0</v>
      </c>
      <c r="BC105" s="2467">
        <v>19200</v>
      </c>
      <c r="BD105" s="2467">
        <f>19200+4000</f>
        <v>23200</v>
      </c>
      <c r="BF105" s="2547" t="s">
        <v>1365</v>
      </c>
      <c r="BH105" s="2467">
        <f>19200+4000</f>
        <v>23200</v>
      </c>
      <c r="BI105" s="2466">
        <v>20875</v>
      </c>
      <c r="BM105" s="2466">
        <f>19200+4000</f>
        <v>23200</v>
      </c>
      <c r="BN105" s="2572"/>
      <c r="BO105" s="2472">
        <f t="shared" si="59"/>
        <v>23200</v>
      </c>
      <c r="BP105" s="2473">
        <f>IF(BM105=0," ",(BO105-BM105)/BM105)</f>
        <v>0</v>
      </c>
      <c r="BR105" s="2474">
        <v>23200</v>
      </c>
      <c r="BS105" s="2474">
        <v>23200</v>
      </c>
      <c r="BU105" s="2475"/>
      <c r="BW105" s="2474">
        <v>23200</v>
      </c>
      <c r="BX105" s="2466">
        <v>4000</v>
      </c>
      <c r="BZ105" s="2474">
        <v>23200</v>
      </c>
      <c r="CA105" s="2572"/>
      <c r="CB105" s="2472">
        <f t="shared" si="60"/>
        <v>23200</v>
      </c>
      <c r="CC105" s="2473">
        <f>IF(BZ105=0," ",(CB105-BZ105)/BZ105)</f>
        <v>0</v>
      </c>
      <c r="CE105" s="2474">
        <v>23200</v>
      </c>
      <c r="CF105" s="2476">
        <f>IF(CB105=0," ",(CE105-CB105)/CB105)</f>
        <v>0</v>
      </c>
      <c r="CG105" s="2474">
        <v>23200</v>
      </c>
      <c r="CH105" s="2449" t="s">
        <v>1217</v>
      </c>
      <c r="CI105" s="2449"/>
      <c r="CJ105" s="2450"/>
      <c r="CK105" s="2450"/>
      <c r="CO105" s="2477">
        <v>-0.10021551724137934</v>
      </c>
      <c r="CP105" s="2478">
        <f t="shared" si="41"/>
        <v>-2325</v>
      </c>
      <c r="CQ105" s="2478"/>
      <c r="CR105" s="2478"/>
      <c r="CS105" s="2478"/>
      <c r="CT105" s="2478"/>
    </row>
    <row r="106" spans="1:98" hidden="1" x14ac:dyDescent="0.2">
      <c r="A106" s="2395">
        <v>141</v>
      </c>
      <c r="C106" s="2396">
        <v>14105</v>
      </c>
      <c r="D106" s="2396">
        <v>53054</v>
      </c>
      <c r="E106" s="2397" t="s">
        <v>1268</v>
      </c>
      <c r="G106" s="2440" t="s">
        <v>1366</v>
      </c>
      <c r="I106" s="2470"/>
      <c r="M106" s="2467"/>
      <c r="N106" s="2467"/>
      <c r="P106" s="2467"/>
      <c r="V106" s="2470"/>
      <c r="Z106" s="2467"/>
      <c r="AA106" s="2467"/>
      <c r="AC106" s="2467"/>
      <c r="AI106" s="2470"/>
      <c r="AM106" s="2467"/>
      <c r="AN106" s="2467"/>
      <c r="AP106" s="2467"/>
      <c r="AS106" s="2466"/>
      <c r="AT106" s="2466"/>
      <c r="AY106" s="2572">
        <v>7600</v>
      </c>
      <c r="AZ106" s="2466">
        <f t="shared" si="58"/>
        <v>7600</v>
      </c>
      <c r="BC106" s="2467">
        <v>7600</v>
      </c>
      <c r="BD106" s="2467">
        <v>7600</v>
      </c>
      <c r="BF106" s="2469" t="s">
        <v>1367</v>
      </c>
      <c r="BH106" s="2467">
        <v>7600</v>
      </c>
      <c r="BI106" s="2466">
        <v>7600</v>
      </c>
      <c r="BM106" s="2466">
        <v>7600</v>
      </c>
      <c r="BN106" s="2572"/>
      <c r="BO106" s="2472">
        <f t="shared" si="59"/>
        <v>7600</v>
      </c>
      <c r="BR106" s="2474">
        <v>7600</v>
      </c>
      <c r="BS106" s="2474">
        <v>7600</v>
      </c>
      <c r="BU106" s="2475"/>
      <c r="BW106" s="2474">
        <v>7600</v>
      </c>
      <c r="BX106" s="2466">
        <v>7600</v>
      </c>
      <c r="BZ106" s="2474">
        <v>7600</v>
      </c>
      <c r="CA106" s="2572"/>
      <c r="CB106" s="2472">
        <f t="shared" si="60"/>
        <v>7600</v>
      </c>
      <c r="CE106" s="2474">
        <v>7600</v>
      </c>
      <c r="CF106" s="2476"/>
      <c r="CG106" s="2474">
        <v>7600</v>
      </c>
      <c r="CH106" s="2449" t="s">
        <v>1217</v>
      </c>
      <c r="CI106" s="2449"/>
      <c r="CJ106" s="2450"/>
      <c r="CK106" s="2450"/>
      <c r="CO106" s="2477">
        <v>0</v>
      </c>
      <c r="CP106" s="2478">
        <f t="shared" si="41"/>
        <v>0</v>
      </c>
      <c r="CQ106" s="2478"/>
      <c r="CR106" s="2478"/>
      <c r="CS106" s="2478"/>
      <c r="CT106" s="2478"/>
    </row>
    <row r="107" spans="1:98" hidden="1" x14ac:dyDescent="0.2">
      <c r="A107" s="2395">
        <v>141</v>
      </c>
      <c r="C107" s="2396">
        <v>14105</v>
      </c>
      <c r="D107" s="2396">
        <v>53060</v>
      </c>
      <c r="E107" s="2397" t="s">
        <v>1268</v>
      </c>
      <c r="G107" s="2440" t="s">
        <v>1368</v>
      </c>
      <c r="I107" s="2470"/>
      <c r="M107" s="2467"/>
      <c r="N107" s="2467"/>
      <c r="P107" s="2467"/>
      <c r="V107" s="2470"/>
      <c r="Z107" s="2467"/>
      <c r="AA107" s="2467"/>
      <c r="AC107" s="2467"/>
      <c r="AI107" s="2470"/>
      <c r="AM107" s="2467"/>
      <c r="AN107" s="2467"/>
      <c r="AP107" s="2467"/>
      <c r="AS107" s="2466"/>
      <c r="AT107" s="2466"/>
      <c r="AV107" s="2466">
        <v>105</v>
      </c>
      <c r="AY107" s="2572"/>
      <c r="BC107" s="2467"/>
      <c r="BD107" s="2467"/>
      <c r="BF107" s="2469"/>
      <c r="BH107" s="2467"/>
      <c r="BI107" s="2466">
        <v>105</v>
      </c>
      <c r="BN107" s="2572"/>
      <c r="BO107" s="2472">
        <f t="shared" si="59"/>
        <v>0</v>
      </c>
      <c r="BR107" s="2474">
        <v>0</v>
      </c>
      <c r="BS107" s="2474">
        <v>0</v>
      </c>
      <c r="BU107" s="2475"/>
      <c r="BW107" s="2474">
        <v>0</v>
      </c>
      <c r="BZ107" s="2474">
        <v>0</v>
      </c>
      <c r="CA107" s="2572"/>
      <c r="CB107" s="2472">
        <f t="shared" si="60"/>
        <v>0</v>
      </c>
      <c r="CE107" s="2474">
        <v>0</v>
      </c>
      <c r="CF107" s="2476"/>
      <c r="CG107" s="2474">
        <v>0</v>
      </c>
      <c r="CH107" s="2449" t="s">
        <v>1217</v>
      </c>
      <c r="CI107" s="2449"/>
      <c r="CJ107" s="2450"/>
      <c r="CK107" s="2450"/>
      <c r="CO107" s="2477" t="s">
        <v>1257</v>
      </c>
      <c r="CP107" s="2478">
        <f t="shared" si="41"/>
        <v>105</v>
      </c>
      <c r="CQ107" s="2478"/>
      <c r="CR107" s="2478"/>
      <c r="CS107" s="2478"/>
      <c r="CT107" s="2478"/>
    </row>
    <row r="108" spans="1:98" hidden="1" x14ac:dyDescent="0.2">
      <c r="A108" s="2395">
        <v>141</v>
      </c>
      <c r="B108" s="2440" t="s">
        <v>1214</v>
      </c>
      <c r="C108" s="2396">
        <v>14105</v>
      </c>
      <c r="D108" s="2396">
        <v>53070</v>
      </c>
      <c r="E108" s="2397" t="s">
        <v>1268</v>
      </c>
      <c r="F108" s="2440" t="s">
        <v>1214</v>
      </c>
      <c r="G108" s="2440" t="s">
        <v>1369</v>
      </c>
      <c r="H108" s="2466">
        <v>6900</v>
      </c>
      <c r="I108" s="2470"/>
      <c r="J108" s="2466">
        <f>H108+I108</f>
        <v>6900</v>
      </c>
      <c r="K108" s="2468">
        <f>IF(H108=0," ",(J108-H108)/H108)</f>
        <v>0</v>
      </c>
      <c r="M108" s="2467">
        <v>6900</v>
      </c>
      <c r="N108" s="2467">
        <v>6900</v>
      </c>
      <c r="P108" s="2469"/>
      <c r="R108" s="2466">
        <v>6900</v>
      </c>
      <c r="S108" s="2466">
        <v>6400</v>
      </c>
      <c r="U108" s="2466">
        <v>6900</v>
      </c>
      <c r="V108" s="2470">
        <v>0</v>
      </c>
      <c r="W108" s="2466">
        <f>U108+V108</f>
        <v>6900</v>
      </c>
      <c r="X108" s="2468">
        <f>IF(U108=0," ",(W108-U108)/U108)</f>
        <v>0</v>
      </c>
      <c r="Z108" s="2467">
        <v>6900</v>
      </c>
      <c r="AA108" s="2467">
        <v>6900</v>
      </c>
      <c r="AC108" s="2469"/>
      <c r="AE108" s="2466">
        <v>6900</v>
      </c>
      <c r="AF108" s="2471">
        <v>3500</v>
      </c>
      <c r="AH108" s="2466">
        <v>6900</v>
      </c>
      <c r="AI108" s="2470">
        <v>-3400</v>
      </c>
      <c r="AJ108" s="2466">
        <f>AH108+AI108</f>
        <v>3500</v>
      </c>
      <c r="AK108" s="2468">
        <f>IF(AH108=0," ",(AJ108-AH108)/AH108)</f>
        <v>-0.49275362318840582</v>
      </c>
      <c r="AM108" s="2467">
        <v>3500</v>
      </c>
      <c r="AN108" s="2467">
        <v>3500</v>
      </c>
      <c r="AP108" s="2469"/>
      <c r="AR108" s="2466">
        <v>3500</v>
      </c>
      <c r="AS108" s="2466">
        <v>4300</v>
      </c>
      <c r="AT108" s="2466"/>
      <c r="AU108" s="2466">
        <f>3500+150</f>
        <v>3650</v>
      </c>
      <c r="AV108" s="2466">
        <v>3650</v>
      </c>
      <c r="AX108" s="2466">
        <f>3500+150</f>
        <v>3650</v>
      </c>
      <c r="AY108" s="2470"/>
      <c r="AZ108" s="2466">
        <f t="shared" si="58"/>
        <v>3650</v>
      </c>
      <c r="BA108" s="2468">
        <f>IF(AX108=0," ",(AZ108-AX108)/AX108)</f>
        <v>0</v>
      </c>
      <c r="BC108" s="2467">
        <v>3650</v>
      </c>
      <c r="BD108" s="2467">
        <v>3650</v>
      </c>
      <c r="BF108" s="2469"/>
      <c r="BH108" s="2467">
        <v>3650</v>
      </c>
      <c r="BI108" s="2466">
        <v>3650</v>
      </c>
      <c r="BM108" s="2466">
        <v>3650</v>
      </c>
      <c r="BN108" s="2572"/>
      <c r="BO108" s="2472">
        <f t="shared" si="59"/>
        <v>3650</v>
      </c>
      <c r="BP108" s="2473">
        <f>IF(BM108=0," ",(BO108-BM108)/BM108)</f>
        <v>0</v>
      </c>
      <c r="BR108" s="2474">
        <v>3650</v>
      </c>
      <c r="BS108" s="2474">
        <v>3650</v>
      </c>
      <c r="BU108" s="2475"/>
      <c r="BW108" s="2474">
        <v>3650</v>
      </c>
      <c r="BX108" s="2466">
        <v>1825</v>
      </c>
      <c r="BZ108" s="2474">
        <v>3650</v>
      </c>
      <c r="CA108" s="2572"/>
      <c r="CB108" s="2472">
        <f t="shared" si="60"/>
        <v>3650</v>
      </c>
      <c r="CC108" s="2473">
        <f>IF(BZ108=0," ",(CB108-BZ108)/BZ108)</f>
        <v>0</v>
      </c>
      <c r="CE108" s="2474">
        <v>3650</v>
      </c>
      <c r="CF108" s="2476">
        <f t="shared" ref="CF108:CF117" si="61">IF(CB108=0," ",(CE108-CB108)/CB108)</f>
        <v>0</v>
      </c>
      <c r="CG108" s="2474">
        <v>3650</v>
      </c>
      <c r="CH108" s="2449" t="s">
        <v>1217</v>
      </c>
      <c r="CI108" s="2449"/>
      <c r="CJ108" s="2450"/>
      <c r="CK108" s="2450"/>
      <c r="CO108" s="2477">
        <v>0</v>
      </c>
      <c r="CP108" s="2478">
        <f t="shared" si="41"/>
        <v>0</v>
      </c>
      <c r="CQ108" s="2478"/>
      <c r="CR108" s="2478"/>
      <c r="CS108" s="2478"/>
      <c r="CT108" s="2478"/>
    </row>
    <row r="109" spans="1:98" hidden="1" x14ac:dyDescent="0.2">
      <c r="A109" s="2395">
        <v>141</v>
      </c>
      <c r="B109" s="2440" t="s">
        <v>1214</v>
      </c>
      <c r="C109" s="2396">
        <v>14105</v>
      </c>
      <c r="D109" s="2396">
        <v>53200</v>
      </c>
      <c r="E109" s="2397" t="s">
        <v>1268</v>
      </c>
      <c r="F109" s="2440" t="s">
        <v>1214</v>
      </c>
      <c r="G109" s="2440" t="s">
        <v>1370</v>
      </c>
      <c r="H109" s="2466">
        <v>1600</v>
      </c>
      <c r="I109" s="2470">
        <v>1600</v>
      </c>
      <c r="J109" s="2466">
        <f>H109+I109</f>
        <v>3200</v>
      </c>
      <c r="K109" s="2468">
        <f>IF(H109=0," ",(J109-H109)/H109)</f>
        <v>1</v>
      </c>
      <c r="M109" s="2467">
        <v>3200</v>
      </c>
      <c r="N109" s="2467">
        <v>3200</v>
      </c>
      <c r="P109" s="2469" t="s">
        <v>1371</v>
      </c>
      <c r="R109" s="2466">
        <v>3200</v>
      </c>
      <c r="S109" s="2466">
        <v>1262.4000000000001</v>
      </c>
      <c r="U109" s="2466">
        <v>3200</v>
      </c>
      <c r="V109" s="2470">
        <v>0</v>
      </c>
      <c r="W109" s="2466">
        <f>U109+V109</f>
        <v>3200</v>
      </c>
      <c r="X109" s="2468">
        <f>IF(U109=0," ",(W109-U109)/U109)</f>
        <v>0</v>
      </c>
      <c r="Z109" s="2467">
        <v>3200</v>
      </c>
      <c r="AA109" s="2467">
        <v>3200</v>
      </c>
      <c r="AC109" s="2469"/>
      <c r="AE109" s="2466">
        <v>3200</v>
      </c>
      <c r="AF109" s="2471">
        <v>2035</v>
      </c>
      <c r="AH109" s="2466">
        <v>3200</v>
      </c>
      <c r="AI109" s="2470"/>
      <c r="AJ109" s="2466">
        <f>AH109+AI109</f>
        <v>3200</v>
      </c>
      <c r="AK109" s="2468">
        <f>IF(AH109=0," ",(AJ109-AH109)/AH109)</f>
        <v>0</v>
      </c>
      <c r="AM109" s="2467">
        <v>3200</v>
      </c>
      <c r="AN109" s="2467">
        <v>3200</v>
      </c>
      <c r="AP109" s="2469"/>
      <c r="AR109" s="2466">
        <v>3200</v>
      </c>
      <c r="AS109" s="2466">
        <v>724</v>
      </c>
      <c r="AT109" s="2466"/>
      <c r="AU109" s="2466">
        <v>3200</v>
      </c>
      <c r="AV109" s="2466">
        <v>1280</v>
      </c>
      <c r="AX109" s="2466">
        <v>3200</v>
      </c>
      <c r="AY109" s="2470"/>
      <c r="AZ109" s="2466">
        <f t="shared" si="58"/>
        <v>3200</v>
      </c>
      <c r="BA109" s="2468">
        <f>IF(AX109=0," ",(AZ109-AX109)/AX109)</f>
        <v>0</v>
      </c>
      <c r="BC109" s="2467">
        <v>3200</v>
      </c>
      <c r="BD109" s="2467">
        <v>3200</v>
      </c>
      <c r="BF109" s="2469"/>
      <c r="BH109" s="2467">
        <v>3200</v>
      </c>
      <c r="BI109" s="2466">
        <v>1665</v>
      </c>
      <c r="BM109" s="2466">
        <v>3200</v>
      </c>
      <c r="BN109" s="2572"/>
      <c r="BO109" s="2472">
        <f t="shared" si="59"/>
        <v>3200</v>
      </c>
      <c r="BP109" s="2473">
        <f>IF(BM109=0," ",(BO109-BM109)/BM109)</f>
        <v>0</v>
      </c>
      <c r="BR109" s="2474">
        <v>3200</v>
      </c>
      <c r="BS109" s="2474">
        <v>3200</v>
      </c>
      <c r="BU109" s="2475"/>
      <c r="BW109" s="2474">
        <v>3200</v>
      </c>
      <c r="BX109" s="2466">
        <v>1255</v>
      </c>
      <c r="BZ109" s="2474">
        <v>3200</v>
      </c>
      <c r="CA109" s="2572"/>
      <c r="CB109" s="2472">
        <f t="shared" si="60"/>
        <v>3200</v>
      </c>
      <c r="CC109" s="2473">
        <f>IF(BZ109=0," ",(CB109-BZ109)/BZ109)</f>
        <v>0</v>
      </c>
      <c r="CE109" s="2474">
        <v>3200</v>
      </c>
      <c r="CF109" s="2476">
        <f t="shared" si="61"/>
        <v>0</v>
      </c>
      <c r="CG109" s="2474">
        <v>3200</v>
      </c>
      <c r="CH109" s="2449" t="s">
        <v>1217</v>
      </c>
      <c r="CI109" s="2449"/>
      <c r="CJ109" s="2450"/>
      <c r="CK109" s="2450"/>
      <c r="CO109" s="2477">
        <v>-0.47968750000000004</v>
      </c>
      <c r="CP109" s="2478">
        <f t="shared" si="41"/>
        <v>-1535</v>
      </c>
      <c r="CQ109" s="2478"/>
      <c r="CR109" s="2478"/>
      <c r="CS109" s="2478"/>
      <c r="CT109" s="2478"/>
    </row>
    <row r="110" spans="1:98" hidden="1" x14ac:dyDescent="0.2">
      <c r="A110" s="2395">
        <v>141</v>
      </c>
      <c r="B110" s="2440" t="s">
        <v>1214</v>
      </c>
      <c r="C110" s="2396">
        <v>14105</v>
      </c>
      <c r="D110" s="2396">
        <v>53400</v>
      </c>
      <c r="E110" s="2397" t="s">
        <v>1268</v>
      </c>
      <c r="F110" s="2440" t="s">
        <v>1214</v>
      </c>
      <c r="G110" s="2440" t="s">
        <v>1372</v>
      </c>
      <c r="I110" s="2470"/>
      <c r="M110" s="2467"/>
      <c r="N110" s="2467"/>
      <c r="P110" s="2469"/>
      <c r="V110" s="2470"/>
      <c r="Z110" s="2467"/>
      <c r="AA110" s="2467"/>
      <c r="AC110" s="2469"/>
      <c r="AI110" s="2470"/>
      <c r="AM110" s="2467"/>
      <c r="AN110" s="2467"/>
      <c r="AP110" s="2469"/>
      <c r="AS110" s="2466"/>
      <c r="AT110" s="2466"/>
      <c r="AV110" s="2466">
        <v>448.53</v>
      </c>
      <c r="AY110" s="2542">
        <v>650</v>
      </c>
      <c r="AZ110" s="2466">
        <f t="shared" si="58"/>
        <v>650</v>
      </c>
      <c r="BA110" s="2468" t="str">
        <f>IF(AX110=0," ",(AZ110-AX110)/AX110)</f>
        <v xml:space="preserve"> </v>
      </c>
      <c r="BC110" s="2467">
        <v>650</v>
      </c>
      <c r="BD110" s="2467">
        <v>650</v>
      </c>
      <c r="BF110" s="2543" t="s">
        <v>1273</v>
      </c>
      <c r="BH110" s="2467">
        <v>650</v>
      </c>
      <c r="BI110" s="2466">
        <v>455.88</v>
      </c>
      <c r="BM110" s="2466">
        <v>650</v>
      </c>
      <c r="BN110" s="2572"/>
      <c r="BO110" s="2472">
        <f t="shared" si="59"/>
        <v>650</v>
      </c>
      <c r="BP110" s="2473">
        <f>IF(BM110=0," ",(BO110-BM110)/BM110)</f>
        <v>0</v>
      </c>
      <c r="BR110" s="2474">
        <v>650</v>
      </c>
      <c r="BS110" s="2474">
        <v>650</v>
      </c>
      <c r="BU110" s="2544"/>
      <c r="BW110" s="2474">
        <v>650</v>
      </c>
      <c r="BX110" s="2466">
        <v>151.96</v>
      </c>
      <c r="BZ110" s="2474">
        <v>650</v>
      </c>
      <c r="CA110" s="2572"/>
      <c r="CB110" s="2472">
        <f t="shared" si="60"/>
        <v>650</v>
      </c>
      <c r="CC110" s="2473">
        <f>IF(BZ110=0," ",(CB110-BZ110)/BZ110)</f>
        <v>0</v>
      </c>
      <c r="CE110" s="2474">
        <v>650</v>
      </c>
      <c r="CF110" s="2476">
        <f t="shared" si="61"/>
        <v>0</v>
      </c>
      <c r="CG110" s="2474">
        <v>650</v>
      </c>
      <c r="CH110" s="2449" t="s">
        <v>1217</v>
      </c>
      <c r="CI110" s="2449"/>
      <c r="CJ110" s="2450"/>
      <c r="CK110" s="2450"/>
      <c r="CO110" s="2477">
        <v>-0.29864615384615389</v>
      </c>
      <c r="CP110" s="2478">
        <f t="shared" si="41"/>
        <v>-194.12</v>
      </c>
      <c r="CQ110" s="2478"/>
      <c r="CR110" s="2478"/>
      <c r="CS110" s="2478"/>
      <c r="CT110" s="2478"/>
    </row>
    <row r="111" spans="1:98" hidden="1" x14ac:dyDescent="0.2">
      <c r="A111" s="2395">
        <v>141</v>
      </c>
      <c r="B111" s="2440" t="s">
        <v>1214</v>
      </c>
      <c r="C111" s="2396">
        <v>14105</v>
      </c>
      <c r="D111" s="2396">
        <v>53430</v>
      </c>
      <c r="E111" s="2397" t="s">
        <v>1268</v>
      </c>
      <c r="F111" s="2440" t="s">
        <v>1214</v>
      </c>
      <c r="G111" s="2440" t="s">
        <v>1373</v>
      </c>
      <c r="H111" s="2466">
        <v>1600</v>
      </c>
      <c r="I111" s="2470"/>
      <c r="J111" s="2466">
        <f>H111+I111</f>
        <v>1600</v>
      </c>
      <c r="K111" s="2468">
        <f>IF(H111=0," ",(J111-H111)/H111)</f>
        <v>0</v>
      </c>
      <c r="M111" s="2467">
        <v>1600</v>
      </c>
      <c r="N111" s="2467">
        <v>1600</v>
      </c>
      <c r="P111" s="2469"/>
      <c r="R111" s="2466">
        <v>1600</v>
      </c>
      <c r="S111" s="2466">
        <v>1500</v>
      </c>
      <c r="U111" s="2466">
        <v>1600</v>
      </c>
      <c r="V111" s="2470">
        <v>0</v>
      </c>
      <c r="W111" s="2466">
        <f>U111+V111</f>
        <v>1600</v>
      </c>
      <c r="X111" s="2468">
        <f>IF(U111=0," ",(W111-U111)/U111)</f>
        <v>0</v>
      </c>
      <c r="Z111" s="2467">
        <v>1600</v>
      </c>
      <c r="AA111" s="2467">
        <v>1600</v>
      </c>
      <c r="AC111" s="2469"/>
      <c r="AE111" s="2466">
        <v>1600</v>
      </c>
      <c r="AF111" s="2471">
        <v>875.75</v>
      </c>
      <c r="AH111" s="2466">
        <v>1600</v>
      </c>
      <c r="AI111" s="2470"/>
      <c r="AJ111" s="2466">
        <f>AH111+AI111</f>
        <v>1600</v>
      </c>
      <c r="AK111" s="2468">
        <f>IF(AH111=0," ",(AJ111-AH111)/AH111)</f>
        <v>0</v>
      </c>
      <c r="AM111" s="2467">
        <v>1600</v>
      </c>
      <c r="AN111" s="2467">
        <v>1600</v>
      </c>
      <c r="AP111" s="2469"/>
      <c r="AR111" s="2466">
        <v>1600</v>
      </c>
      <c r="AS111" s="2466">
        <v>898.18</v>
      </c>
      <c r="AT111" s="2466"/>
      <c r="AU111" s="2466">
        <v>1600</v>
      </c>
      <c r="AV111" s="2466">
        <v>948.21</v>
      </c>
      <c r="AX111" s="2466">
        <v>1600</v>
      </c>
      <c r="AY111" s="2470"/>
      <c r="AZ111" s="2466">
        <f t="shared" si="58"/>
        <v>1600</v>
      </c>
      <c r="BA111" s="2468">
        <f>IF(AX111=0," ",(AZ111-AX111)/AX111)</f>
        <v>0</v>
      </c>
      <c r="BC111" s="2467">
        <v>1600</v>
      </c>
      <c r="BD111" s="2467">
        <v>1600</v>
      </c>
      <c r="BF111" s="2469"/>
      <c r="BH111" s="2467">
        <v>1600</v>
      </c>
      <c r="BI111" s="2466">
        <v>929.75</v>
      </c>
      <c r="BM111" s="2466">
        <v>1600</v>
      </c>
      <c r="BN111" s="2572"/>
      <c r="BO111" s="2472">
        <f t="shared" si="59"/>
        <v>1600</v>
      </c>
      <c r="BP111" s="2473">
        <f>IF(BM111=0," ",(BO111-BM111)/BM111)</f>
        <v>0</v>
      </c>
      <c r="BR111" s="2474">
        <v>1600</v>
      </c>
      <c r="BS111" s="2474">
        <v>1600</v>
      </c>
      <c r="BU111" s="2475"/>
      <c r="BW111" s="2474">
        <v>1600</v>
      </c>
      <c r="BX111" s="2466">
        <v>304.52999999999997</v>
      </c>
      <c r="BZ111" s="2474">
        <v>1600</v>
      </c>
      <c r="CA111" s="2572"/>
      <c r="CB111" s="2472">
        <f t="shared" si="60"/>
        <v>1600</v>
      </c>
      <c r="CC111" s="2473">
        <f>IF(BZ111=0," ",(CB111-BZ111)/BZ111)</f>
        <v>0</v>
      </c>
      <c r="CE111" s="2474">
        <v>1600</v>
      </c>
      <c r="CF111" s="2476">
        <f t="shared" si="61"/>
        <v>0</v>
      </c>
      <c r="CG111" s="2474">
        <v>1600</v>
      </c>
      <c r="CH111" s="2449" t="s">
        <v>1217</v>
      </c>
      <c r="CI111" s="2449"/>
      <c r="CJ111" s="2450"/>
      <c r="CK111" s="2450"/>
      <c r="CO111" s="2477">
        <v>-0.41890625000000004</v>
      </c>
      <c r="CP111" s="2478">
        <f t="shared" si="41"/>
        <v>-670.25</v>
      </c>
      <c r="CQ111" s="2478"/>
      <c r="CR111" s="2478"/>
      <c r="CS111" s="2478"/>
      <c r="CT111" s="2478"/>
    </row>
    <row r="112" spans="1:98" hidden="1" x14ac:dyDescent="0.2">
      <c r="A112" s="2395">
        <v>141</v>
      </c>
      <c r="B112" s="2440" t="s">
        <v>1214</v>
      </c>
      <c r="C112" s="2396">
        <v>14105</v>
      </c>
      <c r="D112" s="2396">
        <v>53450</v>
      </c>
      <c r="E112" s="2397" t="s">
        <v>1268</v>
      </c>
      <c r="F112" s="2440" t="s">
        <v>1214</v>
      </c>
      <c r="G112" s="2440" t="s">
        <v>1374</v>
      </c>
      <c r="H112" s="2466">
        <v>650</v>
      </c>
      <c r="I112" s="2470"/>
      <c r="J112" s="2466">
        <f t="shared" ref="J112:J116" si="62">H112+I112</f>
        <v>650</v>
      </c>
      <c r="K112" s="2468">
        <f t="shared" ref="K112:K117" si="63">IF(H112=0," ",(J112-H112)/H112)</f>
        <v>0</v>
      </c>
      <c r="M112" s="2467">
        <v>650</v>
      </c>
      <c r="N112" s="2467">
        <v>650</v>
      </c>
      <c r="P112" s="2469"/>
      <c r="R112" s="2466">
        <v>650</v>
      </c>
      <c r="S112" s="2466">
        <v>0</v>
      </c>
      <c r="U112" s="2466">
        <v>650</v>
      </c>
      <c r="V112" s="2470">
        <v>0</v>
      </c>
      <c r="W112" s="2466">
        <f t="shared" ref="W112:W116" si="64">U112+V112</f>
        <v>650</v>
      </c>
      <c r="X112" s="2468">
        <f t="shared" ref="X112:X117" si="65">IF(U112=0," ",(W112-U112)/U112)</f>
        <v>0</v>
      </c>
      <c r="Z112" s="2467">
        <v>650</v>
      </c>
      <c r="AA112" s="2467">
        <v>650</v>
      </c>
      <c r="AC112" s="2469"/>
      <c r="AE112" s="2466">
        <v>650</v>
      </c>
      <c r="AF112" s="2471">
        <v>0</v>
      </c>
      <c r="AH112" s="2466">
        <v>650</v>
      </c>
      <c r="AI112" s="2470"/>
      <c r="AJ112" s="2466">
        <f t="shared" ref="AJ112:AJ116" si="66">AH112+AI112</f>
        <v>650</v>
      </c>
      <c r="AK112" s="2468">
        <f t="shared" ref="AK112:AK116" si="67">IF(AH112=0," ",(AJ112-AH112)/AH112)</f>
        <v>0</v>
      </c>
      <c r="AM112" s="2467">
        <v>650</v>
      </c>
      <c r="AN112" s="2467">
        <v>650</v>
      </c>
      <c r="AP112" s="2469"/>
      <c r="AR112" s="2466">
        <v>650</v>
      </c>
      <c r="AS112" s="2466"/>
      <c r="AT112" s="2466"/>
      <c r="AU112" s="2466">
        <v>650</v>
      </c>
      <c r="AV112" s="2466">
        <v>0</v>
      </c>
      <c r="AX112" s="2466">
        <v>650</v>
      </c>
      <c r="AY112" s="2542">
        <v>-650</v>
      </c>
      <c r="AZ112" s="2466">
        <f t="shared" si="58"/>
        <v>0</v>
      </c>
      <c r="BA112" s="2468">
        <f t="shared" ref="BA112:BA116" si="68">IF(AX112=0," ",(AZ112-AX112)/AX112)</f>
        <v>-1</v>
      </c>
      <c r="BC112" s="2467">
        <v>0</v>
      </c>
      <c r="BD112" s="2467">
        <v>0</v>
      </c>
      <c r="BF112" s="2543" t="s">
        <v>1273</v>
      </c>
      <c r="BH112" s="2467">
        <v>0</v>
      </c>
      <c r="BM112" s="2466">
        <v>0</v>
      </c>
      <c r="BN112" s="2572"/>
      <c r="BO112" s="2472">
        <f t="shared" si="59"/>
        <v>0</v>
      </c>
      <c r="BP112" s="2473" t="str">
        <f t="shared" ref="BP112:BP116" si="69">IF(BM112=0," ",(BO112-BM112)/BM112)</f>
        <v xml:space="preserve"> </v>
      </c>
      <c r="BR112" s="2474">
        <v>0</v>
      </c>
      <c r="BS112" s="2474">
        <v>0</v>
      </c>
      <c r="BU112" s="2544"/>
      <c r="BW112" s="2474">
        <v>0</v>
      </c>
      <c r="BZ112" s="2474">
        <v>0</v>
      </c>
      <c r="CA112" s="2572"/>
      <c r="CB112" s="2472">
        <f t="shared" si="60"/>
        <v>0</v>
      </c>
      <c r="CC112" s="2473" t="str">
        <f t="shared" ref="CC112:CC116" si="70">IF(BZ112=0," ",(CB112-BZ112)/BZ112)</f>
        <v xml:space="preserve"> </v>
      </c>
      <c r="CE112" s="2474">
        <v>0</v>
      </c>
      <c r="CF112" s="2476" t="str">
        <f t="shared" si="61"/>
        <v xml:space="preserve"> </v>
      </c>
      <c r="CG112" s="2474">
        <v>0</v>
      </c>
      <c r="CH112" s="2449" t="s">
        <v>1217</v>
      </c>
      <c r="CI112" s="2449"/>
      <c r="CJ112" s="2450"/>
      <c r="CK112" s="2450"/>
      <c r="CP112" s="2478">
        <f t="shared" si="41"/>
        <v>0</v>
      </c>
      <c r="CQ112" s="2478"/>
      <c r="CR112" s="2478"/>
      <c r="CS112" s="2478"/>
      <c r="CT112" s="2478"/>
    </row>
    <row r="113" spans="1:98" hidden="1" x14ac:dyDescent="0.2">
      <c r="A113" s="2395">
        <v>141</v>
      </c>
      <c r="B113" s="2440" t="s">
        <v>1214</v>
      </c>
      <c r="C113" s="2396">
        <v>14105</v>
      </c>
      <c r="D113" s="2396">
        <v>54200</v>
      </c>
      <c r="E113" s="2397" t="s">
        <v>1268</v>
      </c>
      <c r="F113" s="2440" t="s">
        <v>1214</v>
      </c>
      <c r="G113" s="2440" t="s">
        <v>1375</v>
      </c>
      <c r="H113" s="2466">
        <v>1000</v>
      </c>
      <c r="I113" s="2470"/>
      <c r="J113" s="2466">
        <f t="shared" si="62"/>
        <v>1000</v>
      </c>
      <c r="K113" s="2468">
        <f t="shared" si="63"/>
        <v>0</v>
      </c>
      <c r="M113" s="2467">
        <v>1000</v>
      </c>
      <c r="N113" s="2467">
        <v>1000</v>
      </c>
      <c r="P113" s="2469"/>
      <c r="R113" s="2466">
        <v>1000</v>
      </c>
      <c r="S113" s="2466">
        <v>856</v>
      </c>
      <c r="U113" s="2466">
        <v>1000</v>
      </c>
      <c r="V113" s="2470">
        <v>0</v>
      </c>
      <c r="W113" s="2466">
        <f t="shared" si="64"/>
        <v>1000</v>
      </c>
      <c r="X113" s="2468">
        <f t="shared" si="65"/>
        <v>0</v>
      </c>
      <c r="Z113" s="2467">
        <v>1000</v>
      </c>
      <c r="AA113" s="2467">
        <v>1000</v>
      </c>
      <c r="AC113" s="2469"/>
      <c r="AE113" s="2466">
        <v>1000</v>
      </c>
      <c r="AF113" s="2471">
        <v>1962.43</v>
      </c>
      <c r="AH113" s="2466">
        <v>1000</v>
      </c>
      <c r="AI113" s="2470"/>
      <c r="AJ113" s="2466">
        <f t="shared" si="66"/>
        <v>1000</v>
      </c>
      <c r="AK113" s="2468">
        <f t="shared" si="67"/>
        <v>0</v>
      </c>
      <c r="AM113" s="2467">
        <v>1000</v>
      </c>
      <c r="AN113" s="2467">
        <v>1000</v>
      </c>
      <c r="AP113" s="2469"/>
      <c r="AR113" s="2466">
        <v>1000</v>
      </c>
      <c r="AS113" s="2466">
        <v>1421.19</v>
      </c>
      <c r="AT113" s="2466"/>
      <c r="AU113" s="2466">
        <v>1000</v>
      </c>
      <c r="AV113" s="2466">
        <v>1727.64</v>
      </c>
      <c r="AX113" s="2466">
        <v>1000</v>
      </c>
      <c r="AY113" s="2470"/>
      <c r="AZ113" s="2466">
        <f t="shared" si="58"/>
        <v>1000</v>
      </c>
      <c r="BA113" s="2468">
        <f t="shared" si="68"/>
        <v>0</v>
      </c>
      <c r="BC113" s="2467">
        <v>1000</v>
      </c>
      <c r="BD113" s="2467">
        <v>1000</v>
      </c>
      <c r="BF113" s="2469"/>
      <c r="BH113" s="2467">
        <v>1000</v>
      </c>
      <c r="BI113" s="2466">
        <v>1162.26</v>
      </c>
      <c r="BM113" s="2466">
        <v>1000</v>
      </c>
      <c r="BN113" s="2572"/>
      <c r="BO113" s="2472">
        <f t="shared" si="59"/>
        <v>1000</v>
      </c>
      <c r="BP113" s="2473">
        <f t="shared" si="69"/>
        <v>0</v>
      </c>
      <c r="BR113" s="2474">
        <v>1000</v>
      </c>
      <c r="BS113" s="2474">
        <v>1000</v>
      </c>
      <c r="BU113" s="2475"/>
      <c r="BW113" s="2474">
        <v>1000</v>
      </c>
      <c r="BX113" s="2466">
        <v>499.51</v>
      </c>
      <c r="BZ113" s="2474">
        <v>1000</v>
      </c>
      <c r="CA113" s="2572"/>
      <c r="CB113" s="2472">
        <f t="shared" si="60"/>
        <v>1000</v>
      </c>
      <c r="CC113" s="2473">
        <f t="shared" si="70"/>
        <v>0</v>
      </c>
      <c r="CE113" s="2474">
        <v>1000</v>
      </c>
      <c r="CF113" s="2476">
        <f t="shared" si="61"/>
        <v>0</v>
      </c>
      <c r="CG113" s="2474">
        <v>1000</v>
      </c>
      <c r="CH113" s="2449" t="s">
        <v>1217</v>
      </c>
      <c r="CI113" s="2449"/>
      <c r="CJ113" s="2450"/>
      <c r="CK113" s="2450"/>
      <c r="CO113" s="2477">
        <v>0.16226000000000007</v>
      </c>
      <c r="CP113" s="2478">
        <f t="shared" si="41"/>
        <v>162.26</v>
      </c>
      <c r="CQ113" s="2478"/>
      <c r="CR113" s="2478"/>
      <c r="CS113" s="2478"/>
      <c r="CT113" s="2478"/>
    </row>
    <row r="114" spans="1:98" hidden="1" x14ac:dyDescent="0.2">
      <c r="A114" s="2395">
        <v>141</v>
      </c>
      <c r="B114" s="2440" t="s">
        <v>1214</v>
      </c>
      <c r="C114" s="2396">
        <v>14105</v>
      </c>
      <c r="D114" s="2396">
        <v>55800</v>
      </c>
      <c r="E114" s="2397" t="s">
        <v>1268</v>
      </c>
      <c r="F114" s="2440" t="s">
        <v>1214</v>
      </c>
      <c r="G114" s="2440" t="s">
        <v>1376</v>
      </c>
      <c r="H114" s="2466">
        <v>1000</v>
      </c>
      <c r="I114" s="2470">
        <v>300</v>
      </c>
      <c r="J114" s="2466">
        <f t="shared" si="62"/>
        <v>1300</v>
      </c>
      <c r="K114" s="2468">
        <f t="shared" si="63"/>
        <v>0.3</v>
      </c>
      <c r="M114" s="2467">
        <v>1300</v>
      </c>
      <c r="N114" s="2467">
        <v>1300</v>
      </c>
      <c r="P114" s="2469" t="s">
        <v>1377</v>
      </c>
      <c r="R114" s="2466">
        <v>1300</v>
      </c>
      <c r="S114" s="2466">
        <v>1462.15</v>
      </c>
      <c r="U114" s="2466">
        <v>1300</v>
      </c>
      <c r="V114" s="2470">
        <v>0</v>
      </c>
      <c r="W114" s="2466">
        <f t="shared" si="64"/>
        <v>1300</v>
      </c>
      <c r="X114" s="2468">
        <f t="shared" si="65"/>
        <v>0</v>
      </c>
      <c r="Z114" s="2467">
        <v>1300</v>
      </c>
      <c r="AA114" s="2467">
        <v>1300</v>
      </c>
      <c r="AC114" s="2469"/>
      <c r="AE114" s="2466">
        <v>1300</v>
      </c>
      <c r="AF114" s="2471">
        <v>1511.15</v>
      </c>
      <c r="AH114" s="2466">
        <v>1300</v>
      </c>
      <c r="AI114" s="2470"/>
      <c r="AJ114" s="2466">
        <f t="shared" si="66"/>
        <v>1300</v>
      </c>
      <c r="AK114" s="2468">
        <f t="shared" si="67"/>
        <v>0</v>
      </c>
      <c r="AM114" s="2467">
        <v>1300</v>
      </c>
      <c r="AN114" s="2467">
        <v>1300</v>
      </c>
      <c r="AP114" s="2469"/>
      <c r="AR114" s="2466">
        <v>1300</v>
      </c>
      <c r="AS114" s="2466">
        <v>1556.15</v>
      </c>
      <c r="AT114" s="2466"/>
      <c r="AU114" s="2466">
        <f>1300+242</f>
        <v>1542</v>
      </c>
      <c r="AV114" s="2466">
        <v>1556.15</v>
      </c>
      <c r="AX114" s="2466">
        <f>1300+242</f>
        <v>1542</v>
      </c>
      <c r="AY114" s="2470"/>
      <c r="AZ114" s="2466">
        <f t="shared" si="58"/>
        <v>1542</v>
      </c>
      <c r="BA114" s="2468">
        <f t="shared" si="68"/>
        <v>0</v>
      </c>
      <c r="BC114" s="2467">
        <v>1542</v>
      </c>
      <c r="BD114" s="2467">
        <v>1542</v>
      </c>
      <c r="BF114" s="2469"/>
      <c r="BH114" s="2467">
        <v>1542</v>
      </c>
      <c r="BI114" s="2466">
        <v>1572.15</v>
      </c>
      <c r="BM114" s="2466">
        <v>1542</v>
      </c>
      <c r="BN114" s="2572"/>
      <c r="BO114" s="2472">
        <f t="shared" si="59"/>
        <v>1542</v>
      </c>
      <c r="BP114" s="2473">
        <f t="shared" si="69"/>
        <v>0</v>
      </c>
      <c r="BR114" s="2474">
        <v>1542</v>
      </c>
      <c r="BS114" s="2474">
        <v>1542</v>
      </c>
      <c r="BU114" s="2475"/>
      <c r="BW114" s="2474">
        <v>1542</v>
      </c>
      <c r="BX114" s="2466">
        <v>389</v>
      </c>
      <c r="BZ114" s="2474">
        <v>1542</v>
      </c>
      <c r="CA114" s="2572"/>
      <c r="CB114" s="2472">
        <f t="shared" si="60"/>
        <v>1542</v>
      </c>
      <c r="CC114" s="2473">
        <f t="shared" si="70"/>
        <v>0</v>
      </c>
      <c r="CE114" s="2474">
        <v>1542</v>
      </c>
      <c r="CF114" s="2476">
        <f t="shared" si="61"/>
        <v>0</v>
      </c>
      <c r="CG114" s="2474">
        <v>1542</v>
      </c>
      <c r="CH114" s="2449" t="s">
        <v>1217</v>
      </c>
      <c r="CI114" s="2449"/>
      <c r="CJ114" s="2450"/>
      <c r="CK114" s="2450"/>
      <c r="CO114" s="2477">
        <v>1.955252918287953E-2</v>
      </c>
      <c r="CP114" s="2478">
        <f t="shared" si="41"/>
        <v>30.150000000000091</v>
      </c>
      <c r="CQ114" s="2478"/>
      <c r="CR114" s="2478"/>
      <c r="CS114" s="2478"/>
      <c r="CT114" s="2478"/>
    </row>
    <row r="115" spans="1:98" hidden="1" x14ac:dyDescent="0.2">
      <c r="A115" s="2395">
        <v>141</v>
      </c>
      <c r="B115" s="2440" t="s">
        <v>1214</v>
      </c>
      <c r="C115" s="2396">
        <v>14105</v>
      </c>
      <c r="D115" s="2396">
        <v>57100</v>
      </c>
      <c r="E115" s="2397" t="s">
        <v>1268</v>
      </c>
      <c r="F115" s="2440" t="s">
        <v>1214</v>
      </c>
      <c r="G115" s="2440" t="s">
        <v>1378</v>
      </c>
      <c r="H115" s="2466">
        <v>3200</v>
      </c>
      <c r="I115" s="2470">
        <v>-1600</v>
      </c>
      <c r="J115" s="2466">
        <f t="shared" si="62"/>
        <v>1600</v>
      </c>
      <c r="K115" s="2468">
        <f t="shared" si="63"/>
        <v>-0.5</v>
      </c>
      <c r="M115" s="2467">
        <v>1600</v>
      </c>
      <c r="N115" s="2467">
        <v>1600</v>
      </c>
      <c r="P115" s="2469" t="s">
        <v>1379</v>
      </c>
      <c r="R115" s="2466">
        <v>1600</v>
      </c>
      <c r="S115" s="2466">
        <v>1885.84</v>
      </c>
      <c r="U115" s="2466">
        <v>1600</v>
      </c>
      <c r="V115" s="2470">
        <v>0</v>
      </c>
      <c r="W115" s="2466">
        <f t="shared" si="64"/>
        <v>1600</v>
      </c>
      <c r="X115" s="2468">
        <f t="shared" si="65"/>
        <v>0</v>
      </c>
      <c r="Z115" s="2467">
        <v>1600</v>
      </c>
      <c r="AA115" s="2467">
        <v>1600</v>
      </c>
      <c r="AC115" s="2469"/>
      <c r="AE115" s="2466">
        <v>1600</v>
      </c>
      <c r="AF115" s="2471">
        <v>1797.79</v>
      </c>
      <c r="AH115" s="2466">
        <v>1600</v>
      </c>
      <c r="AI115" s="2470"/>
      <c r="AJ115" s="2466">
        <f t="shared" si="66"/>
        <v>1600</v>
      </c>
      <c r="AK115" s="2468">
        <f t="shared" si="67"/>
        <v>0</v>
      </c>
      <c r="AM115" s="2467">
        <v>1600</v>
      </c>
      <c r="AN115" s="2467">
        <v>1600</v>
      </c>
      <c r="AP115" s="2469"/>
      <c r="AR115" s="2466">
        <v>1600</v>
      </c>
      <c r="AS115" s="2466">
        <v>425.66</v>
      </c>
      <c r="AT115" s="2466"/>
      <c r="AU115" s="2466">
        <v>1600</v>
      </c>
      <c r="AV115" s="2466">
        <v>198.66</v>
      </c>
      <c r="AX115" s="2466">
        <v>1600</v>
      </c>
      <c r="AY115" s="2470"/>
      <c r="AZ115" s="2466">
        <f t="shared" si="58"/>
        <v>1600</v>
      </c>
      <c r="BA115" s="2468">
        <f t="shared" si="68"/>
        <v>0</v>
      </c>
      <c r="BC115" s="2467">
        <v>1600</v>
      </c>
      <c r="BD115" s="2467">
        <v>1600</v>
      </c>
      <c r="BF115" s="2469"/>
      <c r="BH115" s="2467">
        <v>1600</v>
      </c>
      <c r="BI115" s="2466">
        <v>1250.25</v>
      </c>
      <c r="BM115" s="2466">
        <v>1600</v>
      </c>
      <c r="BN115" s="2572"/>
      <c r="BO115" s="2472">
        <f t="shared" si="59"/>
        <v>1600</v>
      </c>
      <c r="BP115" s="2473">
        <f t="shared" si="69"/>
        <v>0</v>
      </c>
      <c r="BR115" s="2474">
        <v>1600</v>
      </c>
      <c r="BS115" s="2474">
        <v>1600</v>
      </c>
      <c r="BU115" s="2475"/>
      <c r="BW115" s="2474">
        <v>1600</v>
      </c>
      <c r="BX115" s="2466">
        <v>318.12</v>
      </c>
      <c r="BZ115" s="2474">
        <v>1600</v>
      </c>
      <c r="CA115" s="2572"/>
      <c r="CB115" s="2472">
        <f t="shared" si="60"/>
        <v>1600</v>
      </c>
      <c r="CC115" s="2473">
        <f t="shared" si="70"/>
        <v>0</v>
      </c>
      <c r="CE115" s="2474">
        <v>1600</v>
      </c>
      <c r="CF115" s="2476">
        <f t="shared" si="61"/>
        <v>0</v>
      </c>
      <c r="CG115" s="2474">
        <v>1600</v>
      </c>
      <c r="CH115" s="2449" t="s">
        <v>1217</v>
      </c>
      <c r="CI115" s="2449"/>
      <c r="CJ115" s="2450"/>
      <c r="CK115" s="2450"/>
      <c r="CO115" s="2477">
        <v>-0.21859375000000003</v>
      </c>
      <c r="CP115" s="2478">
        <f t="shared" si="41"/>
        <v>-349.75</v>
      </c>
      <c r="CQ115" s="2478"/>
      <c r="CR115" s="2478"/>
      <c r="CS115" s="2478"/>
      <c r="CT115" s="2478"/>
    </row>
    <row r="116" spans="1:98" hidden="1" x14ac:dyDescent="0.2">
      <c r="A116" s="2395">
        <v>141</v>
      </c>
      <c r="B116" s="2440" t="s">
        <v>1214</v>
      </c>
      <c r="C116" s="2396">
        <v>14105</v>
      </c>
      <c r="D116" s="2396">
        <v>57300</v>
      </c>
      <c r="E116" s="2397" t="s">
        <v>1268</v>
      </c>
      <c r="F116" s="2440" t="s">
        <v>1214</v>
      </c>
      <c r="G116" s="2440" t="s">
        <v>1380</v>
      </c>
      <c r="H116" s="2466">
        <v>900</v>
      </c>
      <c r="I116" s="2470">
        <v>353</v>
      </c>
      <c r="J116" s="2466">
        <f t="shared" si="62"/>
        <v>1253</v>
      </c>
      <c r="K116" s="2468">
        <f t="shared" si="63"/>
        <v>0.39222222222222225</v>
      </c>
      <c r="M116" s="2467">
        <v>1253</v>
      </c>
      <c r="N116" s="2467">
        <v>1253</v>
      </c>
      <c r="P116" s="2469" t="s">
        <v>1381</v>
      </c>
      <c r="R116" s="2466">
        <v>1253</v>
      </c>
      <c r="S116" s="2466">
        <v>705</v>
      </c>
      <c r="U116" s="2466">
        <v>1253</v>
      </c>
      <c r="V116" s="2470">
        <v>0</v>
      </c>
      <c r="W116" s="2466">
        <f t="shared" si="64"/>
        <v>1253</v>
      </c>
      <c r="X116" s="2468">
        <f t="shared" si="65"/>
        <v>0</v>
      </c>
      <c r="Z116" s="2467">
        <v>1253</v>
      </c>
      <c r="AA116" s="2467">
        <v>1253</v>
      </c>
      <c r="AC116" s="2469"/>
      <c r="AE116" s="2466">
        <v>1253</v>
      </c>
      <c r="AF116" s="2471">
        <v>705</v>
      </c>
      <c r="AH116" s="2466">
        <v>1253</v>
      </c>
      <c r="AI116" s="2470"/>
      <c r="AJ116" s="2466">
        <f t="shared" si="66"/>
        <v>1253</v>
      </c>
      <c r="AK116" s="2468">
        <f t="shared" si="67"/>
        <v>0</v>
      </c>
      <c r="AM116" s="2467">
        <v>1253</v>
      </c>
      <c r="AN116" s="2467">
        <v>1253</v>
      </c>
      <c r="AP116" s="2469"/>
      <c r="AR116" s="2466">
        <v>1253</v>
      </c>
      <c r="AS116" s="2466">
        <v>715</v>
      </c>
      <c r="AT116" s="2466"/>
      <c r="AU116" s="2466">
        <v>1253</v>
      </c>
      <c r="AV116" s="2466">
        <v>785</v>
      </c>
      <c r="AX116" s="2466">
        <v>1253</v>
      </c>
      <c r="AY116" s="2470"/>
      <c r="AZ116" s="2466">
        <f t="shared" si="58"/>
        <v>1253</v>
      </c>
      <c r="BA116" s="2468">
        <f t="shared" si="68"/>
        <v>0</v>
      </c>
      <c r="BC116" s="2467">
        <v>1253</v>
      </c>
      <c r="BD116" s="2467">
        <v>1253</v>
      </c>
      <c r="BF116" s="2469"/>
      <c r="BH116" s="2467">
        <v>1253</v>
      </c>
      <c r="BI116" s="2466">
        <v>852.5</v>
      </c>
      <c r="BM116" s="2466">
        <v>1253</v>
      </c>
      <c r="BN116" s="2572"/>
      <c r="BO116" s="2472">
        <f t="shared" si="59"/>
        <v>1253</v>
      </c>
      <c r="BP116" s="2473">
        <f t="shared" si="69"/>
        <v>0</v>
      </c>
      <c r="BR116" s="2474">
        <v>1253</v>
      </c>
      <c r="BS116" s="2474">
        <v>1253</v>
      </c>
      <c r="BU116" s="2475"/>
      <c r="BW116" s="2474">
        <v>1253</v>
      </c>
      <c r="BX116" s="2466">
        <v>905</v>
      </c>
      <c r="BZ116" s="2474">
        <v>1253</v>
      </c>
      <c r="CA116" s="2572"/>
      <c r="CB116" s="2472">
        <f t="shared" si="60"/>
        <v>1253</v>
      </c>
      <c r="CC116" s="2473">
        <f t="shared" si="70"/>
        <v>0</v>
      </c>
      <c r="CE116" s="2474">
        <v>1253</v>
      </c>
      <c r="CF116" s="2476">
        <f t="shared" si="61"/>
        <v>0</v>
      </c>
      <c r="CG116" s="2474">
        <v>1253</v>
      </c>
      <c r="CH116" s="2449" t="s">
        <v>1217</v>
      </c>
      <c r="CI116" s="2449"/>
      <c r="CJ116" s="2450"/>
      <c r="CK116" s="2450"/>
      <c r="CO116" s="2477">
        <v>-0.319632881085395</v>
      </c>
      <c r="CP116" s="2478">
        <f t="shared" si="41"/>
        <v>-400.5</v>
      </c>
      <c r="CQ116" s="2478"/>
      <c r="CR116" s="2478"/>
      <c r="CS116" s="2478"/>
      <c r="CT116" s="2478"/>
    </row>
    <row r="117" spans="1:98" s="2485" customFormat="1" hidden="1" x14ac:dyDescent="0.2">
      <c r="A117" s="2532"/>
      <c r="B117" s="2533"/>
      <c r="C117" s="2534"/>
      <c r="D117" s="2534"/>
      <c r="E117" s="2535"/>
      <c r="F117" s="2533"/>
      <c r="G117" s="2533" t="s">
        <v>1382</v>
      </c>
      <c r="H117" s="2536">
        <f>SUM(H104:H116)</f>
        <v>32650</v>
      </c>
      <c r="I117" s="2536">
        <f>SUM(I104:I116)</f>
        <v>653</v>
      </c>
      <c r="J117" s="2536">
        <f>SUM(J104:J116)</f>
        <v>33303</v>
      </c>
      <c r="K117" s="2484">
        <f t="shared" si="63"/>
        <v>0.02</v>
      </c>
      <c r="M117" s="2536">
        <f>SUM(M104:M116)</f>
        <v>33303</v>
      </c>
      <c r="N117" s="2536">
        <f>SUM(N104:N116)</f>
        <v>33303</v>
      </c>
      <c r="P117" s="2537">
        <f>SUM(P106:P116)</f>
        <v>0</v>
      </c>
      <c r="R117" s="2536">
        <f>SUM(R104:R116)</f>
        <v>33303</v>
      </c>
      <c r="S117" s="2536">
        <f>SUM(S104:S116)</f>
        <v>32038.050000000003</v>
      </c>
      <c r="U117" s="2536">
        <f>SUM(U104:U116)</f>
        <v>33303</v>
      </c>
      <c r="V117" s="2536">
        <f>SUM(V104:V116)</f>
        <v>0</v>
      </c>
      <c r="W117" s="2536">
        <f>SUM(W104:W116)</f>
        <v>33303</v>
      </c>
      <c r="X117" s="2484">
        <f t="shared" si="65"/>
        <v>0</v>
      </c>
      <c r="Z117" s="2536">
        <f>SUM(Z104:Z116)</f>
        <v>33303</v>
      </c>
      <c r="AA117" s="2536">
        <f>SUM(AA104:AA116)</f>
        <v>33303</v>
      </c>
      <c r="AC117" s="2537"/>
      <c r="AE117" s="2536">
        <f>SUM(AE104:AE116)</f>
        <v>33303</v>
      </c>
      <c r="AF117" s="2536">
        <f>SUM(AF104:AF116)</f>
        <v>27572.960000000003</v>
      </c>
      <c r="AH117" s="2536">
        <f>SUM(AH104:AH116)</f>
        <v>33303</v>
      </c>
      <c r="AI117" s="2536">
        <f>SUM(AI104:AI116)</f>
        <v>0</v>
      </c>
      <c r="AJ117" s="2536">
        <f>SUM(AJ104:AJ116)</f>
        <v>33303</v>
      </c>
      <c r="AK117" s="2484">
        <f>IF(AH117=0," ",(AJ117-AH117)/AH117)</f>
        <v>0</v>
      </c>
      <c r="AM117" s="2536">
        <f>SUM(AM104:AM116)</f>
        <v>43303</v>
      </c>
      <c r="AN117" s="2536">
        <f>SUM(AN104:AN116)</f>
        <v>43303</v>
      </c>
      <c r="AP117" s="2537"/>
      <c r="AR117" s="2536">
        <f>SUM(AR104:AR116)</f>
        <v>43303</v>
      </c>
      <c r="AS117" s="2536">
        <f>SUM(AS104:AS116)</f>
        <v>31540.18</v>
      </c>
      <c r="AT117" s="2536"/>
      <c r="AU117" s="2536">
        <f>SUM(AU104:AU116)</f>
        <v>43695</v>
      </c>
      <c r="AV117" s="2536">
        <f>SUM(AV104:AV116)</f>
        <v>35249.19</v>
      </c>
      <c r="AX117" s="2536">
        <f>SUM(AX104:AX116)</f>
        <v>43695</v>
      </c>
      <c r="AY117" s="2536">
        <f>SUM(AY104:AY116)</f>
        <v>7600</v>
      </c>
      <c r="AZ117" s="2536">
        <f>SUM(AZ104:AZ116)</f>
        <v>51295</v>
      </c>
      <c r="BA117" s="2484">
        <f>IF(AX117=0," ",(AZ117-AX117)/AX117)</f>
        <v>0.17393294427280009</v>
      </c>
      <c r="BC117" s="2536">
        <f>SUM(BC104:BC116)</f>
        <v>51295</v>
      </c>
      <c r="BD117" s="2536">
        <f>SUM(BD104:BD116)</f>
        <v>55295</v>
      </c>
      <c r="BF117" s="2537"/>
      <c r="BH117" s="2536">
        <f>SUM(BH104:BH116)</f>
        <v>55295</v>
      </c>
      <c r="BI117" s="2536">
        <f>SUM(BI104:BI116)</f>
        <v>50117.79</v>
      </c>
      <c r="BJ117" s="2536"/>
      <c r="BK117" s="2536"/>
      <c r="BM117" s="2536">
        <f>SUM(BM104:BM116)</f>
        <v>55295</v>
      </c>
      <c r="BN117" s="2536">
        <f>SUM(BN104:BN116)</f>
        <v>0</v>
      </c>
      <c r="BO117" s="2536">
        <f>SUM(BO104:BO116)</f>
        <v>55295</v>
      </c>
      <c r="BP117" s="2490">
        <f>IF(BM117=0," ",(BO117-BM117)/BM117)</f>
        <v>0</v>
      </c>
      <c r="BQ117" s="2491"/>
      <c r="BR117" s="2536">
        <f>SUM(BR104:BR116)</f>
        <v>55295</v>
      </c>
      <c r="BS117" s="2536">
        <f>SUM(BS104:BS116)</f>
        <v>55295</v>
      </c>
      <c r="BT117" s="2491"/>
      <c r="BU117" s="2541"/>
      <c r="BV117" s="2491"/>
      <c r="BW117" s="2536">
        <f>SUM(BW104:BW116)</f>
        <v>55295</v>
      </c>
      <c r="BX117" s="2536">
        <f>SUM(BX104:BX116)</f>
        <v>17248.120000000003</v>
      </c>
      <c r="BZ117" s="2536">
        <f>SUM(BZ104:BZ116)</f>
        <v>55295</v>
      </c>
      <c r="CA117" s="2536">
        <f>SUM(CA104:CA116)</f>
        <v>0</v>
      </c>
      <c r="CB117" s="2536">
        <f>SUM(CB104:CB116)</f>
        <v>55295</v>
      </c>
      <c r="CC117" s="2490">
        <f>IF(BZ117=0," ",(CB117-BZ117)/BZ117)</f>
        <v>0</v>
      </c>
      <c r="CD117" s="2491"/>
      <c r="CE117" s="2536">
        <f>SUM(CE104:CE116)</f>
        <v>55295</v>
      </c>
      <c r="CF117" s="2490">
        <f t="shared" si="61"/>
        <v>0</v>
      </c>
      <c r="CG117" s="2536">
        <f>SUM(CG104:CG116)</f>
        <v>55295</v>
      </c>
      <c r="CH117" s="2449" t="s">
        <v>1220</v>
      </c>
      <c r="CI117" s="2449"/>
      <c r="CJ117" s="2450"/>
      <c r="CK117" s="2450"/>
      <c r="CL117" s="2451"/>
      <c r="CM117" s="2451"/>
      <c r="CN117" s="2451"/>
      <c r="CO117" s="2477">
        <v>-9.3628899538837129E-2</v>
      </c>
      <c r="CP117" s="2478">
        <f t="shared" si="41"/>
        <v>-5177.2099999999991</v>
      </c>
      <c r="CQ117" s="2478"/>
      <c r="CR117" s="2478"/>
      <c r="CS117" s="2478"/>
      <c r="CT117" s="2478"/>
    </row>
    <row r="118" spans="1:98" ht="9.9499999999999993" hidden="1" customHeight="1" x14ac:dyDescent="0.2">
      <c r="AS118" s="2466"/>
      <c r="AT118" s="2466"/>
      <c r="BZ118" s="2472"/>
      <c r="CH118" s="2449" t="s">
        <v>1091</v>
      </c>
      <c r="CI118" s="2449"/>
      <c r="CJ118" s="2450"/>
      <c r="CK118" s="2450"/>
      <c r="CP118" s="2478">
        <f t="shared" si="41"/>
        <v>0</v>
      </c>
      <c r="CQ118" s="2478"/>
      <c r="CR118" s="2478"/>
      <c r="CS118" s="2478"/>
      <c r="CT118" s="2478"/>
    </row>
    <row r="119" spans="1:98" x14ac:dyDescent="0.2">
      <c r="A119" s="2495"/>
      <c r="B119" s="2496"/>
      <c r="C119" s="2497"/>
      <c r="D119" s="2497"/>
      <c r="E119" s="2498"/>
      <c r="F119" s="2496"/>
      <c r="G119" s="2499" t="s">
        <v>1383</v>
      </c>
      <c r="H119" s="2500">
        <f>H102+H117</f>
        <v>154427</v>
      </c>
      <c r="I119" s="2500">
        <f>I102+I117</f>
        <v>6642</v>
      </c>
      <c r="J119" s="2500">
        <f>J102+J117</f>
        <v>161069</v>
      </c>
      <c r="K119" s="2501">
        <f>IF(H119=0," ",(J119-H119)/H119)</f>
        <v>4.3010613428998812E-2</v>
      </c>
      <c r="M119" s="2500">
        <f>M102+M117</f>
        <v>161069</v>
      </c>
      <c r="N119" s="2500">
        <f>N102+N117</f>
        <v>161069</v>
      </c>
      <c r="P119" s="2502">
        <f>P102+P117</f>
        <v>0</v>
      </c>
      <c r="R119" s="2500">
        <f>R102+R117</f>
        <v>161069</v>
      </c>
      <c r="S119" s="2500">
        <f>S102+S117</f>
        <v>159392.43</v>
      </c>
      <c r="U119" s="2500">
        <f>U102+U117</f>
        <v>161069</v>
      </c>
      <c r="V119" s="2500">
        <f>V102+V117</f>
        <v>5884</v>
      </c>
      <c r="W119" s="2500">
        <f>W102+W117</f>
        <v>166953</v>
      </c>
      <c r="X119" s="2501">
        <f>IF(U119=0," ",(W119-U119)/U119)</f>
        <v>3.6530927739043519E-2</v>
      </c>
      <c r="Z119" s="2500">
        <f>Z102+Z117</f>
        <v>166953</v>
      </c>
      <c r="AA119" s="2500">
        <f>AA102+AA117</f>
        <v>166953</v>
      </c>
      <c r="AC119" s="2502"/>
      <c r="AE119" s="2500">
        <f>AE102+AE117</f>
        <v>166953</v>
      </c>
      <c r="AF119" s="2503">
        <f>AF102+AF117</f>
        <v>160373.06</v>
      </c>
      <c r="AH119" s="2500">
        <v>166953</v>
      </c>
      <c r="AI119" s="2500">
        <f>AI102+AI117</f>
        <v>7253</v>
      </c>
      <c r="AJ119" s="2500">
        <f>AJ102+AJ117</f>
        <v>174206</v>
      </c>
      <c r="AK119" s="2501">
        <f>IF(AH119=0," ",(AJ119-AH119)/AH119)</f>
        <v>4.3443364300132375E-2</v>
      </c>
      <c r="AM119" s="2500">
        <f>AM102+AM117</f>
        <v>184206</v>
      </c>
      <c r="AN119" s="2500">
        <f>AN102+AN117</f>
        <v>184206</v>
      </c>
      <c r="AP119" s="2502"/>
      <c r="AR119" s="2500">
        <f>AR102+AR117</f>
        <v>184206</v>
      </c>
      <c r="AS119" s="2500">
        <f>AS102+AS117</f>
        <v>171914.02</v>
      </c>
      <c r="AT119" s="2500"/>
      <c r="AU119" s="2500">
        <f>AU102+AU117</f>
        <v>187251</v>
      </c>
      <c r="AV119" s="2500">
        <f>AV102+AV117</f>
        <v>175847.15000000002</v>
      </c>
      <c r="AX119" s="2500">
        <f>AX102+AX117</f>
        <v>187251</v>
      </c>
      <c r="AY119" s="2500">
        <f>AY102+AY117</f>
        <v>10401</v>
      </c>
      <c r="AZ119" s="2500">
        <f>AZ102+AZ117</f>
        <v>197652</v>
      </c>
      <c r="BA119" s="2501">
        <f>IF(AX119=0," ",(AZ119-AX119)/AX119)</f>
        <v>5.5545764775622029E-2</v>
      </c>
      <c r="BC119" s="2500">
        <f>BC102+BC117</f>
        <v>197652</v>
      </c>
      <c r="BD119" s="2500">
        <f>BD102+BD117</f>
        <v>201652</v>
      </c>
      <c r="BF119" s="2502"/>
      <c r="BH119" s="2500">
        <f>BH102+BH117</f>
        <v>201652</v>
      </c>
      <c r="BI119" s="2500">
        <f>BI102+BI117</f>
        <v>190286.89</v>
      </c>
      <c r="BJ119" s="2500"/>
      <c r="BK119" s="2500"/>
      <c r="BM119" s="2500">
        <f>BM102+BM117</f>
        <v>201652</v>
      </c>
      <c r="BN119" s="2504">
        <f>BN102+BN117</f>
        <v>1209</v>
      </c>
      <c r="BO119" s="2505">
        <f>BO102+BO117</f>
        <v>202861</v>
      </c>
      <c r="BP119" s="2506">
        <f>IF(BM119=0," ",(BO119-BM119)/BM119)</f>
        <v>5.9954773570309247E-3</v>
      </c>
      <c r="BR119" s="2505">
        <f>BR102+BR117</f>
        <v>202861</v>
      </c>
      <c r="BS119" s="2505">
        <f>BS102+BS117</f>
        <v>202861</v>
      </c>
      <c r="BU119" s="2507"/>
      <c r="BW119" s="2505">
        <f>BW102+BW117</f>
        <v>202861</v>
      </c>
      <c r="BX119" s="2500">
        <f>BX102+BX117</f>
        <v>85440.07</v>
      </c>
      <c r="BZ119" s="2505">
        <f>BZ102+BZ117</f>
        <v>202861</v>
      </c>
      <c r="CA119" s="2505">
        <f>CA102+CA117</f>
        <v>-352</v>
      </c>
      <c r="CB119" s="2505">
        <f>CB102+CB117</f>
        <v>202509</v>
      </c>
      <c r="CC119" s="2506">
        <f>IF(BZ119=0," ",(CB119-BZ119)/BZ119)</f>
        <v>-1.7351782747792824E-3</v>
      </c>
      <c r="CE119" s="2505">
        <f>CE102+CE117</f>
        <v>208323</v>
      </c>
      <c r="CF119" s="2506">
        <f>IF(CB119=0," ",(CE119-CB119)/CB119)</f>
        <v>2.8709835118439182E-2</v>
      </c>
      <c r="CG119" s="2505">
        <f>CG102+CG117</f>
        <v>208323</v>
      </c>
      <c r="CH119" s="2449" t="s">
        <v>1222</v>
      </c>
      <c r="CI119" s="2508" t="str">
        <f>IF(CG119-CE119=0,"",CG119-CE119)</f>
        <v/>
      </c>
      <c r="CJ119" s="2509"/>
      <c r="CK119" s="2509"/>
      <c r="CL119" s="2451" t="str">
        <f>IF(CO119&lt;-1*CM$2,"examine","ignore")</f>
        <v>examine</v>
      </c>
      <c r="CM119" s="2545">
        <f>IF(CL119="examine",CP119+CM$2*CP119/CO119,"")</f>
        <v>-3299.0299999999843</v>
      </c>
      <c r="CN119" s="2545">
        <f>IF(CI119="",CM119,CM119-CI119)</f>
        <v>-3299.0299999999843</v>
      </c>
      <c r="CO119" s="2477">
        <v>-5.6360016265645685E-2</v>
      </c>
      <c r="CP119" s="2510">
        <f t="shared" si="41"/>
        <v>-11365.109999999986</v>
      </c>
      <c r="CQ119" s="2510">
        <f>AV119-AU119</f>
        <v>-11403.849999999977</v>
      </c>
      <c r="CR119" s="2510">
        <f>AS119-AR119</f>
        <v>-12291.98000000001</v>
      </c>
      <c r="CS119" s="2510">
        <f>AF119-AE119</f>
        <v>-6579.9400000000023</v>
      </c>
    </row>
    <row r="120" spans="1:98" ht="20.100000000000001" hidden="1" customHeight="1" x14ac:dyDescent="0.2">
      <c r="AS120" s="2466"/>
      <c r="AT120" s="2466"/>
      <c r="BZ120" s="2472"/>
      <c r="CH120" s="2449" t="s">
        <v>1091</v>
      </c>
      <c r="CI120" s="2449"/>
      <c r="CJ120" s="2450"/>
      <c r="CK120" s="2450"/>
      <c r="CP120" s="2478">
        <f t="shared" si="41"/>
        <v>0</v>
      </c>
      <c r="CQ120" s="2478"/>
      <c r="CR120" s="2478"/>
      <c r="CS120" s="2478"/>
      <c r="CT120" s="2478"/>
    </row>
    <row r="121" spans="1:98" ht="15.75" hidden="1" x14ac:dyDescent="0.2">
      <c r="A121" s="2453" t="s">
        <v>1384</v>
      </c>
      <c r="B121" s="2454"/>
      <c r="C121" s="2455"/>
      <c r="D121" s="2455"/>
      <c r="E121" s="2456"/>
      <c r="F121" s="2454"/>
      <c r="G121" s="2454"/>
      <c r="H121" s="2457"/>
      <c r="I121" s="2457"/>
      <c r="J121" s="2457"/>
      <c r="K121" s="2458"/>
      <c r="M121" s="2457"/>
      <c r="N121" s="2457"/>
      <c r="P121" s="2459"/>
      <c r="R121" s="2457"/>
      <c r="S121" s="2457"/>
      <c r="U121" s="2457"/>
      <c r="V121" s="2457"/>
      <c r="W121" s="2457"/>
      <c r="X121" s="2458"/>
      <c r="Z121" s="2457"/>
      <c r="AA121" s="2457"/>
      <c r="AC121" s="2459"/>
      <c r="AE121" s="2457"/>
      <c r="AF121" s="2460"/>
      <c r="AH121" s="2457"/>
      <c r="AI121" s="2457"/>
      <c r="AJ121" s="2457"/>
      <c r="AK121" s="2458"/>
      <c r="AM121" s="2457"/>
      <c r="AN121" s="2457"/>
      <c r="AP121" s="2459"/>
      <c r="AR121" s="2457"/>
      <c r="AS121" s="2457"/>
      <c r="AT121" s="2457"/>
      <c r="AU121" s="2457"/>
      <c r="AV121" s="2457"/>
      <c r="AX121" s="2457"/>
      <c r="AY121" s="2457"/>
      <c r="AZ121" s="2457"/>
      <c r="BA121" s="2458"/>
      <c r="BC121" s="2457"/>
      <c r="BD121" s="2457"/>
      <c r="BF121" s="2461"/>
      <c r="BH121" s="2457"/>
      <c r="BI121" s="2457"/>
      <c r="BJ121" s="2457"/>
      <c r="BK121" s="2457"/>
      <c r="BM121" s="2457"/>
      <c r="BN121" s="2462"/>
      <c r="BO121" s="2463"/>
      <c r="BP121" s="2464"/>
      <c r="BR121" s="2463"/>
      <c r="BS121" s="2463"/>
      <c r="BU121" s="2465"/>
      <c r="BW121" s="2463"/>
      <c r="BX121" s="2457"/>
      <c r="BZ121" s="2463"/>
      <c r="CA121" s="2462"/>
      <c r="CB121" s="2463"/>
      <c r="CC121" s="2464"/>
      <c r="CE121" s="2463"/>
      <c r="CF121" s="2464"/>
      <c r="CG121" s="2463"/>
      <c r="CH121" s="2449" t="s">
        <v>1212</v>
      </c>
      <c r="CI121" s="2449"/>
      <c r="CJ121" s="2450"/>
      <c r="CK121" s="2450"/>
      <c r="CP121" s="2478">
        <f t="shared" si="41"/>
        <v>0</v>
      </c>
      <c r="CQ121" s="2478"/>
      <c r="CR121" s="2478"/>
      <c r="CS121" s="2478"/>
      <c r="CT121" s="2478"/>
    </row>
    <row r="122" spans="1:98" hidden="1" x14ac:dyDescent="0.2">
      <c r="A122" s="2395">
        <v>145</v>
      </c>
      <c r="B122" s="2440" t="s">
        <v>1214</v>
      </c>
      <c r="C122" s="2396">
        <v>14501</v>
      </c>
      <c r="D122" s="2396">
        <v>51120</v>
      </c>
      <c r="E122" s="2397" t="s">
        <v>59</v>
      </c>
      <c r="F122" s="2440" t="s">
        <v>1214</v>
      </c>
      <c r="G122" s="2440" t="s">
        <v>1385</v>
      </c>
      <c r="H122" s="2466">
        <v>92394</v>
      </c>
      <c r="I122" s="2470">
        <v>4077</v>
      </c>
      <c r="J122" s="2466">
        <f>H122+I122</f>
        <v>96471</v>
      </c>
      <c r="K122" s="2468">
        <f>IF(H122=0," ",(J122-H122)/H122)</f>
        <v>4.4126241963763878E-2</v>
      </c>
      <c r="M122" s="2467">
        <v>96471</v>
      </c>
      <c r="N122" s="2467">
        <v>96471</v>
      </c>
      <c r="P122" s="2469" t="s">
        <v>1386</v>
      </c>
      <c r="R122" s="2466">
        <v>96471</v>
      </c>
      <c r="S122" s="2466">
        <v>96471</v>
      </c>
      <c r="U122" s="2466">
        <v>96471</v>
      </c>
      <c r="V122" s="2470">
        <v>4638</v>
      </c>
      <c r="W122" s="2466">
        <f>U122+V122</f>
        <v>101109</v>
      </c>
      <c r="X122" s="2468">
        <f>IF(U122=0," ",(W122-U122)/U122)</f>
        <v>4.8076624063189972E-2</v>
      </c>
      <c r="Z122" s="2467">
        <v>101109</v>
      </c>
      <c r="AA122" s="2467">
        <v>101109</v>
      </c>
      <c r="AC122" s="2469" t="s">
        <v>1387</v>
      </c>
      <c r="AE122" s="2466">
        <v>101109</v>
      </c>
      <c r="AF122" s="2471">
        <v>101108.8</v>
      </c>
      <c r="AH122" s="2466">
        <v>101109</v>
      </c>
      <c r="AI122" s="2470">
        <v>5683</v>
      </c>
      <c r="AJ122" s="2466">
        <f>AH122+AI122</f>
        <v>106792</v>
      </c>
      <c r="AK122" s="2468">
        <f>IF(AH122=0," ",(AJ122-AH122)/AH122)</f>
        <v>5.6206668051310964E-2</v>
      </c>
      <c r="AM122" s="2467">
        <v>106792</v>
      </c>
      <c r="AN122" s="2467">
        <v>106792</v>
      </c>
      <c r="AP122" s="2469"/>
      <c r="AR122" s="2466">
        <v>106792</v>
      </c>
      <c r="AS122" s="2466">
        <v>105224.44</v>
      </c>
      <c r="AT122" s="2466"/>
      <c r="AU122" s="2466">
        <v>106363</v>
      </c>
      <c r="AV122" s="2466">
        <v>106566.48</v>
      </c>
      <c r="AX122" s="2466">
        <v>106363</v>
      </c>
      <c r="AY122" s="2470">
        <v>2130</v>
      </c>
      <c r="AZ122" s="2466">
        <f>AX122+AY122</f>
        <v>108493</v>
      </c>
      <c r="BA122" s="2468">
        <f>IF(AX122=0," ",(AZ122-AX122)/AX122)</f>
        <v>2.0025760837885355E-2</v>
      </c>
      <c r="BC122" s="2467">
        <v>108493</v>
      </c>
      <c r="BD122" s="2467">
        <v>108493</v>
      </c>
      <c r="BF122" s="2511" t="s">
        <v>1316</v>
      </c>
      <c r="BH122" s="2467">
        <v>108493</v>
      </c>
      <c r="BI122" s="2466">
        <v>108180.72</v>
      </c>
      <c r="BM122" s="2466">
        <v>108493</v>
      </c>
      <c r="BN122" s="2470">
        <v>2171</v>
      </c>
      <c r="BO122" s="2472">
        <f>BM122+BN122</f>
        <v>110664</v>
      </c>
      <c r="BP122" s="2473">
        <f>IF(BM122=0," ",(BO122-BM122)/BM122)</f>
        <v>2.0010507590351452E-2</v>
      </c>
      <c r="BR122" s="2474">
        <v>110664</v>
      </c>
      <c r="BS122" s="2474">
        <v>110664</v>
      </c>
      <c r="BU122" s="2512" t="s">
        <v>1317</v>
      </c>
      <c r="BW122" s="2474">
        <v>110664</v>
      </c>
      <c r="BX122" s="2466">
        <v>53424</v>
      </c>
      <c r="BZ122" s="2474">
        <v>110664</v>
      </c>
      <c r="CA122" s="2470">
        <v>-424</v>
      </c>
      <c r="CB122" s="2472">
        <f>BZ122+CA122</f>
        <v>110240</v>
      </c>
      <c r="CC122" s="2473">
        <f>IF(BZ122=0," ",(CB122-BZ122)/BZ122)</f>
        <v>-3.8314176245210726E-3</v>
      </c>
      <c r="CE122" s="2474">
        <v>112445</v>
      </c>
      <c r="CF122" s="2476">
        <f>IF(CB122=0," ",(CE122-CB122)/CB122)</f>
        <v>2.0001814223512337E-2</v>
      </c>
      <c r="CG122" s="2474">
        <v>112445</v>
      </c>
      <c r="CH122" s="2449" t="s">
        <v>1217</v>
      </c>
      <c r="CI122" s="2449"/>
      <c r="CJ122" s="2450"/>
      <c r="CK122" s="2450"/>
      <c r="CO122" s="2477">
        <v>-2.8783423815361697E-3</v>
      </c>
      <c r="CP122" s="2478">
        <f t="shared" si="41"/>
        <v>-312.27999999999884</v>
      </c>
      <c r="CQ122" s="2478"/>
      <c r="CR122" s="2478"/>
      <c r="CS122" s="2478"/>
      <c r="CT122" s="2478"/>
    </row>
    <row r="123" spans="1:98" hidden="1" x14ac:dyDescent="0.2">
      <c r="A123" s="2513">
        <v>145</v>
      </c>
      <c r="B123" s="2514" t="s">
        <v>1214</v>
      </c>
      <c r="C123" s="2515">
        <v>14501</v>
      </c>
      <c r="D123" s="2515">
        <v>51490</v>
      </c>
      <c r="E123" s="2516" t="s">
        <v>59</v>
      </c>
      <c r="F123" s="2514" t="s">
        <v>1214</v>
      </c>
      <c r="G123" s="2514" t="s">
        <v>1388</v>
      </c>
      <c r="H123" s="2466">
        <v>1000</v>
      </c>
      <c r="I123" s="2523"/>
      <c r="J123" s="2466">
        <f>H123+I123</f>
        <v>1000</v>
      </c>
      <c r="K123" s="2468">
        <f>IF(H123=0," ",(J123-H123)/H123)</f>
        <v>0</v>
      </c>
      <c r="M123" s="2520">
        <v>1000</v>
      </c>
      <c r="N123" s="2520">
        <v>1000</v>
      </c>
      <c r="P123" s="2522"/>
      <c r="R123" s="2519">
        <v>1000</v>
      </c>
      <c r="S123" s="2519">
        <v>1000</v>
      </c>
      <c r="U123" s="2519">
        <v>1000</v>
      </c>
      <c r="V123" s="2523"/>
      <c r="W123" s="2466">
        <f>U123+V123</f>
        <v>1000</v>
      </c>
      <c r="X123" s="2468">
        <f>IF(U123=0," ",(W123-U123)/U123)</f>
        <v>0</v>
      </c>
      <c r="Z123" s="2520">
        <v>1000</v>
      </c>
      <c r="AA123" s="2520">
        <v>1000</v>
      </c>
      <c r="AC123" s="2522"/>
      <c r="AE123" s="2519">
        <v>1000</v>
      </c>
      <c r="AF123" s="2524">
        <v>1000</v>
      </c>
      <c r="AH123" s="2519">
        <v>1000</v>
      </c>
      <c r="AI123" s="2523"/>
      <c r="AJ123" s="2466">
        <f>AH123+AI123</f>
        <v>1000</v>
      </c>
      <c r="AK123" s="2468">
        <f>IF(AH123=0," ",(AJ123-AH123)/AH123)</f>
        <v>0</v>
      </c>
      <c r="AM123" s="2467">
        <v>1000</v>
      </c>
      <c r="AN123" s="2467">
        <v>1000</v>
      </c>
      <c r="AP123" s="2522"/>
      <c r="AR123" s="2466">
        <v>1000</v>
      </c>
      <c r="AS123" s="2466">
        <v>1000</v>
      </c>
      <c r="AT123" s="2466"/>
      <c r="AY123" s="2523"/>
      <c r="AZ123" s="2466">
        <f>AX123+AY123</f>
        <v>0</v>
      </c>
      <c r="BA123" s="2468" t="str">
        <f>IF(AX123=0," ",(AZ123-AX123)/AX123)</f>
        <v xml:space="preserve"> </v>
      </c>
      <c r="BC123" s="2467">
        <v>0</v>
      </c>
      <c r="BD123" s="2467">
        <v>0</v>
      </c>
      <c r="BF123" s="2522"/>
      <c r="BH123" s="2467">
        <v>0</v>
      </c>
      <c r="BI123" s="2519"/>
      <c r="BM123" s="2466">
        <v>0</v>
      </c>
      <c r="BN123" s="2523"/>
      <c r="BO123" s="2472">
        <f>BM123+BN123</f>
        <v>0</v>
      </c>
      <c r="BP123" s="2473" t="str">
        <f>IF(BM123=0," ",(BO123-BM123)/BM123)</f>
        <v xml:space="preserve"> </v>
      </c>
      <c r="BR123" s="2474">
        <v>0</v>
      </c>
      <c r="BS123" s="2474">
        <v>0</v>
      </c>
      <c r="BU123" s="2528"/>
      <c r="BW123" s="2474">
        <v>0</v>
      </c>
      <c r="BX123" s="2519"/>
      <c r="BZ123" s="2474">
        <v>0</v>
      </c>
      <c r="CA123" s="2523"/>
      <c r="CB123" s="2472">
        <f>BZ123+CA123</f>
        <v>0</v>
      </c>
      <c r="CC123" s="2473" t="str">
        <f>IF(BZ123=0," ",(CB123-BZ123)/BZ123)</f>
        <v xml:space="preserve"> </v>
      </c>
      <c r="CE123" s="2474">
        <v>0</v>
      </c>
      <c r="CF123" s="2476" t="str">
        <f>IF(CB123=0," ",(CE123-CB123)/CB123)</f>
        <v xml:space="preserve"> </v>
      </c>
      <c r="CG123" s="2474">
        <v>0</v>
      </c>
      <c r="CH123" s="2449" t="s">
        <v>1217</v>
      </c>
      <c r="CI123" s="2449"/>
      <c r="CJ123" s="2450" t="s">
        <v>1239</v>
      </c>
      <c r="CK123" s="2518">
        <f t="shared" ref="CK123" si="71">-CG123</f>
        <v>0</v>
      </c>
      <c r="CP123" s="2478">
        <f t="shared" si="41"/>
        <v>0</v>
      </c>
      <c r="CQ123" s="2478"/>
      <c r="CR123" s="2478"/>
      <c r="CS123" s="2478"/>
      <c r="CT123" s="2478" t="s">
        <v>1319</v>
      </c>
    </row>
    <row r="124" spans="1:98" hidden="1" x14ac:dyDescent="0.2">
      <c r="H124" s="2560">
        <f>SUM(H122:H123)</f>
        <v>93394</v>
      </c>
      <c r="I124" s="2560">
        <f>SUM(I122:I123)</f>
        <v>4077</v>
      </c>
      <c r="J124" s="2560">
        <f>SUM(J122:J123)</f>
        <v>97471</v>
      </c>
      <c r="K124" s="2561">
        <f>IF(H124=0," ",(J124-H124)/H124)</f>
        <v>4.3653767908002655E-2</v>
      </c>
      <c r="M124" s="2560">
        <f>SUM(M122:M123)</f>
        <v>97471</v>
      </c>
      <c r="N124" s="2560">
        <f>SUM(N122:N123)</f>
        <v>97471</v>
      </c>
      <c r="P124" s="2562">
        <f>SUM(P122:P123)</f>
        <v>0</v>
      </c>
      <c r="R124" s="2560">
        <f>SUM(R122:R123)</f>
        <v>97471</v>
      </c>
      <c r="S124" s="2560">
        <f>SUM(S122:S123)</f>
        <v>97471</v>
      </c>
      <c r="U124" s="2560">
        <f>SUM(U122:U123)</f>
        <v>97471</v>
      </c>
      <c r="V124" s="2560">
        <f>SUM(V122:V123)</f>
        <v>4638</v>
      </c>
      <c r="W124" s="2560">
        <f>SUM(W122:W123)</f>
        <v>102109</v>
      </c>
      <c r="X124" s="2561">
        <f>IF(U124=0," ",(W124-U124)/U124)</f>
        <v>4.7583383775687126E-2</v>
      </c>
      <c r="Z124" s="2560">
        <f>SUM(Z122:Z123)</f>
        <v>102109</v>
      </c>
      <c r="AA124" s="2560">
        <f>SUM(AA122:AA123)</f>
        <v>102109</v>
      </c>
      <c r="AC124" s="2562"/>
      <c r="AE124" s="2560">
        <f>SUM(AE122:AE123)</f>
        <v>102109</v>
      </c>
      <c r="AF124" s="2563">
        <f>SUM(AF122:AF123)</f>
        <v>102108.8</v>
      </c>
      <c r="AH124" s="2560">
        <v>102109</v>
      </c>
      <c r="AI124" s="2560">
        <f>SUM(AI122:AI123)</f>
        <v>5683</v>
      </c>
      <c r="AJ124" s="2560">
        <f>SUM(AJ122:AJ123)</f>
        <v>107792</v>
      </c>
      <c r="AK124" s="2561">
        <f>IF(AH124=0," ",(AJ124-AH124)/AH124)</f>
        <v>5.565621052013045E-2</v>
      </c>
      <c r="AM124" s="2560">
        <f>SUM(AM122:AM123)</f>
        <v>107792</v>
      </c>
      <c r="AN124" s="2560">
        <f>SUM(AN122:AN123)</f>
        <v>107792</v>
      </c>
      <c r="AP124" s="2562"/>
      <c r="AR124" s="2560">
        <f>SUM(AR122:AR123)</f>
        <v>107792</v>
      </c>
      <c r="AS124" s="2560">
        <f>SUM(AS122:AS123)</f>
        <v>106224.44</v>
      </c>
      <c r="AT124" s="2560"/>
      <c r="AU124" s="2560">
        <f>SUM(AU122:AU123)</f>
        <v>106363</v>
      </c>
      <c r="AV124" s="2560">
        <f>SUM(AV122:AV123)</f>
        <v>106566.48</v>
      </c>
      <c r="AX124" s="2560">
        <f>SUM(AX122:AX123)</f>
        <v>106363</v>
      </c>
      <c r="AY124" s="2560">
        <f>SUM(AY122:AY123)</f>
        <v>2130</v>
      </c>
      <c r="AZ124" s="2560">
        <f>SUM(AZ122:AZ123)</f>
        <v>108493</v>
      </c>
      <c r="BA124" s="2561">
        <f>IF(AX124=0," ",(AZ124-AX124)/AX124)</f>
        <v>2.0025760837885355E-2</v>
      </c>
      <c r="BC124" s="2560">
        <f>SUM(BC122:BC123)</f>
        <v>108493</v>
      </c>
      <c r="BD124" s="2560">
        <f>SUM(BD122:BD123)</f>
        <v>108493</v>
      </c>
      <c r="BF124" s="2562"/>
      <c r="BH124" s="2560">
        <f>SUM(BH122:BH123)</f>
        <v>108493</v>
      </c>
      <c r="BI124" s="2560">
        <f>SUM(BI122:BI123)</f>
        <v>108180.72</v>
      </c>
      <c r="BM124" s="2560">
        <f>SUM(BM122:BM123)</f>
        <v>108493</v>
      </c>
      <c r="BN124" s="2560">
        <f>SUM(BN122:BN123)</f>
        <v>2171</v>
      </c>
      <c r="BO124" s="2564">
        <f>SUM(BO122:BO123)</f>
        <v>110664</v>
      </c>
      <c r="BP124" s="2565">
        <f>IF(BM124=0," ",(BO124-BM124)/BM124)</f>
        <v>2.0010507590351452E-2</v>
      </c>
      <c r="BR124" s="2564">
        <f>SUM(BR122:BR123)</f>
        <v>110664</v>
      </c>
      <c r="BS124" s="2564">
        <f>SUM(BS122:BS123)</f>
        <v>110664</v>
      </c>
      <c r="BU124" s="2566"/>
      <c r="BW124" s="2564">
        <f>SUM(BW122:BW123)</f>
        <v>110664</v>
      </c>
      <c r="BX124" s="2560">
        <f>SUM(BX122:BX123)</f>
        <v>53424</v>
      </c>
      <c r="BZ124" s="2564">
        <f>SUM(BZ122:BZ123)</f>
        <v>110664</v>
      </c>
      <c r="CA124" s="2564">
        <f>SUM(CA122:CA123)</f>
        <v>-424</v>
      </c>
      <c r="CB124" s="2564">
        <f>SUM(CB122:CB123)</f>
        <v>110240</v>
      </c>
      <c r="CC124" s="2565">
        <f>IF(BZ124=0," ",(CB124-BZ124)/BZ124)</f>
        <v>-3.8314176245210726E-3</v>
      </c>
      <c r="CE124" s="2564">
        <f>SUM(CE122:CE123)</f>
        <v>112445</v>
      </c>
      <c r="CF124" s="2565">
        <f>IF(CB124=0," ",(CE124-CB124)/CB124)</f>
        <v>2.0001814223512337E-2</v>
      </c>
      <c r="CG124" s="2564">
        <f>SUM(CG122:CG123)</f>
        <v>112445</v>
      </c>
      <c r="CH124" s="2449" t="s">
        <v>1243</v>
      </c>
      <c r="CI124" s="2449"/>
      <c r="CJ124" s="2450"/>
      <c r="CK124" s="2450"/>
      <c r="CO124" s="2477">
        <v>-2.8783423815361697E-3</v>
      </c>
      <c r="CP124" s="2478">
        <f t="shared" si="41"/>
        <v>-312.27999999999884</v>
      </c>
      <c r="CQ124" s="2478"/>
      <c r="CR124" s="2478"/>
      <c r="CS124" s="2478"/>
      <c r="CT124" s="2478"/>
    </row>
    <row r="125" spans="1:98" hidden="1" x14ac:dyDescent="0.2">
      <c r="AS125" s="2466"/>
      <c r="AT125" s="2466"/>
      <c r="BZ125" s="2472"/>
      <c r="CH125" s="2449" t="s">
        <v>1091</v>
      </c>
      <c r="CI125" s="2449"/>
      <c r="CJ125" s="2450"/>
      <c r="CK125" s="2450"/>
      <c r="CP125" s="2478">
        <f t="shared" si="41"/>
        <v>0</v>
      </c>
      <c r="CQ125" s="2478"/>
      <c r="CR125" s="2478"/>
      <c r="CS125" s="2478"/>
      <c r="CT125" s="2478"/>
    </row>
    <row r="126" spans="1:98" hidden="1" x14ac:dyDescent="0.2">
      <c r="A126" s="2395">
        <v>145</v>
      </c>
      <c r="B126" s="2440" t="s">
        <v>1214</v>
      </c>
      <c r="C126" s="2396">
        <v>14502</v>
      </c>
      <c r="D126" s="2396">
        <v>51130</v>
      </c>
      <c r="E126" s="2397" t="s">
        <v>319</v>
      </c>
      <c r="F126" s="2440" t="s">
        <v>1214</v>
      </c>
      <c r="G126" s="2440" t="s">
        <v>1389</v>
      </c>
      <c r="H126" s="2466">
        <v>42777</v>
      </c>
      <c r="I126" s="2470">
        <v>1989</v>
      </c>
      <c r="J126" s="2466">
        <f>H126+I126</f>
        <v>44766</v>
      </c>
      <c r="K126" s="2468">
        <f>IF(H126=0," ",(J126-H126)/H126)</f>
        <v>4.6496949295181993E-2</v>
      </c>
      <c r="M126" s="2467">
        <v>44766</v>
      </c>
      <c r="N126" s="2467">
        <v>44766</v>
      </c>
      <c r="P126" s="2469" t="s">
        <v>1390</v>
      </c>
      <c r="R126" s="2466">
        <v>44766</v>
      </c>
      <c r="S126" s="2466">
        <v>44766</v>
      </c>
      <c r="U126" s="2466">
        <v>44766</v>
      </c>
      <c r="V126" s="2470">
        <v>2140</v>
      </c>
      <c r="W126" s="2466">
        <f>U126+V126</f>
        <v>46906</v>
      </c>
      <c r="X126" s="2468">
        <f>IF(U126=0," ",(W126-U126)/U126)</f>
        <v>4.780413706831077E-2</v>
      </c>
      <c r="Z126" s="2467">
        <v>46906</v>
      </c>
      <c r="AA126" s="2467">
        <v>46906</v>
      </c>
      <c r="AC126" s="2469" t="s">
        <v>1355</v>
      </c>
      <c r="AE126" s="2466">
        <v>46906</v>
      </c>
      <c r="AF126" s="2471">
        <v>46918.31</v>
      </c>
      <c r="AH126" s="2466">
        <v>46906</v>
      </c>
      <c r="AI126" s="2470">
        <v>2662</v>
      </c>
      <c r="AJ126" s="2466">
        <f>AH126+AI126</f>
        <v>49568</v>
      </c>
      <c r="AK126" s="2468">
        <f>IF(AH126=0," ",(AJ126-AH126)/AH126)</f>
        <v>5.6751801475291005E-2</v>
      </c>
      <c r="AM126" s="2467">
        <v>49568</v>
      </c>
      <c r="AN126" s="2467">
        <v>49568</v>
      </c>
      <c r="AP126" s="2469"/>
      <c r="AR126" s="2466">
        <v>49568</v>
      </c>
      <c r="AS126" s="2466">
        <v>49567.4</v>
      </c>
      <c r="AT126" s="2466"/>
      <c r="AU126" s="2466">
        <v>50691</v>
      </c>
      <c r="AV126" s="2466">
        <v>50790.45</v>
      </c>
      <c r="AX126" s="2466">
        <v>50691</v>
      </c>
      <c r="AY126" s="2470">
        <v>1028</v>
      </c>
      <c r="AZ126" s="2466">
        <f>AX126+AY126</f>
        <v>51719</v>
      </c>
      <c r="BA126" s="2468">
        <f>IF(AX126=0," ",(AZ126-AX126)/AX126)</f>
        <v>2.0279734075082361E-2</v>
      </c>
      <c r="BC126" s="2467">
        <v>51719</v>
      </c>
      <c r="BD126" s="2467">
        <v>51719</v>
      </c>
      <c r="BF126" s="2511" t="s">
        <v>1357</v>
      </c>
      <c r="BH126" s="2467">
        <v>51719</v>
      </c>
      <c r="BI126" s="2466">
        <v>51717.120000000003</v>
      </c>
      <c r="BM126" s="2466">
        <v>51719</v>
      </c>
      <c r="BN126" s="2470">
        <v>792</v>
      </c>
      <c r="BO126" s="2472">
        <f>BM126+BN126</f>
        <v>52511</v>
      </c>
      <c r="BP126" s="2473">
        <f>IF(BM126=0," ",(BO126-BM126)/BM126)</f>
        <v>1.5313521143100214E-2</v>
      </c>
      <c r="BR126" s="2474">
        <v>52511</v>
      </c>
      <c r="BS126" s="2474">
        <v>52511</v>
      </c>
      <c r="BU126" s="2512" t="s">
        <v>1391</v>
      </c>
      <c r="BW126" s="2474">
        <v>52511</v>
      </c>
      <c r="BX126" s="2466">
        <v>25245</v>
      </c>
      <c r="BZ126" s="2474">
        <v>52511</v>
      </c>
      <c r="CA126" s="2470">
        <v>0</v>
      </c>
      <c r="CB126" s="2472">
        <f>BZ126+CA126</f>
        <v>52511</v>
      </c>
      <c r="CC126" s="2473">
        <f>IF(BZ126=0," ",(CB126-BZ126)/BZ126)</f>
        <v>0</v>
      </c>
      <c r="CE126" s="2474">
        <v>53553</v>
      </c>
      <c r="CF126" s="2476">
        <f>IF(CB126=0," ",(CE126-CB126)/CB126)</f>
        <v>1.9843461369998667E-2</v>
      </c>
      <c r="CG126" s="2474">
        <v>53553</v>
      </c>
      <c r="CH126" s="2449" t="s">
        <v>1217</v>
      </c>
      <c r="CI126" s="2449"/>
      <c r="CJ126" s="2450"/>
      <c r="CK126" s="2450"/>
      <c r="CO126" s="2477">
        <v>-3.63502774608504E-5</v>
      </c>
      <c r="CP126" s="2478">
        <f t="shared" si="41"/>
        <v>-1.8799999999973807</v>
      </c>
      <c r="CQ126" s="2478"/>
      <c r="CR126" s="2478"/>
      <c r="CS126" s="2478"/>
      <c r="CT126" s="2478"/>
    </row>
    <row r="127" spans="1:98" hidden="1" x14ac:dyDescent="0.2">
      <c r="A127" s="2395">
        <v>145</v>
      </c>
      <c r="B127" s="2440" t="s">
        <v>1214</v>
      </c>
      <c r="C127" s="2396">
        <v>14502</v>
      </c>
      <c r="D127" s="2396">
        <v>51140</v>
      </c>
      <c r="E127" s="2397" t="s">
        <v>319</v>
      </c>
      <c r="F127" s="2440" t="s">
        <v>1214</v>
      </c>
      <c r="G127" s="2440" t="s">
        <v>1392</v>
      </c>
      <c r="H127" s="2466">
        <v>43982</v>
      </c>
      <c r="I127" s="2470">
        <v>2004</v>
      </c>
      <c r="J127" s="2466">
        <f>H127+I127</f>
        <v>45986</v>
      </c>
      <c r="K127" s="2468">
        <f>IF(H127=0," ",(J127-H127)/H127)</f>
        <v>4.5564094402255471E-2</v>
      </c>
      <c r="M127" s="2467">
        <v>51396</v>
      </c>
      <c r="N127" s="2573">
        <f>45986+5410</f>
        <v>51396</v>
      </c>
      <c r="P127" s="2469" t="s">
        <v>1393</v>
      </c>
      <c r="R127" s="2549">
        <f>45986+5410</f>
        <v>51396</v>
      </c>
      <c r="S127" s="2549">
        <f>45986+5410</f>
        <v>51396</v>
      </c>
      <c r="U127" s="2549">
        <f>45986+5410</f>
        <v>51396</v>
      </c>
      <c r="V127" s="2470">
        <v>2450</v>
      </c>
      <c r="W127" s="2466">
        <f>U127+V127</f>
        <v>53846</v>
      </c>
      <c r="X127" s="2468">
        <f>IF(U127=0," ",(W127-U127)/U127)</f>
        <v>4.7669079305782548E-2</v>
      </c>
      <c r="Z127" s="2467">
        <v>53846</v>
      </c>
      <c r="AA127" s="2467">
        <v>53846</v>
      </c>
      <c r="AC127" s="2469" t="s">
        <v>1322</v>
      </c>
      <c r="AE127" s="2466">
        <v>53846</v>
      </c>
      <c r="AF127" s="2471">
        <v>53846.01</v>
      </c>
      <c r="AH127" s="2466">
        <v>53846</v>
      </c>
      <c r="AI127" s="2470">
        <v>3095</v>
      </c>
      <c r="AJ127" s="2466">
        <f>AH127+AI127</f>
        <v>56941</v>
      </c>
      <c r="AK127" s="2468">
        <f>IF(AH127=0," ",(AJ127-AH127)/AH127)</f>
        <v>5.7478735653530441E-2</v>
      </c>
      <c r="AM127" s="2467">
        <v>56941</v>
      </c>
      <c r="AN127" s="2467">
        <v>56941</v>
      </c>
      <c r="AP127" s="2469"/>
      <c r="AR127" s="2466">
        <v>56941</v>
      </c>
      <c r="AS127" s="2466">
        <v>55724.639999999999</v>
      </c>
      <c r="AT127" s="2466"/>
      <c r="AU127" s="2466">
        <v>58226</v>
      </c>
      <c r="AV127" s="2466">
        <v>58254.57</v>
      </c>
      <c r="AX127" s="2466">
        <v>58226</v>
      </c>
      <c r="AY127" s="2470">
        <v>1186</v>
      </c>
      <c r="AZ127" s="2466">
        <f>AX127+AY127</f>
        <v>59412</v>
      </c>
      <c r="BA127" s="2468">
        <f>IF(AX127=0," ",(AZ127-AX127)/AX127)</f>
        <v>2.0368907360972761E-2</v>
      </c>
      <c r="BC127" s="2467">
        <v>59412</v>
      </c>
      <c r="BD127" s="2467">
        <v>59412</v>
      </c>
      <c r="BF127" s="2511" t="s">
        <v>1394</v>
      </c>
      <c r="BH127" s="2467">
        <v>59412</v>
      </c>
      <c r="BI127" s="2466">
        <v>59426.02</v>
      </c>
      <c r="BM127" s="2466">
        <v>59412</v>
      </c>
      <c r="BN127" s="2470">
        <v>916</v>
      </c>
      <c r="BO127" s="2472">
        <f>BM127+BN127</f>
        <v>60328</v>
      </c>
      <c r="BP127" s="2473">
        <f>IF(BM127=0," ",(BO127-BM127)/BM127)</f>
        <v>1.5417760721739716E-2</v>
      </c>
      <c r="BR127" s="2474">
        <v>60328</v>
      </c>
      <c r="BS127" s="2474">
        <v>60328</v>
      </c>
      <c r="BU127" s="2512" t="s">
        <v>1395</v>
      </c>
      <c r="BW127" s="2474">
        <v>60328</v>
      </c>
      <c r="BX127" s="2466">
        <v>29003.5</v>
      </c>
      <c r="BZ127" s="2474">
        <v>60328</v>
      </c>
      <c r="CA127" s="2470">
        <v>0</v>
      </c>
      <c r="CB127" s="2472">
        <f>BZ127+CA127</f>
        <v>60328</v>
      </c>
      <c r="CC127" s="2473">
        <f>IF(BZ127=0," ",(CB127-BZ127)/BZ127)</f>
        <v>0</v>
      </c>
      <c r="CE127" s="2474">
        <v>61533</v>
      </c>
      <c r="CF127" s="2476">
        <f>IF(CB127=0," ",(CE127-CB127)/CB127)</f>
        <v>1.9974141360562258E-2</v>
      </c>
      <c r="CG127" s="2474">
        <v>61533</v>
      </c>
      <c r="CH127" s="2449" t="s">
        <v>1217</v>
      </c>
      <c r="CI127" s="2449"/>
      <c r="CJ127" s="2450"/>
      <c r="CK127" s="2450"/>
      <c r="CO127" s="2477">
        <v>2.3597926344831599E-4</v>
      </c>
      <c r="CP127" s="2478">
        <f t="shared" si="41"/>
        <v>14.019999999996799</v>
      </c>
      <c r="CQ127" s="2478"/>
      <c r="CR127" s="2478"/>
      <c r="CS127" s="2478"/>
      <c r="CT127" s="2478"/>
    </row>
    <row r="128" spans="1:98" hidden="1" x14ac:dyDescent="0.2">
      <c r="A128" s="2513">
        <v>145</v>
      </c>
      <c r="B128" s="2514"/>
      <c r="C128" s="2515">
        <v>14502</v>
      </c>
      <c r="D128" s="2515">
        <v>51490</v>
      </c>
      <c r="E128" s="2516" t="s">
        <v>319</v>
      </c>
      <c r="F128" s="2514"/>
      <c r="G128" s="2514" t="s">
        <v>1396</v>
      </c>
      <c r="I128" s="2470"/>
      <c r="J128" s="2466">
        <f>H128+I128</f>
        <v>0</v>
      </c>
      <c r="K128" s="2468" t="str">
        <f>IF(H128=0," ",(J128-H128)/H128)</f>
        <v xml:space="preserve"> </v>
      </c>
      <c r="M128" s="2467">
        <v>0</v>
      </c>
      <c r="N128" s="2467">
        <v>0</v>
      </c>
      <c r="P128" s="2469"/>
      <c r="R128" s="2466">
        <v>0</v>
      </c>
      <c r="S128" s="2466">
        <v>0</v>
      </c>
      <c r="U128" s="2466">
        <v>0</v>
      </c>
      <c r="V128" s="2470"/>
      <c r="W128" s="2466">
        <f>U128+V128</f>
        <v>0</v>
      </c>
      <c r="X128" s="2468" t="str">
        <f>IF(U128=0," ",(W128-U128)/U128)</f>
        <v xml:space="preserve"> </v>
      </c>
      <c r="Z128" s="2467"/>
      <c r="AA128" s="2573">
        <v>750</v>
      </c>
      <c r="AB128" s="2485"/>
      <c r="AC128" s="2469" t="s">
        <v>1397</v>
      </c>
      <c r="AD128" s="2485"/>
      <c r="AE128" s="2549">
        <v>750</v>
      </c>
      <c r="AF128" s="2552">
        <v>750</v>
      </c>
      <c r="AH128" s="2549">
        <v>750</v>
      </c>
      <c r="AI128" s="2470"/>
      <c r="AJ128" s="2466">
        <f>AH128+AI128</f>
        <v>750</v>
      </c>
      <c r="AK128" s="2468">
        <f>IF(AH128=0," ",(AJ128-AH128)/AH128)</f>
        <v>0</v>
      </c>
      <c r="AM128" s="2467">
        <v>750</v>
      </c>
      <c r="AN128" s="2467">
        <v>750</v>
      </c>
      <c r="AO128" s="2574"/>
      <c r="AP128" s="2530"/>
      <c r="AR128" s="2466">
        <v>750</v>
      </c>
      <c r="AS128" s="2466">
        <v>750</v>
      </c>
      <c r="AT128" s="2466"/>
      <c r="AU128" s="2466">
        <v>750</v>
      </c>
      <c r="AW128" s="2485"/>
      <c r="AX128" s="2466">
        <v>750</v>
      </c>
      <c r="AY128" s="2470">
        <v>-750</v>
      </c>
      <c r="AZ128" s="2466">
        <f>AX128+AY128</f>
        <v>0</v>
      </c>
      <c r="BA128" s="2468">
        <f>IF(AX128=0," ",(AZ128-AX128)/AX128)</f>
        <v>-1</v>
      </c>
      <c r="BC128" s="2467">
        <v>0</v>
      </c>
      <c r="BD128" s="2467">
        <v>0</v>
      </c>
      <c r="BE128" s="2574"/>
      <c r="BF128" s="2575"/>
      <c r="BH128" s="2467">
        <v>0</v>
      </c>
      <c r="BI128" s="2549"/>
      <c r="BJ128" s="2549"/>
      <c r="BK128" s="2549"/>
      <c r="BL128" s="2485"/>
      <c r="BM128" s="2466">
        <v>0</v>
      </c>
      <c r="BN128" s="2470"/>
      <c r="BO128" s="2472">
        <f>BM128+BN128</f>
        <v>0</v>
      </c>
      <c r="BP128" s="2473" t="str">
        <f>IF(BM128=0," ",(BO128-BM128)/BM128)</f>
        <v xml:space="preserve"> </v>
      </c>
      <c r="BR128" s="2474">
        <v>0</v>
      </c>
      <c r="BS128" s="2474">
        <v>0</v>
      </c>
      <c r="BT128" s="2491"/>
      <c r="BU128" s="2475"/>
      <c r="BW128" s="2474">
        <v>0</v>
      </c>
      <c r="BX128" s="2549"/>
      <c r="BY128" s="2485"/>
      <c r="BZ128" s="2474">
        <v>0</v>
      </c>
      <c r="CA128" s="2470"/>
      <c r="CB128" s="2472">
        <f>BZ128+CA128</f>
        <v>0</v>
      </c>
      <c r="CC128" s="2473" t="str">
        <f>IF(BZ128=0," ",(CB128-BZ128)/BZ128)</f>
        <v xml:space="preserve"> </v>
      </c>
      <c r="CE128" s="2517">
        <v>340</v>
      </c>
      <c r="CF128" s="2476" t="str">
        <f>IF(CB128=0," ",(CE128-CB128)/CB128)</f>
        <v xml:space="preserve"> </v>
      </c>
      <c r="CG128" s="2517">
        <v>340</v>
      </c>
      <c r="CH128" s="2449" t="s">
        <v>1217</v>
      </c>
      <c r="CI128" s="2449"/>
      <c r="CJ128" s="2450" t="s">
        <v>1239</v>
      </c>
      <c r="CK128" s="2518">
        <f t="shared" ref="CK128" si="72">-CG128</f>
        <v>-340</v>
      </c>
      <c r="CP128" s="2478">
        <f t="shared" si="41"/>
        <v>0</v>
      </c>
      <c r="CQ128" s="2478"/>
      <c r="CR128" s="2478"/>
      <c r="CS128" s="2478"/>
      <c r="CT128" s="2478" t="s">
        <v>1319</v>
      </c>
    </row>
    <row r="129" spans="1:98" hidden="1" x14ac:dyDescent="0.2">
      <c r="H129" s="2560">
        <f>SUM(H126:H128)</f>
        <v>86759</v>
      </c>
      <c r="I129" s="2560">
        <f>SUM(I126:I128)</f>
        <v>3993</v>
      </c>
      <c r="J129" s="2560">
        <f>SUM(J126:J128)</f>
        <v>90752</v>
      </c>
      <c r="K129" s="2561">
        <f>IF(H129=0," ",(J129-H129)/H129)</f>
        <v>4.6024043615071633E-2</v>
      </c>
      <c r="M129" s="2560">
        <f>SUM(M126:M128)</f>
        <v>96162</v>
      </c>
      <c r="N129" s="2560">
        <f>SUM(N126:N128)</f>
        <v>96162</v>
      </c>
      <c r="P129" s="2562">
        <f>SUM(P126:P128)</f>
        <v>0</v>
      </c>
      <c r="R129" s="2560">
        <f>SUM(R126:R128)</f>
        <v>96162</v>
      </c>
      <c r="S129" s="2560">
        <f>SUM(S126:S128)</f>
        <v>96162</v>
      </c>
      <c r="U129" s="2560">
        <f>SUM(U126:U128)</f>
        <v>96162</v>
      </c>
      <c r="V129" s="2560">
        <f>SUM(V126:V128)</f>
        <v>4590</v>
      </c>
      <c r="W129" s="2560">
        <f>SUM(W126:W128)</f>
        <v>100752</v>
      </c>
      <c r="X129" s="2561">
        <f>IF(U129=0," ",(W129-U129)/U129)</f>
        <v>4.7731952330442376E-2</v>
      </c>
      <c r="Z129" s="2560">
        <f>SUM(Z126:Z128)</f>
        <v>100752</v>
      </c>
      <c r="AA129" s="2560">
        <f>SUM(AA126:AA128)</f>
        <v>101502</v>
      </c>
      <c r="AC129" s="2562"/>
      <c r="AE129" s="2560">
        <f>SUM(AE126:AE128)</f>
        <v>101502</v>
      </c>
      <c r="AF129" s="2563">
        <f>SUM(AF126:AF128)</f>
        <v>101514.32</v>
      </c>
      <c r="AH129" s="2560">
        <v>101502</v>
      </c>
      <c r="AI129" s="2560">
        <f>SUM(AI126:AI128)</f>
        <v>5757</v>
      </c>
      <c r="AJ129" s="2560">
        <f>SUM(AJ126:AJ128)</f>
        <v>107259</v>
      </c>
      <c r="AK129" s="2561">
        <f>IF(AH129=0," ",(AJ129-AH129)/AH129)</f>
        <v>5.6718094224744338E-2</v>
      </c>
      <c r="AM129" s="2560">
        <f>SUM(AM126:AM128)</f>
        <v>107259</v>
      </c>
      <c r="AN129" s="2560">
        <f>SUM(AN126:AN128)</f>
        <v>107259</v>
      </c>
      <c r="AP129" s="2562"/>
      <c r="AR129" s="2560">
        <f>SUM(AR126:AR128)</f>
        <v>107259</v>
      </c>
      <c r="AS129" s="2560">
        <f>SUM(AS126:AS128)</f>
        <v>106042.04000000001</v>
      </c>
      <c r="AT129" s="2560"/>
      <c r="AU129" s="2560">
        <f>SUM(AU126:AU128)</f>
        <v>109667</v>
      </c>
      <c r="AV129" s="2560">
        <f>SUM(AV126:AV128)</f>
        <v>109045.01999999999</v>
      </c>
      <c r="AX129" s="2560">
        <f>SUM(AX126:AX128)</f>
        <v>109667</v>
      </c>
      <c r="AY129" s="2560">
        <f>SUM(AY126:AY128)</f>
        <v>1464</v>
      </c>
      <c r="AZ129" s="2560">
        <f>SUM(AZ126:AZ128)</f>
        <v>111131</v>
      </c>
      <c r="BA129" s="2561">
        <f>IF(AX129=0," ",(AZ129-AX129)/AX129)</f>
        <v>1.3349503496949857E-2</v>
      </c>
      <c r="BC129" s="2560">
        <f>SUM(BC126:BC128)</f>
        <v>111131</v>
      </c>
      <c r="BD129" s="2560">
        <f>SUM(BD126:BD128)</f>
        <v>111131</v>
      </c>
      <c r="BF129" s="2562"/>
      <c r="BH129" s="2560">
        <f>SUM(BH126:BH128)</f>
        <v>111131</v>
      </c>
      <c r="BI129" s="2560">
        <f>SUM(BI126:BI128)</f>
        <v>111143.14</v>
      </c>
      <c r="BM129" s="2560">
        <f>SUM(BM126:BM128)</f>
        <v>111131</v>
      </c>
      <c r="BN129" s="2560">
        <f>SUM(BN126:BN128)</f>
        <v>1708</v>
      </c>
      <c r="BO129" s="2564">
        <f>SUM(BO126:BO128)</f>
        <v>112839</v>
      </c>
      <c r="BP129" s="2565">
        <f>IF(BM129=0," ",(BO129-BM129)/BM129)</f>
        <v>1.5369248904446103E-2</v>
      </c>
      <c r="BR129" s="2564">
        <f>SUM(BR126:BR128)</f>
        <v>112839</v>
      </c>
      <c r="BS129" s="2564">
        <f>SUM(BS126:BS128)</f>
        <v>112839</v>
      </c>
      <c r="BU129" s="2566"/>
      <c r="BW129" s="2564">
        <f>SUM(BW126:BW128)</f>
        <v>112839</v>
      </c>
      <c r="BX129" s="2560">
        <f>SUM(BX126:BX128)</f>
        <v>54248.5</v>
      </c>
      <c r="BZ129" s="2564">
        <f>SUM(BZ126:BZ128)</f>
        <v>112839</v>
      </c>
      <c r="CA129" s="2564">
        <f>SUM(CA126:CA128)</f>
        <v>0</v>
      </c>
      <c r="CB129" s="2564">
        <f>SUM(CB126:CB128)</f>
        <v>112839</v>
      </c>
      <c r="CC129" s="2565">
        <f>IF(BZ129=0," ",(CB129-BZ129)/BZ129)</f>
        <v>0</v>
      </c>
      <c r="CE129" s="2564">
        <f>SUM(CE126:CE128)</f>
        <v>115426</v>
      </c>
      <c r="CF129" s="2565">
        <f>IF(CB129=0," ",(CE129-CB129)/CB129)</f>
        <v>2.2926470457909055E-2</v>
      </c>
      <c r="CG129" s="2564">
        <f>SUM(CG126:CG128)</f>
        <v>115426</v>
      </c>
      <c r="CH129" s="2449" t="s">
        <v>1243</v>
      </c>
      <c r="CI129" s="2449"/>
      <c r="CJ129" s="2450"/>
      <c r="CK129" s="2450"/>
      <c r="CO129" s="2477">
        <v>1.0924044596016813E-4</v>
      </c>
      <c r="CP129" s="2478">
        <f t="shared" si="41"/>
        <v>12.139999999999418</v>
      </c>
      <c r="CQ129" s="2478"/>
      <c r="CR129" s="2478"/>
      <c r="CS129" s="2478"/>
      <c r="CT129" s="2478"/>
    </row>
    <row r="130" spans="1:98" hidden="1" x14ac:dyDescent="0.2">
      <c r="AS130" s="2466"/>
      <c r="AT130" s="2466"/>
      <c r="BZ130" s="2472"/>
      <c r="CH130" s="2449" t="s">
        <v>1091</v>
      </c>
      <c r="CI130" s="2449"/>
      <c r="CJ130" s="2450"/>
      <c r="CK130" s="2450"/>
      <c r="CP130" s="2478">
        <f t="shared" si="41"/>
        <v>0</v>
      </c>
      <c r="CQ130" s="2478"/>
      <c r="CR130" s="2478"/>
      <c r="CS130" s="2478"/>
      <c r="CT130" s="2478"/>
    </row>
    <row r="131" spans="1:98" s="2485" customFormat="1" hidden="1" x14ac:dyDescent="0.2">
      <c r="A131" s="2532"/>
      <c r="B131" s="2533"/>
      <c r="C131" s="2534"/>
      <c r="D131" s="2534"/>
      <c r="E131" s="2535"/>
      <c r="F131" s="2533"/>
      <c r="G131" s="2533" t="s">
        <v>1398</v>
      </c>
      <c r="H131" s="2536">
        <f>H124+H129</f>
        <v>180153</v>
      </c>
      <c r="I131" s="2536">
        <f>I124+I129</f>
        <v>8070</v>
      </c>
      <c r="J131" s="2536">
        <f>J124+J129</f>
        <v>188223</v>
      </c>
      <c r="K131" s="2484">
        <f>IF(H131=0," ",(J131-H131)/H131)</f>
        <v>4.4795257364573446E-2</v>
      </c>
      <c r="M131" s="2536">
        <f>M124+M129</f>
        <v>193633</v>
      </c>
      <c r="N131" s="2536">
        <f>N124+N129</f>
        <v>193633</v>
      </c>
      <c r="P131" s="2537">
        <f>P124+P129</f>
        <v>0</v>
      </c>
      <c r="R131" s="2536">
        <f>R124+R129</f>
        <v>193633</v>
      </c>
      <c r="S131" s="2536">
        <f>S124+S129</f>
        <v>193633</v>
      </c>
      <c r="U131" s="2536">
        <f>U124+U129</f>
        <v>193633</v>
      </c>
      <c r="V131" s="2536">
        <f>V124+V129</f>
        <v>9228</v>
      </c>
      <c r="W131" s="2536">
        <f>W124+W129</f>
        <v>202861</v>
      </c>
      <c r="X131" s="2484">
        <f>IF(U131=0," ",(W131-U131)/U131)</f>
        <v>4.7657165875651358E-2</v>
      </c>
      <c r="Z131" s="2536">
        <f>Z124+Z129</f>
        <v>202861</v>
      </c>
      <c r="AA131" s="2536">
        <f>AA124+AA129</f>
        <v>203611</v>
      </c>
      <c r="AC131" s="2537"/>
      <c r="AE131" s="2536">
        <f>AE124+AE129</f>
        <v>203611</v>
      </c>
      <c r="AF131" s="2538">
        <f>AF124+AF129</f>
        <v>203623.12</v>
      </c>
      <c r="AH131" s="2536">
        <v>203611</v>
      </c>
      <c r="AI131" s="2536">
        <f>AI124+AI129</f>
        <v>11440</v>
      </c>
      <c r="AJ131" s="2536">
        <f>AJ124+AJ129</f>
        <v>215051</v>
      </c>
      <c r="AK131" s="2484">
        <f>IF(AH131=0," ",(AJ131-AH131)/AH131)</f>
        <v>5.6185569541920624E-2</v>
      </c>
      <c r="AM131" s="2536">
        <f>AM124+AM129</f>
        <v>215051</v>
      </c>
      <c r="AN131" s="2536">
        <f>AN124+AN129</f>
        <v>215051</v>
      </c>
      <c r="AP131" s="2537"/>
      <c r="AR131" s="2536">
        <f>AR124+AR129</f>
        <v>215051</v>
      </c>
      <c r="AS131" s="2536">
        <f>AS124+AS129</f>
        <v>212266.48</v>
      </c>
      <c r="AT131" s="2536"/>
      <c r="AU131" s="2536">
        <f>AU124+AU129</f>
        <v>216030</v>
      </c>
      <c r="AV131" s="2536">
        <f>AV124+AV129</f>
        <v>215611.5</v>
      </c>
      <c r="AX131" s="2536">
        <f>AX124+AX129</f>
        <v>216030</v>
      </c>
      <c r="AY131" s="2536">
        <f>AY124+AY129</f>
        <v>3594</v>
      </c>
      <c r="AZ131" s="2536">
        <f>AZ124+AZ129</f>
        <v>219624</v>
      </c>
      <c r="BA131" s="2484">
        <f>IF(AX131=0," ",(AZ131-AX131)/AX131)</f>
        <v>1.6636578253020413E-2</v>
      </c>
      <c r="BC131" s="2536">
        <f>BC124+BC129</f>
        <v>219624</v>
      </c>
      <c r="BD131" s="2536">
        <f>BD124+BD129</f>
        <v>219624</v>
      </c>
      <c r="BF131" s="2537"/>
      <c r="BH131" s="2536">
        <f>BH124+BH129</f>
        <v>219624</v>
      </c>
      <c r="BI131" s="2536">
        <f>BI124+BI129</f>
        <v>219323.86</v>
      </c>
      <c r="BJ131" s="2536"/>
      <c r="BK131" s="2536"/>
      <c r="BM131" s="2536">
        <f>BM124+BM129</f>
        <v>219624</v>
      </c>
      <c r="BN131" s="2539">
        <f>BN124+BN129</f>
        <v>3879</v>
      </c>
      <c r="BO131" s="2540">
        <f>BO124+BO129</f>
        <v>223503</v>
      </c>
      <c r="BP131" s="2490">
        <f>IF(BM131=0," ",(BO131-BM131)/BM131)</f>
        <v>1.7662004152551633E-2</v>
      </c>
      <c r="BQ131" s="2491"/>
      <c r="BR131" s="2540">
        <f>BR124+BR129</f>
        <v>223503</v>
      </c>
      <c r="BS131" s="2540">
        <f>BS124+BS129</f>
        <v>223503</v>
      </c>
      <c r="BT131" s="2491"/>
      <c r="BU131" s="2541"/>
      <c r="BV131" s="2491"/>
      <c r="BW131" s="2540">
        <f>BW124+BW129</f>
        <v>223503</v>
      </c>
      <c r="BX131" s="2536">
        <f>BX124+BX129</f>
        <v>107672.5</v>
      </c>
      <c r="BZ131" s="2540">
        <f>BZ124+BZ129</f>
        <v>223503</v>
      </c>
      <c r="CA131" s="2540">
        <f>CA124+CA129</f>
        <v>-424</v>
      </c>
      <c r="CB131" s="2540">
        <f>CB124+CB129</f>
        <v>223079</v>
      </c>
      <c r="CC131" s="2490">
        <f>IF(BZ131=0," ",(CB131-BZ131)/BZ131)</f>
        <v>-1.8970662586184526E-3</v>
      </c>
      <c r="CD131" s="2491"/>
      <c r="CE131" s="2540">
        <f>CE124+CE129</f>
        <v>227871</v>
      </c>
      <c r="CF131" s="2490">
        <f>IF(CB131=0," ",(CE131-CB131)/CB131)</f>
        <v>2.1481179313158121E-2</v>
      </c>
      <c r="CG131" s="2540">
        <f>CG124+CG129</f>
        <v>227871</v>
      </c>
      <c r="CH131" s="2449" t="s">
        <v>1220</v>
      </c>
      <c r="CI131" s="2449"/>
      <c r="CJ131" s="2450"/>
      <c r="CK131" s="2450"/>
      <c r="CL131" s="2451"/>
      <c r="CM131" s="2451"/>
      <c r="CN131" s="2451"/>
      <c r="CO131" s="2477">
        <v>-1.3666083852402755E-3</v>
      </c>
      <c r="CP131" s="2478">
        <f t="shared" si="41"/>
        <v>-300.14000000001397</v>
      </c>
      <c r="CQ131" s="2478"/>
      <c r="CR131" s="2478"/>
      <c r="CS131" s="2478"/>
      <c r="CT131" s="2478"/>
    </row>
    <row r="132" spans="1:98" hidden="1" x14ac:dyDescent="0.2">
      <c r="AS132" s="2466"/>
      <c r="AT132" s="2466"/>
      <c r="BZ132" s="2472"/>
      <c r="CH132" s="2449" t="s">
        <v>1091</v>
      </c>
      <c r="CI132" s="2449"/>
      <c r="CJ132" s="2450"/>
      <c r="CK132" s="2450"/>
      <c r="CP132" s="2478">
        <f t="shared" si="41"/>
        <v>0</v>
      </c>
      <c r="CQ132" s="2478"/>
      <c r="CR132" s="2478"/>
      <c r="CS132" s="2478"/>
      <c r="CT132" s="2478"/>
    </row>
    <row r="133" spans="1:98" hidden="1" x14ac:dyDescent="0.2">
      <c r="A133" s="2395">
        <v>145</v>
      </c>
      <c r="B133" s="2440" t="s">
        <v>1214</v>
      </c>
      <c r="C133" s="2396">
        <v>14505</v>
      </c>
      <c r="D133" s="2396">
        <v>53010</v>
      </c>
      <c r="E133" s="2397" t="s">
        <v>1268</v>
      </c>
      <c r="F133" s="2440" t="s">
        <v>1214</v>
      </c>
      <c r="G133" s="2440" t="s">
        <v>1399</v>
      </c>
      <c r="H133" s="2466">
        <v>10899</v>
      </c>
      <c r="I133" s="2470"/>
      <c r="J133" s="2466">
        <f>H133+I133</f>
        <v>10899</v>
      </c>
      <c r="K133" s="2468">
        <f>IF(H133=0," ",(J133-H133)/H133)</f>
        <v>0</v>
      </c>
      <c r="M133" s="2467">
        <v>10899</v>
      </c>
      <c r="N133" s="2467">
        <v>10899</v>
      </c>
      <c r="P133" s="2469"/>
      <c r="R133" s="2466">
        <v>10899</v>
      </c>
      <c r="S133" s="2466">
        <v>3456.26</v>
      </c>
      <c r="U133" s="2466">
        <v>10899</v>
      </c>
      <c r="V133" s="2470">
        <v>0</v>
      </c>
      <c r="W133" s="2466">
        <f>U133+V133</f>
        <v>10899</v>
      </c>
      <c r="X133" s="2468">
        <f>IF(U133=0," ",(W133-U133)/U133)</f>
        <v>0</v>
      </c>
      <c r="Z133" s="2467">
        <v>10899</v>
      </c>
      <c r="AA133" s="2467">
        <v>10899</v>
      </c>
      <c r="AC133" s="2469"/>
      <c r="AE133" s="2466">
        <v>10899</v>
      </c>
      <c r="AF133" s="2471">
        <v>13590.5</v>
      </c>
      <c r="AH133" s="2466">
        <v>10899</v>
      </c>
      <c r="AI133" s="2470"/>
      <c r="AJ133" s="2466">
        <f>AH133+AI133</f>
        <v>10899</v>
      </c>
      <c r="AK133" s="2468">
        <f>IF(AH133=0," ",(AJ133-AH133)/AH133)</f>
        <v>0</v>
      </c>
      <c r="AM133" s="2467">
        <v>10899</v>
      </c>
      <c r="AN133" s="2467">
        <v>10899</v>
      </c>
      <c r="AP133" s="2469"/>
      <c r="AR133" s="2466">
        <v>10899</v>
      </c>
      <c r="AS133" s="2466">
        <v>6321</v>
      </c>
      <c r="AT133" s="2466"/>
      <c r="AU133" s="2466">
        <v>10899</v>
      </c>
      <c r="AV133" s="2466">
        <v>1132.27</v>
      </c>
      <c r="AX133" s="2466">
        <v>10899</v>
      </c>
      <c r="AY133" s="2470"/>
      <c r="AZ133" s="2466">
        <f>AX133+AY133</f>
        <v>10899</v>
      </c>
      <c r="BA133" s="2468">
        <f>IF(AX133=0," ",(AZ133-AX133)/AX133)</f>
        <v>0</v>
      </c>
      <c r="BC133" s="2467">
        <v>10899</v>
      </c>
      <c r="BD133" s="2467">
        <v>10899</v>
      </c>
      <c r="BF133" s="2469"/>
      <c r="BH133" s="2467">
        <v>10899</v>
      </c>
      <c r="BI133" s="2466">
        <v>6211.8</v>
      </c>
      <c r="BM133" s="2466">
        <v>10899</v>
      </c>
      <c r="BN133" s="2470"/>
      <c r="BO133" s="2472">
        <f>BM133+BN133</f>
        <v>10899</v>
      </c>
      <c r="BP133" s="2473">
        <f>IF(BM133=0," ",(BO133-BM133)/BM133)</f>
        <v>0</v>
      </c>
      <c r="BR133" s="2474">
        <v>10899</v>
      </c>
      <c r="BS133" s="2474">
        <v>10899</v>
      </c>
      <c r="BU133" s="2475"/>
      <c r="BW133" s="2474">
        <v>10899</v>
      </c>
      <c r="BX133" s="2466">
        <v>2340.98</v>
      </c>
      <c r="BZ133" s="2474">
        <v>10899</v>
      </c>
      <c r="CA133" s="2470"/>
      <c r="CB133" s="2472">
        <f>BZ133+CA133</f>
        <v>10899</v>
      </c>
      <c r="CC133" s="2473">
        <f>IF(BZ133=0," ",(CB133-BZ133)/BZ133)</f>
        <v>0</v>
      </c>
      <c r="CE133" s="2474">
        <v>10899</v>
      </c>
      <c r="CF133" s="2476">
        <f>IF(CB133=0," ",(CE133-CB133)/CB133)</f>
        <v>0</v>
      </c>
      <c r="CG133" s="2572">
        <f>10899-2000</f>
        <v>8899</v>
      </c>
      <c r="CH133" s="2449" t="s">
        <v>1217</v>
      </c>
      <c r="CI133" s="2449"/>
      <c r="CJ133" s="2450"/>
      <c r="CK133" s="2450"/>
      <c r="CO133" s="2477">
        <v>-0.4300578034682081</v>
      </c>
      <c r="CP133" s="2478">
        <f t="shared" si="41"/>
        <v>-4687.2</v>
      </c>
      <c r="CQ133" s="2478"/>
      <c r="CR133" s="2478"/>
      <c r="CS133" s="2478"/>
      <c r="CT133" s="2478"/>
    </row>
    <row r="134" spans="1:98" hidden="1" x14ac:dyDescent="0.2">
      <c r="A134" s="2395">
        <v>145</v>
      </c>
      <c r="C134" s="2396">
        <v>14505</v>
      </c>
      <c r="D134" s="2396">
        <v>53045</v>
      </c>
      <c r="E134" s="2397" t="s">
        <v>1268</v>
      </c>
      <c r="G134" s="2440" t="s">
        <v>1400</v>
      </c>
      <c r="I134" s="2470"/>
      <c r="M134" s="2467"/>
      <c r="N134" s="2467"/>
      <c r="P134" s="2469"/>
      <c r="V134" s="2470"/>
      <c r="Z134" s="2467"/>
      <c r="AA134" s="2467"/>
      <c r="AC134" s="2469"/>
      <c r="AI134" s="2470"/>
      <c r="AM134" s="2467"/>
      <c r="AN134" s="2467"/>
      <c r="AP134" s="2469"/>
      <c r="AS134" s="2466">
        <v>399.99</v>
      </c>
      <c r="AT134" s="2466"/>
      <c r="AY134" s="2470"/>
      <c r="BC134" s="2467"/>
      <c r="BD134" s="2467"/>
      <c r="BF134" s="2469"/>
      <c r="BH134" s="2467"/>
      <c r="BN134" s="2470"/>
      <c r="BO134" s="2472">
        <f>BM134+BN134</f>
        <v>0</v>
      </c>
      <c r="BR134" s="2474">
        <v>0</v>
      </c>
      <c r="BS134" s="2474">
        <v>0</v>
      </c>
      <c r="BU134" s="2475"/>
      <c r="BW134" s="2474">
        <v>0</v>
      </c>
      <c r="BZ134" s="2474">
        <v>0</v>
      </c>
      <c r="CA134" s="2470"/>
      <c r="CB134" s="2472">
        <f>BZ134+CA134</f>
        <v>0</v>
      </c>
      <c r="CE134" s="2474">
        <v>0</v>
      </c>
      <c r="CF134" s="2476"/>
      <c r="CG134" s="2474">
        <v>0</v>
      </c>
      <c r="CH134" s="2449" t="s">
        <v>1217</v>
      </c>
      <c r="CI134" s="2449"/>
      <c r="CJ134" s="2450"/>
      <c r="CK134" s="2450"/>
      <c r="CP134" s="2478">
        <f t="shared" ref="CP134:CP197" si="73">IFERROR(BI134-BH134,"")</f>
        <v>0</v>
      </c>
      <c r="CQ134" s="2478"/>
      <c r="CR134" s="2478"/>
      <c r="CS134" s="2478"/>
      <c r="CT134" s="2478"/>
    </row>
    <row r="135" spans="1:98" hidden="1" x14ac:dyDescent="0.2">
      <c r="A135" s="2395">
        <v>145</v>
      </c>
      <c r="B135" s="2440" t="s">
        <v>1214</v>
      </c>
      <c r="C135" s="2396">
        <v>14505</v>
      </c>
      <c r="D135" s="2396">
        <v>53141</v>
      </c>
      <c r="E135" s="2397" t="s">
        <v>1268</v>
      </c>
      <c r="F135" s="2440" t="s">
        <v>1214</v>
      </c>
      <c r="G135" s="2440" t="s">
        <v>1401</v>
      </c>
      <c r="H135" s="2466">
        <v>0</v>
      </c>
      <c r="I135" s="2470"/>
      <c r="J135" s="2466">
        <f>H135+I135</f>
        <v>0</v>
      </c>
      <c r="K135" s="2468" t="str">
        <f>IF(H135=0," ",(J135-H135)/H135)</f>
        <v xml:space="preserve"> </v>
      </c>
      <c r="M135" s="2467">
        <v>7000</v>
      </c>
      <c r="N135" s="2467">
        <v>7000</v>
      </c>
      <c r="P135" s="2469" t="s">
        <v>1402</v>
      </c>
      <c r="R135" s="2466">
        <v>7000</v>
      </c>
      <c r="S135" s="2466">
        <v>7000</v>
      </c>
      <c r="U135" s="2466">
        <v>7000</v>
      </c>
      <c r="V135" s="2470">
        <v>-7000</v>
      </c>
      <c r="W135" s="2466">
        <f>U135+V135</f>
        <v>0</v>
      </c>
      <c r="X135" s="2468">
        <f>IF(U135=0," ",(W135-U135)/U135)</f>
        <v>-1</v>
      </c>
      <c r="Z135" s="2467">
        <v>0</v>
      </c>
      <c r="AA135" s="2467">
        <v>0</v>
      </c>
      <c r="AC135" s="2469" t="s">
        <v>1403</v>
      </c>
      <c r="AE135" s="2466">
        <v>0</v>
      </c>
      <c r="AF135" s="2471">
        <v>0</v>
      </c>
      <c r="AH135" s="2466">
        <v>0</v>
      </c>
      <c r="AI135" s="2470"/>
      <c r="AJ135" s="2466">
        <f>AH135+AI135</f>
        <v>0</v>
      </c>
      <c r="AK135" s="2468" t="str">
        <f>IF(AH135=0," ",(AJ135-AH135)/AH135)</f>
        <v xml:space="preserve"> </v>
      </c>
      <c r="AM135" s="2467">
        <v>7650</v>
      </c>
      <c r="AN135" s="2467">
        <v>7650</v>
      </c>
      <c r="AP135" s="2530" t="s">
        <v>1404</v>
      </c>
      <c r="AR135" s="2466">
        <v>7650</v>
      </c>
      <c r="AS135" s="2466">
        <v>0</v>
      </c>
      <c r="AT135" s="2466"/>
      <c r="AU135" s="2466">
        <v>0</v>
      </c>
      <c r="AX135" s="2466">
        <v>0</v>
      </c>
      <c r="AY135" s="2470"/>
      <c r="AZ135" s="2466">
        <f>AX135+AY135</f>
        <v>0</v>
      </c>
      <c r="BA135" s="2468" t="str">
        <f>IF(AX135=0," ",(AZ135-AX135)/AX135)</f>
        <v xml:space="preserve"> </v>
      </c>
      <c r="BC135" s="2467">
        <v>0</v>
      </c>
      <c r="BD135" s="2467">
        <v>0</v>
      </c>
      <c r="BF135" s="2469" t="s">
        <v>1405</v>
      </c>
      <c r="BH135" s="2467">
        <v>0</v>
      </c>
      <c r="BM135" s="2466">
        <v>0</v>
      </c>
      <c r="BN135" s="2470"/>
      <c r="BO135" s="2472">
        <f>BM135+BN135</f>
        <v>0</v>
      </c>
      <c r="BP135" s="2473" t="str">
        <f>IF(BM135=0," ",(BO135-BM135)/BM135)</f>
        <v xml:space="preserve"> </v>
      </c>
      <c r="BR135" s="2474">
        <v>0</v>
      </c>
      <c r="BS135" s="2474">
        <v>8100</v>
      </c>
      <c r="BU135" s="2547" t="s">
        <v>1406</v>
      </c>
      <c r="BW135" s="2474">
        <v>8100</v>
      </c>
      <c r="BX135" s="2466">
        <v>8100</v>
      </c>
      <c r="BZ135" s="2474">
        <v>8100</v>
      </c>
      <c r="CA135" s="2470">
        <v>-8100</v>
      </c>
      <c r="CB135" s="2472">
        <f>BZ135+CA135</f>
        <v>0</v>
      </c>
      <c r="CC135" s="2473">
        <f>IF(BZ135=0," ",(CB135-BZ135)/BZ135)</f>
        <v>-1</v>
      </c>
      <c r="CE135" s="2474">
        <v>0</v>
      </c>
      <c r="CF135" s="2476" t="str">
        <f t="shared" ref="CF135:CF146" si="74">IF(CB135=0," ",(CE135-CB135)/CB135)</f>
        <v xml:space="preserve"> </v>
      </c>
      <c r="CG135" s="2474">
        <v>0</v>
      </c>
      <c r="CH135" s="2449" t="s">
        <v>1217</v>
      </c>
      <c r="CI135" s="2449"/>
      <c r="CJ135" s="2450"/>
      <c r="CK135" s="2450"/>
      <c r="CP135" s="2478">
        <f t="shared" si="73"/>
        <v>0</v>
      </c>
      <c r="CQ135" s="2478"/>
      <c r="CR135" s="2478"/>
      <c r="CS135" s="2478"/>
      <c r="CT135" s="2478"/>
    </row>
    <row r="136" spans="1:98" hidden="1" x14ac:dyDescent="0.2">
      <c r="A136" s="2395">
        <v>145</v>
      </c>
      <c r="B136" s="2440" t="s">
        <v>1214</v>
      </c>
      <c r="C136" s="2396">
        <v>14505</v>
      </c>
      <c r="D136" s="2396">
        <v>53430</v>
      </c>
      <c r="E136" s="2397" t="s">
        <v>1268</v>
      </c>
      <c r="F136" s="2440" t="s">
        <v>1214</v>
      </c>
      <c r="G136" s="2440" t="s">
        <v>1407</v>
      </c>
      <c r="H136" s="2466">
        <v>17213</v>
      </c>
      <c r="I136" s="2470"/>
      <c r="J136" s="2466">
        <f>H136+I136</f>
        <v>17213</v>
      </c>
      <c r="K136" s="2468">
        <f>IF(H136=0," ",(J136-H136)/H136)</f>
        <v>0</v>
      </c>
      <c r="M136" s="2467">
        <v>17213</v>
      </c>
      <c r="N136" s="2467">
        <v>17213</v>
      </c>
      <c r="P136" s="2469"/>
      <c r="R136" s="2466">
        <v>17213</v>
      </c>
      <c r="S136" s="2466">
        <v>13083.92</v>
      </c>
      <c r="U136" s="2466">
        <v>17213</v>
      </c>
      <c r="V136" s="2470">
        <v>0</v>
      </c>
      <c r="W136" s="2466">
        <f>U136+V136</f>
        <v>17213</v>
      </c>
      <c r="X136" s="2468">
        <f>IF(U136=0," ",(W136-U136)/U136)</f>
        <v>0</v>
      </c>
      <c r="Z136" s="2467">
        <v>17213</v>
      </c>
      <c r="AA136" s="2467">
        <v>17213</v>
      </c>
      <c r="AC136" s="2469"/>
      <c r="AE136" s="2466">
        <v>17213</v>
      </c>
      <c r="AF136" s="2471">
        <v>11703.08</v>
      </c>
      <c r="AH136" s="2466">
        <v>17213</v>
      </c>
      <c r="AI136" s="2470"/>
      <c r="AJ136" s="2466">
        <f>AH136+AI136</f>
        <v>17213</v>
      </c>
      <c r="AK136" s="2468">
        <f>IF(AH136=0," ",(AJ136-AH136)/AH136)</f>
        <v>0</v>
      </c>
      <c r="AM136" s="2467">
        <v>17213</v>
      </c>
      <c r="AN136" s="2467">
        <v>17213</v>
      </c>
      <c r="AP136" s="2469"/>
      <c r="AR136" s="2466">
        <v>17213</v>
      </c>
      <c r="AS136" s="2466">
        <v>13824.06</v>
      </c>
      <c r="AT136" s="2466"/>
      <c r="AU136" s="2466">
        <v>17213</v>
      </c>
      <c r="AV136" s="2466">
        <v>14244.61</v>
      </c>
      <c r="AX136" s="2466">
        <v>17213</v>
      </c>
      <c r="AY136" s="2470"/>
      <c r="AZ136" s="2466">
        <f>AX136+AY136</f>
        <v>17213</v>
      </c>
      <c r="BA136" s="2468">
        <f>IF(AX136=0," ",(AZ136-AX136)/AX136)</f>
        <v>0</v>
      </c>
      <c r="BC136" s="2467">
        <v>17213</v>
      </c>
      <c r="BD136" s="2467">
        <v>17213</v>
      </c>
      <c r="BF136" s="2469"/>
      <c r="BH136" s="2467">
        <v>17213</v>
      </c>
      <c r="BI136" s="2466">
        <v>14862.23</v>
      </c>
      <c r="BM136" s="2466">
        <v>17213</v>
      </c>
      <c r="BN136" s="2470"/>
      <c r="BO136" s="2472">
        <f>BM136+BN136</f>
        <v>17213</v>
      </c>
      <c r="BP136" s="2473">
        <f>IF(BM136=0," ",(BO136-BM136)/BM136)</f>
        <v>0</v>
      </c>
      <c r="BR136" s="2474">
        <v>17213</v>
      </c>
      <c r="BS136" s="2474">
        <v>17213</v>
      </c>
      <c r="BU136" s="2475"/>
      <c r="BW136" s="2474">
        <v>17213</v>
      </c>
      <c r="BX136" s="2466">
        <v>7976.12</v>
      </c>
      <c r="BZ136" s="2474">
        <v>17213</v>
      </c>
      <c r="CA136" s="2470"/>
      <c r="CB136" s="2472">
        <f>BZ136+CA136</f>
        <v>17213</v>
      </c>
      <c r="CC136" s="2473">
        <f>IF(BZ136=0," ",(CB136-BZ136)/BZ136)</f>
        <v>0</v>
      </c>
      <c r="CE136" s="2474">
        <v>17213</v>
      </c>
      <c r="CF136" s="2476">
        <f t="shared" si="74"/>
        <v>0</v>
      </c>
      <c r="CG136" s="2474">
        <v>17213</v>
      </c>
      <c r="CH136" s="2449" t="s">
        <v>1217</v>
      </c>
      <c r="CI136" s="2449"/>
      <c r="CJ136" s="2450"/>
      <c r="CK136" s="2450"/>
      <c r="CO136" s="2477">
        <v>-0.13656945332016501</v>
      </c>
      <c r="CP136" s="2478">
        <f t="shared" si="73"/>
        <v>-2350.7700000000004</v>
      </c>
      <c r="CQ136" s="2478"/>
      <c r="CR136" s="2478"/>
      <c r="CS136" s="2478"/>
      <c r="CT136" s="2478"/>
    </row>
    <row r="137" spans="1:98" hidden="1" x14ac:dyDescent="0.2">
      <c r="A137" s="2395">
        <v>145</v>
      </c>
      <c r="B137" s="2440" t="s">
        <v>1214</v>
      </c>
      <c r="C137" s="2396">
        <v>14505</v>
      </c>
      <c r="D137" s="2396">
        <v>53800</v>
      </c>
      <c r="E137" s="2397" t="s">
        <v>1268</v>
      </c>
      <c r="F137" s="2440" t="s">
        <v>1214</v>
      </c>
      <c r="G137" s="2440" t="s">
        <v>1408</v>
      </c>
      <c r="H137" s="2466">
        <v>10229</v>
      </c>
      <c r="I137" s="2470">
        <v>231</v>
      </c>
      <c r="J137" s="2466">
        <f>H137+I137</f>
        <v>10460</v>
      </c>
      <c r="K137" s="2468">
        <f t="shared" ref="K137:K145" si="75">IF(H137=0," ",(J137-H137)/H137)</f>
        <v>2.2582852673770651E-2</v>
      </c>
      <c r="M137" s="2467">
        <v>10460</v>
      </c>
      <c r="N137" s="2467">
        <v>10460</v>
      </c>
      <c r="P137" s="2469"/>
      <c r="R137" s="2466">
        <v>10460</v>
      </c>
      <c r="S137" s="2466">
        <v>9345</v>
      </c>
      <c r="U137" s="2466">
        <v>10460</v>
      </c>
      <c r="V137" s="2470">
        <v>0</v>
      </c>
      <c r="W137" s="2466">
        <f>U137+V137</f>
        <v>10460</v>
      </c>
      <c r="X137" s="2468">
        <f t="shared" ref="X137:X145" si="76">IF(U137=0," ",(W137-U137)/U137)</f>
        <v>0</v>
      </c>
      <c r="Z137" s="2467">
        <v>10460</v>
      </c>
      <c r="AA137" s="2467">
        <v>10460</v>
      </c>
      <c r="AC137" s="2469"/>
      <c r="AE137" s="2466">
        <v>10460</v>
      </c>
      <c r="AF137" s="2471">
        <v>9621.5</v>
      </c>
      <c r="AH137" s="2466">
        <v>10460</v>
      </c>
      <c r="AI137" s="2470"/>
      <c r="AJ137" s="2466">
        <f>AH137+AI137</f>
        <v>10460</v>
      </c>
      <c r="AK137" s="2468">
        <f t="shared" ref="AK137:AK145" si="77">IF(AH137=0," ",(AJ137-AH137)/AH137)</f>
        <v>0</v>
      </c>
      <c r="AM137" s="2467">
        <v>10460</v>
      </c>
      <c r="AN137" s="2467">
        <v>10460</v>
      </c>
      <c r="AP137" s="2469"/>
      <c r="AR137" s="2466">
        <v>10460</v>
      </c>
      <c r="AS137" s="2466">
        <v>8787</v>
      </c>
      <c r="AT137" s="2466"/>
      <c r="AU137" s="2466">
        <v>10460</v>
      </c>
      <c r="AV137" s="2466">
        <v>8385.5</v>
      </c>
      <c r="AX137" s="2466">
        <v>10460</v>
      </c>
      <c r="AY137" s="2470"/>
      <c r="AZ137" s="2466">
        <f>AX137+AY137</f>
        <v>10460</v>
      </c>
      <c r="BA137" s="2468">
        <f t="shared" ref="BA137:BA145" si="78">IF(AX137=0," ",(AZ137-AX137)/AX137)</f>
        <v>0</v>
      </c>
      <c r="BC137" s="2467">
        <v>10460</v>
      </c>
      <c r="BD137" s="2467">
        <v>10460</v>
      </c>
      <c r="BF137" s="2469"/>
      <c r="BH137" s="2467">
        <v>10460</v>
      </c>
      <c r="BI137" s="2466">
        <v>8270.5</v>
      </c>
      <c r="BM137" s="2466">
        <v>10460</v>
      </c>
      <c r="BN137" s="2470"/>
      <c r="BO137" s="2472">
        <f>BM137+BN137</f>
        <v>10460</v>
      </c>
      <c r="BP137" s="2473">
        <f t="shared" ref="BP137:BP142" si="79">IF(BM137=0," ",(BO137-BM137)/BM137)</f>
        <v>0</v>
      </c>
      <c r="BR137" s="2474">
        <v>10460</v>
      </c>
      <c r="BS137" s="2474">
        <v>10460</v>
      </c>
      <c r="BU137" s="2475"/>
      <c r="BW137" s="2474">
        <v>10460</v>
      </c>
      <c r="BX137" s="2466">
        <v>2151</v>
      </c>
      <c r="BZ137" s="2474">
        <v>10460</v>
      </c>
      <c r="CA137" s="2470"/>
      <c r="CB137" s="2472">
        <f>BZ137+CA137</f>
        <v>10460</v>
      </c>
      <c r="CC137" s="2473">
        <f t="shared" ref="CC137:CC142" si="80">IF(BZ137=0," ",(CB137-BZ137)/BZ137)</f>
        <v>0</v>
      </c>
      <c r="CE137" s="2474">
        <v>10460</v>
      </c>
      <c r="CF137" s="2476">
        <f t="shared" si="74"/>
        <v>0</v>
      </c>
      <c r="CG137" s="2474">
        <v>10460</v>
      </c>
      <c r="CH137" s="2449" t="s">
        <v>1217</v>
      </c>
      <c r="CI137" s="2449"/>
      <c r="CJ137" s="2450"/>
      <c r="CK137" s="2450"/>
      <c r="CO137" s="2477">
        <v>-0.20932122370936901</v>
      </c>
      <c r="CP137" s="2478">
        <f t="shared" si="73"/>
        <v>-2189.5</v>
      </c>
      <c r="CQ137" s="2478"/>
      <c r="CR137" s="2478"/>
      <c r="CS137" s="2478"/>
      <c r="CT137" s="2478"/>
    </row>
    <row r="138" spans="1:98" hidden="1" x14ac:dyDescent="0.2">
      <c r="A138" s="2395">
        <v>145</v>
      </c>
      <c r="B138" s="2440" t="s">
        <v>1214</v>
      </c>
      <c r="C138" s="2396">
        <v>14505</v>
      </c>
      <c r="D138" s="2396">
        <v>53801</v>
      </c>
      <c r="E138" s="2397" t="s">
        <v>1268</v>
      </c>
      <c r="F138" s="2440" t="s">
        <v>1214</v>
      </c>
      <c r="G138" s="2440" t="s">
        <v>1409</v>
      </c>
      <c r="H138" s="2466">
        <v>3476</v>
      </c>
      <c r="I138" s="2470">
        <v>49</v>
      </c>
      <c r="J138" s="2466">
        <f t="shared" ref="J138:J145" si="81">H138+I138</f>
        <v>3525</v>
      </c>
      <c r="K138" s="2468">
        <f t="shared" si="75"/>
        <v>1.4096662830840045E-2</v>
      </c>
      <c r="M138" s="2467">
        <v>3525</v>
      </c>
      <c r="N138" s="2467">
        <v>3525</v>
      </c>
      <c r="P138" s="2469"/>
      <c r="R138" s="2466">
        <v>3525</v>
      </c>
      <c r="S138" s="2466">
        <v>2607.86</v>
      </c>
      <c r="U138" s="2466">
        <v>3525</v>
      </c>
      <c r="V138" s="2470">
        <v>0</v>
      </c>
      <c r="W138" s="2466">
        <f t="shared" ref="W138:W145" si="82">U138+V138</f>
        <v>3525</v>
      </c>
      <c r="X138" s="2468">
        <f t="shared" si="76"/>
        <v>0</v>
      </c>
      <c r="Z138" s="2467">
        <v>3525</v>
      </c>
      <c r="AA138" s="2467">
        <v>3525</v>
      </c>
      <c r="AC138" s="2469"/>
      <c r="AE138" s="2466">
        <v>3525</v>
      </c>
      <c r="AF138" s="2471">
        <v>2011.7</v>
      </c>
      <c r="AH138" s="2466">
        <v>3525</v>
      </c>
      <c r="AI138" s="2470">
        <v>-500</v>
      </c>
      <c r="AJ138" s="2466">
        <f t="shared" ref="AJ138:AJ145" si="83">AH138+AI138</f>
        <v>3025</v>
      </c>
      <c r="AK138" s="2468">
        <f t="shared" si="77"/>
        <v>-0.14184397163120568</v>
      </c>
      <c r="AM138" s="2467">
        <v>3025</v>
      </c>
      <c r="AN138" s="2467">
        <v>3025</v>
      </c>
      <c r="AP138" s="2469"/>
      <c r="AR138" s="2466">
        <v>3025</v>
      </c>
      <c r="AS138" s="2466">
        <v>2033.55</v>
      </c>
      <c r="AT138" s="2466"/>
      <c r="AU138" s="2466">
        <v>3025</v>
      </c>
      <c r="AV138" s="2466">
        <v>2189.08</v>
      </c>
      <c r="AX138" s="2466">
        <v>3025</v>
      </c>
      <c r="AY138" s="2470"/>
      <c r="AZ138" s="2466">
        <f t="shared" ref="AZ138:AZ145" si="84">AX138+AY138</f>
        <v>3025</v>
      </c>
      <c r="BA138" s="2468">
        <f t="shared" si="78"/>
        <v>0</v>
      </c>
      <c r="BC138" s="2467">
        <v>3025</v>
      </c>
      <c r="BD138" s="2467">
        <v>3025</v>
      </c>
      <c r="BF138" s="2469"/>
      <c r="BH138" s="2467">
        <v>3025</v>
      </c>
      <c r="BI138" s="2466">
        <v>2048.39</v>
      </c>
      <c r="BM138" s="2466">
        <v>3025</v>
      </c>
      <c r="BN138" s="2470"/>
      <c r="BO138" s="2472">
        <f t="shared" ref="BO138:BO142" si="85">BM138+BN138</f>
        <v>3025</v>
      </c>
      <c r="BP138" s="2473">
        <f t="shared" si="79"/>
        <v>0</v>
      </c>
      <c r="BR138" s="2474">
        <v>3025</v>
      </c>
      <c r="BS138" s="2474">
        <v>3025</v>
      </c>
      <c r="BU138" s="2475"/>
      <c r="BW138" s="2474">
        <v>3025</v>
      </c>
      <c r="BX138" s="2466">
        <v>693.66</v>
      </c>
      <c r="BZ138" s="2474">
        <v>3025</v>
      </c>
      <c r="CA138" s="2470"/>
      <c r="CB138" s="2472">
        <f t="shared" ref="CB138:CB142" si="86">BZ138+CA138</f>
        <v>3025</v>
      </c>
      <c r="CC138" s="2473">
        <f t="shared" si="80"/>
        <v>0</v>
      </c>
      <c r="CE138" s="2474">
        <v>3025</v>
      </c>
      <c r="CF138" s="2476">
        <f t="shared" si="74"/>
        <v>0</v>
      </c>
      <c r="CG138" s="2474">
        <v>3025</v>
      </c>
      <c r="CH138" s="2449" t="s">
        <v>1217</v>
      </c>
      <c r="CI138" s="2449"/>
      <c r="CJ138" s="2450"/>
      <c r="CK138" s="2450"/>
      <c r="CO138" s="2477">
        <v>-0.32284628099173562</v>
      </c>
      <c r="CP138" s="2478">
        <f t="shared" si="73"/>
        <v>-976.61000000000013</v>
      </c>
      <c r="CQ138" s="2478"/>
      <c r="CR138" s="2478"/>
      <c r="CS138" s="2478"/>
      <c r="CT138" s="2478"/>
    </row>
    <row r="139" spans="1:98" hidden="1" x14ac:dyDescent="0.2">
      <c r="A139" s="2395">
        <v>145</v>
      </c>
      <c r="B139" s="2440" t="s">
        <v>1214</v>
      </c>
      <c r="C139" s="2396">
        <v>14505</v>
      </c>
      <c r="D139" s="2396">
        <v>54200</v>
      </c>
      <c r="E139" s="2397" t="s">
        <v>1268</v>
      </c>
      <c r="F139" s="2440" t="s">
        <v>1214</v>
      </c>
      <c r="G139" s="2440" t="s">
        <v>1410</v>
      </c>
      <c r="H139" s="2466">
        <v>1022</v>
      </c>
      <c r="I139" s="2470">
        <v>253</v>
      </c>
      <c r="J139" s="2466">
        <f t="shared" si="81"/>
        <v>1275</v>
      </c>
      <c r="K139" s="2468">
        <f t="shared" si="75"/>
        <v>0.24755381604696672</v>
      </c>
      <c r="M139" s="2467">
        <v>1275</v>
      </c>
      <c r="N139" s="2467">
        <v>1275</v>
      </c>
      <c r="P139" s="2469"/>
      <c r="R139" s="2466">
        <v>1275</v>
      </c>
      <c r="S139" s="2466">
        <v>3147.82</v>
      </c>
      <c r="U139" s="2466">
        <v>1275</v>
      </c>
      <c r="V139" s="2470">
        <v>0</v>
      </c>
      <c r="W139" s="2466">
        <f t="shared" si="82"/>
        <v>1275</v>
      </c>
      <c r="X139" s="2468">
        <f t="shared" si="76"/>
        <v>0</v>
      </c>
      <c r="Z139" s="2467">
        <v>1275</v>
      </c>
      <c r="AA139" s="2467">
        <v>1275</v>
      </c>
      <c r="AC139" s="2469"/>
      <c r="AE139" s="2466">
        <v>1275</v>
      </c>
      <c r="AF139" s="2471">
        <v>1426.41</v>
      </c>
      <c r="AH139" s="2466">
        <v>1275</v>
      </c>
      <c r="AI139" s="2470">
        <v>1500</v>
      </c>
      <c r="AJ139" s="2466">
        <f t="shared" si="83"/>
        <v>2775</v>
      </c>
      <c r="AK139" s="2468">
        <f t="shared" si="77"/>
        <v>1.1764705882352942</v>
      </c>
      <c r="AM139" s="2467">
        <v>2775</v>
      </c>
      <c r="AN139" s="2467">
        <v>2775</v>
      </c>
      <c r="AP139" s="2469"/>
      <c r="AR139" s="2466">
        <v>2775</v>
      </c>
      <c r="AS139" s="2466">
        <v>2384.4699999999998</v>
      </c>
      <c r="AT139" s="2466"/>
      <c r="AU139" s="2466">
        <v>2775</v>
      </c>
      <c r="AV139" s="2466">
        <v>1223</v>
      </c>
      <c r="AX139" s="2466">
        <v>2775</v>
      </c>
      <c r="AY139" s="2470"/>
      <c r="AZ139" s="2466">
        <f t="shared" si="84"/>
        <v>2775</v>
      </c>
      <c r="BA139" s="2468">
        <f t="shared" si="78"/>
        <v>0</v>
      </c>
      <c r="BC139" s="2467">
        <v>2775</v>
      </c>
      <c r="BD139" s="2467">
        <v>2775</v>
      </c>
      <c r="BF139" s="2469"/>
      <c r="BH139" s="2467">
        <v>2775</v>
      </c>
      <c r="BI139" s="2466">
        <v>819.07</v>
      </c>
      <c r="BM139" s="2466">
        <v>2775</v>
      </c>
      <c r="BN139" s="2470"/>
      <c r="BO139" s="2472">
        <f t="shared" si="85"/>
        <v>2775</v>
      </c>
      <c r="BP139" s="2473">
        <f t="shared" si="79"/>
        <v>0</v>
      </c>
      <c r="BR139" s="2474">
        <v>2775</v>
      </c>
      <c r="BS139" s="2474">
        <v>2775</v>
      </c>
      <c r="BU139" s="2475"/>
      <c r="BW139" s="2474">
        <v>2775</v>
      </c>
      <c r="BX139" s="2466">
        <v>152.05000000000001</v>
      </c>
      <c r="BZ139" s="2474">
        <v>2775</v>
      </c>
      <c r="CA139" s="2470"/>
      <c r="CB139" s="2472">
        <f t="shared" si="86"/>
        <v>2775</v>
      </c>
      <c r="CC139" s="2473">
        <f t="shared" si="80"/>
        <v>0</v>
      </c>
      <c r="CE139" s="2474">
        <v>2775</v>
      </c>
      <c r="CF139" s="2476">
        <f t="shared" si="74"/>
        <v>0</v>
      </c>
      <c r="CG139" s="2474">
        <v>2775</v>
      </c>
      <c r="CH139" s="2449" t="s">
        <v>1217</v>
      </c>
      <c r="CI139" s="2449"/>
      <c r="CJ139" s="2450"/>
      <c r="CK139" s="2450"/>
      <c r="CO139" s="2477">
        <v>-0.70483963963963969</v>
      </c>
      <c r="CP139" s="2478">
        <f t="shared" si="73"/>
        <v>-1955.9299999999998</v>
      </c>
      <c r="CQ139" s="2478"/>
      <c r="CR139" s="2478"/>
      <c r="CS139" s="2478"/>
      <c r="CT139" s="2478"/>
    </row>
    <row r="140" spans="1:98" hidden="1" x14ac:dyDescent="0.2">
      <c r="A140" s="2395">
        <v>145</v>
      </c>
      <c r="B140" s="2440" t="s">
        <v>1214</v>
      </c>
      <c r="C140" s="2396">
        <v>14505</v>
      </c>
      <c r="D140" s="2396">
        <v>54210</v>
      </c>
      <c r="E140" s="2397" t="s">
        <v>1268</v>
      </c>
      <c r="F140" s="2440" t="s">
        <v>1214</v>
      </c>
      <c r="G140" s="2440" t="s">
        <v>1411</v>
      </c>
      <c r="H140" s="2466">
        <v>4364</v>
      </c>
      <c r="I140" s="2470">
        <v>86</v>
      </c>
      <c r="J140" s="2466">
        <f t="shared" si="81"/>
        <v>4450</v>
      </c>
      <c r="K140" s="2468">
        <f t="shared" si="75"/>
        <v>1.9706691109074245E-2</v>
      </c>
      <c r="M140" s="2467">
        <v>4450</v>
      </c>
      <c r="N140" s="2467">
        <v>4450</v>
      </c>
      <c r="P140" s="2469"/>
      <c r="R140" s="2466">
        <v>4450</v>
      </c>
      <c r="S140" s="2466">
        <v>3066.28</v>
      </c>
      <c r="U140" s="2466">
        <v>4450</v>
      </c>
      <c r="V140" s="2470">
        <v>0</v>
      </c>
      <c r="W140" s="2466">
        <f t="shared" si="82"/>
        <v>4450</v>
      </c>
      <c r="X140" s="2468">
        <f t="shared" si="76"/>
        <v>0</v>
      </c>
      <c r="Z140" s="2467">
        <v>4450</v>
      </c>
      <c r="AA140" s="2467">
        <v>4450</v>
      </c>
      <c r="AC140" s="2469"/>
      <c r="AE140" s="2466">
        <v>4450</v>
      </c>
      <c r="AF140" s="2471">
        <v>4237.92</v>
      </c>
      <c r="AH140" s="2466">
        <v>4450</v>
      </c>
      <c r="AI140" s="2470">
        <v>-1000</v>
      </c>
      <c r="AJ140" s="2466">
        <f t="shared" si="83"/>
        <v>3450</v>
      </c>
      <c r="AK140" s="2468">
        <f t="shared" si="77"/>
        <v>-0.2247191011235955</v>
      </c>
      <c r="AM140" s="2467">
        <v>3450</v>
      </c>
      <c r="AN140" s="2467">
        <v>3450</v>
      </c>
      <c r="AP140" s="2469"/>
      <c r="AR140" s="2466">
        <v>3450</v>
      </c>
      <c r="AS140" s="2466">
        <v>3276.62</v>
      </c>
      <c r="AT140" s="2466"/>
      <c r="AU140" s="2466">
        <v>3450</v>
      </c>
      <c r="AV140" s="2466">
        <v>391.5</v>
      </c>
      <c r="AX140" s="2466">
        <v>3450</v>
      </c>
      <c r="AY140" s="2470"/>
      <c r="AZ140" s="2466">
        <f t="shared" si="84"/>
        <v>3450</v>
      </c>
      <c r="BA140" s="2468">
        <f t="shared" si="78"/>
        <v>0</v>
      </c>
      <c r="BC140" s="2467">
        <v>3450</v>
      </c>
      <c r="BD140" s="2467">
        <v>3450</v>
      </c>
      <c r="BF140" s="2469"/>
      <c r="BH140" s="2467">
        <v>3450</v>
      </c>
      <c r="BI140" s="2466">
        <v>437.62</v>
      </c>
      <c r="BM140" s="2466">
        <v>3450</v>
      </c>
      <c r="BN140" s="2470"/>
      <c r="BO140" s="2472">
        <f t="shared" si="85"/>
        <v>3450</v>
      </c>
      <c r="BP140" s="2473">
        <f t="shared" si="79"/>
        <v>0</v>
      </c>
      <c r="BR140" s="2474">
        <v>3450</v>
      </c>
      <c r="BS140" s="2474">
        <v>3450</v>
      </c>
      <c r="BU140" s="2475"/>
      <c r="BW140" s="2474">
        <v>3450</v>
      </c>
      <c r="BX140" s="2466">
        <v>474.18</v>
      </c>
      <c r="BZ140" s="2474">
        <v>3450</v>
      </c>
      <c r="CA140" s="2470"/>
      <c r="CB140" s="2472">
        <f t="shared" si="86"/>
        <v>3450</v>
      </c>
      <c r="CC140" s="2473">
        <f t="shared" si="80"/>
        <v>0</v>
      </c>
      <c r="CE140" s="2474">
        <v>3450</v>
      </c>
      <c r="CF140" s="2476">
        <f t="shared" si="74"/>
        <v>0</v>
      </c>
      <c r="CG140" s="2572">
        <f>3450-2500</f>
        <v>950</v>
      </c>
      <c r="CH140" s="2449" t="s">
        <v>1217</v>
      </c>
      <c r="CI140" s="2449"/>
      <c r="CJ140" s="2450"/>
      <c r="CK140" s="2450"/>
      <c r="CO140" s="2477">
        <v>-0.87315362318840584</v>
      </c>
      <c r="CP140" s="2478">
        <f t="shared" si="73"/>
        <v>-3012.38</v>
      </c>
      <c r="CQ140" s="2478"/>
      <c r="CR140" s="2478"/>
      <c r="CS140" s="2478"/>
      <c r="CT140" s="2478"/>
    </row>
    <row r="141" spans="1:98" hidden="1" x14ac:dyDescent="0.2">
      <c r="A141" s="2395">
        <v>145</v>
      </c>
      <c r="B141" s="2440" t="s">
        <v>1214</v>
      </c>
      <c r="C141" s="2396">
        <v>14505</v>
      </c>
      <c r="D141" s="2396">
        <v>57100</v>
      </c>
      <c r="E141" s="2397" t="s">
        <v>1268</v>
      </c>
      <c r="F141" s="2440" t="s">
        <v>1214</v>
      </c>
      <c r="G141" s="2440" t="s">
        <v>1412</v>
      </c>
      <c r="H141" s="2466">
        <v>1590</v>
      </c>
      <c r="I141" s="2470">
        <v>375</v>
      </c>
      <c r="J141" s="2466">
        <f t="shared" si="81"/>
        <v>1965</v>
      </c>
      <c r="K141" s="2468">
        <f t="shared" si="75"/>
        <v>0.23584905660377359</v>
      </c>
      <c r="M141" s="2467">
        <v>1965</v>
      </c>
      <c r="N141" s="2467">
        <v>1965</v>
      </c>
      <c r="P141" s="2469"/>
      <c r="R141" s="2466">
        <v>1965</v>
      </c>
      <c r="S141" s="2466">
        <v>1692.5</v>
      </c>
      <c r="U141" s="2466">
        <v>1965</v>
      </c>
      <c r="V141" s="2470">
        <v>0</v>
      </c>
      <c r="W141" s="2466">
        <f t="shared" si="82"/>
        <v>1965</v>
      </c>
      <c r="X141" s="2468">
        <f t="shared" si="76"/>
        <v>0</v>
      </c>
      <c r="Z141" s="2467">
        <v>1965</v>
      </c>
      <c r="AA141" s="2467">
        <v>1965</v>
      </c>
      <c r="AC141" s="2469"/>
      <c r="AE141" s="2466">
        <v>1965</v>
      </c>
      <c r="AF141" s="2471">
        <v>1510.74</v>
      </c>
      <c r="AH141" s="2466">
        <v>1965</v>
      </c>
      <c r="AI141" s="2470"/>
      <c r="AJ141" s="2466">
        <f t="shared" si="83"/>
        <v>1965</v>
      </c>
      <c r="AK141" s="2468">
        <f t="shared" si="77"/>
        <v>0</v>
      </c>
      <c r="AM141" s="2467">
        <v>1965</v>
      </c>
      <c r="AN141" s="2467">
        <v>1965</v>
      </c>
      <c r="AP141" s="2469"/>
      <c r="AR141" s="2466">
        <v>1965</v>
      </c>
      <c r="AS141" s="2466">
        <v>1852.54</v>
      </c>
      <c r="AT141" s="2466"/>
      <c r="AU141" s="2466">
        <v>1965</v>
      </c>
      <c r="AV141" s="2466">
        <v>80</v>
      </c>
      <c r="AX141" s="2466">
        <v>1965</v>
      </c>
      <c r="AY141" s="2470"/>
      <c r="AZ141" s="2466">
        <f t="shared" si="84"/>
        <v>1965</v>
      </c>
      <c r="BA141" s="2468">
        <f t="shared" si="78"/>
        <v>0</v>
      </c>
      <c r="BC141" s="2467">
        <v>1965</v>
      </c>
      <c r="BD141" s="2467">
        <v>1965</v>
      </c>
      <c r="BF141" s="2469"/>
      <c r="BH141" s="2467">
        <v>1965</v>
      </c>
      <c r="BI141" s="2466">
        <v>40</v>
      </c>
      <c r="BM141" s="2466">
        <v>1965</v>
      </c>
      <c r="BN141" s="2470"/>
      <c r="BO141" s="2472">
        <f t="shared" si="85"/>
        <v>1965</v>
      </c>
      <c r="BP141" s="2473">
        <f t="shared" si="79"/>
        <v>0</v>
      </c>
      <c r="BR141" s="2474">
        <v>1965</v>
      </c>
      <c r="BS141" s="2474">
        <v>1965</v>
      </c>
      <c r="BU141" s="2475"/>
      <c r="BW141" s="2474">
        <v>1965</v>
      </c>
      <c r="BZ141" s="2474">
        <v>1965</v>
      </c>
      <c r="CA141" s="2470"/>
      <c r="CB141" s="2472">
        <f t="shared" si="86"/>
        <v>1965</v>
      </c>
      <c r="CC141" s="2473">
        <f t="shared" si="80"/>
        <v>0</v>
      </c>
      <c r="CE141" s="2474">
        <v>1965</v>
      </c>
      <c r="CF141" s="2476">
        <f t="shared" si="74"/>
        <v>0</v>
      </c>
      <c r="CG141" s="2474">
        <v>1965</v>
      </c>
      <c r="CH141" s="2449" t="s">
        <v>1217</v>
      </c>
      <c r="CI141" s="2449"/>
      <c r="CJ141" s="2450"/>
      <c r="CK141" s="2450"/>
      <c r="CO141" s="2477">
        <v>-0.97964376590330793</v>
      </c>
      <c r="CP141" s="2478">
        <f t="shared" si="73"/>
        <v>-1925</v>
      </c>
      <c r="CQ141" s="2478"/>
      <c r="CR141" s="2478"/>
      <c r="CS141" s="2478"/>
      <c r="CT141" s="2478"/>
    </row>
    <row r="142" spans="1:98" hidden="1" x14ac:dyDescent="0.2">
      <c r="A142" s="2395">
        <v>145</v>
      </c>
      <c r="B142" s="2440" t="s">
        <v>1214</v>
      </c>
      <c r="C142" s="2396">
        <v>14505</v>
      </c>
      <c r="D142" s="2396">
        <v>57300</v>
      </c>
      <c r="E142" s="2397" t="s">
        <v>1268</v>
      </c>
      <c r="F142" s="2440" t="s">
        <v>1214</v>
      </c>
      <c r="G142" s="2440" t="s">
        <v>1413</v>
      </c>
      <c r="H142" s="2466">
        <v>312</v>
      </c>
      <c r="I142" s="2470">
        <v>28</v>
      </c>
      <c r="J142" s="2466">
        <f t="shared" si="81"/>
        <v>340</v>
      </c>
      <c r="K142" s="2468">
        <f t="shared" si="75"/>
        <v>8.9743589743589744E-2</v>
      </c>
      <c r="M142" s="2467">
        <v>340</v>
      </c>
      <c r="N142" s="2467">
        <v>340</v>
      </c>
      <c r="P142" s="2469"/>
      <c r="R142" s="2466">
        <v>340</v>
      </c>
      <c r="S142" s="2466">
        <v>371.86</v>
      </c>
      <c r="U142" s="2466">
        <v>340</v>
      </c>
      <c r="V142" s="2470">
        <v>0</v>
      </c>
      <c r="W142" s="2466">
        <f t="shared" si="82"/>
        <v>340</v>
      </c>
      <c r="X142" s="2468">
        <f t="shared" si="76"/>
        <v>0</v>
      </c>
      <c r="Z142" s="2467">
        <v>340</v>
      </c>
      <c r="AA142" s="2467">
        <v>340</v>
      </c>
      <c r="AC142" s="2469"/>
      <c r="AE142" s="2466">
        <v>340</v>
      </c>
      <c r="AF142" s="2471">
        <v>505.64</v>
      </c>
      <c r="AH142" s="2466">
        <v>340</v>
      </c>
      <c r="AI142" s="2470"/>
      <c r="AJ142" s="2466">
        <f t="shared" si="83"/>
        <v>340</v>
      </c>
      <c r="AK142" s="2468">
        <f t="shared" si="77"/>
        <v>0</v>
      </c>
      <c r="AM142" s="2467">
        <v>340</v>
      </c>
      <c r="AN142" s="2467">
        <v>340</v>
      </c>
      <c r="AP142" s="2469"/>
      <c r="AR142" s="2466">
        <v>340</v>
      </c>
      <c r="AS142" s="2466">
        <v>330</v>
      </c>
      <c r="AT142" s="2466"/>
      <c r="AU142" s="2466">
        <v>340</v>
      </c>
      <c r="AV142" s="2466">
        <v>300</v>
      </c>
      <c r="AX142" s="2466">
        <v>340</v>
      </c>
      <c r="AY142" s="2470"/>
      <c r="AZ142" s="2466">
        <f t="shared" si="84"/>
        <v>340</v>
      </c>
      <c r="BA142" s="2468">
        <f t="shared" si="78"/>
        <v>0</v>
      </c>
      <c r="BC142" s="2467">
        <v>340</v>
      </c>
      <c r="BD142" s="2467">
        <v>340</v>
      </c>
      <c r="BF142" s="2469"/>
      <c r="BH142" s="2467">
        <v>340</v>
      </c>
      <c r="BI142" s="2466">
        <v>300</v>
      </c>
      <c r="BM142" s="2466">
        <v>340</v>
      </c>
      <c r="BN142" s="2470"/>
      <c r="BO142" s="2472">
        <f t="shared" si="85"/>
        <v>340</v>
      </c>
      <c r="BP142" s="2473">
        <f t="shared" si="79"/>
        <v>0</v>
      </c>
      <c r="BR142" s="2474">
        <v>340</v>
      </c>
      <c r="BS142" s="2474">
        <v>340</v>
      </c>
      <c r="BU142" s="2475"/>
      <c r="BW142" s="2474">
        <v>340</v>
      </c>
      <c r="BX142" s="2466">
        <v>300</v>
      </c>
      <c r="BZ142" s="2474">
        <v>340</v>
      </c>
      <c r="CA142" s="2470"/>
      <c r="CB142" s="2472">
        <f t="shared" si="86"/>
        <v>340</v>
      </c>
      <c r="CC142" s="2473">
        <f t="shared" si="80"/>
        <v>0</v>
      </c>
      <c r="CE142" s="2474">
        <v>340</v>
      </c>
      <c r="CF142" s="2476">
        <f t="shared" si="74"/>
        <v>0</v>
      </c>
      <c r="CG142" s="2474">
        <v>340</v>
      </c>
      <c r="CH142" s="2449" t="s">
        <v>1217</v>
      </c>
      <c r="CI142" s="2449"/>
      <c r="CJ142" s="2450"/>
      <c r="CK142" s="2450"/>
      <c r="CO142" s="2477">
        <v>-0.11764705882352944</v>
      </c>
      <c r="CP142" s="2478">
        <f t="shared" si="73"/>
        <v>-40</v>
      </c>
      <c r="CQ142" s="2478"/>
      <c r="CR142" s="2478"/>
      <c r="CS142" s="2478"/>
      <c r="CT142" s="2478"/>
    </row>
    <row r="143" spans="1:98" hidden="1" x14ac:dyDescent="0.2">
      <c r="A143" s="2395">
        <v>145</v>
      </c>
      <c r="B143" s="2440" t="s">
        <v>1214</v>
      </c>
      <c r="C143" s="2396">
        <v>14505</v>
      </c>
      <c r="D143" s="2396">
        <v>57600</v>
      </c>
      <c r="E143" s="2397" t="s">
        <v>1268</v>
      </c>
      <c r="F143" s="2440" t="s">
        <v>1214</v>
      </c>
      <c r="G143" s="2440" t="s">
        <v>1414</v>
      </c>
      <c r="I143" s="2470"/>
      <c r="M143" s="2467"/>
      <c r="N143" s="2467"/>
      <c r="P143" s="2469"/>
      <c r="V143" s="2470"/>
      <c r="Z143" s="2467"/>
      <c r="AA143" s="2467"/>
      <c r="AC143" s="2469"/>
      <c r="AI143" s="2470"/>
      <c r="AM143" s="2467"/>
      <c r="AN143" s="2467"/>
      <c r="AP143" s="2469"/>
      <c r="AS143" s="2466"/>
      <c r="AT143" s="2466"/>
      <c r="AV143" s="2466">
        <v>10305.49</v>
      </c>
      <c r="AY143" s="2470"/>
      <c r="AZ143" s="2466">
        <f>AX143+AY143</f>
        <v>0</v>
      </c>
      <c r="BA143" s="2468" t="str">
        <f>IF(AX143=0," ",(AZ143-AX143)/AX143)</f>
        <v xml:space="preserve"> </v>
      </c>
      <c r="BC143" s="2467">
        <v>0</v>
      </c>
      <c r="BD143" s="2467">
        <v>0</v>
      </c>
      <c r="BF143" s="2469"/>
      <c r="BH143" s="2467">
        <v>0</v>
      </c>
      <c r="BM143" s="2466">
        <v>0</v>
      </c>
      <c r="BN143" s="2470"/>
      <c r="BO143" s="2472">
        <f>BM143+BN143</f>
        <v>0</v>
      </c>
      <c r="BP143" s="2473" t="str">
        <f>IF(BM143=0," ",(BO143-BM143)/BM143)</f>
        <v xml:space="preserve"> </v>
      </c>
      <c r="BR143" s="2474">
        <v>0</v>
      </c>
      <c r="BS143" s="2474">
        <v>0</v>
      </c>
      <c r="BU143" s="2475"/>
      <c r="BW143" s="2474">
        <v>0</v>
      </c>
      <c r="BZ143" s="2474">
        <v>0</v>
      </c>
      <c r="CA143" s="2470"/>
      <c r="CB143" s="2472">
        <f>BZ143+CA143</f>
        <v>0</v>
      </c>
      <c r="CC143" s="2473" t="str">
        <f>IF(BZ143=0," ",(CB143-BZ143)/BZ143)</f>
        <v xml:space="preserve"> </v>
      </c>
      <c r="CE143" s="2474">
        <v>0</v>
      </c>
      <c r="CF143" s="2476" t="str">
        <f t="shared" si="74"/>
        <v xml:space="preserve"> </v>
      </c>
      <c r="CG143" s="2474">
        <v>0</v>
      </c>
      <c r="CH143" s="2449" t="s">
        <v>1217</v>
      </c>
      <c r="CI143" s="2449"/>
      <c r="CJ143" s="2450"/>
      <c r="CK143" s="2450"/>
      <c r="CP143" s="2478">
        <f t="shared" si="73"/>
        <v>0</v>
      </c>
      <c r="CQ143" s="2478"/>
      <c r="CR143" s="2478"/>
      <c r="CS143" s="2478"/>
      <c r="CT143" s="2478"/>
    </row>
    <row r="144" spans="1:98" hidden="1" x14ac:dyDescent="0.2">
      <c r="A144" s="2395">
        <v>145</v>
      </c>
      <c r="B144" s="2440" t="s">
        <v>1214</v>
      </c>
      <c r="C144" s="2396">
        <v>14505</v>
      </c>
      <c r="D144" s="2396">
        <v>57800</v>
      </c>
      <c r="E144" s="2397" t="s">
        <v>1268</v>
      </c>
      <c r="F144" s="2440" t="s">
        <v>1214</v>
      </c>
      <c r="G144" s="2440" t="s">
        <v>1415</v>
      </c>
      <c r="H144" s="2466">
        <v>881</v>
      </c>
      <c r="I144" s="2470"/>
      <c r="J144" s="2466">
        <f t="shared" si="81"/>
        <v>881</v>
      </c>
      <c r="K144" s="2468">
        <f t="shared" si="75"/>
        <v>0</v>
      </c>
      <c r="M144" s="2467">
        <v>881</v>
      </c>
      <c r="N144" s="2467">
        <v>881</v>
      </c>
      <c r="P144" s="2469"/>
      <c r="R144" s="2466">
        <v>881</v>
      </c>
      <c r="S144" s="2466">
        <v>0</v>
      </c>
      <c r="U144" s="2466">
        <v>881</v>
      </c>
      <c r="V144" s="2470">
        <v>0</v>
      </c>
      <c r="W144" s="2466">
        <f t="shared" si="82"/>
        <v>881</v>
      </c>
      <c r="X144" s="2468">
        <f t="shared" si="76"/>
        <v>0</v>
      </c>
      <c r="Z144" s="2467">
        <v>881</v>
      </c>
      <c r="AA144" s="2467">
        <v>881</v>
      </c>
      <c r="AC144" s="2469"/>
      <c r="AE144" s="2466">
        <v>881</v>
      </c>
      <c r="AF144" s="2471">
        <v>0</v>
      </c>
      <c r="AH144" s="2466">
        <v>881</v>
      </c>
      <c r="AI144" s="2470"/>
      <c r="AJ144" s="2466">
        <f t="shared" si="83"/>
        <v>881</v>
      </c>
      <c r="AK144" s="2468">
        <f t="shared" si="77"/>
        <v>0</v>
      </c>
      <c r="AM144" s="2467">
        <v>881</v>
      </c>
      <c r="AN144" s="2467">
        <v>881</v>
      </c>
      <c r="AP144" s="2469"/>
      <c r="AR144" s="2466">
        <v>881</v>
      </c>
      <c r="AS144" s="2466">
        <v>0</v>
      </c>
      <c r="AT144" s="2466"/>
      <c r="AU144" s="2466">
        <v>881</v>
      </c>
      <c r="AV144" s="2466">
        <v>0</v>
      </c>
      <c r="AX144" s="2466">
        <v>881</v>
      </c>
      <c r="AY144" s="2470"/>
      <c r="AZ144" s="2466">
        <f t="shared" si="84"/>
        <v>881</v>
      </c>
      <c r="BA144" s="2468">
        <f t="shared" si="78"/>
        <v>0</v>
      </c>
      <c r="BC144" s="2467">
        <v>881</v>
      </c>
      <c r="BD144" s="2467">
        <v>881</v>
      </c>
      <c r="BF144" s="2469"/>
      <c r="BH144" s="2467">
        <v>881</v>
      </c>
      <c r="BI144" s="2466">
        <v>0</v>
      </c>
      <c r="BM144" s="2466">
        <v>881</v>
      </c>
      <c r="BN144" s="2470"/>
      <c r="BO144" s="2472">
        <f t="shared" ref="BO144:BO145" si="87">BM144+BN144</f>
        <v>881</v>
      </c>
      <c r="BP144" s="2473">
        <f t="shared" ref="BP144:BP145" si="88">IF(BM144=0," ",(BO144-BM144)/BM144)</f>
        <v>0</v>
      </c>
      <c r="BR144" s="2474">
        <v>881</v>
      </c>
      <c r="BS144" s="2474">
        <v>881</v>
      </c>
      <c r="BU144" s="2475"/>
      <c r="BW144" s="2474">
        <v>881</v>
      </c>
      <c r="BZ144" s="2474">
        <v>881</v>
      </c>
      <c r="CA144" s="2470"/>
      <c r="CB144" s="2472">
        <f t="shared" ref="CB144:CB145" si="89">BZ144+CA144</f>
        <v>881</v>
      </c>
      <c r="CC144" s="2473">
        <f t="shared" ref="CC144:CC145" si="90">IF(BZ144=0," ",(CB144-BZ144)/BZ144)</f>
        <v>0</v>
      </c>
      <c r="CE144" s="2474">
        <v>881</v>
      </c>
      <c r="CF144" s="2476">
        <f t="shared" si="74"/>
        <v>0</v>
      </c>
      <c r="CG144" s="2572">
        <f>881-881</f>
        <v>0</v>
      </c>
      <c r="CH144" s="2449" t="s">
        <v>1217</v>
      </c>
      <c r="CI144" s="2449"/>
      <c r="CJ144" s="2450"/>
      <c r="CK144" s="2450"/>
      <c r="CO144" s="2477" t="s">
        <v>1218</v>
      </c>
      <c r="CP144" s="2478">
        <f t="shared" si="73"/>
        <v>-881</v>
      </c>
      <c r="CQ144" s="2478"/>
      <c r="CR144" s="2478"/>
      <c r="CS144" s="2478"/>
      <c r="CT144" s="2478"/>
    </row>
    <row r="145" spans="1:98" hidden="1" x14ac:dyDescent="0.2">
      <c r="A145" s="2395">
        <v>145</v>
      </c>
      <c r="B145" s="2440" t="s">
        <v>1214</v>
      </c>
      <c r="C145" s="2396">
        <v>14505</v>
      </c>
      <c r="D145" s="2396">
        <v>57810</v>
      </c>
      <c r="E145" s="2397" t="s">
        <v>1268</v>
      </c>
      <c r="F145" s="2440" t="s">
        <v>1214</v>
      </c>
      <c r="G145" s="2440" t="s">
        <v>1416</v>
      </c>
      <c r="H145" s="2466">
        <v>1060</v>
      </c>
      <c r="I145" s="2470"/>
      <c r="J145" s="2466">
        <f t="shared" si="81"/>
        <v>1060</v>
      </c>
      <c r="K145" s="2468">
        <f t="shared" si="75"/>
        <v>0</v>
      </c>
      <c r="M145" s="2467">
        <v>1060</v>
      </c>
      <c r="N145" s="2467">
        <v>1060</v>
      </c>
      <c r="P145" s="2469"/>
      <c r="R145" s="2466">
        <v>1060</v>
      </c>
      <c r="S145" s="2466">
        <v>335.67</v>
      </c>
      <c r="U145" s="2466">
        <v>1060</v>
      </c>
      <c r="V145" s="2470">
        <v>0</v>
      </c>
      <c r="W145" s="2466">
        <f t="shared" si="82"/>
        <v>1060</v>
      </c>
      <c r="X145" s="2468">
        <f t="shared" si="76"/>
        <v>0</v>
      </c>
      <c r="Z145" s="2467">
        <v>1060</v>
      </c>
      <c r="AA145" s="2467">
        <v>1060</v>
      </c>
      <c r="AC145" s="2469"/>
      <c r="AE145" s="2466">
        <v>1060</v>
      </c>
      <c r="AF145" s="2471">
        <v>256</v>
      </c>
      <c r="AH145" s="2466">
        <v>1060</v>
      </c>
      <c r="AI145" s="2470"/>
      <c r="AJ145" s="2466">
        <f t="shared" si="83"/>
        <v>1060</v>
      </c>
      <c r="AK145" s="2468">
        <f t="shared" si="77"/>
        <v>0</v>
      </c>
      <c r="AM145" s="2467">
        <v>1060</v>
      </c>
      <c r="AN145" s="2467">
        <v>1060</v>
      </c>
      <c r="AP145" s="2469"/>
      <c r="AR145" s="2466">
        <v>1060</v>
      </c>
      <c r="AS145" s="2466">
        <v>1021.77</v>
      </c>
      <c r="AT145" s="2466"/>
      <c r="AU145" s="2466">
        <v>1060</v>
      </c>
      <c r="AV145" s="2466">
        <v>595.75</v>
      </c>
      <c r="AX145" s="2466">
        <v>1060</v>
      </c>
      <c r="AY145" s="2470"/>
      <c r="AZ145" s="2466">
        <f t="shared" si="84"/>
        <v>1060</v>
      </c>
      <c r="BA145" s="2468">
        <f t="shared" si="78"/>
        <v>0</v>
      </c>
      <c r="BC145" s="2467">
        <v>1060</v>
      </c>
      <c r="BD145" s="2467">
        <v>1060</v>
      </c>
      <c r="BF145" s="2469"/>
      <c r="BH145" s="2467">
        <v>1060</v>
      </c>
      <c r="BI145" s="2466">
        <v>0</v>
      </c>
      <c r="BM145" s="2466">
        <v>1060</v>
      </c>
      <c r="BN145" s="2470"/>
      <c r="BO145" s="2472">
        <f t="shared" si="87"/>
        <v>1060</v>
      </c>
      <c r="BP145" s="2473">
        <f t="shared" si="88"/>
        <v>0</v>
      </c>
      <c r="BR145" s="2474">
        <v>1060</v>
      </c>
      <c r="BS145" s="2474">
        <v>1060</v>
      </c>
      <c r="BU145" s="2475"/>
      <c r="BW145" s="2474">
        <v>1060</v>
      </c>
      <c r="BZ145" s="2474">
        <v>1060</v>
      </c>
      <c r="CA145" s="2470"/>
      <c r="CB145" s="2472">
        <f t="shared" si="89"/>
        <v>1060</v>
      </c>
      <c r="CC145" s="2473">
        <f t="shared" si="90"/>
        <v>0</v>
      </c>
      <c r="CE145" s="2474">
        <v>1060</v>
      </c>
      <c r="CF145" s="2476">
        <f t="shared" si="74"/>
        <v>0</v>
      </c>
      <c r="CG145" s="2572">
        <f>1060-1060</f>
        <v>0</v>
      </c>
      <c r="CH145" s="2449" t="s">
        <v>1217</v>
      </c>
      <c r="CI145" s="2449"/>
      <c r="CJ145" s="2450"/>
      <c r="CK145" s="2450"/>
      <c r="CO145" s="2477" t="s">
        <v>1218</v>
      </c>
      <c r="CP145" s="2478">
        <f t="shared" si="73"/>
        <v>-1060</v>
      </c>
      <c r="CQ145" s="2478"/>
      <c r="CR145" s="2478"/>
      <c r="CS145" s="2478"/>
      <c r="CT145" s="2478"/>
    </row>
    <row r="146" spans="1:98" s="2485" customFormat="1" hidden="1" x14ac:dyDescent="0.2">
      <c r="A146" s="2532"/>
      <c r="B146" s="2533"/>
      <c r="C146" s="2534"/>
      <c r="D146" s="2534"/>
      <c r="E146" s="2535"/>
      <c r="F146" s="2533"/>
      <c r="G146" s="2533" t="s">
        <v>1417</v>
      </c>
      <c r="H146" s="2536">
        <f>SUM(H133:H145)</f>
        <v>51046</v>
      </c>
      <c r="I146" s="2536">
        <f>SUM(I133:I145)</f>
        <v>1022</v>
      </c>
      <c r="J146" s="2536">
        <f>SUM(J133:J145)</f>
        <v>52068</v>
      </c>
      <c r="K146" s="2484">
        <f>IF(H146=0," ",(J146-H146)/H146)</f>
        <v>2.0021157387454452E-2</v>
      </c>
      <c r="M146" s="2536">
        <f>SUM(M133:M145)</f>
        <v>59068</v>
      </c>
      <c r="N146" s="2536">
        <f>SUM(N133:N145)</f>
        <v>59068</v>
      </c>
      <c r="P146" s="2537">
        <f>SUM(P133:P145)</f>
        <v>0</v>
      </c>
      <c r="R146" s="2536">
        <f>SUM(R133:R145)</f>
        <v>59068</v>
      </c>
      <c r="S146" s="2536">
        <f>SUM(S133:S145)</f>
        <v>44107.17</v>
      </c>
      <c r="U146" s="2536">
        <f>SUM(U133:U145)</f>
        <v>59068</v>
      </c>
      <c r="V146" s="2536">
        <f>SUM(V133:V145)</f>
        <v>-7000</v>
      </c>
      <c r="W146" s="2536">
        <f>SUM(W133:W145)</f>
        <v>52068</v>
      </c>
      <c r="X146" s="2484">
        <f>IF(U146=0," ",(W146-U146)/U146)</f>
        <v>-0.11850748290106318</v>
      </c>
      <c r="Z146" s="2536">
        <f>SUM(Z133:Z145)</f>
        <v>52068</v>
      </c>
      <c r="AA146" s="2536">
        <f>SUM(AA133:AA145)</f>
        <v>52068</v>
      </c>
      <c r="AC146" s="2537"/>
      <c r="AE146" s="2536">
        <f>SUM(AE133:AE145)</f>
        <v>52068</v>
      </c>
      <c r="AF146" s="2538">
        <f>SUM(AF133:AF145)</f>
        <v>44863.49</v>
      </c>
      <c r="AH146" s="2536">
        <v>52068</v>
      </c>
      <c r="AI146" s="2536">
        <f>SUM(AI133:AI145)</f>
        <v>0</v>
      </c>
      <c r="AJ146" s="2536">
        <f>SUM(AJ133:AJ145)</f>
        <v>52068</v>
      </c>
      <c r="AK146" s="2484">
        <f>IF(AH146=0," ",(AJ146-AH146)/AH146)</f>
        <v>0</v>
      </c>
      <c r="AM146" s="2536">
        <f>SUM(AM133:AM145)</f>
        <v>59718</v>
      </c>
      <c r="AN146" s="2536">
        <f>SUM(AN133:AN145)</f>
        <v>59718</v>
      </c>
      <c r="AP146" s="2537"/>
      <c r="AR146" s="2536">
        <f>SUM(AR133:AR145)</f>
        <v>59718</v>
      </c>
      <c r="AS146" s="2536">
        <f>SUM(AS133:AS145)</f>
        <v>40231</v>
      </c>
      <c r="AT146" s="2536"/>
      <c r="AU146" s="2536">
        <f>SUM(AU133:AU145)</f>
        <v>52068</v>
      </c>
      <c r="AV146" s="2536">
        <f>SUM(AV133:AV145)</f>
        <v>38847.199999999997</v>
      </c>
      <c r="AX146" s="2536">
        <f>SUM(AX133:AX145)</f>
        <v>52068</v>
      </c>
      <c r="AY146" s="2536">
        <f>SUM(AY133:AY145)</f>
        <v>0</v>
      </c>
      <c r="AZ146" s="2536">
        <f>SUM(AZ133:AZ145)</f>
        <v>52068</v>
      </c>
      <c r="BA146" s="2484">
        <f>IF(AX146=0," ",(AZ146-AX146)/AX146)</f>
        <v>0</v>
      </c>
      <c r="BC146" s="2536">
        <f>SUM(BC133:BC145)</f>
        <v>52068</v>
      </c>
      <c r="BD146" s="2536">
        <f>SUM(BD133:BD145)</f>
        <v>52068</v>
      </c>
      <c r="BF146" s="2537"/>
      <c r="BH146" s="2536">
        <f>SUM(BH133:BH145)</f>
        <v>52068</v>
      </c>
      <c r="BI146" s="2536">
        <f>SUM(BI133:BI145)</f>
        <v>32989.61</v>
      </c>
      <c r="BJ146" s="2536"/>
      <c r="BK146" s="2536"/>
      <c r="BM146" s="2536">
        <f>SUM(BM133:BM145)</f>
        <v>52068</v>
      </c>
      <c r="BN146" s="2539">
        <f>SUM(BN133:BN145)</f>
        <v>0</v>
      </c>
      <c r="BO146" s="2540">
        <f>SUM(BO133:BO145)</f>
        <v>52068</v>
      </c>
      <c r="BP146" s="2490">
        <f>IF(BM146=0," ",(BO146-BM146)/BM146)</f>
        <v>0</v>
      </c>
      <c r="BQ146" s="2491"/>
      <c r="BR146" s="2540">
        <f>SUM(BR133:BR145)</f>
        <v>52068</v>
      </c>
      <c r="BS146" s="2540">
        <f>SUM(BS133:BS145)</f>
        <v>60168</v>
      </c>
      <c r="BT146" s="2491"/>
      <c r="BU146" s="2541"/>
      <c r="BV146" s="2491"/>
      <c r="BW146" s="2540">
        <f>SUM(BW133:BW145)</f>
        <v>60168</v>
      </c>
      <c r="BX146" s="2536">
        <f>SUM(BX133:BX145)</f>
        <v>22187.989999999998</v>
      </c>
      <c r="BZ146" s="2540">
        <f>SUM(BZ133:BZ145)</f>
        <v>60168</v>
      </c>
      <c r="CA146" s="2540">
        <f>SUM(CA133:CA145)</f>
        <v>-8100</v>
      </c>
      <c r="CB146" s="2540">
        <f>SUM(CB133:CB145)</f>
        <v>52068</v>
      </c>
      <c r="CC146" s="2490">
        <f>IF(BZ146=0," ",(CB146-BZ146)/BZ146)</f>
        <v>-0.1346230554447547</v>
      </c>
      <c r="CD146" s="2491"/>
      <c r="CE146" s="2540">
        <f>SUM(CE133:CE145)</f>
        <v>52068</v>
      </c>
      <c r="CF146" s="2490">
        <f t="shared" si="74"/>
        <v>0</v>
      </c>
      <c r="CG146" s="2540">
        <f>SUM(CG133:CG145)</f>
        <v>45627</v>
      </c>
      <c r="CH146" s="2449" t="s">
        <v>1220</v>
      </c>
      <c r="CI146" s="2449"/>
      <c r="CJ146" s="2450"/>
      <c r="CK146" s="2450"/>
      <c r="CL146" s="2451"/>
      <c r="CM146" s="2451"/>
      <c r="CN146" s="2451"/>
      <c r="CO146" s="2477">
        <v>-0.36641295997541679</v>
      </c>
      <c r="CP146" s="2478">
        <f t="shared" si="73"/>
        <v>-19078.39</v>
      </c>
      <c r="CQ146" s="2478"/>
      <c r="CR146" s="2478"/>
      <c r="CS146" s="2478"/>
      <c r="CT146" s="2478"/>
    </row>
    <row r="147" spans="1:98" ht="4.5" hidden="1" customHeight="1" x14ac:dyDescent="0.2">
      <c r="AS147" s="2466"/>
      <c r="AT147" s="2466"/>
      <c r="BZ147" s="2472"/>
      <c r="CH147" s="2449" t="s">
        <v>1091</v>
      </c>
      <c r="CI147" s="2449"/>
      <c r="CJ147" s="2450"/>
      <c r="CK147" s="2450"/>
      <c r="CP147" s="2478">
        <f t="shared" si="73"/>
        <v>0</v>
      </c>
      <c r="CQ147" s="2478"/>
      <c r="CR147" s="2478"/>
      <c r="CS147" s="2478"/>
      <c r="CT147" s="2478"/>
    </row>
    <row r="148" spans="1:98" x14ac:dyDescent="0.2">
      <c r="A148" s="2495"/>
      <c r="B148" s="2496"/>
      <c r="C148" s="2497"/>
      <c r="D148" s="2497"/>
      <c r="E148" s="2498"/>
      <c r="F148" s="2496"/>
      <c r="G148" s="2499" t="s">
        <v>1418</v>
      </c>
      <c r="H148" s="2500">
        <f>H131+H146</f>
        <v>231199</v>
      </c>
      <c r="I148" s="2500">
        <f>I131+I146</f>
        <v>9092</v>
      </c>
      <c r="J148" s="2500">
        <f>J131+J146</f>
        <v>240291</v>
      </c>
      <c r="K148" s="2501">
        <f>IF(H148=0," ",(J148-H148)/H148)</f>
        <v>3.9325429608259549E-2</v>
      </c>
      <c r="M148" s="2500">
        <f>M131+M146</f>
        <v>252701</v>
      </c>
      <c r="N148" s="2500">
        <f>N131+N146</f>
        <v>252701</v>
      </c>
      <c r="P148" s="2502">
        <f>P131+P146</f>
        <v>0</v>
      </c>
      <c r="R148" s="2500">
        <f>R131+R146</f>
        <v>252701</v>
      </c>
      <c r="S148" s="2500">
        <f>S131+S146</f>
        <v>237740.16999999998</v>
      </c>
      <c r="U148" s="2500">
        <f>U131+U146</f>
        <v>252701</v>
      </c>
      <c r="V148" s="2500">
        <f>V131+V146</f>
        <v>2228</v>
      </c>
      <c r="W148" s="2500">
        <f>W131+W146</f>
        <v>254929</v>
      </c>
      <c r="X148" s="2501">
        <f>IF(U148=0," ",(W148-U148)/U148)</f>
        <v>8.8167438989161101E-3</v>
      </c>
      <c r="Z148" s="2500">
        <f>Z131+Z146</f>
        <v>254929</v>
      </c>
      <c r="AA148" s="2500">
        <f>AA131+AA146</f>
        <v>255679</v>
      </c>
      <c r="AC148" s="2502"/>
      <c r="AE148" s="2500">
        <f>AE131+AE146</f>
        <v>255679</v>
      </c>
      <c r="AF148" s="2503">
        <f>AF131+AF146</f>
        <v>248486.61</v>
      </c>
      <c r="AH148" s="2500">
        <v>255679</v>
      </c>
      <c r="AI148" s="2500">
        <f>AI131+AI146</f>
        <v>11440</v>
      </c>
      <c r="AJ148" s="2500">
        <f>AJ131+AJ146</f>
        <v>267119</v>
      </c>
      <c r="AK148" s="2501">
        <f>IF(AH148=0," ",(AJ148-AH148)/AH148)</f>
        <v>4.4743604285060565E-2</v>
      </c>
      <c r="AM148" s="2500">
        <f>AM131+AM146</f>
        <v>274769</v>
      </c>
      <c r="AN148" s="2500">
        <f>AN131+AN146</f>
        <v>274769</v>
      </c>
      <c r="AP148" s="2502"/>
      <c r="AR148" s="2500">
        <f>AR131+AR146</f>
        <v>274769</v>
      </c>
      <c r="AS148" s="2500">
        <f>AS131+AS146</f>
        <v>252497.48</v>
      </c>
      <c r="AT148" s="2500"/>
      <c r="AU148" s="2500">
        <f>AU131+AU146</f>
        <v>268098</v>
      </c>
      <c r="AV148" s="2500">
        <f>AV131+AV146</f>
        <v>254458.7</v>
      </c>
      <c r="AX148" s="2500">
        <f>AX131+AX146</f>
        <v>268098</v>
      </c>
      <c r="AY148" s="2500">
        <f>AY131+AY146</f>
        <v>3594</v>
      </c>
      <c r="AZ148" s="2500">
        <f>AZ131+AZ146</f>
        <v>271692</v>
      </c>
      <c r="BA148" s="2501">
        <f>IF(AX148=0," ",(AZ148-AX148)/AX148)</f>
        <v>1.3405545733276637E-2</v>
      </c>
      <c r="BC148" s="2500">
        <f>BC131+BC146</f>
        <v>271692</v>
      </c>
      <c r="BD148" s="2500">
        <f>BD131+BD146</f>
        <v>271692</v>
      </c>
      <c r="BF148" s="2502"/>
      <c r="BH148" s="2500">
        <f>BH131+BH146</f>
        <v>271692</v>
      </c>
      <c r="BI148" s="2500">
        <f>BI131+BI146</f>
        <v>252313.46999999997</v>
      </c>
      <c r="BJ148" s="2500"/>
      <c r="BK148" s="2500"/>
      <c r="BM148" s="2500">
        <f>BM131+BM146</f>
        <v>271692</v>
      </c>
      <c r="BN148" s="2504">
        <f>BN131+BN146</f>
        <v>3879</v>
      </c>
      <c r="BO148" s="2505">
        <f>BO131+BO146</f>
        <v>275571</v>
      </c>
      <c r="BP148" s="2506">
        <f>IF(BM148=0," ",(BO148-BM148)/BM148)</f>
        <v>1.427719623691533E-2</v>
      </c>
      <c r="BR148" s="2505">
        <f>BR131+BR146</f>
        <v>275571</v>
      </c>
      <c r="BS148" s="2505">
        <f>BS131+BS146</f>
        <v>283671</v>
      </c>
      <c r="BU148" s="2507"/>
      <c r="BW148" s="2505">
        <f>BW131+BW146</f>
        <v>283671</v>
      </c>
      <c r="BX148" s="2500">
        <f>BX131+BX146</f>
        <v>129860.48999999999</v>
      </c>
      <c r="BZ148" s="2505">
        <f>BZ131+BZ146</f>
        <v>283671</v>
      </c>
      <c r="CA148" s="2505">
        <f>CA131+CA146</f>
        <v>-8524</v>
      </c>
      <c r="CB148" s="2505">
        <f>CB131+CB146</f>
        <v>275147</v>
      </c>
      <c r="CC148" s="2506">
        <f>IF(BZ148=0," ",(CB148-BZ148)/BZ148)</f>
        <v>-3.004889467023418E-2</v>
      </c>
      <c r="CE148" s="2505">
        <f>CE131+CE146</f>
        <v>279939</v>
      </c>
      <c r="CF148" s="2506">
        <f>IF(CB148=0," ",(CE148-CB148)/CB148)</f>
        <v>1.7416144824402957E-2</v>
      </c>
      <c r="CG148" s="2505">
        <f>CG131+CG146</f>
        <v>273498</v>
      </c>
      <c r="CH148" s="2449" t="s">
        <v>1222</v>
      </c>
      <c r="CI148" s="2508">
        <f>IF(CG148-CE148=0,"",CG148-CE148)</f>
        <v>-6441</v>
      </c>
      <c r="CJ148" s="2509"/>
      <c r="CK148" s="2509"/>
      <c r="CL148" s="2451" t="str">
        <f>IF(CO148&lt;-1*CM$2,"examine","ignore")</f>
        <v>examine</v>
      </c>
      <c r="CM148" s="2545">
        <f>IF(CL148="examine",CP148+CM$2*CP148/CO148,"")</f>
        <v>-8510.8500000000204</v>
      </c>
      <c r="CN148" s="2545">
        <f>IF(CI148="",CM148,CM148-CI148)</f>
        <v>-2069.8500000000204</v>
      </c>
      <c r="CO148" s="2477">
        <v>-7.1325361070624149E-2</v>
      </c>
      <c r="CP148" s="2510">
        <f t="shared" si="73"/>
        <v>-19378.530000000028</v>
      </c>
      <c r="CQ148" s="2510">
        <f>AV148-AU148</f>
        <v>-13639.299999999988</v>
      </c>
      <c r="CR148" s="2510">
        <f>AS148-AR148</f>
        <v>-22271.51999999999</v>
      </c>
      <c r="CS148" s="2510">
        <f>AF148-AE148</f>
        <v>-7192.390000000014</v>
      </c>
    </row>
    <row r="149" spans="1:98" ht="7.5" hidden="1" customHeight="1" x14ac:dyDescent="0.2">
      <c r="AS149" s="2466"/>
      <c r="AT149" s="2466"/>
      <c r="BZ149" s="2472"/>
      <c r="CH149" s="2449" t="s">
        <v>1091</v>
      </c>
      <c r="CI149" s="2449"/>
      <c r="CJ149" s="2450"/>
      <c r="CK149" s="2450"/>
      <c r="CP149" s="2478">
        <f t="shared" si="73"/>
        <v>0</v>
      </c>
      <c r="CQ149" s="2478"/>
      <c r="CR149" s="2478"/>
      <c r="CS149" s="2478"/>
      <c r="CT149" s="2478"/>
    </row>
    <row r="150" spans="1:98" ht="15.75" hidden="1" x14ac:dyDescent="0.2">
      <c r="A150" s="2453" t="s">
        <v>1419</v>
      </c>
      <c r="B150" s="2454"/>
      <c r="C150" s="2455"/>
      <c r="D150" s="2455"/>
      <c r="E150" s="2456"/>
      <c r="F150" s="2454"/>
      <c r="G150" s="2454"/>
      <c r="H150" s="2457"/>
      <c r="I150" s="2457"/>
      <c r="J150" s="2457"/>
      <c r="K150" s="2458"/>
      <c r="M150" s="2457"/>
      <c r="N150" s="2457"/>
      <c r="P150" s="2459"/>
      <c r="R150" s="2457"/>
      <c r="S150" s="2457"/>
      <c r="U150" s="2457"/>
      <c r="V150" s="2457"/>
      <c r="W150" s="2457"/>
      <c r="X150" s="2458"/>
      <c r="Z150" s="2457"/>
      <c r="AA150" s="2457"/>
      <c r="AC150" s="2459"/>
      <c r="AE150" s="2457"/>
      <c r="AF150" s="2460"/>
      <c r="AH150" s="2457"/>
      <c r="AI150" s="2457"/>
      <c r="AJ150" s="2457"/>
      <c r="AK150" s="2458"/>
      <c r="AM150" s="2457"/>
      <c r="AN150" s="2457"/>
      <c r="AP150" s="2459"/>
      <c r="AR150" s="2457"/>
      <c r="AS150" s="2457"/>
      <c r="AT150" s="2457"/>
      <c r="AU150" s="2457"/>
      <c r="AV150" s="2457"/>
      <c r="AX150" s="2457"/>
      <c r="AY150" s="2457"/>
      <c r="AZ150" s="2457"/>
      <c r="BA150" s="2458"/>
      <c r="BC150" s="2457"/>
      <c r="BD150" s="2457"/>
      <c r="BF150" s="2461"/>
      <c r="BH150" s="2457"/>
      <c r="BI150" s="2457"/>
      <c r="BJ150" s="2457"/>
      <c r="BK150" s="2457"/>
      <c r="BM150" s="2457"/>
      <c r="BN150" s="2462"/>
      <c r="BO150" s="2463"/>
      <c r="BP150" s="2464"/>
      <c r="BR150" s="2463"/>
      <c r="BS150" s="2463"/>
      <c r="BU150" s="2465"/>
      <c r="BW150" s="2463"/>
      <c r="BX150" s="2457"/>
      <c r="BZ150" s="2463"/>
      <c r="CA150" s="2462"/>
      <c r="CB150" s="2463"/>
      <c r="CC150" s="2464"/>
      <c r="CE150" s="2463"/>
      <c r="CF150" s="2464"/>
      <c r="CG150" s="2463"/>
      <c r="CH150" s="2449" t="s">
        <v>1212</v>
      </c>
      <c r="CI150" s="2449"/>
      <c r="CJ150" s="2450"/>
      <c r="CK150" s="2450"/>
      <c r="CP150" s="2478">
        <f t="shared" si="73"/>
        <v>0</v>
      </c>
      <c r="CQ150" s="2478"/>
      <c r="CR150" s="2478"/>
      <c r="CS150" s="2478"/>
      <c r="CT150" s="2478"/>
    </row>
    <row r="151" spans="1:98" hidden="1" x14ac:dyDescent="0.2">
      <c r="A151" s="2395">
        <v>150</v>
      </c>
      <c r="B151" s="2440" t="s">
        <v>1214</v>
      </c>
      <c r="C151" s="2396">
        <v>15005</v>
      </c>
      <c r="D151" s="2396">
        <v>52100</v>
      </c>
      <c r="E151" s="2397" t="s">
        <v>1268</v>
      </c>
      <c r="F151" s="2440" t="s">
        <v>1214</v>
      </c>
      <c r="G151" s="2440" t="s">
        <v>1420</v>
      </c>
      <c r="H151" s="2466">
        <v>12360</v>
      </c>
      <c r="I151" s="2470"/>
      <c r="J151" s="2466">
        <f t="shared" ref="J151:J156" si="91">H151+I151</f>
        <v>12360</v>
      </c>
      <c r="K151" s="2468">
        <f>IF(H151=0," ",(J151-H151)/H151)</f>
        <v>0</v>
      </c>
      <c r="M151" s="2467">
        <v>12360</v>
      </c>
      <c r="N151" s="2467">
        <v>12360</v>
      </c>
      <c r="P151" s="2469"/>
      <c r="R151" s="2466">
        <v>12360</v>
      </c>
      <c r="S151" s="2466">
        <v>1968.91</v>
      </c>
      <c r="U151" s="2466">
        <v>12360</v>
      </c>
      <c r="V151" s="2470">
        <v>0</v>
      </c>
      <c r="W151" s="2466">
        <f t="shared" ref="W151:W156" si="92">U151+V151</f>
        <v>12360</v>
      </c>
      <c r="X151" s="2468">
        <f t="shared" ref="X151:X156" si="93">IF(U151=0," ",(W151-U151)/U151)</f>
        <v>0</v>
      </c>
      <c r="Z151" s="2467">
        <v>12360</v>
      </c>
      <c r="AA151" s="2467">
        <v>12360</v>
      </c>
      <c r="AC151" s="2469" t="s">
        <v>1421</v>
      </c>
      <c r="AE151" s="2466">
        <v>12360</v>
      </c>
      <c r="AF151" s="2471">
        <v>26574.71</v>
      </c>
      <c r="AH151" s="2466">
        <v>12360</v>
      </c>
      <c r="AI151" s="2470"/>
      <c r="AJ151" s="2466">
        <f t="shared" ref="AJ151:AJ160" si="94">AH151+AI151</f>
        <v>12360</v>
      </c>
      <c r="AK151" s="2468">
        <f t="shared" ref="AK151:AK179" si="95">IF(AH151=0," ",(AJ151-AH151)/AH151)</f>
        <v>0</v>
      </c>
      <c r="AM151" s="2467">
        <f>12360+5640</f>
        <v>18000</v>
      </c>
      <c r="AN151" s="2467">
        <f>12360+5640</f>
        <v>18000</v>
      </c>
      <c r="AP151" s="2530" t="s">
        <v>1422</v>
      </c>
      <c r="AR151" s="2466">
        <f>12360+5640</f>
        <v>18000</v>
      </c>
      <c r="AS151" s="2466">
        <v>26106.89</v>
      </c>
      <c r="AT151" s="2466"/>
      <c r="AU151" s="2466">
        <v>20000</v>
      </c>
      <c r="AV151" s="2466">
        <v>28608.05</v>
      </c>
      <c r="AX151" s="2466">
        <v>20000</v>
      </c>
      <c r="AY151" s="2470"/>
      <c r="AZ151" s="2466">
        <f t="shared" ref="AZ151:AZ179" si="96">AX151+AY151</f>
        <v>20000</v>
      </c>
      <c r="BA151" s="2468">
        <f>IF(AX151=0," ",(AZ151-AX151)/AX151)</f>
        <v>0</v>
      </c>
      <c r="BC151" s="2467">
        <v>20000</v>
      </c>
      <c r="BD151" s="2467">
        <v>29000</v>
      </c>
      <c r="BF151" s="2547" t="s">
        <v>1423</v>
      </c>
      <c r="BH151" s="2467">
        <v>29000</v>
      </c>
      <c r="BI151" s="2466">
        <v>35336.629999999997</v>
      </c>
      <c r="BM151" s="2466">
        <v>29000</v>
      </c>
      <c r="BN151" s="2470"/>
      <c r="BO151" s="2472">
        <f t="shared" ref="BO151:BO179" si="97">BM151+BN151</f>
        <v>29000</v>
      </c>
      <c r="BP151" s="2473">
        <f>IF(BM151=0," ",(BO151-BM151)/BM151)</f>
        <v>0</v>
      </c>
      <c r="BR151" s="2474">
        <v>29000</v>
      </c>
      <c r="BS151" s="2474">
        <v>29000</v>
      </c>
      <c r="BU151" s="2544"/>
      <c r="BW151" s="2474">
        <v>29000</v>
      </c>
      <c r="BX151" s="2466">
        <v>16112.6</v>
      </c>
      <c r="BZ151" s="2474">
        <v>29000</v>
      </c>
      <c r="CA151" s="2470">
        <v>2900</v>
      </c>
      <c r="CB151" s="2472">
        <f t="shared" ref="CB151:CB179" si="98">BZ151+CA151</f>
        <v>31900</v>
      </c>
      <c r="CC151" s="2473">
        <f>IF(BZ151=0," ",(CB151-BZ151)/BZ151)</f>
        <v>0.1</v>
      </c>
      <c r="CE151" s="2474">
        <v>31900</v>
      </c>
      <c r="CF151" s="2476">
        <f t="shared" ref="CF151:CF158" si="99">IF(CB151=0," ",(CE151-CB151)/CB151)</f>
        <v>0</v>
      </c>
      <c r="CG151" s="2572">
        <v>30000</v>
      </c>
      <c r="CH151" s="2449" t="s">
        <v>1217</v>
      </c>
      <c r="CI151" s="2449"/>
      <c r="CJ151" s="2450"/>
      <c r="CK151" s="2450"/>
      <c r="CO151" s="2477">
        <v>0.21850448275862067</v>
      </c>
      <c r="CP151" s="2478">
        <f t="shared" si="73"/>
        <v>6336.6299999999974</v>
      </c>
      <c r="CQ151" s="2478"/>
      <c r="CR151" s="2478"/>
      <c r="CS151" s="2478"/>
      <c r="CT151" s="2478"/>
    </row>
    <row r="152" spans="1:98" hidden="1" x14ac:dyDescent="0.2">
      <c r="A152" s="2395">
        <v>150</v>
      </c>
      <c r="B152" s="2440" t="s">
        <v>1214</v>
      </c>
      <c r="C152" s="2396">
        <v>15005</v>
      </c>
      <c r="D152" s="2396">
        <v>52150</v>
      </c>
      <c r="E152" s="2397" t="s">
        <v>1268</v>
      </c>
      <c r="F152" s="2440" t="s">
        <v>1214</v>
      </c>
      <c r="G152" s="2440" t="s">
        <v>1424</v>
      </c>
      <c r="H152" s="2466">
        <v>7210</v>
      </c>
      <c r="I152" s="2470"/>
      <c r="J152" s="2466">
        <f t="shared" si="91"/>
        <v>7210</v>
      </c>
      <c r="K152" s="2468">
        <f t="shared" ref="K152:K157" si="100">IF(H152=0," ",(J152-H152)/H152)</f>
        <v>0</v>
      </c>
      <c r="M152" s="2467">
        <v>7210</v>
      </c>
      <c r="N152" s="2467">
        <v>7210</v>
      </c>
      <c r="P152" s="2469"/>
      <c r="R152" s="2466">
        <v>7210</v>
      </c>
      <c r="S152" s="2466">
        <v>5741.93</v>
      </c>
      <c r="U152" s="2466">
        <v>7210</v>
      </c>
      <c r="V152" s="2470">
        <v>0</v>
      </c>
      <c r="W152" s="2466">
        <f t="shared" si="92"/>
        <v>7210</v>
      </c>
      <c r="X152" s="2468">
        <f t="shared" si="93"/>
        <v>0</v>
      </c>
      <c r="Z152" s="2467">
        <v>7210</v>
      </c>
      <c r="AA152" s="2467">
        <v>7210</v>
      </c>
      <c r="AC152" s="2469" t="s">
        <v>1425</v>
      </c>
      <c r="AE152" s="2466">
        <v>7210</v>
      </c>
      <c r="AF152" s="2471">
        <v>3791.7</v>
      </c>
      <c r="AH152" s="2466">
        <v>7210</v>
      </c>
      <c r="AI152" s="2470"/>
      <c r="AJ152" s="2466">
        <f t="shared" si="94"/>
        <v>7210</v>
      </c>
      <c r="AK152" s="2468">
        <f t="shared" si="95"/>
        <v>0</v>
      </c>
      <c r="AM152" s="2467">
        <v>7210</v>
      </c>
      <c r="AN152" s="2467">
        <v>7210</v>
      </c>
      <c r="AP152" s="2469"/>
      <c r="AR152" s="2466">
        <v>7210</v>
      </c>
      <c r="AS152" s="2466">
        <v>3325.91</v>
      </c>
      <c r="AT152" s="2466"/>
      <c r="AU152" s="2466">
        <v>3000</v>
      </c>
      <c r="AV152" s="2466">
        <v>3311.04</v>
      </c>
      <c r="AX152" s="2466">
        <v>3000</v>
      </c>
      <c r="AY152" s="2470"/>
      <c r="AZ152" s="2466">
        <f t="shared" si="96"/>
        <v>3000</v>
      </c>
      <c r="BA152" s="2468">
        <f t="shared" ref="BA152:BA158" si="101">IF(AX152=0," ",(AZ152-AX152)/AX152)</f>
        <v>0</v>
      </c>
      <c r="BC152" s="2467">
        <v>3000</v>
      </c>
      <c r="BD152" s="2467">
        <v>3000</v>
      </c>
      <c r="BF152" s="2543"/>
      <c r="BH152" s="2467">
        <v>3000</v>
      </c>
      <c r="BI152" s="2466">
        <v>3933.48</v>
      </c>
      <c r="BM152" s="2466">
        <v>3000</v>
      </c>
      <c r="BN152" s="2470"/>
      <c r="BO152" s="2472">
        <f t="shared" si="97"/>
        <v>3000</v>
      </c>
      <c r="BP152" s="2473">
        <f t="shared" ref="BP152:BP158" si="102">IF(BM152=0," ",(BO152-BM152)/BM152)</f>
        <v>0</v>
      </c>
      <c r="BR152" s="2474">
        <v>3000</v>
      </c>
      <c r="BS152" s="2474">
        <v>3000</v>
      </c>
      <c r="BU152" s="2544"/>
      <c r="BW152" s="2474">
        <v>3000</v>
      </c>
      <c r="BX152" s="2466">
        <v>575.65</v>
      </c>
      <c r="BZ152" s="2474">
        <v>3000</v>
      </c>
      <c r="CA152" s="2470">
        <v>300</v>
      </c>
      <c r="CB152" s="2472">
        <f t="shared" si="98"/>
        <v>3300</v>
      </c>
      <c r="CC152" s="2473">
        <f t="shared" ref="CC152:CC158" si="103">IF(BZ152=0," ",(CB152-BZ152)/BZ152)</f>
        <v>0.1</v>
      </c>
      <c r="CE152" s="2474">
        <v>3300</v>
      </c>
      <c r="CF152" s="2476">
        <f t="shared" si="99"/>
        <v>0</v>
      </c>
      <c r="CG152" s="2474">
        <v>3300</v>
      </c>
      <c r="CH152" s="2449" t="s">
        <v>1217</v>
      </c>
      <c r="CI152" s="2449"/>
      <c r="CJ152" s="2450"/>
      <c r="CK152" s="2450"/>
      <c r="CO152" s="2477">
        <v>0.3111600000000001</v>
      </c>
      <c r="CP152" s="2478">
        <f t="shared" si="73"/>
        <v>933.48</v>
      </c>
      <c r="CQ152" s="2478"/>
      <c r="CR152" s="2478"/>
      <c r="CS152" s="2478"/>
      <c r="CT152" s="2478"/>
    </row>
    <row r="153" spans="1:98" hidden="1" x14ac:dyDescent="0.2">
      <c r="A153" s="2395">
        <v>150</v>
      </c>
      <c r="B153" s="2440" t="s">
        <v>1214</v>
      </c>
      <c r="C153" s="2396">
        <v>15005</v>
      </c>
      <c r="D153" s="2396">
        <v>52222</v>
      </c>
      <c r="E153" s="2397" t="s">
        <v>1268</v>
      </c>
      <c r="F153" s="2440" t="s">
        <v>1214</v>
      </c>
      <c r="G153" s="2440" t="s">
        <v>1426</v>
      </c>
      <c r="I153" s="2470"/>
      <c r="J153" s="2466">
        <f t="shared" si="91"/>
        <v>0</v>
      </c>
      <c r="K153" s="2468" t="str">
        <f t="shared" si="100"/>
        <v xml:space="preserve"> </v>
      </c>
      <c r="M153" s="2467"/>
      <c r="N153" s="2467"/>
      <c r="P153" s="2469"/>
      <c r="S153" s="2466">
        <v>19583.57</v>
      </c>
      <c r="V153" s="2470">
        <v>0</v>
      </c>
      <c r="W153" s="2466">
        <f t="shared" si="92"/>
        <v>0</v>
      </c>
      <c r="X153" s="2468" t="str">
        <f t="shared" si="93"/>
        <v xml:space="preserve"> </v>
      </c>
      <c r="Z153" s="2467">
        <v>0</v>
      </c>
      <c r="AA153" s="2467">
        <v>0</v>
      </c>
      <c r="AC153" s="2469"/>
      <c r="AE153" s="2466">
        <v>0</v>
      </c>
      <c r="AF153" s="2471">
        <v>4119.9399999999996</v>
      </c>
      <c r="AH153" s="2466">
        <v>0</v>
      </c>
      <c r="AI153" s="2470"/>
      <c r="AJ153" s="2466">
        <f t="shared" si="94"/>
        <v>0</v>
      </c>
      <c r="AK153" s="2468" t="str">
        <f t="shared" si="95"/>
        <v xml:space="preserve"> </v>
      </c>
      <c r="AM153" s="2467">
        <v>0</v>
      </c>
      <c r="AN153" s="2467">
        <v>0</v>
      </c>
      <c r="AP153" s="2469"/>
      <c r="AR153" s="2466">
        <v>0</v>
      </c>
      <c r="AS153" s="2466">
        <v>0</v>
      </c>
      <c r="AT153" s="2466"/>
      <c r="AU153" s="2466">
        <v>0</v>
      </c>
      <c r="AX153" s="2466">
        <v>0</v>
      </c>
      <c r="AY153" s="2470"/>
      <c r="AZ153" s="2466">
        <f t="shared" si="96"/>
        <v>0</v>
      </c>
      <c r="BA153" s="2468" t="str">
        <f t="shared" si="101"/>
        <v xml:space="preserve"> </v>
      </c>
      <c r="BC153" s="2467">
        <v>0</v>
      </c>
      <c r="BD153" s="2467">
        <v>0</v>
      </c>
      <c r="BF153" s="2469"/>
      <c r="BH153" s="2467">
        <v>0</v>
      </c>
      <c r="BM153" s="2466">
        <v>0</v>
      </c>
      <c r="BN153" s="2470"/>
      <c r="BO153" s="2472">
        <f t="shared" si="97"/>
        <v>0</v>
      </c>
      <c r="BP153" s="2473" t="str">
        <f t="shared" si="102"/>
        <v xml:space="preserve"> </v>
      </c>
      <c r="BR153" s="2474">
        <v>0</v>
      </c>
      <c r="BS153" s="2474">
        <v>0</v>
      </c>
      <c r="BU153" s="2475"/>
      <c r="BW153" s="2474">
        <v>0</v>
      </c>
      <c r="BZ153" s="2474">
        <v>0</v>
      </c>
      <c r="CA153" s="2470"/>
      <c r="CB153" s="2472">
        <f t="shared" si="98"/>
        <v>0</v>
      </c>
      <c r="CC153" s="2473" t="str">
        <f t="shared" si="103"/>
        <v xml:space="preserve"> </v>
      </c>
      <c r="CE153" s="2474">
        <v>0</v>
      </c>
      <c r="CF153" s="2476" t="str">
        <f t="shared" si="99"/>
        <v xml:space="preserve"> </v>
      </c>
      <c r="CG153" s="2474">
        <v>0</v>
      </c>
      <c r="CH153" s="2449" t="s">
        <v>1217</v>
      </c>
      <c r="CI153" s="2449"/>
      <c r="CJ153" s="2450"/>
      <c r="CK153" s="2450"/>
      <c r="CP153" s="2478">
        <f t="shared" si="73"/>
        <v>0</v>
      </c>
      <c r="CQ153" s="2478"/>
      <c r="CR153" s="2478"/>
      <c r="CS153" s="2478"/>
      <c r="CT153" s="2478"/>
    </row>
    <row r="154" spans="1:98" hidden="1" x14ac:dyDescent="0.2">
      <c r="A154" s="2395">
        <v>150</v>
      </c>
      <c r="B154" s="2440" t="s">
        <v>1214</v>
      </c>
      <c r="C154" s="2396">
        <v>15005</v>
      </c>
      <c r="D154" s="2396">
        <v>52300</v>
      </c>
      <c r="E154" s="2397" t="s">
        <v>1268</v>
      </c>
      <c r="F154" s="2440" t="s">
        <v>1214</v>
      </c>
      <c r="G154" s="2440" t="s">
        <v>1427</v>
      </c>
      <c r="H154" s="2466">
        <v>721</v>
      </c>
      <c r="I154" s="2470"/>
      <c r="J154" s="2466">
        <f t="shared" si="91"/>
        <v>721</v>
      </c>
      <c r="K154" s="2468">
        <f t="shared" si="100"/>
        <v>0</v>
      </c>
      <c r="M154" s="2467">
        <v>721</v>
      </c>
      <c r="N154" s="2467">
        <v>721</v>
      </c>
      <c r="P154" s="2469"/>
      <c r="R154" s="2466">
        <v>721</v>
      </c>
      <c r="S154" s="2466">
        <v>87.1</v>
      </c>
      <c r="U154" s="2466">
        <v>721</v>
      </c>
      <c r="V154" s="2470">
        <v>0</v>
      </c>
      <c r="W154" s="2466">
        <f t="shared" si="92"/>
        <v>721</v>
      </c>
      <c r="X154" s="2468">
        <f t="shared" si="93"/>
        <v>0</v>
      </c>
      <c r="Z154" s="2467">
        <v>721</v>
      </c>
      <c r="AA154" s="2467">
        <v>721</v>
      </c>
      <c r="AC154" s="2469"/>
      <c r="AE154" s="2466">
        <v>721</v>
      </c>
      <c r="AF154" s="2471">
        <v>569.86</v>
      </c>
      <c r="AH154" s="2466">
        <v>721</v>
      </c>
      <c r="AI154" s="2470"/>
      <c r="AJ154" s="2466">
        <f t="shared" si="94"/>
        <v>721</v>
      </c>
      <c r="AK154" s="2468">
        <f t="shared" si="95"/>
        <v>0</v>
      </c>
      <c r="AM154" s="2467">
        <v>721</v>
      </c>
      <c r="AN154" s="2467">
        <v>721</v>
      </c>
      <c r="AP154" s="2469"/>
      <c r="AR154" s="2466">
        <v>721</v>
      </c>
      <c r="AS154" s="2466">
        <v>588.78</v>
      </c>
      <c r="AT154" s="2466"/>
      <c r="AU154" s="2466">
        <v>750</v>
      </c>
      <c r="AV154" s="2466">
        <v>450.27</v>
      </c>
      <c r="AX154" s="2466">
        <v>750</v>
      </c>
      <c r="AY154" s="2470"/>
      <c r="AZ154" s="2466">
        <f t="shared" si="96"/>
        <v>750</v>
      </c>
      <c r="BA154" s="2468">
        <f t="shared" si="101"/>
        <v>0</v>
      </c>
      <c r="BC154" s="2467">
        <v>750</v>
      </c>
      <c r="BD154" s="2467">
        <v>750</v>
      </c>
      <c r="BF154" s="2469"/>
      <c r="BH154" s="2467">
        <v>750</v>
      </c>
      <c r="BI154" s="2466">
        <v>584.79999999999995</v>
      </c>
      <c r="BM154" s="2466">
        <v>750</v>
      </c>
      <c r="BN154" s="2470"/>
      <c r="BO154" s="2472">
        <f t="shared" si="97"/>
        <v>750</v>
      </c>
      <c r="BP154" s="2473">
        <f t="shared" si="102"/>
        <v>0</v>
      </c>
      <c r="BR154" s="2474">
        <v>750</v>
      </c>
      <c r="BS154" s="2474">
        <v>750</v>
      </c>
      <c r="BU154" s="2475"/>
      <c r="BW154" s="2474">
        <v>750</v>
      </c>
      <c r="BX154" s="2466">
        <v>137.34</v>
      </c>
      <c r="BZ154" s="2474">
        <v>750</v>
      </c>
      <c r="CA154" s="2470"/>
      <c r="CB154" s="2472">
        <f t="shared" si="98"/>
        <v>750</v>
      </c>
      <c r="CC154" s="2473">
        <f t="shared" si="103"/>
        <v>0</v>
      </c>
      <c r="CE154" s="2474">
        <v>750</v>
      </c>
      <c r="CF154" s="2476">
        <f t="shared" si="99"/>
        <v>0</v>
      </c>
      <c r="CG154" s="2474">
        <v>750</v>
      </c>
      <c r="CH154" s="2449" t="s">
        <v>1217</v>
      </c>
      <c r="CI154" s="2449"/>
      <c r="CJ154" s="2450"/>
      <c r="CK154" s="2450"/>
      <c r="CO154" s="2477">
        <v>-0.22026666666666672</v>
      </c>
      <c r="CP154" s="2478">
        <f t="shared" si="73"/>
        <v>-165.20000000000005</v>
      </c>
      <c r="CQ154" s="2478"/>
      <c r="CR154" s="2478"/>
      <c r="CS154" s="2478"/>
      <c r="CT154" s="2478"/>
    </row>
    <row r="155" spans="1:98" hidden="1" x14ac:dyDescent="0.2">
      <c r="A155" s="2395">
        <v>150</v>
      </c>
      <c r="B155" s="2440" t="s">
        <v>1214</v>
      </c>
      <c r="C155" s="2396">
        <v>15005</v>
      </c>
      <c r="D155" s="2396">
        <v>52400</v>
      </c>
      <c r="E155" s="2397" t="s">
        <v>1268</v>
      </c>
      <c r="F155" s="2440" t="s">
        <v>1214</v>
      </c>
      <c r="G155" s="2440" t="s">
        <v>1428</v>
      </c>
      <c r="H155" s="2466">
        <v>25409</v>
      </c>
      <c r="I155" s="2470">
        <v>500</v>
      </c>
      <c r="J155" s="2466">
        <f t="shared" si="91"/>
        <v>25909</v>
      </c>
      <c r="K155" s="2468">
        <f t="shared" si="100"/>
        <v>1.9678066826714944E-2</v>
      </c>
      <c r="M155" s="2467">
        <v>25909</v>
      </c>
      <c r="N155" s="2467">
        <v>25909</v>
      </c>
      <c r="P155" s="2469"/>
      <c r="R155" s="2466">
        <v>25909</v>
      </c>
      <c r="S155" s="2466">
        <v>15230.41</v>
      </c>
      <c r="U155" s="2466">
        <v>25909</v>
      </c>
      <c r="V155" s="2470">
        <v>0</v>
      </c>
      <c r="W155" s="2466">
        <f t="shared" si="92"/>
        <v>25909</v>
      </c>
      <c r="X155" s="2468">
        <f t="shared" si="93"/>
        <v>0</v>
      </c>
      <c r="Z155" s="2467">
        <v>25909</v>
      </c>
      <c r="AA155" s="2467">
        <v>25909</v>
      </c>
      <c r="AC155" s="2469"/>
      <c r="AE155" s="2466">
        <v>25909</v>
      </c>
      <c r="AF155" s="2471">
        <v>26160.67</v>
      </c>
      <c r="AH155" s="2466">
        <v>25909</v>
      </c>
      <c r="AI155" s="2470"/>
      <c r="AJ155" s="2466">
        <f t="shared" si="94"/>
        <v>25909</v>
      </c>
      <c r="AK155" s="2468">
        <f t="shared" si="95"/>
        <v>0</v>
      </c>
      <c r="AM155" s="2467">
        <f>25909+13000</f>
        <v>38909</v>
      </c>
      <c r="AN155" s="2467">
        <f>25909+13000</f>
        <v>38909</v>
      </c>
      <c r="AP155" s="2530" t="s">
        <v>1429</v>
      </c>
      <c r="AR155" s="2466">
        <f>25909+13000</f>
        <v>38909</v>
      </c>
      <c r="AS155" s="2466">
        <v>25580.400000000001</v>
      </c>
      <c r="AT155" s="2466"/>
      <c r="AU155" s="2466">
        <v>39000</v>
      </c>
      <c r="AV155" s="2466">
        <v>26792.27</v>
      </c>
      <c r="AX155" s="2466">
        <v>39000</v>
      </c>
      <c r="AY155" s="2576">
        <v>-2000</v>
      </c>
      <c r="AZ155" s="2466">
        <f t="shared" si="96"/>
        <v>37000</v>
      </c>
      <c r="BA155" s="2468">
        <f t="shared" si="101"/>
        <v>-5.128205128205128E-2</v>
      </c>
      <c r="BC155" s="2467">
        <v>37000</v>
      </c>
      <c r="BD155" s="2467">
        <v>37000</v>
      </c>
      <c r="BF155" s="2543" t="s">
        <v>1273</v>
      </c>
      <c r="BH155" s="2467">
        <v>37000</v>
      </c>
      <c r="BI155" s="2466">
        <v>20481.939999999999</v>
      </c>
      <c r="BM155" s="2466">
        <v>37000</v>
      </c>
      <c r="BN155" s="2577">
        <v>-1895</v>
      </c>
      <c r="BO155" s="2472">
        <f t="shared" si="97"/>
        <v>35105</v>
      </c>
      <c r="BP155" s="2473">
        <f t="shared" si="102"/>
        <v>-5.1216216216216214E-2</v>
      </c>
      <c r="BR155" s="2474">
        <v>35105</v>
      </c>
      <c r="BS155" s="2474">
        <v>35105</v>
      </c>
      <c r="BU155" s="2578" t="s">
        <v>1430</v>
      </c>
      <c r="BW155" s="2474">
        <v>35105</v>
      </c>
      <c r="BX155" s="2466">
        <v>10616.93</v>
      </c>
      <c r="BZ155" s="2474">
        <v>35105</v>
      </c>
      <c r="CA155" s="2470">
        <v>-1105</v>
      </c>
      <c r="CB155" s="2472">
        <f t="shared" si="98"/>
        <v>34000</v>
      </c>
      <c r="CC155" s="2473">
        <f t="shared" si="103"/>
        <v>-3.1476997578692496E-2</v>
      </c>
      <c r="CE155" s="2474">
        <v>34000</v>
      </c>
      <c r="CF155" s="2476">
        <f t="shared" si="99"/>
        <v>0</v>
      </c>
      <c r="CG155" s="2474">
        <v>34000</v>
      </c>
      <c r="CH155" s="2449" t="s">
        <v>1217</v>
      </c>
      <c r="CI155" s="2449"/>
      <c r="CJ155" s="2450"/>
      <c r="CK155" s="2450"/>
      <c r="CO155" s="2477">
        <v>-0.44643405405405412</v>
      </c>
      <c r="CP155" s="2478">
        <f t="shared" si="73"/>
        <v>-16518.060000000001</v>
      </c>
      <c r="CQ155" s="2478"/>
      <c r="CR155" s="2478"/>
      <c r="CS155" s="2478"/>
      <c r="CT155" s="2478"/>
    </row>
    <row r="156" spans="1:98" hidden="1" x14ac:dyDescent="0.2">
      <c r="A156" s="2395">
        <v>150</v>
      </c>
      <c r="B156" s="2440" t="s">
        <v>1214</v>
      </c>
      <c r="C156" s="2396">
        <v>15005</v>
      </c>
      <c r="D156" s="2396">
        <v>52511</v>
      </c>
      <c r="E156" s="2397" t="s">
        <v>1268</v>
      </c>
      <c r="F156" s="2440" t="s">
        <v>1214</v>
      </c>
      <c r="G156" s="2440" t="s">
        <v>1431</v>
      </c>
      <c r="H156" s="2466">
        <v>1000</v>
      </c>
      <c r="I156" s="2470">
        <v>-250</v>
      </c>
      <c r="J156" s="2466">
        <f t="shared" si="91"/>
        <v>750</v>
      </c>
      <c r="K156" s="2468">
        <f t="shared" si="100"/>
        <v>-0.25</v>
      </c>
      <c r="M156" s="2467">
        <v>750</v>
      </c>
      <c r="N156" s="2467">
        <v>750</v>
      </c>
      <c r="P156" s="2469"/>
      <c r="R156" s="2466">
        <v>750</v>
      </c>
      <c r="S156" s="2466">
        <v>0</v>
      </c>
      <c r="U156" s="2466">
        <v>750</v>
      </c>
      <c r="V156" s="2470">
        <v>0</v>
      </c>
      <c r="W156" s="2466">
        <f t="shared" si="92"/>
        <v>750</v>
      </c>
      <c r="X156" s="2468">
        <f t="shared" si="93"/>
        <v>0</v>
      </c>
      <c r="Z156" s="2467">
        <v>750</v>
      </c>
      <c r="AA156" s="2467">
        <v>750</v>
      </c>
      <c r="AC156" s="2469"/>
      <c r="AH156" s="2579"/>
      <c r="AI156" s="2470"/>
      <c r="AJ156" s="2466">
        <f t="shared" si="94"/>
        <v>0</v>
      </c>
      <c r="AK156" s="2468" t="str">
        <f t="shared" si="95"/>
        <v xml:space="preserve"> </v>
      </c>
      <c r="AM156" s="2467">
        <v>0</v>
      </c>
      <c r="AN156" s="2467">
        <v>0</v>
      </c>
      <c r="AP156" s="2469"/>
      <c r="AR156" s="2466">
        <v>0</v>
      </c>
      <c r="AS156" s="2466">
        <v>0</v>
      </c>
      <c r="AT156" s="2466"/>
      <c r="AU156" s="2466">
        <v>0</v>
      </c>
      <c r="AX156" s="2466">
        <v>0</v>
      </c>
      <c r="AY156" s="2470"/>
      <c r="AZ156" s="2466">
        <f t="shared" si="96"/>
        <v>0</v>
      </c>
      <c r="BA156" s="2468" t="str">
        <f t="shared" si="101"/>
        <v xml:space="preserve"> </v>
      </c>
      <c r="BC156" s="2467">
        <v>0</v>
      </c>
      <c r="BD156" s="2467">
        <v>0</v>
      </c>
      <c r="BF156" s="2469"/>
      <c r="BH156" s="2467">
        <v>0</v>
      </c>
      <c r="BM156" s="2466">
        <v>0</v>
      </c>
      <c r="BN156" s="2470"/>
      <c r="BO156" s="2472">
        <f t="shared" si="97"/>
        <v>0</v>
      </c>
      <c r="BP156" s="2473" t="str">
        <f t="shared" si="102"/>
        <v xml:space="preserve"> </v>
      </c>
      <c r="BR156" s="2474">
        <v>0</v>
      </c>
      <c r="BS156" s="2474">
        <v>0</v>
      </c>
      <c r="BU156" s="2475"/>
      <c r="BW156" s="2474">
        <v>0</v>
      </c>
      <c r="BZ156" s="2474">
        <v>0</v>
      </c>
      <c r="CA156" s="2470"/>
      <c r="CB156" s="2472">
        <f t="shared" si="98"/>
        <v>0</v>
      </c>
      <c r="CC156" s="2473" t="str">
        <f t="shared" si="103"/>
        <v xml:space="preserve"> </v>
      </c>
      <c r="CE156" s="2474">
        <v>0</v>
      </c>
      <c r="CF156" s="2476" t="str">
        <f t="shared" si="99"/>
        <v xml:space="preserve"> </v>
      </c>
      <c r="CG156" s="2474">
        <v>0</v>
      </c>
      <c r="CH156" s="2449" t="s">
        <v>1217</v>
      </c>
      <c r="CI156" s="2449"/>
      <c r="CJ156" s="2450"/>
      <c r="CK156" s="2450"/>
      <c r="CP156" s="2478">
        <f t="shared" si="73"/>
        <v>0</v>
      </c>
      <c r="CQ156" s="2478"/>
      <c r="CR156" s="2478"/>
      <c r="CS156" s="2478"/>
      <c r="CT156" s="2478"/>
    </row>
    <row r="157" spans="1:98" hidden="1" x14ac:dyDescent="0.2">
      <c r="A157" s="2395">
        <v>150</v>
      </c>
      <c r="C157" s="2396">
        <v>15005</v>
      </c>
      <c r="D157" s="2396">
        <v>52512</v>
      </c>
      <c r="E157" s="2397" t="s">
        <v>1268</v>
      </c>
      <c r="G157" s="2440" t="s">
        <v>1432</v>
      </c>
      <c r="H157" s="2466">
        <v>0</v>
      </c>
      <c r="I157" s="2470"/>
      <c r="J157" s="2466">
        <v>0</v>
      </c>
      <c r="K157" s="2468" t="str">
        <f t="shared" si="100"/>
        <v xml:space="preserve"> </v>
      </c>
      <c r="M157" s="2467"/>
      <c r="N157" s="2467"/>
      <c r="P157" s="2469"/>
      <c r="S157" s="2466">
        <v>2831.12</v>
      </c>
      <c r="V157" s="2470"/>
      <c r="Z157" s="2467"/>
      <c r="AA157" s="2467"/>
      <c r="AC157" s="2469"/>
      <c r="AE157" s="2466">
        <v>3000</v>
      </c>
      <c r="AF157" s="2471">
        <v>2951.18</v>
      </c>
      <c r="AH157" s="2580">
        <v>3000</v>
      </c>
      <c r="AI157" s="2470"/>
      <c r="AJ157" s="2466">
        <f t="shared" si="94"/>
        <v>3000</v>
      </c>
      <c r="AK157" s="2468">
        <f t="shared" si="95"/>
        <v>0</v>
      </c>
      <c r="AM157" s="2467">
        <v>3000</v>
      </c>
      <c r="AN157" s="2467">
        <v>3000</v>
      </c>
      <c r="AP157" s="2469"/>
      <c r="AR157" s="2466">
        <v>3000</v>
      </c>
      <c r="AS157" s="2466">
        <v>2614.39</v>
      </c>
      <c r="AT157" s="2466"/>
      <c r="AU157" s="2466">
        <v>3000</v>
      </c>
      <c r="AV157" s="2466">
        <v>2934.64</v>
      </c>
      <c r="AX157" s="2466">
        <v>3000</v>
      </c>
      <c r="AY157" s="2470"/>
      <c r="AZ157" s="2466">
        <f t="shared" si="96"/>
        <v>3000</v>
      </c>
      <c r="BA157" s="2468">
        <f t="shared" si="101"/>
        <v>0</v>
      </c>
      <c r="BC157" s="2467">
        <v>3000</v>
      </c>
      <c r="BD157" s="2467">
        <v>3000</v>
      </c>
      <c r="BF157" s="2469"/>
      <c r="BH157" s="2467">
        <v>3000</v>
      </c>
      <c r="BI157" s="2466">
        <v>3036.03</v>
      </c>
      <c r="BM157" s="2466">
        <v>3000</v>
      </c>
      <c r="BN157" s="2470"/>
      <c r="BO157" s="2472">
        <f t="shared" si="97"/>
        <v>3000</v>
      </c>
      <c r="BP157" s="2473">
        <f t="shared" si="102"/>
        <v>0</v>
      </c>
      <c r="BR157" s="2474">
        <v>3000</v>
      </c>
      <c r="BS157" s="2474">
        <v>3000</v>
      </c>
      <c r="BU157" s="2578" t="s">
        <v>1430</v>
      </c>
      <c r="BW157" s="2474">
        <v>3000</v>
      </c>
      <c r="BX157" s="2466">
        <v>1136.8900000000001</v>
      </c>
      <c r="BZ157" s="2474">
        <v>3000</v>
      </c>
      <c r="CA157" s="2470"/>
      <c r="CB157" s="2472">
        <f t="shared" si="98"/>
        <v>3000</v>
      </c>
      <c r="CC157" s="2473">
        <f t="shared" si="103"/>
        <v>0</v>
      </c>
      <c r="CE157" s="2474">
        <v>3000</v>
      </c>
      <c r="CF157" s="2476">
        <f t="shared" si="99"/>
        <v>0</v>
      </c>
      <c r="CG157" s="2474">
        <v>3000</v>
      </c>
      <c r="CH157" s="2449" t="s">
        <v>1217</v>
      </c>
      <c r="CI157" s="2449"/>
      <c r="CJ157" s="2450"/>
      <c r="CK157" s="2450"/>
      <c r="CO157" s="2477">
        <v>1.2010000000000076E-2</v>
      </c>
      <c r="CP157" s="2478">
        <f t="shared" si="73"/>
        <v>36.0300000000002</v>
      </c>
      <c r="CQ157" s="2478"/>
      <c r="CR157" s="2478"/>
      <c r="CS157" s="2478"/>
      <c r="CT157" s="2478"/>
    </row>
    <row r="158" spans="1:98" hidden="1" x14ac:dyDescent="0.2">
      <c r="A158" s="2395">
        <v>150</v>
      </c>
      <c r="B158" s="2440" t="s">
        <v>1214</v>
      </c>
      <c r="C158" s="2396">
        <v>15005</v>
      </c>
      <c r="D158" s="2396">
        <v>53044</v>
      </c>
      <c r="E158" s="2397" t="s">
        <v>1268</v>
      </c>
      <c r="F158" s="2440" t="s">
        <v>1214</v>
      </c>
      <c r="G158" s="2581" t="s">
        <v>1433</v>
      </c>
      <c r="I158" s="2470"/>
      <c r="M158" s="2467"/>
      <c r="N158" s="2467"/>
      <c r="P158" s="2469"/>
      <c r="V158" s="2470"/>
      <c r="Z158" s="2467"/>
      <c r="AA158" s="2467"/>
      <c r="AC158" s="2469"/>
      <c r="AH158" s="2466">
        <v>48681</v>
      </c>
      <c r="AI158" s="2470"/>
      <c r="AJ158" s="2466">
        <f t="shared" si="94"/>
        <v>48681</v>
      </c>
      <c r="AK158" s="2468">
        <f t="shared" si="95"/>
        <v>0</v>
      </c>
      <c r="AM158" s="2467">
        <v>48681</v>
      </c>
      <c r="AN158" s="2467">
        <v>48681</v>
      </c>
      <c r="AP158" s="2530"/>
      <c r="AR158" s="2466">
        <v>48681</v>
      </c>
      <c r="AS158" s="2466">
        <v>48680.89</v>
      </c>
      <c r="AT158" s="2466"/>
      <c r="AU158" s="2466">
        <v>50142</v>
      </c>
      <c r="AV158" s="2466">
        <v>50141.33</v>
      </c>
      <c r="AX158" s="2466">
        <v>50142</v>
      </c>
      <c r="AY158" s="2470"/>
      <c r="AZ158" s="2466">
        <f t="shared" si="96"/>
        <v>50142</v>
      </c>
      <c r="BA158" s="2468">
        <f t="shared" si="101"/>
        <v>0</v>
      </c>
      <c r="BC158" s="2467">
        <v>50142</v>
      </c>
      <c r="BD158" s="2467">
        <f>50142+1504</f>
        <v>51646</v>
      </c>
      <c r="BF158" s="2530" t="s">
        <v>1434</v>
      </c>
      <c r="BH158" s="2467">
        <f>50142+1504</f>
        <v>51646</v>
      </c>
      <c r="BI158" s="2466">
        <v>51144.160000000003</v>
      </c>
      <c r="BM158" s="2466">
        <f>50142+1504</f>
        <v>51646</v>
      </c>
      <c r="BN158" s="2577">
        <v>1550</v>
      </c>
      <c r="BO158" s="2472">
        <f t="shared" si="97"/>
        <v>53196</v>
      </c>
      <c r="BP158" s="2473">
        <f t="shared" si="102"/>
        <v>3.0012004801920768E-2</v>
      </c>
      <c r="BR158" s="2474">
        <v>53196</v>
      </c>
      <c r="BS158" s="2474">
        <v>53196</v>
      </c>
      <c r="BU158" s="2475" t="s">
        <v>1435</v>
      </c>
      <c r="BW158" s="2474">
        <v>53196</v>
      </c>
      <c r="BX158" s="2466">
        <v>52678.47</v>
      </c>
      <c r="BZ158" s="2474">
        <v>53196</v>
      </c>
      <c r="CA158" s="2470"/>
      <c r="CB158" s="2472">
        <f t="shared" si="98"/>
        <v>53196</v>
      </c>
      <c r="CC158" s="2473">
        <f t="shared" si="103"/>
        <v>0</v>
      </c>
      <c r="CE158" s="2474">
        <v>53196</v>
      </c>
      <c r="CF158" s="2476">
        <f t="shared" si="99"/>
        <v>0</v>
      </c>
      <c r="CG158" s="2474">
        <v>53196</v>
      </c>
      <c r="CH158" s="2449" t="s">
        <v>1217</v>
      </c>
      <c r="CI158" s="2449"/>
      <c r="CJ158" s="2450"/>
      <c r="CK158" s="2450"/>
      <c r="CO158" s="2477">
        <v>-9.7169190256747306E-3</v>
      </c>
      <c r="CP158" s="2478">
        <f t="shared" si="73"/>
        <v>-501.83999999999651</v>
      </c>
      <c r="CQ158" s="2478"/>
      <c r="CR158" s="2478"/>
      <c r="CS158" s="2478"/>
      <c r="CT158" s="2478"/>
    </row>
    <row r="159" spans="1:98" hidden="1" x14ac:dyDescent="0.2">
      <c r="A159" s="2395">
        <v>150</v>
      </c>
      <c r="B159" s="2440" t="s">
        <v>1214</v>
      </c>
      <c r="C159" s="2396">
        <v>15005</v>
      </c>
      <c r="D159" s="2396">
        <v>53045</v>
      </c>
      <c r="E159" s="2397" t="s">
        <v>1268</v>
      </c>
      <c r="G159" s="2581" t="s">
        <v>1436</v>
      </c>
      <c r="I159" s="2470"/>
      <c r="M159" s="2467"/>
      <c r="N159" s="2467"/>
      <c r="P159" s="2469"/>
      <c r="V159" s="2470"/>
      <c r="Z159" s="2467"/>
      <c r="AA159" s="2467"/>
      <c r="AC159" s="2469"/>
      <c r="AF159" s="2471">
        <v>1598.12</v>
      </c>
      <c r="AI159" s="2470"/>
      <c r="AM159" s="2467"/>
      <c r="AN159" s="2467"/>
      <c r="AP159" s="2530"/>
      <c r="AS159" s="2466">
        <v>0</v>
      </c>
      <c r="AT159" s="2466"/>
      <c r="AU159" s="2466">
        <v>0</v>
      </c>
      <c r="AX159" s="2466">
        <v>0</v>
      </c>
      <c r="AY159" s="2470"/>
      <c r="AZ159" s="2466">
        <f t="shared" si="96"/>
        <v>0</v>
      </c>
      <c r="BC159" s="2467">
        <v>0</v>
      </c>
      <c r="BD159" s="2467">
        <v>0</v>
      </c>
      <c r="BF159" s="2469"/>
      <c r="BH159" s="2467">
        <v>0</v>
      </c>
      <c r="BM159" s="2466">
        <v>0</v>
      </c>
      <c r="BN159" s="2470"/>
      <c r="BO159" s="2472">
        <f t="shared" si="97"/>
        <v>0</v>
      </c>
      <c r="BR159" s="2474">
        <v>0</v>
      </c>
      <c r="BS159" s="2474"/>
      <c r="BU159" s="2547"/>
      <c r="BW159" s="2474">
        <v>0</v>
      </c>
      <c r="BZ159" s="2474">
        <v>0</v>
      </c>
      <c r="CA159" s="2470"/>
      <c r="CB159" s="2472">
        <f t="shared" si="98"/>
        <v>0</v>
      </c>
      <c r="CE159" s="2474">
        <v>0</v>
      </c>
      <c r="CF159" s="2476"/>
      <c r="CG159" s="2474">
        <v>0</v>
      </c>
      <c r="CH159" s="2449" t="s">
        <v>1217</v>
      </c>
      <c r="CI159" s="2449"/>
      <c r="CJ159" s="2450"/>
      <c r="CK159" s="2450"/>
      <c r="CP159" s="2478">
        <f t="shared" si="73"/>
        <v>0</v>
      </c>
      <c r="CQ159" s="2478"/>
      <c r="CR159" s="2478"/>
      <c r="CS159" s="2478"/>
      <c r="CT159" s="2478"/>
    </row>
    <row r="160" spans="1:98" hidden="1" x14ac:dyDescent="0.2">
      <c r="A160" s="2395">
        <v>150</v>
      </c>
      <c r="B160" s="2440" t="s">
        <v>1214</v>
      </c>
      <c r="C160" s="2396">
        <v>15005</v>
      </c>
      <c r="D160" s="2396">
        <v>53046</v>
      </c>
      <c r="E160" s="2397" t="s">
        <v>1268</v>
      </c>
      <c r="F160" s="2440" t="s">
        <v>1214</v>
      </c>
      <c r="G160" s="2581" t="s">
        <v>1437</v>
      </c>
      <c r="H160" s="2466">
        <v>85321</v>
      </c>
      <c r="I160" s="2470">
        <v>10000</v>
      </c>
      <c r="J160" s="2466">
        <f>H160+I160</f>
        <v>95321</v>
      </c>
      <c r="K160" s="2468">
        <f>IF(H160=0," ",(J160-H160)/H160)</f>
        <v>0.11720443970417599</v>
      </c>
      <c r="M160" s="2467">
        <v>95321</v>
      </c>
      <c r="N160" s="2467">
        <v>95321</v>
      </c>
      <c r="P160" s="2469"/>
      <c r="R160" s="2466">
        <v>95321</v>
      </c>
      <c r="S160" s="2466">
        <v>87327.72</v>
      </c>
      <c r="U160" s="2466">
        <v>95321</v>
      </c>
      <c r="V160" s="2470">
        <v>0</v>
      </c>
      <c r="W160" s="2466">
        <f>U160+V160</f>
        <v>95321</v>
      </c>
      <c r="X160" s="2468">
        <f>IF(U160=0," ",(W160-U160)/U160)</f>
        <v>0</v>
      </c>
      <c r="Z160" s="2467">
        <v>95321</v>
      </c>
      <c r="AA160" s="2467">
        <v>95321</v>
      </c>
      <c r="AC160" s="2469"/>
      <c r="AE160" s="2466">
        <v>95321</v>
      </c>
      <c r="AF160" s="2471">
        <v>90848.75</v>
      </c>
      <c r="AH160" s="2466">
        <f>95321-48681</f>
        <v>46640</v>
      </c>
      <c r="AI160" s="2470">
        <v>4900</v>
      </c>
      <c r="AJ160" s="2466">
        <f t="shared" si="94"/>
        <v>51540</v>
      </c>
      <c r="AK160" s="2468">
        <f t="shared" si="95"/>
        <v>0.10506003430531732</v>
      </c>
      <c r="AM160" s="2467">
        <f>51540+11000</f>
        <v>62540</v>
      </c>
      <c r="AN160" s="2467">
        <f>51540+11000</f>
        <v>62540</v>
      </c>
      <c r="AP160" s="2530" t="s">
        <v>1438</v>
      </c>
      <c r="AR160" s="2466">
        <f>51540+11000</f>
        <v>62540</v>
      </c>
      <c r="AS160" s="2466">
        <v>46140.77</v>
      </c>
      <c r="AT160" s="2466"/>
      <c r="AU160" s="2466">
        <v>62540</v>
      </c>
      <c r="AV160" s="2466">
        <v>57083.96</v>
      </c>
      <c r="AX160" s="2466">
        <v>62540</v>
      </c>
      <c r="AY160" s="2470">
        <v>-12850</v>
      </c>
      <c r="AZ160" s="2466">
        <f t="shared" si="96"/>
        <v>49690</v>
      </c>
      <c r="BA160" s="2468">
        <f>IF(AX160=0," ",(AZ160-AX160)/AX160)</f>
        <v>-0.20546850015989768</v>
      </c>
      <c r="BC160" s="2467">
        <v>49690</v>
      </c>
      <c r="BD160" s="2467">
        <v>49690</v>
      </c>
      <c r="BF160" s="2469" t="s">
        <v>1439</v>
      </c>
      <c r="BH160" s="2467">
        <v>49690</v>
      </c>
      <c r="BI160" s="2466">
        <v>50361.599999999999</v>
      </c>
      <c r="BM160" s="2466">
        <v>49690</v>
      </c>
      <c r="BN160" s="2470"/>
      <c r="BO160" s="2472">
        <f t="shared" si="97"/>
        <v>49690</v>
      </c>
      <c r="BP160" s="2473">
        <f>IF(BM160=0," ",(BO160-BM160)/BM160)</f>
        <v>0</v>
      </c>
      <c r="BR160" s="2474">
        <v>49690</v>
      </c>
      <c r="BS160" s="2474">
        <f>49690+3300</f>
        <v>52990</v>
      </c>
      <c r="BU160" s="2547" t="s">
        <v>1440</v>
      </c>
      <c r="BW160" s="2474">
        <f>49690+3300</f>
        <v>52990</v>
      </c>
      <c r="BX160" s="2466">
        <v>26080.71</v>
      </c>
      <c r="BZ160" s="2474">
        <f>49690+3300</f>
        <v>52990</v>
      </c>
      <c r="CA160" s="2470">
        <f>5000+1105</f>
        <v>6105</v>
      </c>
      <c r="CB160" s="2472">
        <f t="shared" si="98"/>
        <v>59095</v>
      </c>
      <c r="CC160" s="2473">
        <f>IF(BZ160=0," ",(CB160-BZ160)/BZ160)</f>
        <v>0.11521041705982261</v>
      </c>
      <c r="CE160" s="2474">
        <v>59095</v>
      </c>
      <c r="CF160" s="2476">
        <f t="shared" ref="CF160:CF173" si="104">IF(CB160=0," ",(CE160-CB160)/CB160)</f>
        <v>0</v>
      </c>
      <c r="CG160" s="2474">
        <v>59095</v>
      </c>
      <c r="CH160" s="2449" t="s">
        <v>1217</v>
      </c>
      <c r="CI160" s="2449"/>
      <c r="CJ160" s="2450"/>
      <c r="CK160" s="2450"/>
      <c r="CO160" s="2477">
        <v>1.3515797947273089E-2</v>
      </c>
      <c r="CP160" s="2478">
        <f t="shared" si="73"/>
        <v>671.59999999999854</v>
      </c>
      <c r="CQ160" s="2478"/>
      <c r="CR160" s="2478"/>
      <c r="CS160" s="2478"/>
      <c r="CT160" s="2478"/>
    </row>
    <row r="161" spans="1:98" hidden="1" x14ac:dyDescent="0.2">
      <c r="A161" s="2395">
        <v>150</v>
      </c>
      <c r="B161" s="2440" t="s">
        <v>1214</v>
      </c>
      <c r="C161" s="2396">
        <v>15005</v>
      </c>
      <c r="D161" s="2396">
        <v>53048</v>
      </c>
      <c r="E161" s="2397" t="s">
        <v>1268</v>
      </c>
      <c r="F161" s="2440" t="s">
        <v>1214</v>
      </c>
      <c r="G161" s="2581" t="s">
        <v>1441</v>
      </c>
      <c r="I161" s="2470"/>
      <c r="K161" s="2468" t="str">
        <f>IF(H161=0," ",(J161-H161)/H161)</f>
        <v xml:space="preserve"> </v>
      </c>
      <c r="M161" s="2467"/>
      <c r="N161" s="2467"/>
      <c r="P161" s="2469"/>
      <c r="V161" s="2470"/>
      <c r="Z161" s="2467"/>
      <c r="AA161" s="2467"/>
      <c r="AC161" s="2469"/>
      <c r="AI161" s="2470"/>
      <c r="AK161" s="2468" t="str">
        <f t="shared" si="95"/>
        <v xml:space="preserve"> </v>
      </c>
      <c r="AM161" s="2573">
        <v>25000</v>
      </c>
      <c r="AN161" s="2573">
        <v>25000</v>
      </c>
      <c r="AP161" s="2582" t="s">
        <v>1442</v>
      </c>
      <c r="AR161" s="2466">
        <v>25000</v>
      </c>
      <c r="AS161" s="2466">
        <v>12297.5</v>
      </c>
      <c r="AT161" s="2466"/>
      <c r="AU161" s="2466">
        <v>25000</v>
      </c>
      <c r="AV161" s="2466">
        <v>4502.5</v>
      </c>
      <c r="AX161" s="2466">
        <v>25000</v>
      </c>
      <c r="AY161" s="2470"/>
      <c r="AZ161" s="2466">
        <f t="shared" si="96"/>
        <v>25000</v>
      </c>
      <c r="BA161" s="2468">
        <f>IF(AX161=0," ",(AZ161-AX161)/AX161)</f>
        <v>0</v>
      </c>
      <c r="BC161" s="2467">
        <v>25000</v>
      </c>
      <c r="BD161" s="2467">
        <v>25000</v>
      </c>
      <c r="BF161" s="2583"/>
      <c r="BH161" s="2467">
        <v>25000</v>
      </c>
      <c r="BI161" s="2466">
        <v>11597.54</v>
      </c>
      <c r="BM161" s="2466">
        <v>25000</v>
      </c>
      <c r="BN161" s="2542">
        <v>-5000</v>
      </c>
      <c r="BO161" s="2472">
        <f t="shared" si="97"/>
        <v>20000</v>
      </c>
      <c r="BP161" s="2473">
        <f>IF(BM161=0," ",(BO161-BM161)/BM161)</f>
        <v>-0.2</v>
      </c>
      <c r="BR161" s="2584">
        <v>25000</v>
      </c>
      <c r="BS161" s="2584">
        <v>15000</v>
      </c>
      <c r="BU161" s="2578" t="s">
        <v>1443</v>
      </c>
      <c r="BW161" s="2474">
        <v>15000</v>
      </c>
      <c r="BX161" s="2466">
        <v>480</v>
      </c>
      <c r="BZ161" s="2474">
        <v>15000</v>
      </c>
      <c r="CA161" s="2470">
        <v>-5000</v>
      </c>
      <c r="CB161" s="2472">
        <f t="shared" si="98"/>
        <v>10000</v>
      </c>
      <c r="CC161" s="2473">
        <f>IF(BZ161=0," ",(CB161-BZ161)/BZ161)</f>
        <v>-0.33333333333333331</v>
      </c>
      <c r="CE161" s="2474">
        <v>10000</v>
      </c>
      <c r="CF161" s="2476">
        <f t="shared" si="104"/>
        <v>0</v>
      </c>
      <c r="CG161" s="2474">
        <v>10000</v>
      </c>
      <c r="CH161" s="2449" t="s">
        <v>1217</v>
      </c>
      <c r="CI161" s="2449"/>
      <c r="CJ161" s="2450" t="s">
        <v>1263</v>
      </c>
      <c r="CK161" s="2518">
        <f t="shared" ref="CK161" si="105">-CG161</f>
        <v>-10000</v>
      </c>
      <c r="CO161" s="2477">
        <v>-0.53609839999999997</v>
      </c>
      <c r="CP161" s="2478">
        <f t="shared" si="73"/>
        <v>-13402.46</v>
      </c>
      <c r="CQ161" s="2478"/>
      <c r="CR161" s="2478"/>
      <c r="CS161" s="2478"/>
      <c r="CT161" s="2478"/>
    </row>
    <row r="162" spans="1:98" hidden="1" x14ac:dyDescent="0.2">
      <c r="A162" s="2395">
        <v>150</v>
      </c>
      <c r="B162" s="2440" t="s">
        <v>1214</v>
      </c>
      <c r="C162" s="2396">
        <v>15005</v>
      </c>
      <c r="D162" s="2396">
        <v>53050</v>
      </c>
      <c r="E162" s="2397" t="s">
        <v>1268</v>
      </c>
      <c r="F162" s="2440" t="s">
        <v>1214</v>
      </c>
      <c r="G162" s="2440" t="s">
        <v>1444</v>
      </c>
      <c r="H162" s="2466">
        <v>4500</v>
      </c>
      <c r="I162" s="2470">
        <v>400</v>
      </c>
      <c r="J162" s="2466">
        <f>H162+I162</f>
        <v>4900</v>
      </c>
      <c r="K162" s="2468">
        <f>IF(H162=0," ",(J162-H162)/H162)</f>
        <v>8.8888888888888892E-2</v>
      </c>
      <c r="M162" s="2467">
        <v>4900</v>
      </c>
      <c r="N162" s="2467">
        <v>4900</v>
      </c>
      <c r="P162" s="2469"/>
      <c r="R162" s="2466">
        <v>4900</v>
      </c>
      <c r="S162" s="2466">
        <v>2450</v>
      </c>
      <c r="U162" s="2466">
        <v>4900</v>
      </c>
      <c r="V162" s="2470">
        <v>0</v>
      </c>
      <c r="W162" s="2466">
        <f>U162+V162</f>
        <v>4900</v>
      </c>
      <c r="X162" s="2468">
        <f>IF(U162=0," ",(W162-U162)/U162)</f>
        <v>0</v>
      </c>
      <c r="Z162" s="2467">
        <v>4900</v>
      </c>
      <c r="AA162" s="2467">
        <v>4900</v>
      </c>
      <c r="AC162" s="2469"/>
      <c r="AE162" s="2466">
        <v>4900</v>
      </c>
      <c r="AF162" s="2471">
        <v>1425</v>
      </c>
      <c r="AH162" s="2466">
        <v>4900</v>
      </c>
      <c r="AI162" s="2470">
        <v>-4900</v>
      </c>
      <c r="AJ162" s="2466">
        <f>AH162+AI162</f>
        <v>0</v>
      </c>
      <c r="AK162" s="2468">
        <f t="shared" si="95"/>
        <v>-1</v>
      </c>
      <c r="AM162" s="2467">
        <v>0</v>
      </c>
      <c r="AN162" s="2467">
        <v>0</v>
      </c>
      <c r="AP162" s="2469"/>
      <c r="AR162" s="2466">
        <v>0</v>
      </c>
      <c r="AS162" s="2466">
        <v>0</v>
      </c>
      <c r="AT162" s="2466"/>
      <c r="AU162" s="2466">
        <v>0</v>
      </c>
      <c r="AX162" s="2466">
        <v>0</v>
      </c>
      <c r="AY162" s="2470"/>
      <c r="AZ162" s="2466">
        <f t="shared" si="96"/>
        <v>0</v>
      </c>
      <c r="BA162" s="2468" t="str">
        <f>IF(AX162=0," ",(AZ162-AX162)/AX162)</f>
        <v xml:space="preserve"> </v>
      </c>
      <c r="BC162" s="2467">
        <v>0</v>
      </c>
      <c r="BD162" s="2467">
        <v>0</v>
      </c>
      <c r="BF162" s="2469"/>
      <c r="BH162" s="2467">
        <v>0</v>
      </c>
      <c r="BM162" s="2466">
        <v>0</v>
      </c>
      <c r="BN162" s="2470"/>
      <c r="BO162" s="2472">
        <f t="shared" si="97"/>
        <v>0</v>
      </c>
      <c r="BP162" s="2473" t="str">
        <f>IF(BM162=0," ",(BO162-BM162)/BM162)</f>
        <v xml:space="preserve"> </v>
      </c>
      <c r="BR162" s="2474">
        <v>0</v>
      </c>
      <c r="BS162" s="2474">
        <v>0</v>
      </c>
      <c r="BU162" s="2475"/>
      <c r="BW162" s="2474">
        <v>0</v>
      </c>
      <c r="BZ162" s="2474">
        <v>0</v>
      </c>
      <c r="CA162" s="2470"/>
      <c r="CB162" s="2472">
        <f t="shared" si="98"/>
        <v>0</v>
      </c>
      <c r="CC162" s="2473" t="str">
        <f>IF(BZ162=0," ",(CB162-BZ162)/BZ162)</f>
        <v xml:space="preserve"> </v>
      </c>
      <c r="CE162" s="2474">
        <v>0</v>
      </c>
      <c r="CF162" s="2476" t="str">
        <f t="shared" si="104"/>
        <v xml:space="preserve"> </v>
      </c>
      <c r="CG162" s="2474">
        <v>0</v>
      </c>
      <c r="CH162" s="2449" t="s">
        <v>1217</v>
      </c>
      <c r="CI162" s="2449"/>
      <c r="CJ162" s="2450"/>
      <c r="CK162" s="2450"/>
      <c r="CP162" s="2478">
        <f t="shared" si="73"/>
        <v>0</v>
      </c>
      <c r="CQ162" s="2478"/>
      <c r="CR162" s="2478"/>
      <c r="CS162" s="2478"/>
      <c r="CT162" s="2478"/>
    </row>
    <row r="163" spans="1:98" hidden="1" x14ac:dyDescent="0.2">
      <c r="A163" s="2395">
        <v>150</v>
      </c>
      <c r="B163" s="2440" t="s">
        <v>1214</v>
      </c>
      <c r="C163" s="2396">
        <v>15005</v>
      </c>
      <c r="D163" s="2396">
        <v>53052</v>
      </c>
      <c r="E163" s="2397" t="s">
        <v>1268</v>
      </c>
      <c r="G163" s="2440" t="s">
        <v>1445</v>
      </c>
      <c r="I163" s="2470"/>
      <c r="M163" s="2467"/>
      <c r="N163" s="2467"/>
      <c r="P163" s="2469"/>
      <c r="V163" s="2470"/>
      <c r="Z163" s="2467"/>
      <c r="AA163" s="2467"/>
      <c r="AC163" s="2469"/>
      <c r="AI163" s="2470"/>
      <c r="AJ163" s="2466">
        <f>AH163+AI163</f>
        <v>0</v>
      </c>
      <c r="AK163" s="2468" t="str">
        <f t="shared" si="95"/>
        <v xml:space="preserve"> </v>
      </c>
      <c r="AM163" s="2573">
        <v>25000</v>
      </c>
      <c r="AN163" s="2573">
        <v>25000</v>
      </c>
      <c r="AP163" s="2582" t="s">
        <v>1446</v>
      </c>
      <c r="AR163" s="2466">
        <v>25000</v>
      </c>
      <c r="AS163" s="2466">
        <v>21975</v>
      </c>
      <c r="AT163" s="2466"/>
      <c r="AU163" s="2466">
        <v>25000</v>
      </c>
      <c r="AV163" s="2466">
        <v>23320.13</v>
      </c>
      <c r="AX163" s="2466">
        <v>25000</v>
      </c>
      <c r="AY163" s="2470"/>
      <c r="AZ163" s="2466">
        <f t="shared" si="96"/>
        <v>25000</v>
      </c>
      <c r="BA163" s="2468">
        <f>IF(AX163=0," ",(AZ163-AX163)/AX163)</f>
        <v>0</v>
      </c>
      <c r="BC163" s="2467">
        <v>25000</v>
      </c>
      <c r="BD163" s="2467">
        <v>25000</v>
      </c>
      <c r="BF163" s="2585" t="s">
        <v>1447</v>
      </c>
      <c r="BH163" s="2467">
        <v>25000</v>
      </c>
      <c r="BI163" s="2466">
        <v>24987.5</v>
      </c>
      <c r="BM163" s="2466">
        <v>25000</v>
      </c>
      <c r="BN163" s="2542">
        <v>5000</v>
      </c>
      <c r="BO163" s="2472">
        <f t="shared" si="97"/>
        <v>30000</v>
      </c>
      <c r="BP163" s="2473">
        <f>IF(BM163=0," ",(BO163-BM163)/BM163)</f>
        <v>0.2</v>
      </c>
      <c r="BR163" s="2584">
        <v>25000</v>
      </c>
      <c r="BS163" s="2584">
        <v>25000</v>
      </c>
      <c r="BU163" s="2578" t="s">
        <v>1448</v>
      </c>
      <c r="BW163" s="2474">
        <v>25000</v>
      </c>
      <c r="BX163" s="2466">
        <v>11900</v>
      </c>
      <c r="BZ163" s="2474">
        <v>25000</v>
      </c>
      <c r="CA163" s="2470"/>
      <c r="CB163" s="2472">
        <f t="shared" si="98"/>
        <v>25000</v>
      </c>
      <c r="CC163" s="2473">
        <f>IF(BZ163=0," ",(CB163-BZ163)/BZ163)</f>
        <v>0</v>
      </c>
      <c r="CE163" s="2474">
        <v>25000</v>
      </c>
      <c r="CF163" s="2476">
        <f t="shared" si="104"/>
        <v>0</v>
      </c>
      <c r="CG163" s="2474">
        <v>25000</v>
      </c>
      <c r="CH163" s="2449" t="s">
        <v>1217</v>
      </c>
      <c r="CI163" s="2449"/>
      <c r="CJ163" s="2450" t="s">
        <v>1256</v>
      </c>
      <c r="CK163" s="2518">
        <f t="shared" ref="CK163" si="106">-CG163</f>
        <v>-25000</v>
      </c>
      <c r="CO163" s="2477">
        <v>-4.9999999999994493E-4</v>
      </c>
      <c r="CP163" s="2478">
        <f t="shared" si="73"/>
        <v>-12.5</v>
      </c>
      <c r="CQ163" s="2478"/>
      <c r="CR163" s="2478"/>
      <c r="CS163" s="2478"/>
      <c r="CT163" s="2478"/>
    </row>
    <row r="164" spans="1:98" hidden="1" x14ac:dyDescent="0.2">
      <c r="A164" s="2395">
        <v>150</v>
      </c>
      <c r="B164" s="2440" t="s">
        <v>1214</v>
      </c>
      <c r="C164" s="2396">
        <v>15005</v>
      </c>
      <c r="D164" s="2396">
        <v>53400</v>
      </c>
      <c r="E164" s="2397" t="s">
        <v>1268</v>
      </c>
      <c r="F164" s="2440" t="s">
        <v>1214</v>
      </c>
      <c r="G164" s="2440" t="s">
        <v>1449</v>
      </c>
      <c r="I164" s="2470">
        <v>24500</v>
      </c>
      <c r="J164" s="2466">
        <f>H164+I164</f>
        <v>24500</v>
      </c>
      <c r="K164" s="2468" t="str">
        <f>IF(H164=0," ",(J164-H164)/H164)</f>
        <v xml:space="preserve"> </v>
      </c>
      <c r="M164" s="2467">
        <v>24500</v>
      </c>
      <c r="N164" s="2467">
        <v>24500</v>
      </c>
      <c r="P164" s="2469"/>
      <c r="R164" s="2466">
        <v>24500</v>
      </c>
      <c r="S164" s="2466">
        <v>24741.4</v>
      </c>
      <c r="U164" s="2466">
        <v>24500</v>
      </c>
      <c r="V164" s="2470">
        <v>0</v>
      </c>
      <c r="W164" s="2466">
        <f>U164+V164</f>
        <v>24500</v>
      </c>
      <c r="X164" s="2468">
        <f>IF(U164=0," ",(W164-U164)/U164)</f>
        <v>0</v>
      </c>
      <c r="Z164" s="2467">
        <v>24500</v>
      </c>
      <c r="AA164" s="2467">
        <v>24500</v>
      </c>
      <c r="AC164" s="2469"/>
      <c r="AE164" s="2466">
        <v>24500</v>
      </c>
      <c r="AF164" s="2471">
        <v>32758.54</v>
      </c>
      <c r="AH164" s="2466">
        <v>24500</v>
      </c>
      <c r="AI164" s="2470"/>
      <c r="AJ164" s="2466">
        <f>AH164+AI164</f>
        <v>24500</v>
      </c>
      <c r="AK164" s="2468">
        <f t="shared" si="95"/>
        <v>0</v>
      </c>
      <c r="AM164" s="2467">
        <f>24500+3500</f>
        <v>28000</v>
      </c>
      <c r="AN164" s="2467">
        <f>24500+3500</f>
        <v>28000</v>
      </c>
      <c r="AP164" s="2530" t="s">
        <v>1450</v>
      </c>
      <c r="AR164" s="2466">
        <f>24500+3500</f>
        <v>28000</v>
      </c>
      <c r="AS164" s="2466">
        <v>32624.17</v>
      </c>
      <c r="AT164" s="2466"/>
      <c r="AU164" s="2466">
        <v>28000</v>
      </c>
      <c r="AV164" s="2466">
        <v>30639.85</v>
      </c>
      <c r="AX164" s="2466">
        <v>28000</v>
      </c>
      <c r="AY164" s="2470">
        <v>-8000</v>
      </c>
      <c r="AZ164" s="2466">
        <f t="shared" si="96"/>
        <v>20000</v>
      </c>
      <c r="BA164" s="2468">
        <f t="shared" ref="BA164:BA173" si="107">IF(AX164=0," ",(AZ164-AX164)/AX164)</f>
        <v>-0.2857142857142857</v>
      </c>
      <c r="BC164" s="2467">
        <v>20000</v>
      </c>
      <c r="BD164" s="2467">
        <v>20000</v>
      </c>
      <c r="BF164" s="2469" t="s">
        <v>1451</v>
      </c>
      <c r="BH164" s="2467">
        <v>20000</v>
      </c>
      <c r="BI164" s="2466">
        <v>21929.48</v>
      </c>
      <c r="BM164" s="2466">
        <v>20000</v>
      </c>
      <c r="BN164" s="2470"/>
      <c r="BO164" s="2472">
        <f t="shared" si="97"/>
        <v>20000</v>
      </c>
      <c r="BP164" s="2473">
        <f t="shared" ref="BP164:BP173" si="108">IF(BM164=0," ",(BO164-BM164)/BM164)</f>
        <v>0</v>
      </c>
      <c r="BR164" s="2474">
        <v>20000</v>
      </c>
      <c r="BS164" s="2474">
        <v>20000</v>
      </c>
      <c r="BU164" s="2475"/>
      <c r="BW164" s="2474">
        <v>20000</v>
      </c>
      <c r="BX164" s="2466">
        <v>7075.03</v>
      </c>
      <c r="BZ164" s="2474">
        <v>20000</v>
      </c>
      <c r="CA164" s="2470"/>
      <c r="CB164" s="2472">
        <f t="shared" si="98"/>
        <v>20000</v>
      </c>
      <c r="CC164" s="2473">
        <f t="shared" ref="CC164:CC173" si="109">IF(BZ164=0," ",(CB164-BZ164)/BZ164)</f>
        <v>0</v>
      </c>
      <c r="CE164" s="2474">
        <v>20000</v>
      </c>
      <c r="CF164" s="2476">
        <f t="shared" si="104"/>
        <v>0</v>
      </c>
      <c r="CG164" s="2474">
        <v>20000</v>
      </c>
      <c r="CH164" s="2449" t="s">
        <v>1217</v>
      </c>
      <c r="CI164" s="2449"/>
      <c r="CJ164" s="2450"/>
      <c r="CK164" s="2450"/>
      <c r="CO164" s="2477">
        <v>9.6473999999999949E-2</v>
      </c>
      <c r="CP164" s="2478">
        <f t="shared" si="73"/>
        <v>1929.4799999999996</v>
      </c>
      <c r="CQ164" s="2478"/>
      <c r="CR164" s="2478"/>
      <c r="CS164" s="2478"/>
      <c r="CT164" s="2478"/>
    </row>
    <row r="165" spans="1:98" hidden="1" x14ac:dyDescent="0.2">
      <c r="A165" s="2395">
        <v>150</v>
      </c>
      <c r="B165" s="2440" t="s">
        <v>1214</v>
      </c>
      <c r="C165" s="2396">
        <v>15005</v>
      </c>
      <c r="D165" s="2396">
        <v>53440</v>
      </c>
      <c r="E165" s="2397" t="s">
        <v>1268</v>
      </c>
      <c r="F165" s="2440" t="s">
        <v>1214</v>
      </c>
      <c r="G165" s="2440" t="s">
        <v>1452</v>
      </c>
      <c r="H165" s="2466">
        <v>1975</v>
      </c>
      <c r="I165" s="2470">
        <v>-159.96</v>
      </c>
      <c r="J165" s="2466">
        <f>H165+I165</f>
        <v>1815.04</v>
      </c>
      <c r="K165" s="2468">
        <f>IF(H165=0," ",(J165-H165)/H165)</f>
        <v>-8.0992405063291154E-2</v>
      </c>
      <c r="M165" s="2467">
        <v>1815</v>
      </c>
      <c r="N165" s="2467">
        <v>1815</v>
      </c>
      <c r="P165" s="2469"/>
      <c r="R165" s="2466">
        <v>1815</v>
      </c>
      <c r="S165" s="2466">
        <v>1815</v>
      </c>
      <c r="U165" s="2466">
        <v>1815</v>
      </c>
      <c r="V165" s="2470">
        <v>0</v>
      </c>
      <c r="W165" s="2466">
        <f>U165+V165</f>
        <v>1815</v>
      </c>
      <c r="X165" s="2468">
        <f>IF(U165=0," ",(W165-U165)/U165)</f>
        <v>0</v>
      </c>
      <c r="Z165" s="2467">
        <v>1815</v>
      </c>
      <c r="AA165" s="2467">
        <v>1815</v>
      </c>
      <c r="AC165" s="2469"/>
      <c r="AE165" s="2466">
        <v>1815</v>
      </c>
      <c r="AF165" s="2471">
        <v>1815</v>
      </c>
      <c r="AH165" s="2466">
        <v>1815</v>
      </c>
      <c r="AI165" s="2470"/>
      <c r="AJ165" s="2466">
        <f>AH165+AI165</f>
        <v>1815</v>
      </c>
      <c r="AK165" s="2468">
        <f t="shared" si="95"/>
        <v>0</v>
      </c>
      <c r="AM165" s="2467">
        <v>1815</v>
      </c>
      <c r="AN165" s="2467">
        <v>1815</v>
      </c>
      <c r="AP165" s="2469"/>
      <c r="AR165" s="2466">
        <v>1815</v>
      </c>
      <c r="AS165" s="2466">
        <v>1815</v>
      </c>
      <c r="AT165" s="2466"/>
      <c r="AU165" s="2466">
        <v>1815</v>
      </c>
      <c r="AV165" s="2466">
        <v>2362.0500000000002</v>
      </c>
      <c r="AX165" s="2466">
        <v>1815</v>
      </c>
      <c r="AY165" s="2470"/>
      <c r="AZ165" s="2466">
        <f t="shared" si="96"/>
        <v>1815</v>
      </c>
      <c r="BA165" s="2468">
        <f t="shared" si="107"/>
        <v>0</v>
      </c>
      <c r="BC165" s="2467">
        <v>1815</v>
      </c>
      <c r="BD165" s="2467">
        <f>1815+690</f>
        <v>2505</v>
      </c>
      <c r="BF165" s="2530" t="s">
        <v>1453</v>
      </c>
      <c r="BH165" s="2467">
        <f>1815+690</f>
        <v>2505</v>
      </c>
      <c r="BI165" s="2466">
        <v>2503.1999999999998</v>
      </c>
      <c r="BM165" s="2466">
        <f>1815+690</f>
        <v>2505</v>
      </c>
      <c r="BN165" s="2470"/>
      <c r="BO165" s="2472">
        <f t="shared" si="97"/>
        <v>2505</v>
      </c>
      <c r="BP165" s="2473">
        <f t="shared" si="108"/>
        <v>0</v>
      </c>
      <c r="BR165" s="2474">
        <v>2505</v>
      </c>
      <c r="BS165" s="2474">
        <v>2505</v>
      </c>
      <c r="BU165" s="2475"/>
      <c r="BW165" s="2474">
        <v>2505</v>
      </c>
      <c r="BX165" s="2466">
        <v>1251.5999999999999</v>
      </c>
      <c r="BZ165" s="2474">
        <v>2505</v>
      </c>
      <c r="CA165" s="2470"/>
      <c r="CB165" s="2472">
        <f t="shared" si="98"/>
        <v>2505</v>
      </c>
      <c r="CC165" s="2473">
        <f t="shared" si="109"/>
        <v>0</v>
      </c>
      <c r="CE165" s="2474">
        <v>2505</v>
      </c>
      <c r="CF165" s="2476">
        <f t="shared" si="104"/>
        <v>0</v>
      </c>
      <c r="CG165" s="2474">
        <v>2505</v>
      </c>
      <c r="CH165" s="2449" t="s">
        <v>1217</v>
      </c>
      <c r="CI165" s="2449"/>
      <c r="CJ165" s="2450"/>
      <c r="CK165" s="2450"/>
      <c r="CO165" s="2477">
        <v>-7.185628742515382E-4</v>
      </c>
      <c r="CP165" s="2478">
        <f t="shared" si="73"/>
        <v>-1.8000000000001819</v>
      </c>
      <c r="CQ165" s="2478"/>
      <c r="CR165" s="2478"/>
      <c r="CS165" s="2478"/>
      <c r="CT165" s="2478"/>
    </row>
    <row r="166" spans="1:98" hidden="1" x14ac:dyDescent="0.2">
      <c r="A166" s="2395">
        <v>150</v>
      </c>
      <c r="B166" s="2440" t="s">
        <v>1214</v>
      </c>
      <c r="C166" s="2396">
        <v>15005</v>
      </c>
      <c r="D166" s="2396">
        <v>54200</v>
      </c>
      <c r="E166" s="2397" t="s">
        <v>1268</v>
      </c>
      <c r="F166" s="2440" t="s">
        <v>1214</v>
      </c>
      <c r="G166" s="2440" t="s">
        <v>1454</v>
      </c>
      <c r="H166" s="2466">
        <v>1132</v>
      </c>
      <c r="I166" s="2470">
        <v>22.64</v>
      </c>
      <c r="J166" s="2466">
        <f>H166+I166</f>
        <v>1154.6400000000001</v>
      </c>
      <c r="K166" s="2468">
        <f>IF(H166=0," ",(J166-H166)/H166)</f>
        <v>2.0000000000000087E-2</v>
      </c>
      <c r="M166" s="2467">
        <v>1155</v>
      </c>
      <c r="N166" s="2467">
        <v>1155</v>
      </c>
      <c r="P166" s="2469"/>
      <c r="R166" s="2466">
        <v>1155</v>
      </c>
      <c r="S166" s="2466">
        <v>5655.87</v>
      </c>
      <c r="U166" s="2466">
        <v>1155</v>
      </c>
      <c r="V166" s="2470">
        <v>0</v>
      </c>
      <c r="W166" s="2466">
        <f>U166+V166</f>
        <v>1155</v>
      </c>
      <c r="X166" s="2468">
        <f>IF(U166=0," ",(W166-U166)/U166)</f>
        <v>0</v>
      </c>
      <c r="Z166" s="2467">
        <v>1155</v>
      </c>
      <c r="AA166" s="2467">
        <v>1155</v>
      </c>
      <c r="AC166" s="2469"/>
      <c r="AE166" s="2466">
        <v>1155</v>
      </c>
      <c r="AF166" s="2471">
        <v>1802.36</v>
      </c>
      <c r="AH166" s="2466">
        <v>1155</v>
      </c>
      <c r="AI166" s="2470"/>
      <c r="AJ166" s="2466">
        <f t="shared" ref="AJ166:AJ179" si="110">AH166+AI166</f>
        <v>1155</v>
      </c>
      <c r="AK166" s="2468">
        <f t="shared" si="95"/>
        <v>0</v>
      </c>
      <c r="AM166" s="2467">
        <v>1155</v>
      </c>
      <c r="AN166" s="2467">
        <v>1155</v>
      </c>
      <c r="AP166" s="2469"/>
      <c r="AR166" s="2466">
        <v>1155</v>
      </c>
      <c r="AS166" s="2466">
        <v>2581.96</v>
      </c>
      <c r="AT166" s="2466"/>
      <c r="AU166" s="2466">
        <f>1284+1371</f>
        <v>2655</v>
      </c>
      <c r="AV166" s="2466">
        <v>1940.53</v>
      </c>
      <c r="AX166" s="2466">
        <f>1284+1371</f>
        <v>2655</v>
      </c>
      <c r="AY166" s="2470"/>
      <c r="AZ166" s="2466">
        <f t="shared" si="96"/>
        <v>2655</v>
      </c>
      <c r="BA166" s="2468">
        <f t="shared" si="107"/>
        <v>0</v>
      </c>
      <c r="BC166" s="2467">
        <v>2655</v>
      </c>
      <c r="BD166" s="2467">
        <v>2655</v>
      </c>
      <c r="BF166" s="2469"/>
      <c r="BH166" s="2467">
        <v>2655</v>
      </c>
      <c r="BI166" s="2466">
        <v>2277.9299999999998</v>
      </c>
      <c r="BM166" s="2466">
        <v>2655</v>
      </c>
      <c r="BN166" s="2577">
        <v>345</v>
      </c>
      <c r="BO166" s="2472">
        <f t="shared" si="97"/>
        <v>3000</v>
      </c>
      <c r="BP166" s="2473">
        <f t="shared" si="108"/>
        <v>0.12994350282485875</v>
      </c>
      <c r="BR166" s="2474">
        <v>3000</v>
      </c>
      <c r="BS166" s="2474">
        <v>3000</v>
      </c>
      <c r="BU166" s="2578" t="s">
        <v>1430</v>
      </c>
      <c r="BW166" s="2474">
        <v>3000</v>
      </c>
      <c r="BX166" s="2466">
        <v>520.99</v>
      </c>
      <c r="BZ166" s="2474">
        <v>3000</v>
      </c>
      <c r="CA166" s="2470"/>
      <c r="CB166" s="2472">
        <f t="shared" si="98"/>
        <v>3000</v>
      </c>
      <c r="CC166" s="2473">
        <f t="shared" si="109"/>
        <v>0</v>
      </c>
      <c r="CE166" s="2474">
        <v>3000</v>
      </c>
      <c r="CF166" s="2476">
        <f t="shared" si="104"/>
        <v>0</v>
      </c>
      <c r="CG166" s="2474">
        <v>3000</v>
      </c>
      <c r="CH166" s="2449" t="s">
        <v>1217</v>
      </c>
      <c r="CI166" s="2449"/>
      <c r="CJ166" s="2450"/>
      <c r="CK166" s="2450"/>
      <c r="CO166" s="2477">
        <v>-0.14202259887005653</v>
      </c>
      <c r="CP166" s="2478">
        <f t="shared" si="73"/>
        <v>-377.07000000000016</v>
      </c>
      <c r="CQ166" s="2478"/>
      <c r="CR166" s="2478"/>
      <c r="CS166" s="2478"/>
      <c r="CT166" s="2478"/>
    </row>
    <row r="167" spans="1:98" hidden="1" x14ac:dyDescent="0.2">
      <c r="A167" s="2395">
        <v>150</v>
      </c>
      <c r="C167" s="2396">
        <v>15005</v>
      </c>
      <c r="D167" s="2396">
        <v>54250</v>
      </c>
      <c r="E167" s="2397" t="s">
        <v>1268</v>
      </c>
      <c r="G167" s="2440" t="s">
        <v>1455</v>
      </c>
      <c r="I167" s="2470"/>
      <c r="M167" s="2467"/>
      <c r="N167" s="2467"/>
      <c r="P167" s="2469"/>
      <c r="V167" s="2470"/>
      <c r="Z167" s="2467"/>
      <c r="AA167" s="2467"/>
      <c r="AC167" s="2469"/>
      <c r="AI167" s="2470"/>
      <c r="AM167" s="2467"/>
      <c r="AN167" s="2467"/>
      <c r="AP167" s="2469"/>
      <c r="AS167" s="2466"/>
      <c r="AT167" s="2466"/>
      <c r="AY167" s="2470"/>
      <c r="BC167" s="2467"/>
      <c r="BD167" s="2467"/>
      <c r="BF167" s="2469"/>
      <c r="BH167" s="2467"/>
      <c r="BN167" s="2470"/>
      <c r="BR167" s="2474"/>
      <c r="BS167" s="2474">
        <v>3500</v>
      </c>
      <c r="BU167" s="2547" t="s">
        <v>1456</v>
      </c>
      <c r="BW167" s="2474">
        <v>3500</v>
      </c>
      <c r="BX167" s="2466">
        <v>2281</v>
      </c>
      <c r="BZ167" s="2474">
        <v>3500</v>
      </c>
      <c r="CA167" s="2470"/>
      <c r="CB167" s="2472">
        <f t="shared" si="98"/>
        <v>3500</v>
      </c>
      <c r="CC167" s="2473">
        <f t="shared" si="109"/>
        <v>0</v>
      </c>
      <c r="CE167" s="2474">
        <v>3500</v>
      </c>
      <c r="CF167" s="2476">
        <f t="shared" si="104"/>
        <v>0</v>
      </c>
      <c r="CG167" s="2474">
        <v>3500</v>
      </c>
      <c r="CH167" s="2449" t="s">
        <v>1217</v>
      </c>
      <c r="CI167" s="2449"/>
      <c r="CJ167" s="2450"/>
      <c r="CK167" s="2450"/>
      <c r="CP167" s="2478">
        <f t="shared" si="73"/>
        <v>0</v>
      </c>
      <c r="CQ167" s="2478"/>
      <c r="CR167" s="2478"/>
      <c r="CS167" s="2478"/>
      <c r="CT167" s="2478"/>
    </row>
    <row r="168" spans="1:98" hidden="1" x14ac:dyDescent="0.2">
      <c r="A168" s="2395">
        <v>150</v>
      </c>
      <c r="B168" s="2440" t="s">
        <v>1214</v>
      </c>
      <c r="C168" s="2396">
        <v>15005</v>
      </c>
      <c r="D168" s="2396">
        <v>54221</v>
      </c>
      <c r="E168" s="2397" t="s">
        <v>1268</v>
      </c>
      <c r="F168" s="2440" t="s">
        <v>1214</v>
      </c>
      <c r="G168" s="2440" t="s">
        <v>1457</v>
      </c>
      <c r="H168" s="2466">
        <v>2000</v>
      </c>
      <c r="I168" s="2470"/>
      <c r="J168" s="2466">
        <f>H168+I168</f>
        <v>2000</v>
      </c>
      <c r="K168" s="2468">
        <f>IF(H168=0," ",(J168-H168)/H168)</f>
        <v>0</v>
      </c>
      <c r="M168" s="2467">
        <v>2000</v>
      </c>
      <c r="N168" s="2467">
        <v>2000</v>
      </c>
      <c r="P168" s="2469"/>
      <c r="R168" s="2466">
        <v>2000</v>
      </c>
      <c r="S168" s="2466">
        <v>2205.2199999999998</v>
      </c>
      <c r="U168" s="2466">
        <v>2000</v>
      </c>
      <c r="V168" s="2470">
        <v>0</v>
      </c>
      <c r="W168" s="2466">
        <f>U168+V168</f>
        <v>2000</v>
      </c>
      <c r="X168" s="2468">
        <f>IF(U168=0," ",(W168-U168)/U168)</f>
        <v>0</v>
      </c>
      <c r="Z168" s="2467">
        <v>2000</v>
      </c>
      <c r="AA168" s="2467">
        <v>2000</v>
      </c>
      <c r="AC168" s="2469"/>
      <c r="AE168" s="2466">
        <v>2000</v>
      </c>
      <c r="AF168" s="2471">
        <v>959.7</v>
      </c>
      <c r="AH168" s="2466">
        <v>2000</v>
      </c>
      <c r="AI168" s="2470"/>
      <c r="AJ168" s="2466">
        <f t="shared" si="110"/>
        <v>2000</v>
      </c>
      <c r="AK168" s="2468">
        <f t="shared" si="95"/>
        <v>0</v>
      </c>
      <c r="AM168" s="2467">
        <v>2000</v>
      </c>
      <c r="AN168" s="2467">
        <v>2000</v>
      </c>
      <c r="AP168" s="2469"/>
      <c r="AR168" s="2466">
        <v>2000</v>
      </c>
      <c r="AS168" s="2466">
        <v>1080.98</v>
      </c>
      <c r="AT168" s="2466"/>
      <c r="AU168" s="2466">
        <v>2000</v>
      </c>
      <c r="AV168" s="2466">
        <v>1880.52</v>
      </c>
      <c r="AX168" s="2466">
        <v>2000</v>
      </c>
      <c r="AY168" s="2470"/>
      <c r="AZ168" s="2466">
        <f t="shared" si="96"/>
        <v>2000</v>
      </c>
      <c r="BA168" s="2468">
        <f t="shared" si="107"/>
        <v>0</v>
      </c>
      <c r="BC168" s="2467">
        <v>2000</v>
      </c>
      <c r="BD168" s="2467">
        <v>2000</v>
      </c>
      <c r="BF168" s="2469"/>
      <c r="BH168" s="2467">
        <v>2000</v>
      </c>
      <c r="BI168" s="2466">
        <v>1590.06</v>
      </c>
      <c r="BM168" s="2466">
        <v>2000</v>
      </c>
      <c r="BN168" s="2470"/>
      <c r="BO168" s="2472">
        <f t="shared" si="97"/>
        <v>2000</v>
      </c>
      <c r="BP168" s="2473">
        <f t="shared" si="108"/>
        <v>0</v>
      </c>
      <c r="BR168" s="2474">
        <v>2000</v>
      </c>
      <c r="BS168" s="2474">
        <v>2000</v>
      </c>
      <c r="BU168" s="2475"/>
      <c r="BW168" s="2474">
        <v>2000</v>
      </c>
      <c r="BX168" s="2466">
        <v>715.35</v>
      </c>
      <c r="BZ168" s="2474">
        <v>2000</v>
      </c>
      <c r="CA168" s="2470"/>
      <c r="CB168" s="2472">
        <f t="shared" si="98"/>
        <v>2000</v>
      </c>
      <c r="CC168" s="2473">
        <f t="shared" si="109"/>
        <v>0</v>
      </c>
      <c r="CE168" s="2474">
        <v>2000</v>
      </c>
      <c r="CF168" s="2476">
        <f t="shared" si="104"/>
        <v>0</v>
      </c>
      <c r="CG168" s="2474">
        <v>2000</v>
      </c>
      <c r="CH168" s="2449" t="s">
        <v>1217</v>
      </c>
      <c r="CI168" s="2449"/>
      <c r="CJ168" s="2450"/>
      <c r="CK168" s="2450"/>
      <c r="CO168" s="2477">
        <v>-0.20496999999999999</v>
      </c>
      <c r="CP168" s="2478">
        <f t="shared" si="73"/>
        <v>-409.94000000000005</v>
      </c>
      <c r="CQ168" s="2478"/>
      <c r="CR168" s="2478"/>
      <c r="CS168" s="2478"/>
      <c r="CT168" s="2478"/>
    </row>
    <row r="169" spans="1:98" hidden="1" x14ac:dyDescent="0.2">
      <c r="A169" s="2395">
        <v>150</v>
      </c>
      <c r="C169" s="2396">
        <v>15005</v>
      </c>
      <c r="D169" s="2396">
        <v>54222</v>
      </c>
      <c r="E169" s="2397" t="s">
        <v>1268</v>
      </c>
      <c r="G169" s="2440" t="s">
        <v>1458</v>
      </c>
      <c r="I169" s="2470"/>
      <c r="M169" s="2467"/>
      <c r="N169" s="2467">
        <v>0</v>
      </c>
      <c r="P169" s="2469"/>
      <c r="S169" s="2466">
        <v>69.989999999999995</v>
      </c>
      <c r="V169" s="2470"/>
      <c r="Z169" s="2467"/>
      <c r="AA169" s="2467"/>
      <c r="AC169" s="2469"/>
      <c r="AI169" s="2470"/>
      <c r="AJ169" s="2466">
        <f t="shared" si="110"/>
        <v>0</v>
      </c>
      <c r="AK169" s="2468" t="str">
        <f t="shared" si="95"/>
        <v xml:space="preserve"> </v>
      </c>
      <c r="AM169" s="2467">
        <v>0</v>
      </c>
      <c r="AN169" s="2467">
        <v>0</v>
      </c>
      <c r="AP169" s="2469"/>
      <c r="AR169" s="2466">
        <v>0</v>
      </c>
      <c r="AS169" s="2466">
        <v>0</v>
      </c>
      <c r="AT169" s="2466"/>
      <c r="AU169" s="2466">
        <v>0</v>
      </c>
      <c r="AX169" s="2466">
        <v>0</v>
      </c>
      <c r="AY169" s="2470"/>
      <c r="AZ169" s="2466">
        <f t="shared" si="96"/>
        <v>0</v>
      </c>
      <c r="BA169" s="2468" t="str">
        <f t="shared" si="107"/>
        <v xml:space="preserve"> </v>
      </c>
      <c r="BC169" s="2467">
        <v>0</v>
      </c>
      <c r="BD169" s="2467">
        <v>0</v>
      </c>
      <c r="BF169" s="2469"/>
      <c r="BH169" s="2467">
        <v>0</v>
      </c>
      <c r="BM169" s="2466">
        <v>0</v>
      </c>
      <c r="BN169" s="2470"/>
      <c r="BO169" s="2472">
        <f t="shared" si="97"/>
        <v>0</v>
      </c>
      <c r="BP169" s="2473" t="str">
        <f t="shared" si="108"/>
        <v xml:space="preserve"> </v>
      </c>
      <c r="BR169" s="2474">
        <v>0</v>
      </c>
      <c r="BS169" s="2474">
        <v>0</v>
      </c>
      <c r="BU169" s="2475"/>
      <c r="BW169" s="2474">
        <v>0</v>
      </c>
      <c r="BZ169" s="2474">
        <v>0</v>
      </c>
      <c r="CA169" s="2470"/>
      <c r="CB169" s="2472">
        <f t="shared" si="98"/>
        <v>0</v>
      </c>
      <c r="CC169" s="2473" t="str">
        <f t="shared" si="109"/>
        <v xml:space="preserve"> </v>
      </c>
      <c r="CE169" s="2474">
        <v>0</v>
      </c>
      <c r="CF169" s="2476" t="str">
        <f t="shared" si="104"/>
        <v xml:space="preserve"> </v>
      </c>
      <c r="CG169" s="2474">
        <v>0</v>
      </c>
      <c r="CH169" s="2449" t="s">
        <v>1217</v>
      </c>
      <c r="CI169" s="2449"/>
      <c r="CJ169" s="2450"/>
      <c r="CK169" s="2450"/>
      <c r="CP169" s="2478">
        <f t="shared" si="73"/>
        <v>0</v>
      </c>
      <c r="CQ169" s="2478"/>
      <c r="CR169" s="2478"/>
      <c r="CS169" s="2478"/>
      <c r="CT169" s="2478"/>
    </row>
    <row r="170" spans="1:98" hidden="1" x14ac:dyDescent="0.2">
      <c r="A170" s="2395">
        <v>150</v>
      </c>
      <c r="B170" s="2440" t="s">
        <v>1214</v>
      </c>
      <c r="C170" s="2396">
        <v>15005</v>
      </c>
      <c r="D170" s="2396">
        <v>54223</v>
      </c>
      <c r="E170" s="2397" t="s">
        <v>1268</v>
      </c>
      <c r="F170" s="2440" t="s">
        <v>1214</v>
      </c>
      <c r="G170" s="2440" t="s">
        <v>1459</v>
      </c>
      <c r="H170" s="2466">
        <v>360</v>
      </c>
      <c r="I170" s="2470"/>
      <c r="J170" s="2466">
        <f>H170+I170</f>
        <v>360</v>
      </c>
      <c r="K170" s="2468">
        <f>IF(H170=0," ",(J170-H170)/H170)</f>
        <v>0</v>
      </c>
      <c r="M170" s="2467">
        <v>360</v>
      </c>
      <c r="N170" s="2467">
        <v>360</v>
      </c>
      <c r="P170" s="2469"/>
      <c r="R170" s="2466">
        <v>360</v>
      </c>
      <c r="S170" s="2466">
        <v>419.02</v>
      </c>
      <c r="U170" s="2466">
        <v>360</v>
      </c>
      <c r="V170" s="2470">
        <v>0</v>
      </c>
      <c r="W170" s="2466">
        <f>U170+V170</f>
        <v>360</v>
      </c>
      <c r="X170" s="2468">
        <f>IF(U170=0," ",(W170-U170)/U170)</f>
        <v>0</v>
      </c>
      <c r="Z170" s="2467">
        <v>360</v>
      </c>
      <c r="AA170" s="2467">
        <v>360</v>
      </c>
      <c r="AC170" s="2469"/>
      <c r="AE170" s="2466">
        <v>360</v>
      </c>
      <c r="AF170" s="2471">
        <v>374.82</v>
      </c>
      <c r="AH170" s="2466">
        <v>360</v>
      </c>
      <c r="AI170" s="2470"/>
      <c r="AJ170" s="2466">
        <f t="shared" si="110"/>
        <v>360</v>
      </c>
      <c r="AK170" s="2468">
        <f t="shared" si="95"/>
        <v>0</v>
      </c>
      <c r="AM170" s="2467">
        <v>360</v>
      </c>
      <c r="AN170" s="2467">
        <v>360</v>
      </c>
      <c r="AP170" s="2469"/>
      <c r="AR170" s="2466">
        <v>360</v>
      </c>
      <c r="AS170" s="2466">
        <v>356.86</v>
      </c>
      <c r="AT170" s="2466"/>
      <c r="AU170" s="2466">
        <v>860</v>
      </c>
      <c r="AV170" s="2466">
        <v>566.02</v>
      </c>
      <c r="AX170" s="2466">
        <v>860</v>
      </c>
      <c r="AY170" s="2470"/>
      <c r="AZ170" s="2466">
        <f t="shared" si="96"/>
        <v>860</v>
      </c>
      <c r="BA170" s="2468">
        <f t="shared" si="107"/>
        <v>0</v>
      </c>
      <c r="BC170" s="2467">
        <v>860</v>
      </c>
      <c r="BD170" s="2467">
        <v>860</v>
      </c>
      <c r="BF170" s="2469"/>
      <c r="BH170" s="2467">
        <v>860</v>
      </c>
      <c r="BI170" s="2466">
        <v>315.68</v>
      </c>
      <c r="BM170" s="2466">
        <v>860</v>
      </c>
      <c r="BN170" s="2470"/>
      <c r="BO170" s="2472">
        <f t="shared" si="97"/>
        <v>860</v>
      </c>
      <c r="BP170" s="2473">
        <f t="shared" si="108"/>
        <v>0</v>
      </c>
      <c r="BR170" s="2474">
        <v>860</v>
      </c>
      <c r="BS170" s="2474">
        <v>860</v>
      </c>
      <c r="BU170" s="2475"/>
      <c r="BW170" s="2474">
        <v>860</v>
      </c>
      <c r="BX170" s="2466">
        <v>249.88</v>
      </c>
      <c r="BZ170" s="2474">
        <v>860</v>
      </c>
      <c r="CA170" s="2470"/>
      <c r="CB170" s="2472">
        <f t="shared" si="98"/>
        <v>860</v>
      </c>
      <c r="CC170" s="2473">
        <f t="shared" si="109"/>
        <v>0</v>
      </c>
      <c r="CE170" s="2474">
        <v>860</v>
      </c>
      <c r="CF170" s="2476">
        <f t="shared" si="104"/>
        <v>0</v>
      </c>
      <c r="CG170" s="2474">
        <v>860</v>
      </c>
      <c r="CH170" s="2449" t="s">
        <v>1217</v>
      </c>
      <c r="CI170" s="2449"/>
      <c r="CJ170" s="2450"/>
      <c r="CK170" s="2450"/>
      <c r="CO170" s="2477">
        <v>-0.63293023255813952</v>
      </c>
      <c r="CP170" s="2478">
        <f t="shared" si="73"/>
        <v>-544.31999999999994</v>
      </c>
      <c r="CQ170" s="2478"/>
      <c r="CR170" s="2478"/>
      <c r="CS170" s="2478"/>
      <c r="CT170" s="2478"/>
    </row>
    <row r="171" spans="1:98" hidden="1" x14ac:dyDescent="0.2">
      <c r="A171" s="2395">
        <v>150</v>
      </c>
      <c r="C171" s="2396">
        <v>15005</v>
      </c>
      <c r="D171" s="2396">
        <v>54224</v>
      </c>
      <c r="E171" s="2397" t="s">
        <v>1268</v>
      </c>
      <c r="G171" s="2440" t="s">
        <v>1460</v>
      </c>
      <c r="I171" s="2470"/>
      <c r="M171" s="2467"/>
      <c r="N171" s="2467"/>
      <c r="P171" s="2469"/>
      <c r="S171" s="2466">
        <v>1335.49</v>
      </c>
      <c r="V171" s="2470"/>
      <c r="Z171" s="2467"/>
      <c r="AA171" s="2467"/>
      <c r="AC171" s="2469"/>
      <c r="AE171" s="2466">
        <v>750</v>
      </c>
      <c r="AF171" s="2471">
        <v>857.92</v>
      </c>
      <c r="AH171" s="2466">
        <v>750</v>
      </c>
      <c r="AI171" s="2470"/>
      <c r="AJ171" s="2466">
        <f t="shared" si="110"/>
        <v>750</v>
      </c>
      <c r="AK171" s="2468">
        <f t="shared" si="95"/>
        <v>0</v>
      </c>
      <c r="AM171" s="2467">
        <v>750</v>
      </c>
      <c r="AN171" s="2467">
        <v>750</v>
      </c>
      <c r="AP171" s="2469"/>
      <c r="AR171" s="2466">
        <v>750</v>
      </c>
      <c r="AS171" s="2466">
        <v>1662.1</v>
      </c>
      <c r="AT171" s="2466"/>
      <c r="AU171" s="2466">
        <f>750+2280</f>
        <v>3030</v>
      </c>
      <c r="AV171" s="2466">
        <v>1281.6099999999999</v>
      </c>
      <c r="AX171" s="2466">
        <f>750+2280</f>
        <v>3030</v>
      </c>
      <c r="AY171" s="2576">
        <f>-690-940</f>
        <v>-1630</v>
      </c>
      <c r="AZ171" s="2466">
        <f t="shared" si="96"/>
        <v>1400</v>
      </c>
      <c r="BA171" s="2468">
        <f t="shared" si="107"/>
        <v>-0.53795379537953791</v>
      </c>
      <c r="BC171" s="2467">
        <v>1400</v>
      </c>
      <c r="BD171" s="2467">
        <v>1400</v>
      </c>
      <c r="BF171" s="2543" t="s">
        <v>1273</v>
      </c>
      <c r="BH171" s="2467">
        <v>1400</v>
      </c>
      <c r="BI171" s="2466">
        <v>1264.67</v>
      </c>
      <c r="BM171" s="2466">
        <v>1400</v>
      </c>
      <c r="BN171" s="2470"/>
      <c r="BO171" s="2472">
        <f t="shared" si="97"/>
        <v>1400</v>
      </c>
      <c r="BP171" s="2473">
        <f t="shared" si="108"/>
        <v>0</v>
      </c>
      <c r="BR171" s="2474">
        <v>1400</v>
      </c>
      <c r="BS171" s="2474">
        <v>1400</v>
      </c>
      <c r="BU171" s="2544"/>
      <c r="BW171" s="2474">
        <v>1400</v>
      </c>
      <c r="BX171" s="2466">
        <v>820.72</v>
      </c>
      <c r="BZ171" s="2474">
        <v>1400</v>
      </c>
      <c r="CA171" s="2470">
        <v>-1400</v>
      </c>
      <c r="CB171" s="2472">
        <f t="shared" si="98"/>
        <v>0</v>
      </c>
      <c r="CC171" s="2473">
        <f t="shared" si="109"/>
        <v>-1</v>
      </c>
      <c r="CE171" s="2474">
        <v>0</v>
      </c>
      <c r="CF171" s="2476" t="str">
        <f t="shared" si="104"/>
        <v xml:space="preserve"> </v>
      </c>
      <c r="CG171" s="2474">
        <v>0</v>
      </c>
      <c r="CH171" s="2449" t="s">
        <v>1217</v>
      </c>
      <c r="CI171" s="2449"/>
      <c r="CJ171" s="2450"/>
      <c r="CK171" s="2450"/>
      <c r="CO171" s="2477">
        <v>-9.6664285714285647E-2</v>
      </c>
      <c r="CP171" s="2478">
        <f t="shared" si="73"/>
        <v>-135.32999999999993</v>
      </c>
      <c r="CQ171" s="2478"/>
      <c r="CR171" s="2478"/>
      <c r="CS171" s="2478"/>
      <c r="CT171" s="2478"/>
    </row>
    <row r="172" spans="1:98" hidden="1" x14ac:dyDescent="0.2">
      <c r="A172" s="2395">
        <v>150</v>
      </c>
      <c r="C172" s="2396">
        <v>15005</v>
      </c>
      <c r="D172" s="2396">
        <v>54226</v>
      </c>
      <c r="E172" s="2397" t="s">
        <v>1268</v>
      </c>
      <c r="G172" s="2440" t="s">
        <v>1461</v>
      </c>
      <c r="I172" s="2470"/>
      <c r="M172" s="2467"/>
      <c r="N172" s="2467"/>
      <c r="P172" s="2469"/>
      <c r="S172" s="2466">
        <v>3070.37</v>
      </c>
      <c r="V172" s="2470"/>
      <c r="Z172" s="2467"/>
      <c r="AA172" s="2467"/>
      <c r="AC172" s="2469"/>
      <c r="AF172" s="2471">
        <v>3600.25</v>
      </c>
      <c r="AI172" s="2470"/>
      <c r="AJ172" s="2466">
        <f t="shared" si="110"/>
        <v>0</v>
      </c>
      <c r="AK172" s="2468" t="str">
        <f t="shared" si="95"/>
        <v xml:space="preserve"> </v>
      </c>
      <c r="AM172" s="2467">
        <v>0</v>
      </c>
      <c r="AN172" s="2467">
        <v>0</v>
      </c>
      <c r="AP172" s="2469"/>
      <c r="AR172" s="2466">
        <v>0</v>
      </c>
      <c r="AS172" s="2466">
        <v>4041.6</v>
      </c>
      <c r="AT172" s="2466"/>
      <c r="AU172" s="2466">
        <v>0</v>
      </c>
      <c r="AV172" s="2466">
        <v>5533.46</v>
      </c>
      <c r="AX172" s="2466">
        <v>0</v>
      </c>
      <c r="AY172" s="2576">
        <f>4740-80</f>
        <v>4660</v>
      </c>
      <c r="AZ172" s="2466">
        <f t="shared" si="96"/>
        <v>4660</v>
      </c>
      <c r="BA172" s="2468" t="str">
        <f t="shared" si="107"/>
        <v xml:space="preserve"> </v>
      </c>
      <c r="BC172" s="2467">
        <v>4660</v>
      </c>
      <c r="BD172" s="2467">
        <v>4660</v>
      </c>
      <c r="BF172" s="2543" t="s">
        <v>1273</v>
      </c>
      <c r="BH172" s="2467">
        <v>4660</v>
      </c>
      <c r="BI172" s="2466">
        <v>7086.03</v>
      </c>
      <c r="BM172" s="2466">
        <v>4660</v>
      </c>
      <c r="BN172" s="2470"/>
      <c r="BO172" s="2472">
        <f t="shared" si="97"/>
        <v>4660</v>
      </c>
      <c r="BP172" s="2473">
        <f t="shared" si="108"/>
        <v>0</v>
      </c>
      <c r="BR172" s="2474">
        <v>4660</v>
      </c>
      <c r="BS172" s="2474">
        <v>4660</v>
      </c>
      <c r="BU172" s="2544"/>
      <c r="BW172" s="2474">
        <v>4660</v>
      </c>
      <c r="BX172" s="2466">
        <v>2887.86</v>
      </c>
      <c r="BZ172" s="2474">
        <v>4660</v>
      </c>
      <c r="CA172" s="2470">
        <v>1400</v>
      </c>
      <c r="CB172" s="2472">
        <f t="shared" si="98"/>
        <v>6060</v>
      </c>
      <c r="CC172" s="2473">
        <f t="shared" si="109"/>
        <v>0.30042918454935624</v>
      </c>
      <c r="CE172" s="2474">
        <v>6060</v>
      </c>
      <c r="CF172" s="2476">
        <f t="shared" si="104"/>
        <v>0</v>
      </c>
      <c r="CG172" s="2474">
        <v>6060</v>
      </c>
      <c r="CH172" s="2449" t="s">
        <v>1217</v>
      </c>
      <c r="CI172" s="2449"/>
      <c r="CJ172" s="2450"/>
      <c r="CK172" s="2450"/>
      <c r="CO172" s="2477">
        <v>0.52060729613733892</v>
      </c>
      <c r="CP172" s="2478">
        <f t="shared" si="73"/>
        <v>2426.0299999999997</v>
      </c>
      <c r="CQ172" s="2478"/>
      <c r="CR172" s="2478"/>
      <c r="CS172" s="2478"/>
      <c r="CT172" s="2478"/>
    </row>
    <row r="173" spans="1:98" hidden="1" x14ac:dyDescent="0.2">
      <c r="A173" s="2395">
        <v>150</v>
      </c>
      <c r="B173" s="2440" t="s">
        <v>1214</v>
      </c>
      <c r="C173" s="2396">
        <v>15005</v>
      </c>
      <c r="D173" s="2396">
        <v>54300</v>
      </c>
      <c r="E173" s="2397" t="s">
        <v>1268</v>
      </c>
      <c r="F173" s="2440" t="s">
        <v>1214</v>
      </c>
      <c r="G173" s="2440" t="s">
        <v>1462</v>
      </c>
      <c r="H173" s="2466">
        <v>1030</v>
      </c>
      <c r="I173" s="2470"/>
      <c r="J173" s="2466">
        <f>H173+I173</f>
        <v>1030</v>
      </c>
      <c r="K173" s="2468">
        <f>IF(H173=0," ",(J173-H173)/H173)</f>
        <v>0</v>
      </c>
      <c r="M173" s="2467">
        <v>1030</v>
      </c>
      <c r="N173" s="2467">
        <v>1030</v>
      </c>
      <c r="P173" s="2469"/>
      <c r="R173" s="2466">
        <v>1030</v>
      </c>
      <c r="S173" s="2466">
        <v>287.08999999999997</v>
      </c>
      <c r="U173" s="2466">
        <v>1030</v>
      </c>
      <c r="V173" s="2470">
        <v>0</v>
      </c>
      <c r="W173" s="2466">
        <f>U173+V173</f>
        <v>1030</v>
      </c>
      <c r="X173" s="2468">
        <f>IF(U173=0," ",(W173-U173)/U173)</f>
        <v>0</v>
      </c>
      <c r="Z173" s="2467">
        <v>1030</v>
      </c>
      <c r="AA173" s="2467">
        <v>1030</v>
      </c>
      <c r="AC173" s="2469"/>
      <c r="AE173" s="2466">
        <v>1030</v>
      </c>
      <c r="AF173" s="2471">
        <v>750.53</v>
      </c>
      <c r="AH173" s="2466">
        <v>1030</v>
      </c>
      <c r="AI173" s="2470"/>
      <c r="AJ173" s="2466">
        <f t="shared" si="110"/>
        <v>1030</v>
      </c>
      <c r="AK173" s="2468">
        <f t="shared" si="95"/>
        <v>0</v>
      </c>
      <c r="AM173" s="2467">
        <v>1030</v>
      </c>
      <c r="AN173" s="2467">
        <v>1030</v>
      </c>
      <c r="AP173" s="2469"/>
      <c r="AR173" s="2466">
        <v>1030</v>
      </c>
      <c r="AS173" s="2466"/>
      <c r="AT173" s="2466"/>
      <c r="AU173" s="2466">
        <v>1030</v>
      </c>
      <c r="AV173" s="2466">
        <v>0</v>
      </c>
      <c r="AX173" s="2466">
        <v>1030</v>
      </c>
      <c r="AY173" s="2576">
        <v>-1030</v>
      </c>
      <c r="AZ173" s="2466">
        <f t="shared" si="96"/>
        <v>0</v>
      </c>
      <c r="BA173" s="2468">
        <f t="shared" si="107"/>
        <v>-1</v>
      </c>
      <c r="BC173" s="2467">
        <v>0</v>
      </c>
      <c r="BD173" s="2467">
        <v>0</v>
      </c>
      <c r="BF173" s="2543" t="s">
        <v>1273</v>
      </c>
      <c r="BH173" s="2467">
        <v>0</v>
      </c>
      <c r="BM173" s="2466">
        <v>0</v>
      </c>
      <c r="BN173" s="2470"/>
      <c r="BO173" s="2472">
        <f t="shared" si="97"/>
        <v>0</v>
      </c>
      <c r="BP173" s="2473" t="str">
        <f t="shared" si="108"/>
        <v xml:space="preserve"> </v>
      </c>
      <c r="BR173" s="2474">
        <v>0</v>
      </c>
      <c r="BS173" s="2474">
        <v>0</v>
      </c>
      <c r="BU173" s="2544"/>
      <c r="BW173" s="2474">
        <v>0</v>
      </c>
      <c r="BZ173" s="2474">
        <v>0</v>
      </c>
      <c r="CA173" s="2470"/>
      <c r="CB173" s="2472">
        <f t="shared" si="98"/>
        <v>0</v>
      </c>
      <c r="CC173" s="2473" t="str">
        <f t="shared" si="109"/>
        <v xml:space="preserve"> </v>
      </c>
      <c r="CE173" s="2474">
        <v>0</v>
      </c>
      <c r="CF173" s="2476" t="str">
        <f t="shared" si="104"/>
        <v xml:space="preserve"> </v>
      </c>
      <c r="CG173" s="2474">
        <v>0</v>
      </c>
      <c r="CH173" s="2449" t="s">
        <v>1217</v>
      </c>
      <c r="CI173" s="2449"/>
      <c r="CJ173" s="2450"/>
      <c r="CK173" s="2450"/>
      <c r="CP173" s="2478">
        <f t="shared" si="73"/>
        <v>0</v>
      </c>
      <c r="CQ173" s="2478"/>
      <c r="CR173" s="2478"/>
      <c r="CS173" s="2478"/>
      <c r="CT173" s="2478"/>
    </row>
    <row r="174" spans="1:98" hidden="1" x14ac:dyDescent="0.2">
      <c r="A174" s="2395">
        <v>150</v>
      </c>
      <c r="B174" s="2440" t="s">
        <v>1214</v>
      </c>
      <c r="C174" s="2396">
        <v>15005</v>
      </c>
      <c r="D174" s="2396">
        <v>54500</v>
      </c>
      <c r="E174" s="2397" t="s">
        <v>1268</v>
      </c>
      <c r="F174" s="2440" t="s">
        <v>1214</v>
      </c>
      <c r="G174" s="2440" t="s">
        <v>1463</v>
      </c>
      <c r="I174" s="2470"/>
      <c r="M174" s="2467"/>
      <c r="N174" s="2467"/>
      <c r="P174" s="2469"/>
      <c r="V174" s="2470"/>
      <c r="Z174" s="2467"/>
      <c r="AA174" s="2467"/>
      <c r="AC174" s="2469"/>
      <c r="AF174" s="2471">
        <v>601.58000000000004</v>
      </c>
      <c r="AH174" s="2440"/>
      <c r="AI174" s="2470"/>
      <c r="AJ174" s="2466">
        <f>AF174+AI174</f>
        <v>601.58000000000004</v>
      </c>
      <c r="AK174" s="2468">
        <f>IF(AF174=0," ",(AJ174-AF174)/AF174)</f>
        <v>0</v>
      </c>
      <c r="AM174" s="2467"/>
      <c r="AN174" s="2467"/>
      <c r="AP174" s="2469"/>
      <c r="AR174" s="2466">
        <v>0</v>
      </c>
      <c r="AS174" s="2466">
        <v>0</v>
      </c>
      <c r="AT174" s="2466"/>
      <c r="AU174" s="2466">
        <v>0</v>
      </c>
      <c r="AX174" s="2466">
        <v>0</v>
      </c>
      <c r="AY174" s="2470"/>
      <c r="AZ174" s="2466">
        <f t="shared" si="96"/>
        <v>0</v>
      </c>
      <c r="BC174" s="2467">
        <v>0</v>
      </c>
      <c r="BD174" s="2467">
        <v>0</v>
      </c>
      <c r="BF174" s="2469"/>
      <c r="BH174" s="2467">
        <v>0</v>
      </c>
      <c r="BM174" s="2466">
        <v>0</v>
      </c>
      <c r="BN174" s="2470"/>
      <c r="BO174" s="2472">
        <f t="shared" si="97"/>
        <v>0</v>
      </c>
      <c r="BR174" s="2474">
        <v>0</v>
      </c>
      <c r="BS174" s="2474">
        <v>0</v>
      </c>
      <c r="BU174" s="2475"/>
      <c r="BW174" s="2474">
        <v>0</v>
      </c>
      <c r="BZ174" s="2474">
        <v>0</v>
      </c>
      <c r="CA174" s="2470"/>
      <c r="CB174" s="2472">
        <f t="shared" si="98"/>
        <v>0</v>
      </c>
      <c r="CE174" s="2474">
        <v>0</v>
      </c>
      <c r="CF174" s="2476"/>
      <c r="CG174" s="2474">
        <v>0</v>
      </c>
      <c r="CH174" s="2449" t="s">
        <v>1217</v>
      </c>
      <c r="CI174" s="2449"/>
      <c r="CJ174" s="2450"/>
      <c r="CK174" s="2450"/>
      <c r="CP174" s="2478">
        <f t="shared" si="73"/>
        <v>0</v>
      </c>
      <c r="CQ174" s="2478"/>
      <c r="CR174" s="2478"/>
      <c r="CS174" s="2478"/>
      <c r="CT174" s="2478"/>
    </row>
    <row r="175" spans="1:98" hidden="1" x14ac:dyDescent="0.2">
      <c r="A175" s="2395">
        <v>150</v>
      </c>
      <c r="B175" s="2440" t="s">
        <v>1214</v>
      </c>
      <c r="C175" s="2396">
        <v>15005</v>
      </c>
      <c r="D175" s="2396">
        <v>55810</v>
      </c>
      <c r="E175" s="2397" t="s">
        <v>1268</v>
      </c>
      <c r="F175" s="2440" t="s">
        <v>1214</v>
      </c>
      <c r="G175" s="2586" t="s">
        <v>1464</v>
      </c>
      <c r="H175" s="2466">
        <v>3000</v>
      </c>
      <c r="I175" s="2470"/>
      <c r="J175" s="2466">
        <f>H175+I175</f>
        <v>3000</v>
      </c>
      <c r="K175" s="2468">
        <f>IF(H175=0," ",(J175-H175)/H175)</f>
        <v>0</v>
      </c>
      <c r="M175" s="2467">
        <v>3000</v>
      </c>
      <c r="N175" s="2467">
        <v>3000</v>
      </c>
      <c r="P175" s="2469"/>
      <c r="R175" s="2466">
        <v>3000</v>
      </c>
      <c r="S175" s="2466">
        <v>0</v>
      </c>
      <c r="U175" s="2466">
        <v>3000</v>
      </c>
      <c r="V175" s="2470">
        <v>0</v>
      </c>
      <c r="W175" s="2466">
        <f>U175+V175</f>
        <v>3000</v>
      </c>
      <c r="X175" s="2468">
        <f>IF(U175=0," ",(W175-U175)/U175)</f>
        <v>0</v>
      </c>
      <c r="Z175" s="2467">
        <v>3000</v>
      </c>
      <c r="AA175" s="2467">
        <v>3000</v>
      </c>
      <c r="AC175" s="2469"/>
      <c r="AI175" s="2470"/>
      <c r="AJ175" s="2466">
        <f t="shared" si="110"/>
        <v>0</v>
      </c>
      <c r="AK175" s="2468" t="str">
        <f t="shared" si="95"/>
        <v xml:space="preserve"> </v>
      </c>
      <c r="AM175" s="2467">
        <v>0</v>
      </c>
      <c r="AN175" s="2467">
        <v>0</v>
      </c>
      <c r="AP175" s="2469"/>
      <c r="AR175" s="2466">
        <v>0</v>
      </c>
      <c r="AS175" s="2466">
        <v>0</v>
      </c>
      <c r="AT175" s="2466"/>
      <c r="AU175" s="2466">
        <v>0</v>
      </c>
      <c r="AX175" s="2466">
        <v>0</v>
      </c>
      <c r="AY175" s="2470"/>
      <c r="AZ175" s="2466">
        <f t="shared" si="96"/>
        <v>0</v>
      </c>
      <c r="BA175" s="2468" t="str">
        <f>IF(AX175=0," ",(AZ175-AX175)/AX175)</f>
        <v xml:space="preserve"> </v>
      </c>
      <c r="BC175" s="2467">
        <v>0</v>
      </c>
      <c r="BD175" s="2467">
        <v>0</v>
      </c>
      <c r="BF175" s="2469"/>
      <c r="BH175" s="2467">
        <v>0</v>
      </c>
      <c r="BM175" s="2466">
        <v>0</v>
      </c>
      <c r="BN175" s="2470"/>
      <c r="BO175" s="2472">
        <f t="shared" si="97"/>
        <v>0</v>
      </c>
      <c r="BP175" s="2473" t="str">
        <f>IF(BM175=0," ",(BO175-BM175)/BM175)</f>
        <v xml:space="preserve"> </v>
      </c>
      <c r="BR175" s="2474">
        <v>0</v>
      </c>
      <c r="BS175" s="2474">
        <v>0</v>
      </c>
      <c r="BU175" s="2475"/>
      <c r="BW175" s="2474">
        <v>0</v>
      </c>
      <c r="BZ175" s="2474">
        <v>0</v>
      </c>
      <c r="CA175" s="2470"/>
      <c r="CB175" s="2472">
        <f t="shared" si="98"/>
        <v>0</v>
      </c>
      <c r="CC175" s="2473" t="str">
        <f>IF(BZ175=0," ",(CB175-BZ175)/BZ175)</f>
        <v xml:space="preserve"> </v>
      </c>
      <c r="CE175" s="2474">
        <v>0</v>
      </c>
      <c r="CF175" s="2476" t="str">
        <f>IF(CB175=0," ",(CE175-CB175)/CB175)</f>
        <v xml:space="preserve"> </v>
      </c>
      <c r="CG175" s="2474">
        <v>0</v>
      </c>
      <c r="CH175" s="2449" t="s">
        <v>1217</v>
      </c>
      <c r="CI175" s="2449"/>
      <c r="CJ175" s="2450"/>
      <c r="CK175" s="2450"/>
      <c r="CP175" s="2478">
        <f t="shared" si="73"/>
        <v>0</v>
      </c>
      <c r="CQ175" s="2478"/>
      <c r="CR175" s="2478"/>
      <c r="CS175" s="2478"/>
      <c r="CT175" s="2478"/>
    </row>
    <row r="176" spans="1:98" hidden="1" x14ac:dyDescent="0.2">
      <c r="A176" s="2395">
        <v>150</v>
      </c>
      <c r="C176" s="2396">
        <v>15005</v>
      </c>
      <c r="D176" s="2396">
        <v>57100</v>
      </c>
      <c r="E176" s="2397" t="s">
        <v>1268</v>
      </c>
      <c r="G176" s="2440" t="s">
        <v>1465</v>
      </c>
      <c r="I176" s="2470"/>
      <c r="M176" s="2467"/>
      <c r="N176" s="2467">
        <v>0</v>
      </c>
      <c r="P176" s="2469"/>
      <c r="S176" s="2466">
        <v>126</v>
      </c>
      <c r="V176" s="2470"/>
      <c r="Z176" s="2467"/>
      <c r="AA176" s="2467"/>
      <c r="AC176" s="2469"/>
      <c r="AI176" s="2470"/>
      <c r="AJ176" s="2466">
        <f t="shared" si="110"/>
        <v>0</v>
      </c>
      <c r="AK176" s="2468" t="str">
        <f t="shared" si="95"/>
        <v xml:space="preserve"> </v>
      </c>
      <c r="AM176" s="2467">
        <v>0</v>
      </c>
      <c r="AN176" s="2467">
        <v>0</v>
      </c>
      <c r="AP176" s="2469"/>
      <c r="AR176" s="2466">
        <v>0</v>
      </c>
      <c r="AS176" s="2466">
        <v>0</v>
      </c>
      <c r="AT176" s="2466"/>
      <c r="AU176" s="2466">
        <v>0</v>
      </c>
      <c r="AX176" s="2466">
        <v>0</v>
      </c>
      <c r="AY176" s="2470"/>
      <c r="AZ176" s="2466">
        <f t="shared" si="96"/>
        <v>0</v>
      </c>
      <c r="BA176" s="2468" t="str">
        <f>IF(AX176=0," ",(AZ176-AX176)/AX176)</f>
        <v xml:space="preserve"> </v>
      </c>
      <c r="BC176" s="2467">
        <v>0</v>
      </c>
      <c r="BD176" s="2467">
        <v>0</v>
      </c>
      <c r="BF176" s="2469"/>
      <c r="BH176" s="2467">
        <v>0</v>
      </c>
      <c r="BM176" s="2466">
        <v>0</v>
      </c>
      <c r="BN176" s="2470"/>
      <c r="BO176" s="2472">
        <f t="shared" si="97"/>
        <v>0</v>
      </c>
      <c r="BP176" s="2473" t="str">
        <f>IF(BM176=0," ",(BO176-BM176)/BM176)</f>
        <v xml:space="preserve"> </v>
      </c>
      <c r="BR176" s="2474">
        <v>0</v>
      </c>
      <c r="BS176" s="2474">
        <v>0</v>
      </c>
      <c r="BU176" s="2475"/>
      <c r="BW176" s="2474">
        <v>0</v>
      </c>
      <c r="BZ176" s="2474">
        <v>0</v>
      </c>
      <c r="CA176" s="2470"/>
      <c r="CB176" s="2472">
        <f t="shared" si="98"/>
        <v>0</v>
      </c>
      <c r="CC176" s="2473" t="str">
        <f>IF(BZ176=0," ",(CB176-BZ176)/BZ176)</f>
        <v xml:space="preserve"> </v>
      </c>
      <c r="CE176" s="2474">
        <v>0</v>
      </c>
      <c r="CF176" s="2476" t="str">
        <f>IF(CB176=0," ",(CE176-CB176)/CB176)</f>
        <v xml:space="preserve"> </v>
      </c>
      <c r="CG176" s="2474">
        <v>0</v>
      </c>
      <c r="CH176" s="2449" t="s">
        <v>1217</v>
      </c>
      <c r="CI176" s="2449"/>
      <c r="CJ176" s="2450"/>
      <c r="CK176" s="2450"/>
      <c r="CP176" s="2478">
        <f t="shared" si="73"/>
        <v>0</v>
      </c>
      <c r="CQ176" s="2478"/>
      <c r="CR176" s="2478"/>
      <c r="CS176" s="2478"/>
      <c r="CT176" s="2478"/>
    </row>
    <row r="177" spans="1:98" hidden="1" x14ac:dyDescent="0.2">
      <c r="A177" s="2395">
        <v>150</v>
      </c>
      <c r="B177" s="2440" t="s">
        <v>1214</v>
      </c>
      <c r="C177" s="2396">
        <v>15005</v>
      </c>
      <c r="D177" s="2396">
        <v>58510</v>
      </c>
      <c r="E177" s="2397" t="s">
        <v>1268</v>
      </c>
      <c r="F177" s="2440" t="s">
        <v>1214</v>
      </c>
      <c r="G177" s="2581" t="s">
        <v>1466</v>
      </c>
      <c r="H177" s="2466">
        <v>7300</v>
      </c>
      <c r="I177" s="2470"/>
      <c r="J177" s="2466">
        <f>H177+I177</f>
        <v>7300</v>
      </c>
      <c r="K177" s="2468">
        <f>IF(H177=0," ",(J177-H177)/H177)</f>
        <v>0</v>
      </c>
      <c r="M177" s="2467">
        <v>7300</v>
      </c>
      <c r="N177" s="2467">
        <v>7300</v>
      </c>
      <c r="P177" s="2469"/>
      <c r="R177" s="2466">
        <v>7300</v>
      </c>
      <c r="S177" s="2466">
        <v>4950.6000000000004</v>
      </c>
      <c r="U177" s="2466">
        <v>7300</v>
      </c>
      <c r="V177" s="2470">
        <v>0</v>
      </c>
      <c r="W177" s="2466">
        <f>U177+V177</f>
        <v>7300</v>
      </c>
      <c r="X177" s="2468">
        <f>IF(U177=0," ",(W177-U177)/U177)</f>
        <v>0</v>
      </c>
      <c r="Z177" s="2467">
        <v>7300</v>
      </c>
      <c r="AA177" s="2467">
        <v>7300</v>
      </c>
      <c r="AC177" s="2469"/>
      <c r="AE177" s="2466">
        <v>7300</v>
      </c>
      <c r="AF177" s="2471">
        <v>5233.99</v>
      </c>
      <c r="AH177" s="2466">
        <v>7300</v>
      </c>
      <c r="AI177" s="2470"/>
      <c r="AJ177" s="2466">
        <f t="shared" si="110"/>
        <v>7300</v>
      </c>
      <c r="AK177" s="2468">
        <f t="shared" si="95"/>
        <v>0</v>
      </c>
      <c r="AM177" s="2467">
        <v>7300</v>
      </c>
      <c r="AN177" s="2467">
        <v>7300</v>
      </c>
      <c r="AP177" s="2469"/>
      <c r="AR177" s="2466">
        <v>7300</v>
      </c>
      <c r="AS177" s="2466">
        <v>3055.01</v>
      </c>
      <c r="AT177" s="2466"/>
      <c r="AU177" s="2466">
        <v>7300</v>
      </c>
      <c r="AV177" s="2466">
        <v>349.1</v>
      </c>
      <c r="AX177" s="2466">
        <v>7300</v>
      </c>
      <c r="AY177" s="2470"/>
      <c r="AZ177" s="2466">
        <f t="shared" si="96"/>
        <v>7300</v>
      </c>
      <c r="BA177" s="2468">
        <f>IF(AX177=0," ",(AZ177-AX177)/AX177)</f>
        <v>0</v>
      </c>
      <c r="BC177" s="2467">
        <v>7300</v>
      </c>
      <c r="BD177" s="2467">
        <v>7300</v>
      </c>
      <c r="BF177" s="2469"/>
      <c r="BH177" s="2467">
        <v>7300</v>
      </c>
      <c r="BI177" s="2466">
        <v>9829.91</v>
      </c>
      <c r="BM177" s="2466">
        <v>7300</v>
      </c>
      <c r="BN177" s="2470"/>
      <c r="BO177" s="2472">
        <f t="shared" si="97"/>
        <v>7300</v>
      </c>
      <c r="BP177" s="2473">
        <f>IF(BM177=0," ",(BO177-BM177)/BM177)</f>
        <v>0</v>
      </c>
      <c r="BR177" s="2474">
        <v>7300</v>
      </c>
      <c r="BS177" s="2584">
        <f>7000-125</f>
        <v>6875</v>
      </c>
      <c r="BU177" s="2547" t="s">
        <v>1467</v>
      </c>
      <c r="BW177" s="2474">
        <v>6875</v>
      </c>
      <c r="BZ177" s="2474">
        <v>6875</v>
      </c>
      <c r="CA177" s="2470"/>
      <c r="CB177" s="2472">
        <f t="shared" si="98"/>
        <v>6875</v>
      </c>
      <c r="CC177" s="2473">
        <f>IF(BZ177=0," ",(CB177-BZ177)/BZ177)</f>
        <v>0</v>
      </c>
      <c r="CE177" s="2474">
        <v>6875</v>
      </c>
      <c r="CF177" s="2476">
        <f>IF(CB177=0," ",(CE177-CB177)/CB177)</f>
        <v>0</v>
      </c>
      <c r="CG177" s="2474">
        <v>6875</v>
      </c>
      <c r="CH177" s="2449" t="s">
        <v>1217</v>
      </c>
      <c r="CI177" s="2449"/>
      <c r="CJ177" s="2450"/>
      <c r="CK177" s="2450"/>
      <c r="CO177" s="2477">
        <v>0.34656301369863018</v>
      </c>
      <c r="CP177" s="2478">
        <f t="shared" si="73"/>
        <v>2529.91</v>
      </c>
      <c r="CQ177" s="2478"/>
      <c r="CR177" s="2478"/>
      <c r="CS177" s="2478"/>
      <c r="CT177" s="2478"/>
    </row>
    <row r="178" spans="1:98" hidden="1" x14ac:dyDescent="0.2">
      <c r="G178" s="2581"/>
      <c r="I178" s="2470"/>
      <c r="M178" s="2467"/>
      <c r="N178" s="2467"/>
      <c r="P178" s="2469"/>
      <c r="V178" s="2470"/>
      <c r="Z178" s="2467"/>
      <c r="AA178" s="2467"/>
      <c r="AC178" s="2469"/>
      <c r="AF178" s="2471">
        <v>37353.25</v>
      </c>
      <c r="AI178" s="2470"/>
      <c r="AM178" s="2467"/>
      <c r="AN178" s="2467"/>
      <c r="AP178" s="2469"/>
      <c r="AS178" s="2466">
        <v>0</v>
      </c>
      <c r="AT178" s="2466"/>
      <c r="AU178" s="2466">
        <v>0</v>
      </c>
      <c r="AX178" s="2466">
        <v>0</v>
      </c>
      <c r="AY178" s="2470"/>
      <c r="AZ178" s="2466">
        <f t="shared" si="96"/>
        <v>0</v>
      </c>
      <c r="BC178" s="2467">
        <v>0</v>
      </c>
      <c r="BD178" s="2467">
        <v>0</v>
      </c>
      <c r="BF178" s="2469"/>
      <c r="BH178" s="2467">
        <v>0</v>
      </c>
      <c r="BM178" s="2466">
        <v>0</v>
      </c>
      <c r="BN178" s="2470"/>
      <c r="BO178" s="2472">
        <f t="shared" si="97"/>
        <v>0</v>
      </c>
      <c r="BR178" s="2474">
        <v>0</v>
      </c>
      <c r="BS178" s="2474">
        <v>0</v>
      </c>
      <c r="BU178" s="2475"/>
      <c r="BW178" s="2474">
        <v>0</v>
      </c>
      <c r="BZ178" s="2474">
        <v>0</v>
      </c>
      <c r="CA178" s="2470"/>
      <c r="CB178" s="2472">
        <f t="shared" si="98"/>
        <v>0</v>
      </c>
      <c r="CE178" s="2474">
        <v>0</v>
      </c>
      <c r="CF178" s="2476"/>
      <c r="CG178" s="2474">
        <v>0</v>
      </c>
      <c r="CH178" s="2449" t="s">
        <v>1091</v>
      </c>
      <c r="CI178" s="2449"/>
      <c r="CJ178" s="2450"/>
      <c r="CK178" s="2450"/>
      <c r="CP178" s="2478">
        <f t="shared" si="73"/>
        <v>0</v>
      </c>
      <c r="CQ178" s="2478"/>
      <c r="CR178" s="2478"/>
      <c r="CS178" s="2478"/>
      <c r="CT178" s="2478"/>
    </row>
    <row r="179" spans="1:98" hidden="1" x14ac:dyDescent="0.2">
      <c r="A179" s="2395">
        <v>150</v>
      </c>
      <c r="B179" s="2440" t="s">
        <v>1214</v>
      </c>
      <c r="C179" s="2396">
        <v>15005</v>
      </c>
      <c r="D179" s="2396">
        <v>58700</v>
      </c>
      <c r="E179" s="2397" t="s">
        <v>1268</v>
      </c>
      <c r="F179" s="2440" t="s">
        <v>1214</v>
      </c>
      <c r="G179" s="2587" t="s">
        <v>1468</v>
      </c>
      <c r="H179" s="2466">
        <v>0</v>
      </c>
      <c r="I179" s="2470"/>
      <c r="J179" s="2466">
        <f>H179+I179</f>
        <v>0</v>
      </c>
      <c r="K179" s="2468" t="str">
        <f>IF(H179=0," ",(J179-H179)/H179)</f>
        <v xml:space="preserve"> </v>
      </c>
      <c r="M179" s="2467">
        <v>0</v>
      </c>
      <c r="N179" s="2467">
        <v>0</v>
      </c>
      <c r="P179" s="2469"/>
      <c r="R179" s="2466">
        <v>0</v>
      </c>
      <c r="S179" s="2466">
        <v>785</v>
      </c>
      <c r="U179" s="2466">
        <v>0</v>
      </c>
      <c r="V179" s="2470">
        <v>0</v>
      </c>
      <c r="W179" s="2466">
        <f>U179+V179</f>
        <v>0</v>
      </c>
      <c r="X179" s="2468" t="str">
        <f>IF(U179=0," ",(W179-U179)/U179)</f>
        <v xml:space="preserve"> </v>
      </c>
      <c r="Z179" s="2467">
        <v>0</v>
      </c>
      <c r="AA179" s="2467">
        <v>0</v>
      </c>
      <c r="AC179" s="2469"/>
      <c r="AE179" s="2466">
        <v>0</v>
      </c>
      <c r="AH179" s="2466">
        <v>0</v>
      </c>
      <c r="AI179" s="2470"/>
      <c r="AJ179" s="2466">
        <f t="shared" si="110"/>
        <v>0</v>
      </c>
      <c r="AK179" s="2468" t="str">
        <f t="shared" si="95"/>
        <v xml:space="preserve"> </v>
      </c>
      <c r="AM179" s="2467">
        <v>0</v>
      </c>
      <c r="AN179" s="2467">
        <v>0</v>
      </c>
      <c r="AP179" s="2469"/>
      <c r="AR179" s="2466">
        <v>0</v>
      </c>
      <c r="AS179" s="2466">
        <v>0</v>
      </c>
      <c r="AT179" s="2466"/>
      <c r="AU179" s="2466">
        <v>0</v>
      </c>
      <c r="AX179" s="2466">
        <v>0</v>
      </c>
      <c r="AY179" s="2470"/>
      <c r="AZ179" s="2466">
        <f t="shared" si="96"/>
        <v>0</v>
      </c>
      <c r="BA179" s="2468" t="str">
        <f>IF(AX179=0," ",(AZ179-AX179)/AX179)</f>
        <v xml:space="preserve"> </v>
      </c>
      <c r="BC179" s="2467">
        <v>0</v>
      </c>
      <c r="BD179" s="2467">
        <v>0</v>
      </c>
      <c r="BF179" s="2469"/>
      <c r="BH179" s="2467">
        <v>0</v>
      </c>
      <c r="BM179" s="2466">
        <v>0</v>
      </c>
      <c r="BN179" s="2470"/>
      <c r="BO179" s="2472">
        <f t="shared" si="97"/>
        <v>0</v>
      </c>
      <c r="BP179" s="2473" t="str">
        <f>IF(BM179=0," ",(BO179-BM179)/BM179)</f>
        <v xml:space="preserve"> </v>
      </c>
      <c r="BR179" s="2474">
        <v>0</v>
      </c>
      <c r="BS179" s="2474">
        <v>0</v>
      </c>
      <c r="BU179" s="2475"/>
      <c r="BW179" s="2474">
        <v>0</v>
      </c>
      <c r="BZ179" s="2474">
        <v>0</v>
      </c>
      <c r="CA179" s="2470"/>
      <c r="CB179" s="2472">
        <f t="shared" si="98"/>
        <v>0</v>
      </c>
      <c r="CC179" s="2473" t="str">
        <f>IF(BZ179=0," ",(CB179-BZ179)/BZ179)</f>
        <v xml:space="preserve"> </v>
      </c>
      <c r="CE179" s="2474">
        <v>0</v>
      </c>
      <c r="CF179" s="2476" t="str">
        <f>IF(CB179=0," ",(CE179-CB179)/CB179)</f>
        <v xml:space="preserve"> </v>
      </c>
      <c r="CG179" s="2474">
        <v>0</v>
      </c>
      <c r="CH179" s="2449" t="s">
        <v>1217</v>
      </c>
      <c r="CI179" s="2449"/>
      <c r="CJ179" s="2450"/>
      <c r="CK179" s="2450"/>
      <c r="CP179" s="2478">
        <f t="shared" si="73"/>
        <v>0</v>
      </c>
      <c r="CQ179" s="2478"/>
      <c r="CR179" s="2478"/>
      <c r="CS179" s="2478"/>
      <c r="CT179" s="2478"/>
    </row>
    <row r="180" spans="1:98" s="2485" customFormat="1" hidden="1" x14ac:dyDescent="0.2">
      <c r="A180" s="2532"/>
      <c r="B180" s="2533"/>
      <c r="C180" s="2534"/>
      <c r="D180" s="2534"/>
      <c r="E180" s="2535"/>
      <c r="F180" s="2533"/>
      <c r="G180" s="2533" t="s">
        <v>1469</v>
      </c>
      <c r="H180" s="2536">
        <f>SUM(H151:H179)</f>
        <v>153318</v>
      </c>
      <c r="I180" s="2536">
        <f>SUM(I151:I179)</f>
        <v>35012.68</v>
      </c>
      <c r="J180" s="2536">
        <f>SUM(J151:J179)</f>
        <v>188330.68000000002</v>
      </c>
      <c r="K180" s="2484">
        <f>IF(H180=0," ",(J180-H180)/H180)</f>
        <v>0.2283664018575772</v>
      </c>
      <c r="M180" s="2536">
        <f>SUM(M151:M179)</f>
        <v>188331</v>
      </c>
      <c r="N180" s="2536">
        <f>SUM(N151:N179)</f>
        <v>188331</v>
      </c>
      <c r="P180" s="2537">
        <f>SUM(P151:P179)</f>
        <v>0</v>
      </c>
      <c r="R180" s="2536">
        <f>SUM(R151:R179)</f>
        <v>188331</v>
      </c>
      <c r="S180" s="2536">
        <f>SUM(S151:S179)</f>
        <v>180681.80999999997</v>
      </c>
      <c r="U180" s="2536">
        <f>SUM(U151:U179)</f>
        <v>188331</v>
      </c>
      <c r="V180" s="2536">
        <f>SUM(V151:V179)</f>
        <v>0</v>
      </c>
      <c r="W180" s="2536">
        <f>SUM(W151:W179)</f>
        <v>188331</v>
      </c>
      <c r="X180" s="2484">
        <f>IF(U180=0," ",(W180-U180)/U180)</f>
        <v>0</v>
      </c>
      <c r="Z180" s="2536">
        <f>SUM(Z151:Z179)</f>
        <v>188331</v>
      </c>
      <c r="AA180" s="2536">
        <f>SUM(AA151:AA179)</f>
        <v>188331</v>
      </c>
      <c r="AC180" s="2537"/>
      <c r="AE180" s="2536">
        <f>SUM(AE151:AE179)</f>
        <v>188331</v>
      </c>
      <c r="AF180" s="2538">
        <f>SUM(AF151:AF179)</f>
        <v>244147.87</v>
      </c>
      <c r="AH180" s="2536">
        <f>SUM(AH151:AH179)</f>
        <v>188331</v>
      </c>
      <c r="AI180" s="2536">
        <f>SUM(AI151:AI179)</f>
        <v>0</v>
      </c>
      <c r="AJ180" s="2536">
        <f>SUM(AJ151:AJ179)</f>
        <v>188932.58</v>
      </c>
      <c r="AK180" s="2484">
        <f>IF(AH180=0," ",(AJ180-AH180)/AH180)</f>
        <v>3.1942696635178869E-3</v>
      </c>
      <c r="AM180" s="2536">
        <f>SUM(AM151:AM179)</f>
        <v>271471</v>
      </c>
      <c r="AN180" s="2536">
        <f>SUM(AN151:AN179)</f>
        <v>271471</v>
      </c>
      <c r="AP180" s="2537"/>
      <c r="AR180" s="2536">
        <f>SUM(AR151:AR179)</f>
        <v>271471</v>
      </c>
      <c r="AS180" s="2536">
        <f>SUM(AS151:AS179)</f>
        <v>234528.21000000002</v>
      </c>
      <c r="AT180" s="2536"/>
      <c r="AU180" s="2536">
        <f>SUM(AU151:AU179)</f>
        <v>275122</v>
      </c>
      <c r="AV180" s="2536">
        <f>SUM(AV151:AV179)</f>
        <v>241697.32999999996</v>
      </c>
      <c r="AX180" s="2536">
        <f>SUM(AX151:AX179)</f>
        <v>275122</v>
      </c>
      <c r="AY180" s="2536">
        <f>SUM(AY151:AY179)</f>
        <v>-20850</v>
      </c>
      <c r="AZ180" s="2536">
        <f>SUM(AZ151:AZ179)</f>
        <v>254272</v>
      </c>
      <c r="BA180" s="2484">
        <f>IF(AX180=0," ",(AZ180-AX180)/AX180)</f>
        <v>-7.5784561031106201E-2</v>
      </c>
      <c r="BC180" s="2536">
        <f>SUM(BC151:BC179)</f>
        <v>254272</v>
      </c>
      <c r="BD180" s="2536">
        <f>SUM(BD151:BD179)</f>
        <v>265466</v>
      </c>
      <c r="BF180" s="2537"/>
      <c r="BH180" s="2536">
        <f>SUM(BH151:BH179)</f>
        <v>265466</v>
      </c>
      <c r="BI180" s="2536">
        <f>SUM(BI151:BI179)</f>
        <v>248260.64000000004</v>
      </c>
      <c r="BJ180" s="2536"/>
      <c r="BK180" s="2536"/>
      <c r="BM180" s="2536">
        <f>SUM(BM151:BM179)</f>
        <v>265466</v>
      </c>
      <c r="BN180" s="2539">
        <f>SUM(BN151:BN179)</f>
        <v>0</v>
      </c>
      <c r="BO180" s="2540">
        <f>SUM(BO151:BO179)</f>
        <v>265466</v>
      </c>
      <c r="BP180" s="2490">
        <f>IF(BM180=0," ",(BO180-BM180)/BM180)</f>
        <v>0</v>
      </c>
      <c r="BQ180" s="2491"/>
      <c r="BR180" s="2540">
        <f>SUM(BR151:BR179)</f>
        <v>265466</v>
      </c>
      <c r="BS180" s="2540">
        <f>SUM(BS151:BS179)</f>
        <v>261841</v>
      </c>
      <c r="BT180" s="2491"/>
      <c r="BU180" s="2541"/>
      <c r="BV180" s="2491"/>
      <c r="BW180" s="2540">
        <f>SUM(BW151:BW179)</f>
        <v>261841</v>
      </c>
      <c r="BX180" s="2536">
        <f>SUM(BX151:BX179)</f>
        <v>135521.01999999999</v>
      </c>
      <c r="BZ180" s="2540">
        <f>SUM(BZ151:BZ179)</f>
        <v>261841</v>
      </c>
      <c r="CA180" s="2540">
        <f>SUM(CA151:CA179)</f>
        <v>3200</v>
      </c>
      <c r="CB180" s="2540">
        <f>SUM(CB151:CB179)</f>
        <v>265041</v>
      </c>
      <c r="CC180" s="2490">
        <f>IF(BZ180=0," ",(CB180-BZ180)/BZ180)</f>
        <v>1.222115711443204E-2</v>
      </c>
      <c r="CD180" s="2491"/>
      <c r="CE180" s="2540">
        <f>SUM(CE151:CE179)</f>
        <v>265041</v>
      </c>
      <c r="CF180" s="2490">
        <f>IF(CB180=0," ",(CE180-CB180)/CB180)</f>
        <v>0</v>
      </c>
      <c r="CG180" s="2540">
        <f>SUM(CG151:CG179)</f>
        <v>263141</v>
      </c>
      <c r="CH180" s="2449" t="s">
        <v>1220</v>
      </c>
      <c r="CI180" s="2449"/>
      <c r="CJ180" s="2450"/>
      <c r="CK180" s="2450"/>
      <c r="CL180" s="2451"/>
      <c r="CM180" s="2451"/>
      <c r="CN180" s="2451"/>
      <c r="CO180" s="2477">
        <v>-6.4811915650214935E-2</v>
      </c>
      <c r="CP180" s="2478">
        <f t="shared" si="73"/>
        <v>-17205.359999999957</v>
      </c>
      <c r="CQ180" s="2478"/>
      <c r="CR180" s="2478"/>
      <c r="CS180" s="2478"/>
      <c r="CT180" s="2478"/>
    </row>
    <row r="181" spans="1:98" ht="9.9499999999999993" hidden="1" customHeight="1" x14ac:dyDescent="0.2">
      <c r="AS181" s="2466"/>
      <c r="AT181" s="2466"/>
      <c r="BZ181" s="2472"/>
      <c r="CH181" s="2449" t="s">
        <v>1091</v>
      </c>
      <c r="CI181" s="2449"/>
      <c r="CJ181" s="2450"/>
      <c r="CK181" s="2450"/>
      <c r="CP181" s="2478">
        <f t="shared" si="73"/>
        <v>0</v>
      </c>
      <c r="CQ181" s="2478"/>
      <c r="CR181" s="2478"/>
      <c r="CS181" s="2478"/>
      <c r="CT181" s="2478"/>
    </row>
    <row r="182" spans="1:98" x14ac:dyDescent="0.2">
      <c r="A182" s="2495"/>
      <c r="B182" s="2496"/>
      <c r="C182" s="2497"/>
      <c r="D182" s="2497"/>
      <c r="E182" s="2498"/>
      <c r="F182" s="2496"/>
      <c r="G182" s="2499" t="s">
        <v>1470</v>
      </c>
      <c r="H182" s="2500">
        <f t="shared" ref="H182" si="111">H180</f>
        <v>153318</v>
      </c>
      <c r="I182" s="2500">
        <f>I180</f>
        <v>35012.68</v>
      </c>
      <c r="J182" s="2500">
        <f>J180</f>
        <v>188330.68000000002</v>
      </c>
      <c r="K182" s="2501">
        <f>IF(H182=0," ",(J182-H182)/H182)</f>
        <v>0.2283664018575772</v>
      </c>
      <c r="M182" s="2500">
        <f>M180</f>
        <v>188331</v>
      </c>
      <c r="N182" s="2500">
        <f>N180</f>
        <v>188331</v>
      </c>
      <c r="P182" s="2502">
        <f>P180</f>
        <v>0</v>
      </c>
      <c r="R182" s="2500">
        <f>R180</f>
        <v>188331</v>
      </c>
      <c r="S182" s="2500">
        <f>S180</f>
        <v>180681.80999999997</v>
      </c>
      <c r="U182" s="2500">
        <f>U180</f>
        <v>188331</v>
      </c>
      <c r="V182" s="2500">
        <f>V180</f>
        <v>0</v>
      </c>
      <c r="W182" s="2500">
        <f>W180</f>
        <v>188331</v>
      </c>
      <c r="X182" s="2501">
        <f>IF(U182=0," ",(W182-U182)/U182)</f>
        <v>0</v>
      </c>
      <c r="Z182" s="2500">
        <f>Z180</f>
        <v>188331</v>
      </c>
      <c r="AA182" s="2500">
        <f>AA180</f>
        <v>188331</v>
      </c>
      <c r="AC182" s="2502"/>
      <c r="AE182" s="2500">
        <f>AE180</f>
        <v>188331</v>
      </c>
      <c r="AF182" s="2503">
        <f>AF180</f>
        <v>244147.87</v>
      </c>
      <c r="AH182" s="2500">
        <v>188331</v>
      </c>
      <c r="AI182" s="2500">
        <f>AI180</f>
        <v>0</v>
      </c>
      <c r="AJ182" s="2500">
        <f>AJ180</f>
        <v>188932.58</v>
      </c>
      <c r="AK182" s="2501">
        <f>IF(AH182=0," ",(AJ182-AH182)/AH182)</f>
        <v>3.1942696635178869E-3</v>
      </c>
      <c r="AM182" s="2500">
        <f>AM180</f>
        <v>271471</v>
      </c>
      <c r="AN182" s="2500">
        <f>AN180</f>
        <v>271471</v>
      </c>
      <c r="AP182" s="2502"/>
      <c r="AR182" s="2500">
        <f>AR180</f>
        <v>271471</v>
      </c>
      <c r="AS182" s="2500">
        <f>AS180</f>
        <v>234528.21000000002</v>
      </c>
      <c r="AT182" s="2500"/>
      <c r="AU182" s="2500">
        <f>AU180</f>
        <v>275122</v>
      </c>
      <c r="AV182" s="2500">
        <f>AV180</f>
        <v>241697.32999999996</v>
      </c>
      <c r="AX182" s="2500">
        <f>AX180</f>
        <v>275122</v>
      </c>
      <c r="AY182" s="2500">
        <f>AY180</f>
        <v>-20850</v>
      </c>
      <c r="AZ182" s="2500">
        <f>AZ180</f>
        <v>254272</v>
      </c>
      <c r="BA182" s="2501">
        <f>IF(AX182=0," ",(AZ182-AX182)/AX182)</f>
        <v>-7.5784561031106201E-2</v>
      </c>
      <c r="BC182" s="2500">
        <f>BC180</f>
        <v>254272</v>
      </c>
      <c r="BD182" s="2500">
        <f>BD180</f>
        <v>265466</v>
      </c>
      <c r="BF182" s="2502"/>
      <c r="BH182" s="2500">
        <f>BH180</f>
        <v>265466</v>
      </c>
      <c r="BI182" s="2500">
        <f>BI180</f>
        <v>248260.64000000004</v>
      </c>
      <c r="BJ182" s="2500"/>
      <c r="BK182" s="2500"/>
      <c r="BM182" s="2500">
        <f>BM180</f>
        <v>265466</v>
      </c>
      <c r="BN182" s="2504">
        <f>BN180</f>
        <v>0</v>
      </c>
      <c r="BO182" s="2505">
        <f>BO180</f>
        <v>265466</v>
      </c>
      <c r="BP182" s="2506">
        <f>IF(BM182=0," ",(BO182-BM182)/BM182)</f>
        <v>0</v>
      </c>
      <c r="BR182" s="2505">
        <f>BR180</f>
        <v>265466</v>
      </c>
      <c r="BS182" s="2505">
        <f>BS180</f>
        <v>261841</v>
      </c>
      <c r="BU182" s="2507"/>
      <c r="BW182" s="2505">
        <f>BW180</f>
        <v>261841</v>
      </c>
      <c r="BX182" s="2500">
        <f>BX180</f>
        <v>135521.01999999999</v>
      </c>
      <c r="BZ182" s="2505">
        <f>BZ180</f>
        <v>261841</v>
      </c>
      <c r="CA182" s="2505">
        <f>CA180</f>
        <v>3200</v>
      </c>
      <c r="CB182" s="2505">
        <f>CB180</f>
        <v>265041</v>
      </c>
      <c r="CC182" s="2506">
        <f>IF(BZ182=0," ",(CB182-BZ182)/BZ182)</f>
        <v>1.222115711443204E-2</v>
      </c>
      <c r="CE182" s="2505">
        <f>CE180</f>
        <v>265041</v>
      </c>
      <c r="CF182" s="2506">
        <f>IF(CB182=0," ",(CE182-CB182)/CB182)</f>
        <v>0</v>
      </c>
      <c r="CG182" s="2505">
        <f>CG180</f>
        <v>263141</v>
      </c>
      <c r="CH182" s="2449" t="s">
        <v>1222</v>
      </c>
      <c r="CI182" s="2508">
        <f>IF(CG182-CE182=0,"",CG182-CE182)</f>
        <v>-1900</v>
      </c>
      <c r="CJ182" s="2509"/>
      <c r="CK182" s="2509"/>
      <c r="CL182" s="2451" t="str">
        <f>IF(CO182&lt;-1*CM$2,"examine","ignore")</f>
        <v>examine</v>
      </c>
      <c r="CM182" s="2545">
        <f>IF(CL182="examine",CP182+CM$2*CP182/CO182,"")</f>
        <v>-6586.7199999999575</v>
      </c>
      <c r="CN182" s="2545">
        <f>IF(CI182="",CM182,CM182-CI182)</f>
        <v>-4686.7199999999575</v>
      </c>
      <c r="CO182" s="2477">
        <v>-6.4811915650214935E-2</v>
      </c>
      <c r="CP182" s="2510">
        <f t="shared" si="73"/>
        <v>-17205.359999999957</v>
      </c>
      <c r="CQ182" s="2510">
        <f>AV182-AU182</f>
        <v>-33424.670000000042</v>
      </c>
      <c r="CR182" s="2510">
        <f>AS182-AR182</f>
        <v>-36942.789999999979</v>
      </c>
      <c r="CS182" s="2510">
        <f>AF182-AE182</f>
        <v>55816.869999999995</v>
      </c>
    </row>
    <row r="183" spans="1:98" ht="20.100000000000001" hidden="1" customHeight="1" x14ac:dyDescent="0.2">
      <c r="AS183" s="2466"/>
      <c r="AT183" s="2466"/>
      <c r="BZ183" s="2472"/>
      <c r="CH183" s="2449" t="s">
        <v>1091</v>
      </c>
      <c r="CI183" s="2449"/>
      <c r="CJ183" s="2450"/>
      <c r="CK183" s="2450"/>
      <c r="CP183" s="2478">
        <f t="shared" si="73"/>
        <v>0</v>
      </c>
      <c r="CQ183" s="2478"/>
      <c r="CR183" s="2478"/>
      <c r="CS183" s="2478"/>
      <c r="CT183" s="2478"/>
    </row>
    <row r="184" spans="1:98" ht="15.75" hidden="1" x14ac:dyDescent="0.2">
      <c r="A184" s="2453" t="s">
        <v>1471</v>
      </c>
      <c r="B184" s="2454"/>
      <c r="C184" s="2455"/>
      <c r="D184" s="2455"/>
      <c r="E184" s="2456"/>
      <c r="F184" s="2454"/>
      <c r="G184" s="2454"/>
      <c r="H184" s="2457"/>
      <c r="I184" s="2457"/>
      <c r="J184" s="2457"/>
      <c r="K184" s="2458"/>
      <c r="M184" s="2457"/>
      <c r="N184" s="2457"/>
      <c r="P184" s="2459"/>
      <c r="R184" s="2457"/>
      <c r="S184" s="2457"/>
      <c r="U184" s="2457"/>
      <c r="V184" s="2457"/>
      <c r="W184" s="2457"/>
      <c r="X184" s="2458"/>
      <c r="Z184" s="2457"/>
      <c r="AA184" s="2457"/>
      <c r="AC184" s="2459"/>
      <c r="AE184" s="2457"/>
      <c r="AF184" s="2460"/>
      <c r="AH184" s="2457"/>
      <c r="AI184" s="2457"/>
      <c r="AJ184" s="2457"/>
      <c r="AK184" s="2458"/>
      <c r="AM184" s="2457"/>
      <c r="AN184" s="2457"/>
      <c r="AP184" s="2459"/>
      <c r="AR184" s="2457"/>
      <c r="AS184" s="2457"/>
      <c r="AT184" s="2457"/>
      <c r="AU184" s="2457"/>
      <c r="AV184" s="2457"/>
      <c r="AX184" s="2457"/>
      <c r="AY184" s="2457"/>
      <c r="AZ184" s="2457"/>
      <c r="BA184" s="2458"/>
      <c r="BC184" s="2457"/>
      <c r="BD184" s="2457"/>
      <c r="BF184" s="2461"/>
      <c r="BH184" s="2457"/>
      <c r="BI184" s="2457"/>
      <c r="BJ184" s="2457"/>
      <c r="BK184" s="2457"/>
      <c r="BM184" s="2457"/>
      <c r="BN184" s="2462"/>
      <c r="BO184" s="2463"/>
      <c r="BP184" s="2464"/>
      <c r="BR184" s="2463"/>
      <c r="BS184" s="2463"/>
      <c r="BU184" s="2465"/>
      <c r="BW184" s="2463"/>
      <c r="BX184" s="2457"/>
      <c r="BZ184" s="2463"/>
      <c r="CA184" s="2462"/>
      <c r="CB184" s="2463"/>
      <c r="CC184" s="2464"/>
      <c r="CE184" s="2463"/>
      <c r="CF184" s="2464"/>
      <c r="CG184" s="2463"/>
      <c r="CH184" s="2449" t="s">
        <v>1212</v>
      </c>
      <c r="CI184" s="2449"/>
      <c r="CJ184" s="2450"/>
      <c r="CK184" s="2450"/>
      <c r="CP184" s="2478">
        <f t="shared" si="73"/>
        <v>0</v>
      </c>
      <c r="CQ184" s="2478"/>
      <c r="CR184" s="2478"/>
      <c r="CS184" s="2478"/>
      <c r="CT184" s="2478"/>
    </row>
    <row r="185" spans="1:98" hidden="1" x14ac:dyDescent="0.2">
      <c r="A185" s="2395">
        <v>151</v>
      </c>
      <c r="B185" s="2440" t="s">
        <v>1214</v>
      </c>
      <c r="C185" s="2396">
        <v>15105</v>
      </c>
      <c r="D185" s="2396">
        <v>52100</v>
      </c>
      <c r="E185" s="2397" t="s">
        <v>1268</v>
      </c>
      <c r="F185" s="2440" t="s">
        <v>1214</v>
      </c>
      <c r="G185" s="2440" t="s">
        <v>1472</v>
      </c>
      <c r="H185" s="2466">
        <v>600</v>
      </c>
      <c r="I185" s="2470"/>
      <c r="J185" s="2466">
        <f>H185+I185</f>
        <v>600</v>
      </c>
      <c r="K185" s="2468">
        <f>IF(H185=0," ",(J185-H185)/H185)</f>
        <v>0</v>
      </c>
      <c r="M185" s="2467">
        <v>600</v>
      </c>
      <c r="N185" s="2467">
        <v>600</v>
      </c>
      <c r="P185" s="2469" t="s">
        <v>1216</v>
      </c>
      <c r="R185" s="2466">
        <v>600</v>
      </c>
      <c r="S185" s="2466">
        <v>281.89999999999998</v>
      </c>
      <c r="U185" s="2466">
        <v>600</v>
      </c>
      <c r="V185" s="2470">
        <v>0</v>
      </c>
      <c r="W185" s="2466">
        <f>U185+V185</f>
        <v>600</v>
      </c>
      <c r="X185" s="2468">
        <f>IF(U185=0," ",(W185-U185)/U185)</f>
        <v>0</v>
      </c>
      <c r="Z185" s="2467">
        <v>600</v>
      </c>
      <c r="AA185" s="2467">
        <v>600</v>
      </c>
      <c r="AC185" s="2469"/>
      <c r="AE185" s="2466">
        <v>600</v>
      </c>
      <c r="AF185" s="2471">
        <v>246.76</v>
      </c>
      <c r="AH185" s="2466">
        <v>600</v>
      </c>
      <c r="AI185" s="2470"/>
      <c r="AJ185" s="2466">
        <f>AH185+AI185</f>
        <v>600</v>
      </c>
      <c r="AK185" s="2468">
        <f>IF(AH185=0," ",(AJ185-AH185)/AH185)</f>
        <v>0</v>
      </c>
      <c r="AM185" s="2467">
        <v>600</v>
      </c>
      <c r="AN185" s="2467">
        <v>600</v>
      </c>
      <c r="AP185" s="2469"/>
      <c r="AR185" s="2466">
        <v>600</v>
      </c>
      <c r="AS185" s="2466">
        <v>600.98</v>
      </c>
      <c r="AT185" s="2466"/>
      <c r="AU185" s="2466">
        <v>400</v>
      </c>
      <c r="AV185" s="2466">
        <v>413.11</v>
      </c>
      <c r="AX185" s="2466">
        <v>400</v>
      </c>
      <c r="AY185" s="2470"/>
      <c r="AZ185" s="2466">
        <f>AX185+AY185</f>
        <v>400</v>
      </c>
      <c r="BA185" s="2468">
        <f>IF(AX185=0," ",(AZ185-AX185)/AX185)</f>
        <v>0</v>
      </c>
      <c r="BC185" s="2467">
        <v>400</v>
      </c>
      <c r="BD185" s="2467">
        <v>400</v>
      </c>
      <c r="BF185" s="2469" t="s">
        <v>1473</v>
      </c>
      <c r="BH185" s="2467">
        <v>400</v>
      </c>
      <c r="BI185" s="2466">
        <v>524.45000000000005</v>
      </c>
      <c r="BM185" s="2466">
        <v>400</v>
      </c>
      <c r="BN185" s="2470"/>
      <c r="BO185" s="2472">
        <f>BM185+BN185</f>
        <v>400</v>
      </c>
      <c r="BP185" s="2473">
        <f>IF(BM185=0," ",(BO185-BM185)/BM185)</f>
        <v>0</v>
      </c>
      <c r="BR185" s="2474">
        <v>400</v>
      </c>
      <c r="BS185" s="2474">
        <v>625</v>
      </c>
      <c r="BU185" s="2475" t="s">
        <v>1474</v>
      </c>
      <c r="BW185" s="2474">
        <f>400+225</f>
        <v>625</v>
      </c>
      <c r="BX185" s="2466">
        <v>171.16</v>
      </c>
      <c r="BZ185" s="2474">
        <f>400+225</f>
        <v>625</v>
      </c>
      <c r="CA185" s="2470">
        <v>63</v>
      </c>
      <c r="CB185" s="2472">
        <f>BZ185+CA185</f>
        <v>688</v>
      </c>
      <c r="CC185" s="2473">
        <f>IF(BZ185=0," ",(CB185-BZ185)/BZ185)</f>
        <v>0.1008</v>
      </c>
      <c r="CE185" s="2474">
        <v>688</v>
      </c>
      <c r="CF185" s="2476">
        <f>IF(CB185=0," ",(CE185-CB185)/CB185)</f>
        <v>0</v>
      </c>
      <c r="CG185" s="2474">
        <v>688</v>
      </c>
      <c r="CH185" s="2449" t="s">
        <v>1217</v>
      </c>
      <c r="CI185" s="2449"/>
      <c r="CJ185" s="2450"/>
      <c r="CK185" s="2450"/>
      <c r="CO185" s="2477">
        <v>0.3111250000000001</v>
      </c>
      <c r="CP185" s="2478">
        <f t="shared" si="73"/>
        <v>124.45000000000005</v>
      </c>
      <c r="CQ185" s="2478"/>
      <c r="CR185" s="2478"/>
      <c r="CS185" s="2478"/>
      <c r="CT185" s="2478"/>
    </row>
    <row r="186" spans="1:98" s="2485" customFormat="1" hidden="1" x14ac:dyDescent="0.2">
      <c r="A186" s="2532"/>
      <c r="B186" s="2533"/>
      <c r="C186" s="2534"/>
      <c r="D186" s="2534"/>
      <c r="E186" s="2535"/>
      <c r="F186" s="2533"/>
      <c r="G186" s="2533" t="s">
        <v>1475</v>
      </c>
      <c r="H186" s="2536">
        <f t="shared" ref="H186" si="112">SUM(H185)</f>
        <v>600</v>
      </c>
      <c r="I186" s="2536">
        <f>SUM(I185)</f>
        <v>0</v>
      </c>
      <c r="J186" s="2536">
        <f>SUM(J185)</f>
        <v>600</v>
      </c>
      <c r="K186" s="2484">
        <f>IF(H186=0," ",(J186-H186)/H186)</f>
        <v>0</v>
      </c>
      <c r="M186" s="2536">
        <f>SUM(M185)</f>
        <v>600</v>
      </c>
      <c r="N186" s="2536">
        <f>SUM(N185)</f>
        <v>600</v>
      </c>
      <c r="P186" s="2537">
        <f>SUM(P185)</f>
        <v>0</v>
      </c>
      <c r="R186" s="2536">
        <f>SUM(R185)</f>
        <v>600</v>
      </c>
      <c r="S186" s="2536">
        <f>SUM(S185)</f>
        <v>281.89999999999998</v>
      </c>
      <c r="U186" s="2536">
        <f>SUM(U185)</f>
        <v>600</v>
      </c>
      <c r="V186" s="2536">
        <f>SUM(V185)</f>
        <v>0</v>
      </c>
      <c r="W186" s="2536">
        <f>SUM(W185)</f>
        <v>600</v>
      </c>
      <c r="X186" s="2484">
        <f>IF(U186=0," ",(W186-U186)/U186)</f>
        <v>0</v>
      </c>
      <c r="Z186" s="2536">
        <f>SUM(Z185)</f>
        <v>600</v>
      </c>
      <c r="AA186" s="2536">
        <f>SUM(AA185)</f>
        <v>600</v>
      </c>
      <c r="AC186" s="2537"/>
      <c r="AE186" s="2536">
        <f>SUM(AE185)</f>
        <v>600</v>
      </c>
      <c r="AF186" s="2538">
        <f>SUM(AF185)</f>
        <v>246.76</v>
      </c>
      <c r="AH186" s="2536">
        <v>600</v>
      </c>
      <c r="AI186" s="2536">
        <f>SUM(AI185)</f>
        <v>0</v>
      </c>
      <c r="AJ186" s="2536">
        <f>SUM(AJ185)</f>
        <v>600</v>
      </c>
      <c r="AK186" s="2484">
        <f>IF(AH186=0," ",(AJ186-AH186)/AH186)</f>
        <v>0</v>
      </c>
      <c r="AM186" s="2536">
        <f>SUM(AM185)</f>
        <v>600</v>
      </c>
      <c r="AN186" s="2536">
        <f>SUM(AN185)</f>
        <v>600</v>
      </c>
      <c r="AP186" s="2537"/>
      <c r="AR186" s="2536">
        <f>SUM(AR185)</f>
        <v>600</v>
      </c>
      <c r="AS186" s="2536">
        <f>SUM(AS185)</f>
        <v>600.98</v>
      </c>
      <c r="AT186" s="2536"/>
      <c r="AU186" s="2536">
        <f>SUM(AU185)</f>
        <v>400</v>
      </c>
      <c r="AV186" s="2536">
        <f>SUM(AV185)</f>
        <v>413.11</v>
      </c>
      <c r="AX186" s="2536">
        <f>SUM(AX185)</f>
        <v>400</v>
      </c>
      <c r="AY186" s="2536">
        <f>SUM(AY185)</f>
        <v>0</v>
      </c>
      <c r="AZ186" s="2536">
        <f>SUM(AZ185)</f>
        <v>400</v>
      </c>
      <c r="BA186" s="2484">
        <f>IF(AX186=0," ",(AZ186-AX186)/AX186)</f>
        <v>0</v>
      </c>
      <c r="BC186" s="2536">
        <f>SUM(BC185)</f>
        <v>400</v>
      </c>
      <c r="BD186" s="2536">
        <f>SUM(BD185)</f>
        <v>400</v>
      </c>
      <c r="BF186" s="2537"/>
      <c r="BH186" s="2536">
        <f>SUM(BH185)</f>
        <v>400</v>
      </c>
      <c r="BI186" s="2536">
        <f>SUM(BI185)</f>
        <v>524.45000000000005</v>
      </c>
      <c r="BJ186" s="2536"/>
      <c r="BK186" s="2536"/>
      <c r="BM186" s="2536">
        <f>SUM(BM185)</f>
        <v>400</v>
      </c>
      <c r="BN186" s="2539">
        <f>SUM(BN185)</f>
        <v>0</v>
      </c>
      <c r="BO186" s="2540">
        <f>SUM(BO185)</f>
        <v>400</v>
      </c>
      <c r="BP186" s="2490">
        <f>IF(BM186=0," ",(BO186-BM186)/BM186)</f>
        <v>0</v>
      </c>
      <c r="BQ186" s="2491"/>
      <c r="BR186" s="2540">
        <f>SUM(BR185)</f>
        <v>400</v>
      </c>
      <c r="BS186" s="2540">
        <f>SUM(BS185)</f>
        <v>625</v>
      </c>
      <c r="BT186" s="2491"/>
      <c r="BU186" s="2541"/>
      <c r="BV186" s="2491"/>
      <c r="BW186" s="2540">
        <f>SUM(BW185)</f>
        <v>625</v>
      </c>
      <c r="BX186" s="2536">
        <f>SUM(BX185)</f>
        <v>171.16</v>
      </c>
      <c r="BZ186" s="2540">
        <f>SUM(BZ185)</f>
        <v>625</v>
      </c>
      <c r="CA186" s="2540">
        <f>SUM(CA185)</f>
        <v>63</v>
      </c>
      <c r="CB186" s="2540">
        <f>SUM(CB185)</f>
        <v>688</v>
      </c>
      <c r="CC186" s="2490">
        <f>IF(BZ186=0," ",(CB186-BZ186)/BZ186)</f>
        <v>0.1008</v>
      </c>
      <c r="CD186" s="2491"/>
      <c r="CE186" s="2540">
        <f>SUM(CE185)</f>
        <v>688</v>
      </c>
      <c r="CF186" s="2490">
        <f>IF(CB186=0," ",(CE186-CB186)/CB186)</f>
        <v>0</v>
      </c>
      <c r="CG186" s="2540">
        <f>SUM(CG185)</f>
        <v>688</v>
      </c>
      <c r="CH186" s="2449" t="s">
        <v>1220</v>
      </c>
      <c r="CI186" s="2449"/>
      <c r="CJ186" s="2450"/>
      <c r="CK186" s="2450"/>
      <c r="CL186" s="2451"/>
      <c r="CM186" s="2451"/>
      <c r="CN186" s="2451"/>
      <c r="CO186" s="2477">
        <v>0.3111250000000001</v>
      </c>
      <c r="CP186" s="2478">
        <f t="shared" si="73"/>
        <v>124.45000000000005</v>
      </c>
      <c r="CQ186" s="2478"/>
      <c r="CR186" s="2478"/>
      <c r="CS186" s="2478"/>
      <c r="CT186" s="2478"/>
    </row>
    <row r="187" spans="1:98" ht="9.9499999999999993" hidden="1" customHeight="1" x14ac:dyDescent="0.2">
      <c r="AS187" s="2466"/>
      <c r="AT187" s="2466"/>
      <c r="BZ187" s="2472"/>
      <c r="CH187" s="2449" t="s">
        <v>1091</v>
      </c>
      <c r="CI187" s="2449"/>
      <c r="CJ187" s="2450"/>
      <c r="CK187" s="2450"/>
      <c r="CP187" s="2478">
        <f t="shared" si="73"/>
        <v>0</v>
      </c>
      <c r="CQ187" s="2478"/>
      <c r="CR187" s="2478"/>
      <c r="CS187" s="2478"/>
      <c r="CT187" s="2478"/>
    </row>
    <row r="188" spans="1:98" x14ac:dyDescent="0.2">
      <c r="A188" s="2495"/>
      <c r="B188" s="2496"/>
      <c r="C188" s="2497"/>
      <c r="D188" s="2497"/>
      <c r="E188" s="2498"/>
      <c r="F188" s="2496"/>
      <c r="G188" s="2499" t="s">
        <v>1476</v>
      </c>
      <c r="H188" s="2500">
        <f t="shared" ref="H188" si="113">H186</f>
        <v>600</v>
      </c>
      <c r="I188" s="2500">
        <f>I186</f>
        <v>0</v>
      </c>
      <c r="J188" s="2500">
        <f>J186</f>
        <v>600</v>
      </c>
      <c r="K188" s="2501">
        <f>IF(H188=0," ",(J188-H188)/H188)</f>
        <v>0</v>
      </c>
      <c r="M188" s="2500">
        <f>M186</f>
        <v>600</v>
      </c>
      <c r="N188" s="2500">
        <f>N186</f>
        <v>600</v>
      </c>
      <c r="P188" s="2502">
        <f>P186</f>
        <v>0</v>
      </c>
      <c r="R188" s="2500">
        <f>R186</f>
        <v>600</v>
      </c>
      <c r="S188" s="2500">
        <f>S186</f>
        <v>281.89999999999998</v>
      </c>
      <c r="U188" s="2500">
        <f>U186</f>
        <v>600</v>
      </c>
      <c r="V188" s="2500">
        <f>V186</f>
        <v>0</v>
      </c>
      <c r="W188" s="2500">
        <f>W186</f>
        <v>600</v>
      </c>
      <c r="X188" s="2501">
        <f>IF(U188=0," ",(W188-U188)/U188)</f>
        <v>0</v>
      </c>
      <c r="Z188" s="2500">
        <f>Z186</f>
        <v>600</v>
      </c>
      <c r="AA188" s="2500">
        <f>AA186</f>
        <v>600</v>
      </c>
      <c r="AC188" s="2502"/>
      <c r="AE188" s="2500">
        <f>AE186</f>
        <v>600</v>
      </c>
      <c r="AF188" s="2503">
        <f>AF186</f>
        <v>246.76</v>
      </c>
      <c r="AH188" s="2500">
        <v>600</v>
      </c>
      <c r="AI188" s="2500">
        <f>AI186</f>
        <v>0</v>
      </c>
      <c r="AJ188" s="2500">
        <f>AJ186</f>
        <v>600</v>
      </c>
      <c r="AK188" s="2501">
        <f>IF(AH188=0," ",(AJ188-AH188)/AH188)</f>
        <v>0</v>
      </c>
      <c r="AM188" s="2500">
        <f>AM186</f>
        <v>600</v>
      </c>
      <c r="AN188" s="2500">
        <f>AN186</f>
        <v>600</v>
      </c>
      <c r="AP188" s="2502"/>
      <c r="AR188" s="2500">
        <f>AR186</f>
        <v>600</v>
      </c>
      <c r="AS188" s="2500">
        <f>AS186</f>
        <v>600.98</v>
      </c>
      <c r="AT188" s="2500"/>
      <c r="AU188" s="2500">
        <f>AU186</f>
        <v>400</v>
      </c>
      <c r="AV188" s="2500">
        <f>AV186</f>
        <v>413.11</v>
      </c>
      <c r="AX188" s="2500">
        <f>AX186</f>
        <v>400</v>
      </c>
      <c r="AY188" s="2500">
        <f>AY186</f>
        <v>0</v>
      </c>
      <c r="AZ188" s="2500">
        <f>AZ186</f>
        <v>400</v>
      </c>
      <c r="BA188" s="2501">
        <f>IF(AX188=0," ",(AZ188-AX188)/AX188)</f>
        <v>0</v>
      </c>
      <c r="BC188" s="2500">
        <f>BC186</f>
        <v>400</v>
      </c>
      <c r="BD188" s="2500">
        <f>BD186</f>
        <v>400</v>
      </c>
      <c r="BF188" s="2502"/>
      <c r="BH188" s="2500">
        <f>BH186</f>
        <v>400</v>
      </c>
      <c r="BI188" s="2500">
        <f>BI186</f>
        <v>524.45000000000005</v>
      </c>
      <c r="BJ188" s="2500"/>
      <c r="BK188" s="2500"/>
      <c r="BM188" s="2500">
        <f>BM186</f>
        <v>400</v>
      </c>
      <c r="BN188" s="2504">
        <f>BN186</f>
        <v>0</v>
      </c>
      <c r="BO188" s="2505">
        <f>BO186</f>
        <v>400</v>
      </c>
      <c r="BP188" s="2506">
        <f>IF(BM188=0," ",(BO188-BM188)/BM188)</f>
        <v>0</v>
      </c>
      <c r="BR188" s="2505">
        <f>BR186</f>
        <v>400</v>
      </c>
      <c r="BS188" s="2505">
        <f>BS186</f>
        <v>625</v>
      </c>
      <c r="BU188" s="2507"/>
      <c r="BW188" s="2505">
        <f>BW186</f>
        <v>625</v>
      </c>
      <c r="BX188" s="2500">
        <f>BX186</f>
        <v>171.16</v>
      </c>
      <c r="BZ188" s="2505">
        <f>BZ186</f>
        <v>625</v>
      </c>
      <c r="CA188" s="2505">
        <f>CA186</f>
        <v>63</v>
      </c>
      <c r="CB188" s="2505">
        <f>CB186</f>
        <v>688</v>
      </c>
      <c r="CC188" s="2506">
        <f>IF(BZ188=0," ",(CB188-BZ188)/BZ188)</f>
        <v>0.1008</v>
      </c>
      <c r="CE188" s="2505">
        <f>CE186</f>
        <v>688</v>
      </c>
      <c r="CF188" s="2506">
        <f>IF(CB188=0," ",(CE188-CB188)/CB188)</f>
        <v>0</v>
      </c>
      <c r="CG188" s="2505">
        <f>CG186</f>
        <v>688</v>
      </c>
      <c r="CH188" s="2449" t="s">
        <v>1222</v>
      </c>
      <c r="CI188" s="2508" t="str">
        <f>IF(CG188-CE188=0,"",CG188-CE188)</f>
        <v/>
      </c>
      <c r="CJ188" s="2509"/>
      <c r="CK188" s="2509"/>
      <c r="CL188" s="2451" t="str">
        <f>IF(CO188&lt;-1*CM$2,"examine","ignore")</f>
        <v>ignore</v>
      </c>
      <c r="CM188" s="2545" t="str">
        <f>IF(CL188="examine",CP188+CM$2*CP188/CO188,"")</f>
        <v/>
      </c>
      <c r="CN188" s="2545"/>
      <c r="CO188" s="2477">
        <v>0.3111250000000001</v>
      </c>
      <c r="CP188" s="2510">
        <f t="shared" si="73"/>
        <v>124.45000000000005</v>
      </c>
      <c r="CQ188" s="2510">
        <f>AV188-AU188</f>
        <v>13.110000000000014</v>
      </c>
      <c r="CR188" s="2510">
        <f>AS188-AR188</f>
        <v>0.98000000000001819</v>
      </c>
      <c r="CS188" s="2510">
        <f>AF188-AE188</f>
        <v>-353.24</v>
      </c>
    </row>
    <row r="189" spans="1:98" ht="20.100000000000001" hidden="1" customHeight="1" x14ac:dyDescent="0.2">
      <c r="AS189" s="2466"/>
      <c r="AT189" s="2466"/>
      <c r="BZ189" s="2472"/>
      <c r="CH189" s="2449" t="s">
        <v>1091</v>
      </c>
      <c r="CI189" s="2449"/>
      <c r="CJ189" s="2450"/>
      <c r="CK189" s="2450"/>
      <c r="CP189" s="2478">
        <f t="shared" si="73"/>
        <v>0</v>
      </c>
      <c r="CQ189" s="2478"/>
      <c r="CR189" s="2478"/>
      <c r="CS189" s="2478"/>
      <c r="CT189" s="2478"/>
    </row>
    <row r="190" spans="1:98" ht="15.75" hidden="1" x14ac:dyDescent="0.2">
      <c r="A190" s="2453" t="s">
        <v>1477</v>
      </c>
      <c r="B190" s="2454"/>
      <c r="C190" s="2455"/>
      <c r="D190" s="2455"/>
      <c r="E190" s="2456"/>
      <c r="F190" s="2454"/>
      <c r="G190" s="2454"/>
      <c r="H190" s="2457"/>
      <c r="I190" s="2457"/>
      <c r="J190" s="2457"/>
      <c r="K190" s="2458"/>
      <c r="M190" s="2457"/>
      <c r="N190" s="2457"/>
      <c r="P190" s="2459"/>
      <c r="R190" s="2457"/>
      <c r="S190" s="2457"/>
      <c r="U190" s="2457"/>
      <c r="V190" s="2457"/>
      <c r="W190" s="2457"/>
      <c r="X190" s="2458"/>
      <c r="Z190" s="2457"/>
      <c r="AA190" s="2457"/>
      <c r="AC190" s="2459"/>
      <c r="AE190" s="2457"/>
      <c r="AF190" s="2460"/>
      <c r="AH190" s="2457"/>
      <c r="AI190" s="2457"/>
      <c r="AJ190" s="2457"/>
      <c r="AK190" s="2458"/>
      <c r="AM190" s="2457"/>
      <c r="AN190" s="2457"/>
      <c r="AP190" s="2459"/>
      <c r="AR190" s="2457"/>
      <c r="AS190" s="2457"/>
      <c r="AT190" s="2457"/>
      <c r="AU190" s="2457"/>
      <c r="AV190" s="2457"/>
      <c r="AX190" s="2457"/>
      <c r="AY190" s="2457"/>
      <c r="AZ190" s="2457"/>
      <c r="BA190" s="2458"/>
      <c r="BC190" s="2457"/>
      <c r="BD190" s="2457"/>
      <c r="BF190" s="2461"/>
      <c r="BH190" s="2457"/>
      <c r="BI190" s="2457"/>
      <c r="BJ190" s="2457"/>
      <c r="BK190" s="2457"/>
      <c r="BM190" s="2457"/>
      <c r="BN190" s="2462"/>
      <c r="BO190" s="2463"/>
      <c r="BP190" s="2464"/>
      <c r="BR190" s="2463"/>
      <c r="BS190" s="2463"/>
      <c r="BU190" s="2465"/>
      <c r="BW190" s="2463"/>
      <c r="BX190" s="2457"/>
      <c r="BZ190" s="2463"/>
      <c r="CA190" s="2462"/>
      <c r="CB190" s="2463"/>
      <c r="CC190" s="2464"/>
      <c r="CE190" s="2463"/>
      <c r="CF190" s="2464"/>
      <c r="CG190" s="2463"/>
      <c r="CH190" s="2449" t="s">
        <v>1212</v>
      </c>
      <c r="CI190" s="2449"/>
      <c r="CJ190" s="2450"/>
      <c r="CK190" s="2450"/>
      <c r="CP190" s="2478">
        <f t="shared" si="73"/>
        <v>0</v>
      </c>
      <c r="CQ190" s="2478"/>
      <c r="CR190" s="2478"/>
      <c r="CS190" s="2478"/>
      <c r="CT190" s="2478"/>
    </row>
    <row r="191" spans="1:98" hidden="1" x14ac:dyDescent="0.2">
      <c r="A191" s="2395">
        <v>157</v>
      </c>
      <c r="B191" s="2440" t="s">
        <v>1214</v>
      </c>
      <c r="C191" s="2396">
        <v>15702</v>
      </c>
      <c r="D191" s="2396">
        <v>51140</v>
      </c>
      <c r="E191" s="2397" t="s">
        <v>319</v>
      </c>
      <c r="F191" s="2440" t="s">
        <v>1214</v>
      </c>
      <c r="G191" s="2587" t="s">
        <v>1478</v>
      </c>
      <c r="H191" s="2466">
        <v>1858</v>
      </c>
      <c r="I191" s="2470">
        <v>-1858</v>
      </c>
      <c r="J191" s="2466">
        <f>H191+I191</f>
        <v>0</v>
      </c>
      <c r="K191" s="2468">
        <f>IF(H191=0," ",(J191-H191)/H191)</f>
        <v>-1</v>
      </c>
      <c r="M191" s="2467"/>
      <c r="N191" s="2467"/>
      <c r="P191" s="2469"/>
      <c r="V191" s="2470">
        <v>0</v>
      </c>
      <c r="W191" s="2466">
        <f>U191+V191</f>
        <v>0</v>
      </c>
      <c r="X191" s="2468" t="str">
        <f>IF(U191=0," ",(W191-U191)/U191)</f>
        <v xml:space="preserve"> </v>
      </c>
      <c r="Z191" s="2467">
        <v>0</v>
      </c>
      <c r="AA191" s="2467"/>
      <c r="AC191" s="2469"/>
      <c r="AF191" s="2471">
        <v>0</v>
      </c>
      <c r="AI191" s="2470"/>
      <c r="AJ191" s="2466">
        <f>AH191+AI191</f>
        <v>0</v>
      </c>
      <c r="AK191" s="2468" t="str">
        <f>IF(AH191=0," ",(AJ191-AH191)/AH191)</f>
        <v xml:space="preserve"> </v>
      </c>
      <c r="AM191" s="2467">
        <v>0</v>
      </c>
      <c r="AN191" s="2467">
        <v>0</v>
      </c>
      <c r="AP191" s="2469"/>
      <c r="AR191" s="2466">
        <v>0</v>
      </c>
      <c r="AS191" s="2466"/>
      <c r="AT191" s="2466"/>
      <c r="AY191" s="2470"/>
      <c r="AZ191" s="2466">
        <f>AX191+AY191</f>
        <v>0</v>
      </c>
      <c r="BA191" s="2468" t="str">
        <f>IF(AX191=0," ",(AZ191-AX191)/AX191)</f>
        <v xml:space="preserve"> </v>
      </c>
      <c r="BC191" s="2467"/>
      <c r="BD191" s="2467"/>
      <c r="BF191" s="2469"/>
      <c r="BH191" s="2467"/>
      <c r="BN191" s="2470"/>
      <c r="BO191" s="2472">
        <f>BM191+BN191</f>
        <v>0</v>
      </c>
      <c r="BP191" s="2473" t="str">
        <f>IF(BM191=0," ",(BO191-BM191)/BM191)</f>
        <v xml:space="preserve"> </v>
      </c>
      <c r="BR191" s="2474">
        <v>0</v>
      </c>
      <c r="BS191" s="2474">
        <v>0</v>
      </c>
      <c r="BU191" s="2475"/>
      <c r="BW191" s="2474">
        <v>0</v>
      </c>
      <c r="BZ191" s="2474">
        <v>0</v>
      </c>
      <c r="CA191" s="2470"/>
      <c r="CB191" s="2472">
        <f>BZ191+CA191</f>
        <v>0</v>
      </c>
      <c r="CC191" s="2473" t="str">
        <f>IF(BZ191=0," ",(CB191-BZ191)/BZ191)</f>
        <v xml:space="preserve"> </v>
      </c>
      <c r="CE191" s="2474">
        <v>0</v>
      </c>
      <c r="CF191" s="2476" t="str">
        <f>IF(CB191=0," ",(CE191-CB191)/CB191)</f>
        <v xml:space="preserve"> </v>
      </c>
      <c r="CG191" s="2474">
        <v>0</v>
      </c>
      <c r="CH191" s="2449" t="s">
        <v>1217</v>
      </c>
      <c r="CI191" s="2449"/>
      <c r="CJ191" s="2450"/>
      <c r="CK191" s="2450"/>
      <c r="CP191" s="2478">
        <f t="shared" si="73"/>
        <v>0</v>
      </c>
      <c r="CQ191" s="2478"/>
      <c r="CR191" s="2478"/>
      <c r="CS191" s="2478"/>
      <c r="CT191" s="2478"/>
    </row>
    <row r="192" spans="1:98" hidden="1" x14ac:dyDescent="0.2">
      <c r="A192" s="2395">
        <v>157</v>
      </c>
      <c r="C192" s="2396">
        <v>15702</v>
      </c>
      <c r="D192" s="2396">
        <v>51142</v>
      </c>
      <c r="E192" s="2397" t="s">
        <v>319</v>
      </c>
      <c r="G192" s="2440" t="s">
        <v>1479</v>
      </c>
      <c r="I192" s="2470"/>
      <c r="M192" s="2467"/>
      <c r="N192" s="2467"/>
      <c r="P192" s="2469"/>
      <c r="V192" s="2470"/>
      <c r="Z192" s="2467"/>
      <c r="AA192" s="2467"/>
      <c r="AC192" s="2469"/>
      <c r="AI192" s="2470"/>
      <c r="AM192" s="2467"/>
      <c r="AN192" s="2467"/>
      <c r="AP192" s="2469"/>
      <c r="AS192" s="2466"/>
      <c r="AT192" s="2466"/>
      <c r="AY192" s="2470"/>
      <c r="BC192" s="2467"/>
      <c r="BD192" s="2467"/>
      <c r="BF192" s="2469"/>
      <c r="BH192" s="2467"/>
      <c r="BN192" s="2470">
        <v>5048</v>
      </c>
      <c r="BO192" s="2472">
        <f>BM192+BN192</f>
        <v>5048</v>
      </c>
      <c r="BR192" s="2474">
        <v>5048</v>
      </c>
      <c r="BS192" s="2474">
        <v>5048</v>
      </c>
      <c r="BU192" s="2512" t="s">
        <v>1480</v>
      </c>
      <c r="BW192" s="2474">
        <v>5048</v>
      </c>
      <c r="BZ192" s="2474">
        <v>5048</v>
      </c>
      <c r="CA192" s="2470">
        <v>-5048</v>
      </c>
      <c r="CB192" s="2472">
        <f>BZ192+CA192</f>
        <v>0</v>
      </c>
      <c r="CE192" s="2474">
        <v>0</v>
      </c>
      <c r="CF192" s="2476"/>
      <c r="CG192" s="2572">
        <v>5128</v>
      </c>
      <c r="CH192" s="2449" t="s">
        <v>1217</v>
      </c>
      <c r="CI192" s="2449"/>
      <c r="CJ192" s="2450"/>
      <c r="CK192" s="2450"/>
      <c r="CP192" s="2478">
        <f t="shared" si="73"/>
        <v>0</v>
      </c>
      <c r="CQ192" s="2478"/>
      <c r="CR192" s="2478"/>
      <c r="CS192" s="2478"/>
      <c r="CT192" s="2478"/>
    </row>
    <row r="193" spans="1:98" hidden="1" x14ac:dyDescent="0.2">
      <c r="A193" s="2395">
        <v>157</v>
      </c>
      <c r="C193" s="2396">
        <v>15702</v>
      </c>
      <c r="D193" s="2396">
        <v>51491</v>
      </c>
      <c r="E193" s="2397" t="s">
        <v>319</v>
      </c>
      <c r="G193" s="2447" t="s">
        <v>1481</v>
      </c>
      <c r="H193" s="2466">
        <v>0</v>
      </c>
      <c r="I193" s="2470">
        <v>33000</v>
      </c>
      <c r="J193" s="2466">
        <f>H193+I193</f>
        <v>33000</v>
      </c>
      <c r="M193" s="2467">
        <v>34500</v>
      </c>
      <c r="N193" s="2467">
        <v>34500</v>
      </c>
      <c r="P193" s="2469" t="s">
        <v>1482</v>
      </c>
      <c r="R193" s="2466">
        <v>34500</v>
      </c>
      <c r="U193" s="2466">
        <v>34500</v>
      </c>
      <c r="V193" s="2470">
        <v>0</v>
      </c>
      <c r="W193" s="2466">
        <f>U193+V193</f>
        <v>34500</v>
      </c>
      <c r="Z193" s="2467">
        <v>34500</v>
      </c>
      <c r="AA193" s="2467">
        <v>36500</v>
      </c>
      <c r="AC193" s="2469" t="s">
        <v>1483</v>
      </c>
      <c r="AF193" s="2471">
        <v>0</v>
      </c>
      <c r="AI193" s="2470"/>
      <c r="AJ193" s="2466">
        <f>AH193+AI193</f>
        <v>0</v>
      </c>
      <c r="AM193" s="2467">
        <v>5000</v>
      </c>
      <c r="AN193" s="2467">
        <v>5000</v>
      </c>
      <c r="AO193" s="2546"/>
      <c r="AP193" s="2582" t="s">
        <v>1484</v>
      </c>
      <c r="AR193" s="2466">
        <v>5000</v>
      </c>
      <c r="AS193" s="2466">
        <v>4999.92</v>
      </c>
      <c r="AT193" s="2466"/>
      <c r="AU193" s="2466">
        <v>5000</v>
      </c>
      <c r="AV193" s="2466">
        <v>5000</v>
      </c>
      <c r="AX193" s="2466">
        <v>5000</v>
      </c>
      <c r="AY193" s="2470"/>
      <c r="AZ193" s="2466">
        <f>AX193+AY193</f>
        <v>5000</v>
      </c>
      <c r="BC193" s="2467">
        <v>5000</v>
      </c>
      <c r="BD193" s="2467">
        <v>5000</v>
      </c>
      <c r="BE193" s="2546"/>
      <c r="BF193" s="2583"/>
      <c r="BH193" s="2467">
        <v>5000</v>
      </c>
      <c r="BI193" s="2466">
        <v>4950.74</v>
      </c>
      <c r="BM193" s="2466">
        <v>5000</v>
      </c>
      <c r="BN193" s="2470">
        <v>-5000</v>
      </c>
      <c r="BO193" s="2472">
        <f>BM193+BN193</f>
        <v>0</v>
      </c>
      <c r="BR193" s="2474">
        <v>0</v>
      </c>
      <c r="BS193" s="2474">
        <v>0</v>
      </c>
      <c r="BU193" s="2512"/>
      <c r="BW193" s="2474">
        <v>0</v>
      </c>
      <c r="BZ193" s="2474">
        <v>0</v>
      </c>
      <c r="CA193" s="2470"/>
      <c r="CB193" s="2472">
        <f>BZ193+CA193</f>
        <v>0</v>
      </c>
      <c r="CE193" s="2474">
        <v>0</v>
      </c>
      <c r="CF193" s="2476"/>
      <c r="CG193" s="2474">
        <v>0</v>
      </c>
      <c r="CH193" s="2449" t="s">
        <v>1217</v>
      </c>
      <c r="CI193" s="2449"/>
      <c r="CJ193" s="2450"/>
      <c r="CK193" s="2450"/>
      <c r="CO193" s="2477">
        <v>-9.8520000000000829E-3</v>
      </c>
      <c r="CP193" s="2478">
        <f t="shared" si="73"/>
        <v>-49.260000000000218</v>
      </c>
      <c r="CQ193" s="2478"/>
      <c r="CR193" s="2478"/>
      <c r="CS193" s="2478"/>
      <c r="CT193" s="2478"/>
    </row>
    <row r="194" spans="1:98" s="2485" customFormat="1" hidden="1" x14ac:dyDescent="0.2">
      <c r="A194" s="2532"/>
      <c r="B194" s="2533"/>
      <c r="C194" s="2534"/>
      <c r="D194" s="2534"/>
      <c r="E194" s="2535"/>
      <c r="F194" s="2533"/>
      <c r="G194" s="2588" t="s">
        <v>1485</v>
      </c>
      <c r="H194" s="2536">
        <f t="shared" ref="H194" si="114">SUM(H191)</f>
        <v>1858</v>
      </c>
      <c r="I194" s="2536">
        <f>SUM(I191)</f>
        <v>-1858</v>
      </c>
      <c r="J194" s="2536">
        <f>SUM(J191)</f>
        <v>0</v>
      </c>
      <c r="K194" s="2484">
        <f>IF(H194=0," ",(J194-H194)/H194)</f>
        <v>-1</v>
      </c>
      <c r="M194" s="2536">
        <f>SUM(M191)</f>
        <v>0</v>
      </c>
      <c r="N194" s="2536">
        <f>SUM(N191)</f>
        <v>0</v>
      </c>
      <c r="P194" s="2537">
        <f>SUM(P191)</f>
        <v>0</v>
      </c>
      <c r="R194" s="2536">
        <f>SUM(R191)</f>
        <v>0</v>
      </c>
      <c r="S194" s="2536">
        <f>SUM(S191)</f>
        <v>0</v>
      </c>
      <c r="U194" s="2536">
        <f>SUM(U191)</f>
        <v>0</v>
      </c>
      <c r="V194" s="2536">
        <f>SUM(V191)</f>
        <v>0</v>
      </c>
      <c r="W194" s="2536">
        <f>SUM(W191)</f>
        <v>0</v>
      </c>
      <c r="X194" s="2484" t="str">
        <f>IF(U194=0," ",(W194-U194)/U194)</f>
        <v xml:space="preserve"> </v>
      </c>
      <c r="Z194" s="2536">
        <f>SUM(Z191)</f>
        <v>0</v>
      </c>
      <c r="AA194" s="2536">
        <f>SUM(AA191)</f>
        <v>0</v>
      </c>
      <c r="AC194" s="2589" t="s">
        <v>1486</v>
      </c>
      <c r="AE194" s="2536">
        <f>SUM(AE191)</f>
        <v>0</v>
      </c>
      <c r="AF194" s="2538">
        <f>SUM(AF191)</f>
        <v>0</v>
      </c>
      <c r="AH194" s="2536">
        <v>0</v>
      </c>
      <c r="AI194" s="2536">
        <f>SUM(AI191)</f>
        <v>0</v>
      </c>
      <c r="AJ194" s="2536">
        <f>SUM(AJ191)</f>
        <v>0</v>
      </c>
      <c r="AK194" s="2484" t="str">
        <f>IF(AH194=0," ",(AJ194-AH194)/AH194)</f>
        <v xml:space="preserve"> </v>
      </c>
      <c r="AM194" s="2536">
        <f>SUM(AM191)</f>
        <v>0</v>
      </c>
      <c r="AN194" s="2536">
        <f>SUM(AN191)</f>
        <v>0</v>
      </c>
      <c r="AP194" s="2590" t="s">
        <v>1486</v>
      </c>
      <c r="AR194" s="2536">
        <f>SUM(AR191:AR193)</f>
        <v>5000</v>
      </c>
      <c r="AS194" s="2536">
        <f>SUM(AS191:AS193)</f>
        <v>4999.92</v>
      </c>
      <c r="AT194" s="2536"/>
      <c r="AU194" s="2536">
        <f>SUM(AU191:AU193)</f>
        <v>5000</v>
      </c>
      <c r="AV194" s="2536">
        <f>SUM(AV191:AV193)</f>
        <v>5000</v>
      </c>
      <c r="AX194" s="2536">
        <f>SUM(AX191:AX193)</f>
        <v>5000</v>
      </c>
      <c r="AY194" s="2536">
        <f>SUM(AY191:AY193)</f>
        <v>0</v>
      </c>
      <c r="AZ194" s="2536">
        <f>SUM(AZ191:AZ193)</f>
        <v>5000</v>
      </c>
      <c r="BA194" s="2484">
        <f>IF(AX194=0," ",(AZ194-AX194)/AX194)</f>
        <v>0</v>
      </c>
      <c r="BC194" s="2536">
        <f>SUM(BC191:BC193)</f>
        <v>5000</v>
      </c>
      <c r="BD194" s="2536">
        <f>SUM(BD191:BD193)</f>
        <v>5000</v>
      </c>
      <c r="BF194" s="2590" t="s">
        <v>1486</v>
      </c>
      <c r="BH194" s="2536">
        <f>SUM(BH191:BH193)</f>
        <v>5000</v>
      </c>
      <c r="BI194" s="2536">
        <f>SUM(BI191:BI193)</f>
        <v>4950.74</v>
      </c>
      <c r="BJ194" s="2536"/>
      <c r="BK194" s="2536"/>
      <c r="BM194" s="2536">
        <f>SUM(BM191:BM193)</f>
        <v>5000</v>
      </c>
      <c r="BN194" s="2539">
        <f>SUM(BN191:BN193)</f>
        <v>48</v>
      </c>
      <c r="BO194" s="2540">
        <f>SUM(BO191:BO193)</f>
        <v>5048</v>
      </c>
      <c r="BP194" s="2490">
        <f>IF(BM194=0," ",(BO194-BM194)/BM194)</f>
        <v>9.5999999999999992E-3</v>
      </c>
      <c r="BQ194" s="2491"/>
      <c r="BR194" s="2540">
        <f>SUM(BR191:BR193)</f>
        <v>5048</v>
      </c>
      <c r="BS194" s="2540">
        <f>SUM(BS191:BS193)</f>
        <v>5048</v>
      </c>
      <c r="BT194" s="2491"/>
      <c r="BU194" s="2591" t="s">
        <v>1486</v>
      </c>
      <c r="BV194" s="2491"/>
      <c r="BW194" s="2540">
        <f>SUM(BW191:BW193)</f>
        <v>5048</v>
      </c>
      <c r="BX194" s="2536">
        <f>SUM(BX191:BX193)</f>
        <v>0</v>
      </c>
      <c r="BZ194" s="2540">
        <f>SUM(BZ191:BZ193)</f>
        <v>5048</v>
      </c>
      <c r="CA194" s="2540">
        <f>SUM(CA191:CA193)</f>
        <v>-5048</v>
      </c>
      <c r="CB194" s="2540">
        <f>SUM(CB191:CB193)</f>
        <v>0</v>
      </c>
      <c r="CC194" s="2490">
        <f>IF(BZ194=0," ",(CB194-BZ194)/BZ194)</f>
        <v>-1</v>
      </c>
      <c r="CD194" s="2491"/>
      <c r="CE194" s="2540">
        <f>SUM(CE191:CE193)</f>
        <v>0</v>
      </c>
      <c r="CF194" s="2490" t="str">
        <f>IF(CB194=0," ",(CE194-CB194)/CB194)</f>
        <v xml:space="preserve"> </v>
      </c>
      <c r="CG194" s="2540">
        <f>SUM(CG191:CG193)</f>
        <v>5128</v>
      </c>
      <c r="CH194" s="2449" t="s">
        <v>1220</v>
      </c>
      <c r="CI194" s="2449"/>
      <c r="CJ194" s="2450"/>
      <c r="CK194" s="2450"/>
      <c r="CL194" s="2451"/>
      <c r="CM194" s="2451"/>
      <c r="CN194" s="2451"/>
      <c r="CO194" s="2477">
        <v>-9.8520000000000829E-3</v>
      </c>
      <c r="CP194" s="2478">
        <f t="shared" si="73"/>
        <v>-49.260000000000218</v>
      </c>
      <c r="CQ194" s="2478"/>
      <c r="CR194" s="2478"/>
      <c r="CS194" s="2478"/>
      <c r="CT194" s="2478"/>
    </row>
    <row r="195" spans="1:98" hidden="1" x14ac:dyDescent="0.2">
      <c r="AP195" s="2592"/>
      <c r="AS195" s="2466"/>
      <c r="AT195" s="2466"/>
      <c r="BF195" s="2592"/>
      <c r="BU195" s="2593"/>
      <c r="BZ195" s="2472"/>
      <c r="CH195" s="2449" t="s">
        <v>1091</v>
      </c>
      <c r="CI195" s="2449"/>
      <c r="CJ195" s="2450"/>
      <c r="CK195" s="2450"/>
      <c r="CP195" s="2478">
        <f t="shared" si="73"/>
        <v>0</v>
      </c>
      <c r="CQ195" s="2478"/>
      <c r="CR195" s="2478"/>
      <c r="CS195" s="2478"/>
      <c r="CT195" s="2478"/>
    </row>
    <row r="196" spans="1:98" hidden="1" x14ac:dyDescent="0.2">
      <c r="A196" s="2395">
        <v>157</v>
      </c>
      <c r="B196" s="2440" t="s">
        <v>1214</v>
      </c>
      <c r="C196" s="2396">
        <v>15705</v>
      </c>
      <c r="D196" s="2396">
        <v>52510</v>
      </c>
      <c r="E196" s="2397" t="s">
        <v>1268</v>
      </c>
      <c r="F196" s="2440" t="s">
        <v>1214</v>
      </c>
      <c r="G196" s="2440" t="s">
        <v>1487</v>
      </c>
      <c r="H196" s="2466">
        <v>170</v>
      </c>
      <c r="I196" s="2470">
        <v>-170</v>
      </c>
      <c r="J196" s="2466">
        <f>H196+I196</f>
        <v>0</v>
      </c>
      <c r="K196" s="2468">
        <f>IF(H196=0," ",(J196-H196)/H196)</f>
        <v>-1</v>
      </c>
      <c r="M196" s="2467">
        <v>0</v>
      </c>
      <c r="N196" s="2467">
        <v>0</v>
      </c>
      <c r="P196" s="2469" t="s">
        <v>1488</v>
      </c>
      <c r="R196" s="2466">
        <v>0</v>
      </c>
      <c r="S196" s="2466">
        <v>0</v>
      </c>
      <c r="U196" s="2466">
        <v>0</v>
      </c>
      <c r="V196" s="2470">
        <v>0</v>
      </c>
      <c r="W196" s="2466">
        <f>U196+V196</f>
        <v>0</v>
      </c>
      <c r="X196" s="2468" t="str">
        <f>IF(U196=0," ",(W196-U196)/U196)</f>
        <v xml:space="preserve"> </v>
      </c>
      <c r="Z196" s="2467">
        <v>0</v>
      </c>
      <c r="AA196" s="2467"/>
      <c r="AC196" s="2469"/>
      <c r="AI196" s="2470"/>
      <c r="AJ196" s="2466">
        <f>AH196+AI196</f>
        <v>0</v>
      </c>
      <c r="AK196" s="2468" t="str">
        <f>IF(AH196=0," ",(AJ196-AH196)/AH196)</f>
        <v xml:space="preserve"> </v>
      </c>
      <c r="AM196" s="2467">
        <v>0</v>
      </c>
      <c r="AN196" s="2467">
        <v>0</v>
      </c>
      <c r="AP196" s="2469"/>
      <c r="AR196" s="2466">
        <v>0</v>
      </c>
      <c r="AS196" s="2466"/>
      <c r="AT196" s="2466"/>
      <c r="AV196" s="2466">
        <v>3195</v>
      </c>
      <c r="AY196" s="2542">
        <v>3500</v>
      </c>
      <c r="AZ196" s="2466">
        <f t="shared" ref="AZ196:AZ201" si="115">AX196+AY196</f>
        <v>3500</v>
      </c>
      <c r="BA196" s="2468" t="str">
        <f>IF(AX196=0," ",(AZ196-AX196)/AX196)</f>
        <v xml:space="preserve"> </v>
      </c>
      <c r="BC196" s="2467">
        <v>3500</v>
      </c>
      <c r="BD196" s="2467">
        <v>3500</v>
      </c>
      <c r="BF196" s="2543" t="s">
        <v>1273</v>
      </c>
      <c r="BH196" s="2467">
        <v>3500</v>
      </c>
      <c r="BI196" s="2466">
        <v>3195</v>
      </c>
      <c r="BM196" s="2466">
        <v>3500</v>
      </c>
      <c r="BN196" s="2470"/>
      <c r="BO196" s="2472">
        <f t="shared" ref="BO196:BO201" si="116">BM196+BN196</f>
        <v>3500</v>
      </c>
      <c r="BP196" s="2473">
        <f>IF(BM196=0," ",(BO196-BM196)/BM196)</f>
        <v>0</v>
      </c>
      <c r="BR196" s="2474">
        <v>3500</v>
      </c>
      <c r="BS196" s="2474">
        <v>3500</v>
      </c>
      <c r="BU196" s="2544"/>
      <c r="BW196" s="2474">
        <v>3500</v>
      </c>
      <c r="BZ196" s="2474">
        <v>3500</v>
      </c>
      <c r="CA196" s="2470"/>
      <c r="CB196" s="2472">
        <f t="shared" ref="CB196:CB201" si="117">BZ196+CA196</f>
        <v>3500</v>
      </c>
      <c r="CC196" s="2473">
        <f>IF(BZ196=0," ",(CB196-BZ196)/BZ196)</f>
        <v>0</v>
      </c>
      <c r="CE196" s="2474">
        <v>3500</v>
      </c>
      <c r="CF196" s="2476">
        <f>IF(CB196=0," ",(CE196-CB196)/CB196)</f>
        <v>0</v>
      </c>
      <c r="CG196" s="2474">
        <v>3500</v>
      </c>
      <c r="CH196" s="2449" t="s">
        <v>1217</v>
      </c>
      <c r="CI196" s="2449"/>
      <c r="CJ196" s="2450"/>
      <c r="CK196" s="2450"/>
      <c r="CO196" s="2477">
        <v>-8.7142857142857189E-2</v>
      </c>
      <c r="CP196" s="2478">
        <f t="shared" si="73"/>
        <v>-305</v>
      </c>
      <c r="CQ196" s="2478"/>
      <c r="CR196" s="2478"/>
      <c r="CS196" s="2478"/>
      <c r="CT196" s="2478"/>
    </row>
    <row r="197" spans="1:98" hidden="1" x14ac:dyDescent="0.2">
      <c r="A197" s="2395">
        <v>157</v>
      </c>
      <c r="C197" s="2396">
        <v>15705</v>
      </c>
      <c r="D197" s="2396">
        <v>53030</v>
      </c>
      <c r="E197" s="2397" t="s">
        <v>1268</v>
      </c>
      <c r="G197" s="2440" t="s">
        <v>1489</v>
      </c>
      <c r="I197" s="2470"/>
      <c r="M197" s="2467"/>
      <c r="N197" s="2467"/>
      <c r="P197" s="2469"/>
      <c r="S197" s="2466">
        <v>5197.5</v>
      </c>
      <c r="V197" s="2470"/>
      <c r="Z197" s="2467"/>
      <c r="AA197" s="2467"/>
      <c r="AC197" s="2469"/>
      <c r="AI197" s="2470"/>
      <c r="AJ197" s="2466">
        <v>0</v>
      </c>
      <c r="AM197" s="2467">
        <v>1000</v>
      </c>
      <c r="AN197" s="2467">
        <v>1000</v>
      </c>
      <c r="AP197" s="2582" t="s">
        <v>1490</v>
      </c>
      <c r="AR197" s="2466">
        <v>1000</v>
      </c>
      <c r="AS197" s="2466"/>
      <c r="AT197" s="2466"/>
      <c r="AU197" s="2466">
        <v>1000</v>
      </c>
      <c r="AX197" s="2466">
        <v>1000</v>
      </c>
      <c r="AY197" s="2542">
        <v>-1000</v>
      </c>
      <c r="AZ197" s="2466">
        <f t="shared" si="115"/>
        <v>0</v>
      </c>
      <c r="BC197" s="2467">
        <v>0</v>
      </c>
      <c r="BD197" s="2467">
        <v>0</v>
      </c>
      <c r="BF197" s="2543" t="s">
        <v>1273</v>
      </c>
      <c r="BH197" s="2467">
        <v>0</v>
      </c>
      <c r="BM197" s="2466">
        <v>0</v>
      </c>
      <c r="BN197" s="2470"/>
      <c r="BO197" s="2472">
        <f t="shared" si="116"/>
        <v>0</v>
      </c>
      <c r="BR197" s="2474">
        <v>0</v>
      </c>
      <c r="BS197" s="2474">
        <v>0</v>
      </c>
      <c r="BU197" s="2544"/>
      <c r="BW197" s="2474">
        <v>0</v>
      </c>
      <c r="BZ197" s="2474">
        <v>0</v>
      </c>
      <c r="CA197" s="2470"/>
      <c r="CB197" s="2472">
        <f t="shared" si="117"/>
        <v>0</v>
      </c>
      <c r="CE197" s="2474">
        <v>0</v>
      </c>
      <c r="CF197" s="2476"/>
      <c r="CG197" s="2474"/>
      <c r="CH197" s="2449" t="s">
        <v>1217</v>
      </c>
      <c r="CI197" s="2449"/>
      <c r="CJ197" s="2450"/>
      <c r="CK197" s="2450"/>
      <c r="CP197" s="2478">
        <f t="shared" si="73"/>
        <v>0</v>
      </c>
      <c r="CQ197" s="2478"/>
      <c r="CR197" s="2478"/>
      <c r="CS197" s="2478"/>
      <c r="CT197" s="2478"/>
    </row>
    <row r="198" spans="1:98" hidden="1" x14ac:dyDescent="0.2">
      <c r="A198" s="2395">
        <v>157</v>
      </c>
      <c r="B198" s="2440" t="s">
        <v>1214</v>
      </c>
      <c r="C198" s="2396">
        <v>15705</v>
      </c>
      <c r="D198" s="2396">
        <v>53042</v>
      </c>
      <c r="E198" s="2397" t="s">
        <v>1268</v>
      </c>
      <c r="F198" s="2440" t="s">
        <v>1214</v>
      </c>
      <c r="G198" s="2440" t="s">
        <v>1491</v>
      </c>
      <c r="H198" s="2466">
        <v>130</v>
      </c>
      <c r="I198" s="2470">
        <v>-130</v>
      </c>
      <c r="J198" s="2466">
        <f>H198+I198</f>
        <v>0</v>
      </c>
      <c r="K198" s="2468">
        <f>IF(H198=0," ",(J198-H198)/H198)</f>
        <v>-1</v>
      </c>
      <c r="M198" s="2467">
        <v>0</v>
      </c>
      <c r="N198" s="2467">
        <v>0</v>
      </c>
      <c r="P198" s="2469" t="s">
        <v>1488</v>
      </c>
      <c r="R198" s="2466">
        <v>0</v>
      </c>
      <c r="S198" s="2466">
        <v>0</v>
      </c>
      <c r="U198" s="2466">
        <v>0</v>
      </c>
      <c r="V198" s="2470">
        <v>0</v>
      </c>
      <c r="W198" s="2466">
        <f>U198+V198</f>
        <v>0</v>
      </c>
      <c r="X198" s="2468" t="str">
        <f>IF(U198=0," ",(W198-U198)/U198)</f>
        <v xml:space="preserve"> </v>
      </c>
      <c r="Z198" s="2467">
        <v>0</v>
      </c>
      <c r="AA198" s="2467"/>
      <c r="AC198" s="2469"/>
      <c r="AI198" s="2470"/>
      <c r="AJ198" s="2466">
        <f>AH198+AI198</f>
        <v>0</v>
      </c>
      <c r="AK198" s="2468" t="str">
        <f>IF(AH198=0," ",(AJ198-AH198)/AH198)</f>
        <v xml:space="preserve"> </v>
      </c>
      <c r="AM198" s="2467">
        <v>0</v>
      </c>
      <c r="AN198" s="2467">
        <v>0</v>
      </c>
      <c r="AP198" s="2469"/>
      <c r="AR198" s="2466">
        <v>0</v>
      </c>
      <c r="AS198" s="2466"/>
      <c r="AT198" s="2466"/>
      <c r="AY198" s="2470"/>
      <c r="AZ198" s="2466">
        <f t="shared" si="115"/>
        <v>0</v>
      </c>
      <c r="BA198" s="2468" t="str">
        <f>IF(AX198=0," ",(AZ198-AX198)/AX198)</f>
        <v xml:space="preserve"> </v>
      </c>
      <c r="BC198" s="2467">
        <v>0</v>
      </c>
      <c r="BD198" s="2467">
        <v>0</v>
      </c>
      <c r="BF198" s="2469"/>
      <c r="BH198" s="2467">
        <v>0</v>
      </c>
      <c r="BM198" s="2466">
        <v>0</v>
      </c>
      <c r="BN198" s="2470"/>
      <c r="BO198" s="2472">
        <f t="shared" si="116"/>
        <v>0</v>
      </c>
      <c r="BP198" s="2473" t="str">
        <f>IF(BM198=0," ",(BO198-BM198)/BM198)</f>
        <v xml:space="preserve"> </v>
      </c>
      <c r="BR198" s="2474">
        <v>0</v>
      </c>
      <c r="BS198" s="2474">
        <v>0</v>
      </c>
      <c r="BU198" s="2544"/>
      <c r="BW198" s="2474">
        <v>0</v>
      </c>
      <c r="BZ198" s="2474">
        <v>0</v>
      </c>
      <c r="CA198" s="2470"/>
      <c r="CB198" s="2472">
        <f t="shared" si="117"/>
        <v>0</v>
      </c>
      <c r="CC198" s="2473" t="str">
        <f>IF(BZ198=0," ",(CB198-BZ198)/BZ198)</f>
        <v xml:space="preserve"> </v>
      </c>
      <c r="CE198" s="2474">
        <v>0</v>
      </c>
      <c r="CF198" s="2476" t="str">
        <f>IF(CB198=0," ",(CE198-CB198)/CB198)</f>
        <v xml:space="preserve"> </v>
      </c>
      <c r="CG198" s="2474"/>
      <c r="CH198" s="2449" t="s">
        <v>1217</v>
      </c>
      <c r="CI198" s="2449"/>
      <c r="CJ198" s="2450"/>
      <c r="CK198" s="2450"/>
      <c r="CP198" s="2478">
        <f t="shared" ref="CP198:CP261" si="118">IFERROR(BI198-BH198,"")</f>
        <v>0</v>
      </c>
      <c r="CQ198" s="2478"/>
      <c r="CR198" s="2478"/>
      <c r="CS198" s="2478"/>
      <c r="CT198" s="2478"/>
    </row>
    <row r="199" spans="1:98" hidden="1" x14ac:dyDescent="0.2">
      <c r="A199" s="2395">
        <v>157</v>
      </c>
      <c r="C199" s="2396">
        <v>15705</v>
      </c>
      <c r="D199" s="2396">
        <v>53050</v>
      </c>
      <c r="E199" s="2397" t="s">
        <v>1268</v>
      </c>
      <c r="G199" s="2587" t="s">
        <v>1492</v>
      </c>
      <c r="H199" s="2466">
        <v>0</v>
      </c>
      <c r="I199" s="2470">
        <v>33000</v>
      </c>
      <c r="J199" s="2466">
        <f>H199+I199</f>
        <v>33000</v>
      </c>
      <c r="M199" s="2467">
        <v>34500</v>
      </c>
      <c r="N199" s="2467">
        <v>34500</v>
      </c>
      <c r="P199" s="2469" t="s">
        <v>1482</v>
      </c>
      <c r="R199" s="2466">
        <v>34500</v>
      </c>
      <c r="S199" s="2466">
        <v>36426</v>
      </c>
      <c r="U199" s="2466">
        <v>34500</v>
      </c>
      <c r="V199" s="2470">
        <v>0</v>
      </c>
      <c r="W199" s="2466">
        <f>U199+V199</f>
        <v>34500</v>
      </c>
      <c r="Z199" s="2467">
        <v>34500</v>
      </c>
      <c r="AA199" s="2467">
        <v>36500</v>
      </c>
      <c r="AC199" s="2469" t="s">
        <v>1483</v>
      </c>
      <c r="AE199" s="2466">
        <v>36500</v>
      </c>
      <c r="AF199" s="2471">
        <v>37000</v>
      </c>
      <c r="AH199" s="2466">
        <v>36500</v>
      </c>
      <c r="AI199" s="2470"/>
      <c r="AJ199" s="2466">
        <f>AH199+AI199</f>
        <v>36500</v>
      </c>
      <c r="AM199" s="2467">
        <f>36500+6000</f>
        <v>42500</v>
      </c>
      <c r="AN199" s="2467">
        <f>36500+6000</f>
        <v>42500</v>
      </c>
      <c r="AO199" s="2546"/>
      <c r="AP199" s="2582" t="s">
        <v>1493</v>
      </c>
      <c r="AR199" s="2466">
        <f>36500+6000</f>
        <v>42500</v>
      </c>
      <c r="AS199" s="2466">
        <v>39241</v>
      </c>
      <c r="AT199" s="2466"/>
      <c r="AU199" s="2466">
        <v>42500</v>
      </c>
      <c r="AV199" s="2466">
        <v>41469.699999999997</v>
      </c>
      <c r="AX199" s="2466">
        <v>42500</v>
      </c>
      <c r="AY199" s="2542">
        <v>-2500</v>
      </c>
      <c r="AZ199" s="2466">
        <f t="shared" si="115"/>
        <v>40000</v>
      </c>
      <c r="BC199" s="2467">
        <v>40000</v>
      </c>
      <c r="BD199" s="2467">
        <v>40000</v>
      </c>
      <c r="BE199" s="2546"/>
      <c r="BF199" s="2543" t="s">
        <v>1273</v>
      </c>
      <c r="BH199" s="2467">
        <v>40000</v>
      </c>
      <c r="BI199" s="2466">
        <v>38487.51</v>
      </c>
      <c r="BM199" s="2466">
        <v>40000</v>
      </c>
      <c r="BN199" s="2470"/>
      <c r="BO199" s="2472">
        <f t="shared" si="116"/>
        <v>40000</v>
      </c>
      <c r="BR199" s="2474">
        <v>40000</v>
      </c>
      <c r="BS199" s="2474">
        <v>40000</v>
      </c>
      <c r="BU199" s="2544"/>
      <c r="BW199" s="2474">
        <v>40000</v>
      </c>
      <c r="BX199" s="2466">
        <v>3442.09</v>
      </c>
      <c r="BZ199" s="2474">
        <v>40000</v>
      </c>
      <c r="CA199" s="2470"/>
      <c r="CB199" s="2472">
        <f t="shared" si="117"/>
        <v>40000</v>
      </c>
      <c r="CE199" s="2474">
        <v>40000</v>
      </c>
      <c r="CF199" s="2476"/>
      <c r="CG199" s="2474">
        <v>40000</v>
      </c>
      <c r="CH199" s="2449" t="s">
        <v>1217</v>
      </c>
      <c r="CI199" s="2449"/>
      <c r="CJ199" s="2450"/>
      <c r="CK199" s="2450"/>
      <c r="CO199" s="2477">
        <v>-3.7812249999999992E-2</v>
      </c>
      <c r="CP199" s="2478">
        <f t="shared" si="118"/>
        <v>-1512.489999999998</v>
      </c>
      <c r="CQ199" s="2478"/>
      <c r="CR199" s="2478"/>
      <c r="CS199" s="2478"/>
      <c r="CT199" s="2478"/>
    </row>
    <row r="200" spans="1:98" hidden="1" x14ac:dyDescent="0.2">
      <c r="A200" s="2395">
        <v>157</v>
      </c>
      <c r="C200" s="2396">
        <v>15705</v>
      </c>
      <c r="D200" s="2396">
        <v>53052</v>
      </c>
      <c r="E200" s="2397" t="s">
        <v>1268</v>
      </c>
      <c r="G200" s="2440" t="s">
        <v>1494</v>
      </c>
      <c r="I200" s="2470"/>
      <c r="AP200" s="2592"/>
      <c r="AS200" s="2466"/>
      <c r="AT200" s="2466"/>
      <c r="AY200" s="2470">
        <v>3250</v>
      </c>
      <c r="AZ200" s="2466">
        <f t="shared" si="115"/>
        <v>3250</v>
      </c>
      <c r="BC200" s="2467">
        <v>3250</v>
      </c>
      <c r="BD200" s="2467">
        <v>3250</v>
      </c>
      <c r="BF200" s="2469" t="s">
        <v>1367</v>
      </c>
      <c r="BH200" s="2467">
        <v>3250</v>
      </c>
      <c r="BI200" s="2466">
        <v>3341.84</v>
      </c>
      <c r="BM200" s="2466">
        <v>3250</v>
      </c>
      <c r="BN200" s="2470"/>
      <c r="BO200" s="2472">
        <f t="shared" si="116"/>
        <v>3250</v>
      </c>
      <c r="BR200" s="2474">
        <v>3250</v>
      </c>
      <c r="BS200" s="2474">
        <v>3250</v>
      </c>
      <c r="BU200" s="2544"/>
      <c r="BW200" s="2474">
        <v>3250</v>
      </c>
      <c r="BZ200" s="2474">
        <v>3250</v>
      </c>
      <c r="CA200" s="2470"/>
      <c r="CB200" s="2472">
        <f t="shared" si="117"/>
        <v>3250</v>
      </c>
      <c r="CE200" s="2474">
        <v>3250</v>
      </c>
      <c r="CF200" s="2476"/>
      <c r="CG200" s="2474">
        <f>3250</f>
        <v>3250</v>
      </c>
      <c r="CH200" s="2449" t="s">
        <v>1217</v>
      </c>
      <c r="CI200" s="2449"/>
      <c r="CJ200" s="2450"/>
      <c r="CK200" s="2450"/>
      <c r="CO200" s="2477">
        <v>2.8258461538461566E-2</v>
      </c>
      <c r="CP200" s="2478">
        <f t="shared" si="118"/>
        <v>91.840000000000146</v>
      </c>
      <c r="CQ200" s="2478"/>
      <c r="CR200" s="2478"/>
      <c r="CS200" s="2478"/>
      <c r="CT200" s="2478"/>
    </row>
    <row r="201" spans="1:98" hidden="1" x14ac:dyDescent="0.2">
      <c r="A201" s="2395">
        <v>157</v>
      </c>
      <c r="B201" s="2440" t="s">
        <v>1214</v>
      </c>
      <c r="C201" s="2396">
        <v>15705</v>
      </c>
      <c r="D201" s="2396">
        <v>57000</v>
      </c>
      <c r="E201" s="2397" t="s">
        <v>1268</v>
      </c>
      <c r="F201" s="2440" t="s">
        <v>1214</v>
      </c>
      <c r="G201" s="2440" t="s">
        <v>1495</v>
      </c>
      <c r="H201" s="2466">
        <v>963</v>
      </c>
      <c r="I201" s="2470"/>
      <c r="J201" s="2466">
        <f t="shared" ref="J201" si="119">H201+I201</f>
        <v>963</v>
      </c>
      <c r="K201" s="2468">
        <f t="shared" ref="K201:K202" si="120">IF(H201=0," ",(J201-H201)/H201)</f>
        <v>0</v>
      </c>
      <c r="M201" s="2467">
        <v>500</v>
      </c>
      <c r="N201" s="2467">
        <v>500</v>
      </c>
      <c r="P201" s="2469"/>
      <c r="R201" s="2466">
        <v>500</v>
      </c>
      <c r="S201" s="2466">
        <v>469.69</v>
      </c>
      <c r="U201" s="2466">
        <v>500</v>
      </c>
      <c r="V201" s="2470">
        <v>0</v>
      </c>
      <c r="W201" s="2466">
        <f t="shared" ref="W201" si="121">U201+V201</f>
        <v>500</v>
      </c>
      <c r="X201" s="2468">
        <f>IF(U201=0," ",(W201-U201)/U201)</f>
        <v>0</v>
      </c>
      <c r="Z201" s="2467">
        <v>500</v>
      </c>
      <c r="AA201" s="2467">
        <v>500</v>
      </c>
      <c r="AC201" s="2469" t="s">
        <v>1496</v>
      </c>
      <c r="AE201" s="2466">
        <v>500</v>
      </c>
      <c r="AF201" s="2471">
        <v>400</v>
      </c>
      <c r="AH201" s="2466">
        <v>500</v>
      </c>
      <c r="AI201" s="2470"/>
      <c r="AJ201" s="2466">
        <f>AH201+AI201</f>
        <v>500</v>
      </c>
      <c r="AK201" s="2468">
        <f>IF(AH201=0," ",(AJ201-AH201)/AH201)</f>
        <v>0</v>
      </c>
      <c r="AM201" s="2467">
        <v>500</v>
      </c>
      <c r="AN201" s="2467">
        <v>500</v>
      </c>
      <c r="AP201" s="2469"/>
      <c r="AR201" s="2466">
        <v>500</v>
      </c>
      <c r="AS201" s="2466">
        <v>400</v>
      </c>
      <c r="AT201" s="2466"/>
      <c r="AU201" s="2466">
        <v>500</v>
      </c>
      <c r="AV201" s="2466">
        <v>400</v>
      </c>
      <c r="AX201" s="2466">
        <v>500</v>
      </c>
      <c r="AY201" s="2470">
        <v>2600</v>
      </c>
      <c r="AZ201" s="2466">
        <f t="shared" si="115"/>
        <v>3100</v>
      </c>
      <c r="BA201" s="2468">
        <f>IF(AX201=0," ",(AZ201-AX201)/AX201)</f>
        <v>5.2</v>
      </c>
      <c r="BC201" s="2467">
        <v>3100</v>
      </c>
      <c r="BD201" s="2467">
        <v>3100</v>
      </c>
      <c r="BF201" s="2469" t="s">
        <v>1497</v>
      </c>
      <c r="BH201" s="2467">
        <v>3100</v>
      </c>
      <c r="BM201" s="2466">
        <v>3100</v>
      </c>
      <c r="BN201" s="2470"/>
      <c r="BO201" s="2472">
        <f t="shared" si="116"/>
        <v>3100</v>
      </c>
      <c r="BP201" s="2473">
        <f>IF(BM201=0," ",(BO201-BM201)/BM201)</f>
        <v>0</v>
      </c>
      <c r="BR201" s="2474">
        <v>3100</v>
      </c>
      <c r="BS201" s="2474">
        <v>3100</v>
      </c>
      <c r="BU201" s="2544"/>
      <c r="BW201" s="2474">
        <v>3100</v>
      </c>
      <c r="BZ201" s="2474">
        <v>3100</v>
      </c>
      <c r="CA201" s="2470"/>
      <c r="CB201" s="2472">
        <f t="shared" si="117"/>
        <v>3100</v>
      </c>
      <c r="CC201" s="2473">
        <f>IF(BZ201=0," ",(CB201-BZ201)/BZ201)</f>
        <v>0</v>
      </c>
      <c r="CE201" s="2474">
        <v>3100</v>
      </c>
      <c r="CF201" s="2476">
        <f>IF(CB201=0," ",(CE201-CB201)/CB201)</f>
        <v>0</v>
      </c>
      <c r="CG201" s="2474">
        <v>3100</v>
      </c>
      <c r="CH201" s="2449" t="s">
        <v>1217</v>
      </c>
      <c r="CI201" s="2449"/>
      <c r="CJ201" s="2450"/>
      <c r="CK201" s="2450"/>
      <c r="CO201" s="2477" t="s">
        <v>1218</v>
      </c>
      <c r="CP201" s="2478">
        <f t="shared" si="118"/>
        <v>-3100</v>
      </c>
      <c r="CQ201" s="2478"/>
      <c r="CR201" s="2478"/>
      <c r="CS201" s="2478"/>
      <c r="CT201" s="2478"/>
    </row>
    <row r="202" spans="1:98" s="2485" customFormat="1" hidden="1" x14ac:dyDescent="0.2">
      <c r="A202" s="2532"/>
      <c r="B202" s="2533"/>
      <c r="C202" s="2534"/>
      <c r="D202" s="2534"/>
      <c r="E202" s="2535"/>
      <c r="F202" s="2533"/>
      <c r="G202" s="2588" t="s">
        <v>1498</v>
      </c>
      <c r="H202" s="2536">
        <f>SUM(H197:H201)</f>
        <v>1093</v>
      </c>
      <c r="I202" s="2536">
        <f>SUM(I197:I201)</f>
        <v>32870</v>
      </c>
      <c r="J202" s="2536">
        <f>SUM(J197:J201)</f>
        <v>33963</v>
      </c>
      <c r="K202" s="2484">
        <f t="shared" si="120"/>
        <v>30.073193046660567</v>
      </c>
      <c r="M202" s="2536">
        <f>SUM(M197:M201)</f>
        <v>35000</v>
      </c>
      <c r="N202" s="2536">
        <f>SUM(N197:N201)</f>
        <v>35000</v>
      </c>
      <c r="P202" s="2537">
        <f>SUM(P197:P201)</f>
        <v>0</v>
      </c>
      <c r="R202" s="2536">
        <f>SUM(R197:R201)</f>
        <v>35000</v>
      </c>
      <c r="S202" s="2536">
        <f>SUM(S196:S201)</f>
        <v>42093.19</v>
      </c>
      <c r="U202" s="2536">
        <f>SUM(U197:U201)</f>
        <v>35000</v>
      </c>
      <c r="V202" s="2536">
        <f>SUM(V197:V201)</f>
        <v>0</v>
      </c>
      <c r="W202" s="2536">
        <f>SUM(W197:W201)</f>
        <v>35000</v>
      </c>
      <c r="X202" s="2484">
        <f>IF(U202=0," ",(W202-U202)/U202)</f>
        <v>0</v>
      </c>
      <c r="Z202" s="2536">
        <f>SUM(Z197:Z201)</f>
        <v>35000</v>
      </c>
      <c r="AA202" s="2536">
        <f>SUM(AA197:AA201)</f>
        <v>37000</v>
      </c>
      <c r="AC202" s="2537"/>
      <c r="AE202" s="2536">
        <f>SUM(AE197:AE201)</f>
        <v>37000</v>
      </c>
      <c r="AF202" s="2536">
        <f>SUM(AF196:AF201)</f>
        <v>37400</v>
      </c>
      <c r="AH202" s="2536">
        <f>SUM(AH197:AH201)</f>
        <v>37000</v>
      </c>
      <c r="AI202" s="2536">
        <f>SUM(AI197:AI201)</f>
        <v>0</v>
      </c>
      <c r="AJ202" s="2536">
        <f>SUM(AJ197:AJ201)</f>
        <v>37000</v>
      </c>
      <c r="AK202" s="2484">
        <f>IF(AH202=0," ",(AJ202-AH202)/AH202)</f>
        <v>0</v>
      </c>
      <c r="AM202" s="2536">
        <f>SUM(AM197:AM201)</f>
        <v>44000</v>
      </c>
      <c r="AN202" s="2536">
        <f>SUM(AN197:AN201)</f>
        <v>44000</v>
      </c>
      <c r="AP202" s="2537"/>
      <c r="AR202" s="2536">
        <f>SUM(AR197:AR201)</f>
        <v>44000</v>
      </c>
      <c r="AS202" s="2536">
        <f>SUM(AS196:AS201)</f>
        <v>39641</v>
      </c>
      <c r="AT202" s="2536"/>
      <c r="AU202" s="2536">
        <f>SUM(AU196:AU201)</f>
        <v>44000</v>
      </c>
      <c r="AV202" s="2536">
        <f>SUM(AV196:AV201)</f>
        <v>45064.7</v>
      </c>
      <c r="AX202" s="2536">
        <f>SUM(AX196:AX201)</f>
        <v>44000</v>
      </c>
      <c r="AY202" s="2536">
        <f>SUM(AY196:AY201)</f>
        <v>5850</v>
      </c>
      <c r="AZ202" s="2536">
        <f>SUM(AZ196:AZ201)</f>
        <v>49850</v>
      </c>
      <c r="BA202" s="2484">
        <f>IF(AX202=0," ",(AZ202-AX202)/AX202)</f>
        <v>0.13295454545454546</v>
      </c>
      <c r="BC202" s="2536">
        <f>SUM(BC196:BC201)</f>
        <v>49850</v>
      </c>
      <c r="BD202" s="2536">
        <f>SUM(BD196:BD201)</f>
        <v>49850</v>
      </c>
      <c r="BF202" s="2537"/>
      <c r="BH202" s="2536">
        <f>SUM(BH196:BH201)</f>
        <v>49850</v>
      </c>
      <c r="BI202" s="2536">
        <f>SUM(BI196:BI201)</f>
        <v>45024.350000000006</v>
      </c>
      <c r="BJ202" s="2536"/>
      <c r="BK202" s="2536"/>
      <c r="BM202" s="2536">
        <f>SUM(BM196:BM201)</f>
        <v>49850</v>
      </c>
      <c r="BN202" s="2539">
        <f>SUM(BN196:BN201)</f>
        <v>0</v>
      </c>
      <c r="BO202" s="2540">
        <f>SUM(BO196:BO201)</f>
        <v>49850</v>
      </c>
      <c r="BP202" s="2490">
        <f>IF(BM202=0," ",(BO202-BM202)/BM202)</f>
        <v>0</v>
      </c>
      <c r="BQ202" s="2491"/>
      <c r="BR202" s="2540">
        <f>SUM(BR196:BR201)</f>
        <v>49850</v>
      </c>
      <c r="BS202" s="2540">
        <f>SUM(BS196:BS201)</f>
        <v>49850</v>
      </c>
      <c r="BT202" s="2491"/>
      <c r="BU202" s="2591" t="s">
        <v>1486</v>
      </c>
      <c r="BV202" s="2491"/>
      <c r="BW202" s="2540">
        <f>SUM(BW196:BW201)</f>
        <v>49850</v>
      </c>
      <c r="BX202" s="2536">
        <f>SUM(BX196:BX201)</f>
        <v>3442.09</v>
      </c>
      <c r="BZ202" s="2540">
        <f>SUM(BZ196:BZ201)</f>
        <v>49850</v>
      </c>
      <c r="CA202" s="2540">
        <f>SUM(CA196:CA201)</f>
        <v>0</v>
      </c>
      <c r="CB202" s="2540">
        <f>SUM(CB196:CB201)</f>
        <v>49850</v>
      </c>
      <c r="CC202" s="2490">
        <f>IF(BZ202=0," ",(CB202-BZ202)/BZ202)</f>
        <v>0</v>
      </c>
      <c r="CD202" s="2491"/>
      <c r="CE202" s="2540">
        <f>SUM(CE196:CE201)</f>
        <v>49850</v>
      </c>
      <c r="CF202" s="2490">
        <f>IF(CB202=0," ",(CE202-CB202)/CB202)</f>
        <v>0</v>
      </c>
      <c r="CG202" s="2540">
        <f>SUM(CG196:CG201)</f>
        <v>49850</v>
      </c>
      <c r="CH202" s="2449" t="s">
        <v>1220</v>
      </c>
      <c r="CI202" s="2449"/>
      <c r="CJ202" s="2450"/>
      <c r="CK202" s="2450"/>
      <c r="CL202" s="2451"/>
      <c r="CM202" s="2451"/>
      <c r="CN202" s="2451"/>
      <c r="CO202" s="2477">
        <v>-9.6803410230691944E-2</v>
      </c>
      <c r="CP202" s="2478">
        <f t="shared" si="118"/>
        <v>-4825.6499999999942</v>
      </c>
      <c r="CQ202" s="2478"/>
      <c r="CR202" s="2478"/>
      <c r="CS202" s="2478"/>
      <c r="CT202" s="2478"/>
    </row>
    <row r="203" spans="1:98" ht="9.9499999999999993" hidden="1" customHeight="1" x14ac:dyDescent="0.2">
      <c r="AS203" s="2466"/>
      <c r="AT203" s="2466"/>
      <c r="BZ203" s="2472"/>
      <c r="CH203" s="2449" t="s">
        <v>1091</v>
      </c>
      <c r="CI203" s="2449"/>
      <c r="CJ203" s="2450"/>
      <c r="CK203" s="2450"/>
      <c r="CP203" s="2478">
        <f t="shared" si="118"/>
        <v>0</v>
      </c>
      <c r="CQ203" s="2478"/>
      <c r="CR203" s="2478"/>
      <c r="CS203" s="2478"/>
      <c r="CT203" s="2478"/>
    </row>
    <row r="204" spans="1:98" x14ac:dyDescent="0.2">
      <c r="A204" s="2495"/>
      <c r="B204" s="2496"/>
      <c r="C204" s="2497"/>
      <c r="D204" s="2497"/>
      <c r="E204" s="2498"/>
      <c r="F204" s="2496"/>
      <c r="G204" s="2499" t="s">
        <v>1499</v>
      </c>
      <c r="H204" s="2500">
        <f>H194+H202</f>
        <v>2951</v>
      </c>
      <c r="I204" s="2500">
        <f>I194+I202</f>
        <v>31012</v>
      </c>
      <c r="J204" s="2500">
        <f>J194+J202</f>
        <v>33963</v>
      </c>
      <c r="K204" s="2501">
        <f>IF(H204=0," ",(J204-H204)/H204)</f>
        <v>10.508980006777364</v>
      </c>
      <c r="M204" s="2500">
        <f>M194+M202</f>
        <v>35000</v>
      </c>
      <c r="N204" s="2500">
        <f>N194+N202</f>
        <v>35000</v>
      </c>
      <c r="P204" s="2502">
        <f>P194+P202</f>
        <v>0</v>
      </c>
      <c r="R204" s="2500">
        <f>R194+R202</f>
        <v>35000</v>
      </c>
      <c r="S204" s="2500">
        <f>S194+S202</f>
        <v>42093.19</v>
      </c>
      <c r="U204" s="2500">
        <f>U194+U202</f>
        <v>35000</v>
      </c>
      <c r="V204" s="2500">
        <f>V194+V202</f>
        <v>0</v>
      </c>
      <c r="W204" s="2500">
        <f>W194+W202</f>
        <v>35000</v>
      </c>
      <c r="X204" s="2501">
        <f>IF(U204=0," ",(W204-U204)/U204)</f>
        <v>0</v>
      </c>
      <c r="Z204" s="2500">
        <f>Z194+Z202</f>
        <v>35000</v>
      </c>
      <c r="AA204" s="2500">
        <f>AA194+AA202</f>
        <v>37000</v>
      </c>
      <c r="AC204" s="2502"/>
      <c r="AE204" s="2500">
        <f>AE194+AE202</f>
        <v>37000</v>
      </c>
      <c r="AF204" s="2503">
        <f>AF194+AF202</f>
        <v>37400</v>
      </c>
      <c r="AH204" s="2500">
        <v>37000</v>
      </c>
      <c r="AI204" s="2500">
        <f>AI194+AI202</f>
        <v>0</v>
      </c>
      <c r="AJ204" s="2500">
        <f>AJ194+AJ202</f>
        <v>37000</v>
      </c>
      <c r="AK204" s="2501">
        <f>IF(AH204=0," ",(AJ204-AH204)/AH204)</f>
        <v>0</v>
      </c>
      <c r="AM204" s="2500">
        <f>AM194+AM202</f>
        <v>44000</v>
      </c>
      <c r="AN204" s="2500">
        <f>AN194+AN202</f>
        <v>44000</v>
      </c>
      <c r="AP204" s="2502"/>
      <c r="AR204" s="2500">
        <f>AR194+AR202</f>
        <v>49000</v>
      </c>
      <c r="AS204" s="2500">
        <f>AS194+AS202</f>
        <v>44640.92</v>
      </c>
      <c r="AT204" s="2500"/>
      <c r="AU204" s="2500">
        <f>AU194+AU202</f>
        <v>49000</v>
      </c>
      <c r="AV204" s="2500">
        <f>AV194+AV202</f>
        <v>50064.7</v>
      </c>
      <c r="AX204" s="2500">
        <f>AX194+AX202</f>
        <v>49000</v>
      </c>
      <c r="AY204" s="2500">
        <f>AY194+AY202</f>
        <v>5850</v>
      </c>
      <c r="AZ204" s="2500">
        <f>AZ194+AZ202</f>
        <v>54850</v>
      </c>
      <c r="BA204" s="2501">
        <f>IF(AX204=0," ",(AZ204-AX204)/AX204)</f>
        <v>0.11938775510204082</v>
      </c>
      <c r="BC204" s="2500">
        <f>BC194+BC202</f>
        <v>54850</v>
      </c>
      <c r="BD204" s="2500">
        <f>BD194+BD202</f>
        <v>54850</v>
      </c>
      <c r="BF204" s="2502"/>
      <c r="BH204" s="2500">
        <f>BH194+BH202</f>
        <v>54850</v>
      </c>
      <c r="BI204" s="2500">
        <f>BI194+BI202</f>
        <v>49975.090000000004</v>
      </c>
      <c r="BJ204" s="2500"/>
      <c r="BK204" s="2500"/>
      <c r="BM204" s="2500">
        <f>BM194+BM202</f>
        <v>54850</v>
      </c>
      <c r="BN204" s="2504">
        <f>BN194+BN202</f>
        <v>48</v>
      </c>
      <c r="BO204" s="2505">
        <f>BO194+BO202</f>
        <v>54898</v>
      </c>
      <c r="BP204" s="2506">
        <f>IF(BM204=0," ",(BO204-BM204)/BM204)</f>
        <v>8.7511394712853235E-4</v>
      </c>
      <c r="BR204" s="2505">
        <f>BR194+BR202</f>
        <v>54898</v>
      </c>
      <c r="BS204" s="2505">
        <f>BS194+BS202</f>
        <v>54898</v>
      </c>
      <c r="BU204" s="2594" t="s">
        <v>1486</v>
      </c>
      <c r="BW204" s="2505">
        <f>BW194+BW202</f>
        <v>54898</v>
      </c>
      <c r="BX204" s="2500">
        <f>BX194+BX202</f>
        <v>3442.09</v>
      </c>
      <c r="BZ204" s="2505">
        <f>BZ194+BZ202</f>
        <v>54898</v>
      </c>
      <c r="CA204" s="2505">
        <f>CA194+CA202</f>
        <v>-5048</v>
      </c>
      <c r="CB204" s="2505">
        <f>CB194+CB202</f>
        <v>49850</v>
      </c>
      <c r="CC204" s="2506">
        <f>IF(BZ204=0," ",(CB204-BZ204)/BZ204)</f>
        <v>-9.1952347990819333E-2</v>
      </c>
      <c r="CE204" s="2505">
        <f>CE194+CE202</f>
        <v>49850</v>
      </c>
      <c r="CF204" s="2506">
        <f>IF(CB204=0," ",(CE204-CB204)/CB204)</f>
        <v>0</v>
      </c>
      <c r="CG204" s="2505">
        <f>CG194+CG202</f>
        <v>54978</v>
      </c>
      <c r="CH204" s="2449" t="s">
        <v>1222</v>
      </c>
      <c r="CI204" s="2508">
        <f>IF(CG204-CE204=0,"",CG204-CE204)</f>
        <v>5128</v>
      </c>
      <c r="CJ204" s="2509"/>
      <c r="CK204" s="2509"/>
      <c r="CL204" s="2451" t="str">
        <f>IF(CO204&lt;-1*CM$2,"examine","ignore")</f>
        <v>examine</v>
      </c>
      <c r="CM204" s="2545">
        <f>IF(CL204="examine",CP204+CM$2*CP204/CO204,"")</f>
        <v>-2680.9099999999953</v>
      </c>
      <c r="CN204" s="2545">
        <f>IF(CI204="",CM204,CM204-CI204)</f>
        <v>-7808.9099999999953</v>
      </c>
      <c r="CO204" s="2477">
        <v>-8.88771194165906E-2</v>
      </c>
      <c r="CP204" s="2510">
        <f t="shared" si="118"/>
        <v>-4874.9099999999962</v>
      </c>
      <c r="CQ204" s="2510">
        <f>AV204-AU204</f>
        <v>1064.6999999999971</v>
      </c>
      <c r="CR204" s="2510">
        <f>AS204-AR204</f>
        <v>-4359.0800000000017</v>
      </c>
      <c r="CS204" s="2510">
        <f>AF204-AE204</f>
        <v>400</v>
      </c>
    </row>
    <row r="205" spans="1:98" ht="20.100000000000001" hidden="1" customHeight="1" x14ac:dyDescent="0.2">
      <c r="AS205" s="2466"/>
      <c r="AT205" s="2466"/>
      <c r="BZ205" s="2472"/>
      <c r="CH205" s="2449" t="s">
        <v>1091</v>
      </c>
      <c r="CI205" s="2449"/>
      <c r="CJ205" s="2450"/>
      <c r="CK205" s="2450"/>
      <c r="CP205" s="2478">
        <f t="shared" si="118"/>
        <v>0</v>
      </c>
      <c r="CQ205" s="2478"/>
      <c r="CR205" s="2478"/>
      <c r="CS205" s="2478"/>
      <c r="CT205" s="2478"/>
    </row>
    <row r="206" spans="1:98" ht="15.75" hidden="1" x14ac:dyDescent="0.2">
      <c r="A206" s="2453" t="s">
        <v>1500</v>
      </c>
      <c r="B206" s="2454"/>
      <c r="C206" s="2455"/>
      <c r="D206" s="2455"/>
      <c r="E206" s="2456"/>
      <c r="F206" s="2454"/>
      <c r="G206" s="2454"/>
      <c r="H206" s="2457"/>
      <c r="I206" s="2457"/>
      <c r="J206" s="2457"/>
      <c r="K206" s="2458"/>
      <c r="M206" s="2457"/>
      <c r="N206" s="2457"/>
      <c r="P206" s="2459"/>
      <c r="R206" s="2457"/>
      <c r="S206" s="2457"/>
      <c r="U206" s="2457"/>
      <c r="V206" s="2457"/>
      <c r="W206" s="2457"/>
      <c r="X206" s="2458"/>
      <c r="Z206" s="2457"/>
      <c r="AA206" s="2457"/>
      <c r="AC206" s="2459"/>
      <c r="AE206" s="2457"/>
      <c r="AF206" s="2460"/>
      <c r="AH206" s="2457"/>
      <c r="AI206" s="2457"/>
      <c r="AJ206" s="2457"/>
      <c r="AK206" s="2458"/>
      <c r="AM206" s="2457"/>
      <c r="AN206" s="2457"/>
      <c r="AP206" s="2459"/>
      <c r="AR206" s="2457"/>
      <c r="AS206" s="2457"/>
      <c r="AT206" s="2457"/>
      <c r="AU206" s="2457"/>
      <c r="AV206" s="2457"/>
      <c r="AX206" s="2457"/>
      <c r="AY206" s="2457"/>
      <c r="AZ206" s="2457"/>
      <c r="BA206" s="2458"/>
      <c r="BC206" s="2457"/>
      <c r="BD206" s="2457"/>
      <c r="BF206" s="2461"/>
      <c r="BH206" s="2457"/>
      <c r="BI206" s="2457"/>
      <c r="BJ206" s="2457"/>
      <c r="BK206" s="2457"/>
      <c r="BM206" s="2457"/>
      <c r="BN206" s="2462"/>
      <c r="BO206" s="2463"/>
      <c r="BP206" s="2464"/>
      <c r="BR206" s="2463"/>
      <c r="BS206" s="2463"/>
      <c r="BU206" s="2465"/>
      <c r="BW206" s="2463"/>
      <c r="BX206" s="2457"/>
      <c r="BZ206" s="2463"/>
      <c r="CA206" s="2462"/>
      <c r="CB206" s="2463"/>
      <c r="CC206" s="2464"/>
      <c r="CE206" s="2463"/>
      <c r="CF206" s="2464"/>
      <c r="CG206" s="2463"/>
      <c r="CH206" s="2449" t="s">
        <v>1212</v>
      </c>
      <c r="CI206" s="2449"/>
      <c r="CJ206" s="2450"/>
      <c r="CK206" s="2450"/>
      <c r="CP206" s="2478">
        <f t="shared" si="118"/>
        <v>0</v>
      </c>
      <c r="CQ206" s="2478"/>
      <c r="CR206" s="2478"/>
      <c r="CS206" s="2478"/>
      <c r="CT206" s="2478"/>
    </row>
    <row r="207" spans="1:98" hidden="1" x14ac:dyDescent="0.2">
      <c r="A207" s="2395">
        <v>161</v>
      </c>
      <c r="B207" s="2440" t="s">
        <v>1214</v>
      </c>
      <c r="C207" s="2396">
        <v>16101</v>
      </c>
      <c r="D207" s="2396">
        <v>51110</v>
      </c>
      <c r="E207" s="2397" t="s">
        <v>59</v>
      </c>
      <c r="F207" s="2440" t="s">
        <v>1214</v>
      </c>
      <c r="G207" s="2440" t="s">
        <v>1501</v>
      </c>
      <c r="H207" s="2466">
        <v>65835</v>
      </c>
      <c r="I207" s="2470">
        <v>2909</v>
      </c>
      <c r="J207" s="2466">
        <v>68744</v>
      </c>
      <c r="K207" s="2468">
        <f>IF(H207=0," ",(J207-H207)/H207)</f>
        <v>4.4186223133591551E-2</v>
      </c>
      <c r="M207" s="2467">
        <v>61672</v>
      </c>
      <c r="N207" s="2467">
        <v>61672</v>
      </c>
      <c r="P207" s="2469" t="s">
        <v>1502</v>
      </c>
      <c r="R207" s="2466">
        <v>61672</v>
      </c>
      <c r="S207" s="2466">
        <v>61925.42</v>
      </c>
      <c r="U207" s="2466">
        <v>61672</v>
      </c>
      <c r="V207" s="2470">
        <v>2975</v>
      </c>
      <c r="W207" s="2466">
        <f>U207+V207</f>
        <v>64647</v>
      </c>
      <c r="X207" s="2468">
        <f>IF(U207=0," ",(W207-U207)/U207)</f>
        <v>4.8239071215462448E-2</v>
      </c>
      <c r="Z207" s="2467">
        <v>64647</v>
      </c>
      <c r="AA207" s="2467">
        <v>64647</v>
      </c>
      <c r="AC207" s="2469" t="s">
        <v>1503</v>
      </c>
      <c r="AE207" s="2466">
        <v>64647</v>
      </c>
      <c r="AF207" s="2471">
        <v>69804.800000000003</v>
      </c>
      <c r="AH207" s="2466">
        <v>64647</v>
      </c>
      <c r="AI207" s="2470">
        <v>9070</v>
      </c>
      <c r="AJ207" s="2466">
        <f>AH207+AI207</f>
        <v>73717</v>
      </c>
      <c r="AK207" s="2468">
        <f>IF(AH207=0," ",(AJ207-AH207)/AH207)</f>
        <v>0.14030040063730723</v>
      </c>
      <c r="AM207" s="2467">
        <v>73717</v>
      </c>
      <c r="AN207" s="2467">
        <v>73717</v>
      </c>
      <c r="AP207" s="2469" t="s">
        <v>1504</v>
      </c>
      <c r="AR207" s="2466">
        <v>73717</v>
      </c>
      <c r="AS207" s="2466">
        <v>73716.320000000007</v>
      </c>
      <c r="AT207" s="2466"/>
      <c r="AU207" s="2466">
        <v>75461</v>
      </c>
      <c r="AV207" s="2466">
        <v>75460.320000000007</v>
      </c>
      <c r="AX207" s="2466">
        <v>75461</v>
      </c>
      <c r="AY207" s="2470">
        <v>1503</v>
      </c>
      <c r="AZ207" s="2466">
        <f>AX207+AY207</f>
        <v>76964</v>
      </c>
      <c r="BA207" s="2468">
        <f>IF(AX207=0," ",(AZ207-AX207)/AX207)</f>
        <v>1.9917573316017546E-2</v>
      </c>
      <c r="BC207" s="2467">
        <v>76964</v>
      </c>
      <c r="BD207" s="2467">
        <v>76964</v>
      </c>
      <c r="BF207" s="2511" t="s">
        <v>1505</v>
      </c>
      <c r="BH207" s="2467">
        <v>76964</v>
      </c>
      <c r="BI207" s="2466">
        <v>76964</v>
      </c>
      <c r="BM207" s="2466">
        <v>76964</v>
      </c>
      <c r="BN207" s="2470">
        <v>1545</v>
      </c>
      <c r="BO207" s="2472">
        <f>BM207+BN207</f>
        <v>78509</v>
      </c>
      <c r="BP207" s="2473">
        <f>IF(BM207=0," ",(BO207-BM207)/BM207)</f>
        <v>2.0074320461514476E-2</v>
      </c>
      <c r="BR207" s="2474">
        <v>78509</v>
      </c>
      <c r="BS207" s="2474">
        <v>78509</v>
      </c>
      <c r="BU207" s="2512" t="s">
        <v>1506</v>
      </c>
      <c r="BW207" s="2474">
        <v>78509</v>
      </c>
      <c r="BX207" s="2466">
        <v>37900.800000000003</v>
      </c>
      <c r="BZ207" s="2474">
        <v>78509</v>
      </c>
      <c r="CA207" s="2470">
        <v>-301</v>
      </c>
      <c r="CB207" s="2472">
        <f>BZ207+CA207</f>
        <v>78208</v>
      </c>
      <c r="CC207" s="2473">
        <f>IF(BZ207=0," ",(CB207-BZ207)/BZ207)</f>
        <v>-3.8339553426995632E-3</v>
      </c>
      <c r="CE207" s="2474">
        <v>81952</v>
      </c>
      <c r="CF207" s="2476">
        <f>IF(CB207=0," ",(CE207-CB207)/CB207)</f>
        <v>4.7872340425531915E-2</v>
      </c>
      <c r="CG207" s="2474">
        <v>81952</v>
      </c>
      <c r="CH207" s="2449" t="s">
        <v>1217</v>
      </c>
      <c r="CI207" s="2449"/>
      <c r="CJ207" s="2450"/>
      <c r="CK207" s="2450"/>
      <c r="CO207" s="2477">
        <v>0</v>
      </c>
      <c r="CP207" s="2478">
        <f t="shared" si="118"/>
        <v>0</v>
      </c>
      <c r="CQ207" s="2478"/>
      <c r="CR207" s="2478"/>
      <c r="CS207" s="2478"/>
      <c r="CT207" s="2478"/>
    </row>
    <row r="208" spans="1:98" hidden="1" x14ac:dyDescent="0.2">
      <c r="A208" s="2513">
        <v>161</v>
      </c>
      <c r="B208" s="2514" t="s">
        <v>1214</v>
      </c>
      <c r="C208" s="2515">
        <v>16101</v>
      </c>
      <c r="D208" s="2515">
        <v>51490</v>
      </c>
      <c r="E208" s="2516" t="s">
        <v>59</v>
      </c>
      <c r="F208" s="2514" t="s">
        <v>1214</v>
      </c>
      <c r="G208" s="2514" t="s">
        <v>1507</v>
      </c>
      <c r="I208" s="2523"/>
      <c r="M208" s="2520"/>
      <c r="N208" s="2520"/>
      <c r="P208" s="2522"/>
      <c r="R208" s="2519"/>
      <c r="S208" s="2519"/>
      <c r="U208" s="2519"/>
      <c r="V208" s="2523"/>
      <c r="W208" s="2466">
        <f>U208+V208</f>
        <v>0</v>
      </c>
      <c r="Z208" s="2520">
        <v>0</v>
      </c>
      <c r="AA208" s="2520">
        <v>0</v>
      </c>
      <c r="AC208" s="2522" t="s">
        <v>1508</v>
      </c>
      <c r="AE208" s="2519">
        <v>0</v>
      </c>
      <c r="AF208" s="2524">
        <v>0</v>
      </c>
      <c r="AH208" s="2519">
        <v>0</v>
      </c>
      <c r="AI208" s="2523"/>
      <c r="AJ208" s="2466">
        <f>AH208+AI208</f>
        <v>0</v>
      </c>
      <c r="AM208" s="2467">
        <v>0</v>
      </c>
      <c r="AN208" s="2467">
        <v>0</v>
      </c>
      <c r="AP208" s="2595"/>
      <c r="AR208" s="2466">
        <v>0</v>
      </c>
      <c r="AS208" s="2466"/>
      <c r="AT208" s="2466"/>
      <c r="AY208" s="2523"/>
      <c r="AZ208" s="2466">
        <f>AX208+AY208</f>
        <v>0</v>
      </c>
      <c r="BC208" s="2467">
        <v>0</v>
      </c>
      <c r="BD208" s="2467">
        <v>0</v>
      </c>
      <c r="BF208" s="2522"/>
      <c r="BH208" s="2467">
        <v>0</v>
      </c>
      <c r="BI208" s="2519"/>
      <c r="BM208" s="2466">
        <v>0</v>
      </c>
      <c r="BN208" s="2523"/>
      <c r="BO208" s="2472">
        <f>BM208+BN208</f>
        <v>0</v>
      </c>
      <c r="BR208" s="2474">
        <v>0</v>
      </c>
      <c r="BS208" s="2474">
        <v>0</v>
      </c>
      <c r="BU208" s="2528"/>
      <c r="BW208" s="2474">
        <v>0</v>
      </c>
      <c r="BX208" s="2519"/>
      <c r="BZ208" s="2474">
        <v>0</v>
      </c>
      <c r="CA208" s="2523"/>
      <c r="CB208" s="2472">
        <f>BZ208+CA208</f>
        <v>0</v>
      </c>
      <c r="CE208" s="2517">
        <v>400</v>
      </c>
      <c r="CF208" s="2476"/>
      <c r="CG208" s="2517">
        <v>400</v>
      </c>
      <c r="CH208" s="2449" t="s">
        <v>1217</v>
      </c>
      <c r="CI208" s="2449"/>
      <c r="CJ208" s="2450" t="s">
        <v>1239</v>
      </c>
      <c r="CK208" s="2518">
        <f t="shared" ref="CK208" si="122">-CG208</f>
        <v>-400</v>
      </c>
      <c r="CP208" s="2478">
        <f t="shared" si="118"/>
        <v>0</v>
      </c>
      <c r="CQ208" s="2478"/>
      <c r="CR208" s="2478"/>
      <c r="CS208" s="2478"/>
      <c r="CT208" s="2478" t="s">
        <v>1319</v>
      </c>
    </row>
    <row r="209" spans="1:98" hidden="1" x14ac:dyDescent="0.2">
      <c r="H209" s="2560">
        <f t="shared" ref="H209" si="123">SUM(H207:H208)</f>
        <v>65835</v>
      </c>
      <c r="I209" s="2560">
        <f>SUM(I207:I208)</f>
        <v>2909</v>
      </c>
      <c r="J209" s="2560">
        <f>SUM(J207:J208)</f>
        <v>68744</v>
      </c>
      <c r="K209" s="2561">
        <f>SUM(K207:K208)</f>
        <v>4.4186223133591551E-2</v>
      </c>
      <c r="M209" s="2560">
        <f>SUM(M207:M208)</f>
        <v>61672</v>
      </c>
      <c r="N209" s="2560">
        <f>SUM(N207:N208)</f>
        <v>61672</v>
      </c>
      <c r="P209" s="2562">
        <f>SUM(P207:P208)</f>
        <v>0</v>
      </c>
      <c r="R209" s="2560">
        <f>SUM(R207:R208)</f>
        <v>61672</v>
      </c>
      <c r="S209" s="2560">
        <f>SUM(S207:S208)</f>
        <v>61925.42</v>
      </c>
      <c r="U209" s="2560">
        <f>SUM(U207:U208)</f>
        <v>61672</v>
      </c>
      <c r="V209" s="2560">
        <f>SUM(V207:V208)</f>
        <v>2975</v>
      </c>
      <c r="W209" s="2560">
        <f>SUM(W207:W208)</f>
        <v>64647</v>
      </c>
      <c r="X209" s="2561">
        <f>SUM(X207:X208)</f>
        <v>4.8239071215462448E-2</v>
      </c>
      <c r="Z209" s="2560">
        <f>SUM(Z207:Z208)</f>
        <v>64647</v>
      </c>
      <c r="AA209" s="2560">
        <f>SUM(AA207:AA208)</f>
        <v>64647</v>
      </c>
      <c r="AC209" s="2562"/>
      <c r="AE209" s="2560">
        <f>SUM(AE207:AE208)</f>
        <v>64647</v>
      </c>
      <c r="AF209" s="2563">
        <f>SUM(AF207:AF208)</f>
        <v>69804.800000000003</v>
      </c>
      <c r="AH209" s="2560">
        <v>64647</v>
      </c>
      <c r="AI209" s="2560">
        <f>SUM(AI207:AI208)</f>
        <v>9070</v>
      </c>
      <c r="AJ209" s="2560">
        <f>SUM(AJ207:AJ208)</f>
        <v>73717</v>
      </c>
      <c r="AK209" s="2561">
        <f>SUM(AK207:AK208)</f>
        <v>0.14030040063730723</v>
      </c>
      <c r="AM209" s="2560">
        <f>SUM(AM207:AM208)</f>
        <v>73717</v>
      </c>
      <c r="AN209" s="2560">
        <f>SUM(AN207:AN208)</f>
        <v>73717</v>
      </c>
      <c r="AP209" s="2562"/>
      <c r="AR209" s="2560">
        <f>SUM(AR207:AR208)</f>
        <v>73717</v>
      </c>
      <c r="AS209" s="2560">
        <f>SUM(AS207:AS208)</f>
        <v>73716.320000000007</v>
      </c>
      <c r="AT209" s="2560"/>
      <c r="AU209" s="2560">
        <f>SUM(AU207:AU208)</f>
        <v>75461</v>
      </c>
      <c r="AV209" s="2560">
        <f>SUM(AV207:AV208)</f>
        <v>75460.320000000007</v>
      </c>
      <c r="AX209" s="2560">
        <f>SUM(AX207:AX208)</f>
        <v>75461</v>
      </c>
      <c r="AY209" s="2560">
        <f>SUM(AY207:AY208)</f>
        <v>1503</v>
      </c>
      <c r="AZ209" s="2560">
        <f>SUM(AZ207:AZ208)</f>
        <v>76964</v>
      </c>
      <c r="BA209" s="2561">
        <f>SUM(BA207:BA208)</f>
        <v>1.9917573316017546E-2</v>
      </c>
      <c r="BC209" s="2560">
        <f>SUM(BC207:BC208)</f>
        <v>76964</v>
      </c>
      <c r="BD209" s="2560">
        <f>SUM(BD207:BD208)</f>
        <v>76964</v>
      </c>
      <c r="BF209" s="2562"/>
      <c r="BH209" s="2560">
        <f>SUM(BH207:BH208)</f>
        <v>76964</v>
      </c>
      <c r="BI209" s="2560">
        <f>SUM(BI207:BI208)</f>
        <v>76964</v>
      </c>
      <c r="BM209" s="2560">
        <f>SUM(BM207:BM208)</f>
        <v>76964</v>
      </c>
      <c r="BN209" s="2560">
        <f>SUM(BN207:BN208)</f>
        <v>1545</v>
      </c>
      <c r="BO209" s="2564">
        <f>SUM(BO207:BO208)</f>
        <v>78509</v>
      </c>
      <c r="BP209" s="2565">
        <f>SUM(BP207:BP208)</f>
        <v>2.0074320461514476E-2</v>
      </c>
      <c r="BR209" s="2564">
        <f>SUM(BR207:BR208)</f>
        <v>78509</v>
      </c>
      <c r="BS209" s="2564">
        <f>SUM(BS207:BS208)</f>
        <v>78509</v>
      </c>
      <c r="BU209" s="2566"/>
      <c r="BW209" s="2564">
        <f>SUM(BW207:BW208)</f>
        <v>78509</v>
      </c>
      <c r="BX209" s="2560">
        <f>SUM(BX207:BX208)</f>
        <v>37900.800000000003</v>
      </c>
      <c r="BZ209" s="2564">
        <f>SUM(BZ207:BZ208)</f>
        <v>78509</v>
      </c>
      <c r="CA209" s="2564">
        <f>SUM(CA207:CA208)</f>
        <v>-301</v>
      </c>
      <c r="CB209" s="2564">
        <f>SUM(CB207:CB208)</f>
        <v>78208</v>
      </c>
      <c r="CC209" s="2565">
        <f>SUM(CC207:CC208)</f>
        <v>-3.8339553426995632E-3</v>
      </c>
      <c r="CE209" s="2564">
        <f>SUM(CE207:CE208)</f>
        <v>82352</v>
      </c>
      <c r="CF209" s="2565">
        <f>SUM(CF207:CF208)</f>
        <v>4.7872340425531915E-2</v>
      </c>
      <c r="CG209" s="2564">
        <f>SUM(CG207:CG208)</f>
        <v>82352</v>
      </c>
      <c r="CH209" s="2449" t="s">
        <v>1243</v>
      </c>
      <c r="CI209" s="2449"/>
      <c r="CJ209" s="2450"/>
      <c r="CK209" s="2450"/>
      <c r="CO209" s="2477">
        <v>0</v>
      </c>
      <c r="CP209" s="2478">
        <f t="shared" si="118"/>
        <v>0</v>
      </c>
      <c r="CQ209" s="2478"/>
      <c r="CR209" s="2478"/>
      <c r="CS209" s="2478"/>
      <c r="CT209" s="2478"/>
    </row>
    <row r="210" spans="1:98" hidden="1" x14ac:dyDescent="0.2">
      <c r="AS210" s="2466"/>
      <c r="AT210" s="2466"/>
      <c r="BZ210" s="2472"/>
      <c r="CH210" s="2449" t="s">
        <v>1091</v>
      </c>
      <c r="CI210" s="2449"/>
      <c r="CJ210" s="2450"/>
      <c r="CK210" s="2450"/>
      <c r="CP210" s="2478">
        <f t="shared" si="118"/>
        <v>0</v>
      </c>
      <c r="CQ210" s="2478"/>
      <c r="CR210" s="2478"/>
      <c r="CS210" s="2478"/>
      <c r="CT210" s="2478"/>
    </row>
    <row r="211" spans="1:98" hidden="1" x14ac:dyDescent="0.2">
      <c r="A211" s="2395">
        <v>161</v>
      </c>
      <c r="B211" s="2440" t="s">
        <v>1214</v>
      </c>
      <c r="C211" s="2396">
        <v>16102</v>
      </c>
      <c r="D211" s="2396">
        <v>51140</v>
      </c>
      <c r="E211" s="2397" t="s">
        <v>319</v>
      </c>
      <c r="F211" s="2440" t="s">
        <v>1214</v>
      </c>
      <c r="G211" s="2440" t="s">
        <v>1509</v>
      </c>
      <c r="H211" s="2466">
        <v>22801</v>
      </c>
      <c r="I211" s="2470">
        <v>1000</v>
      </c>
      <c r="J211" s="2466">
        <f>H211+I211</f>
        <v>23801</v>
      </c>
      <c r="K211" s="2468">
        <f>IF(H211=0," ",(J211-H211)/H211)</f>
        <v>4.3857725538353584E-2</v>
      </c>
      <c r="M211" s="2467">
        <v>23801</v>
      </c>
      <c r="N211" s="2467">
        <v>23801</v>
      </c>
      <c r="P211" s="2469"/>
      <c r="R211" s="2466">
        <v>23801</v>
      </c>
      <c r="S211" s="2466">
        <v>21137.93</v>
      </c>
      <c r="U211" s="2466">
        <v>23801</v>
      </c>
      <c r="V211" s="2470">
        <v>-1412</v>
      </c>
      <c r="W211" s="2466">
        <f>U211+V211</f>
        <v>22389</v>
      </c>
      <c r="X211" s="2468">
        <f>IF(U211=0," ",(W211-U211)/U211)</f>
        <v>-5.9325238435359862E-2</v>
      </c>
      <c r="Z211" s="2467">
        <v>22389</v>
      </c>
      <c r="AA211" s="2467">
        <v>22389</v>
      </c>
      <c r="AC211" s="2469" t="s">
        <v>1510</v>
      </c>
      <c r="AE211" s="2466">
        <v>22389</v>
      </c>
      <c r="AF211" s="2471">
        <v>22388.84</v>
      </c>
      <c r="AH211" s="2466">
        <v>22389</v>
      </c>
      <c r="AI211" s="2470">
        <v>1889</v>
      </c>
      <c r="AJ211" s="2466">
        <f t="shared" ref="AJ211:AJ216" si="124">AH211+AI211</f>
        <v>24278</v>
      </c>
      <c r="AK211" s="2468">
        <f>IF(AH211=0," ",(AJ211-AH211)/AH211)</f>
        <v>8.4371789718165169E-2</v>
      </c>
      <c r="AM211" s="2467">
        <v>24278</v>
      </c>
      <c r="AN211" s="2467">
        <v>24278</v>
      </c>
      <c r="AP211" s="2469" t="s">
        <v>1511</v>
      </c>
      <c r="AR211" s="2466">
        <v>24278</v>
      </c>
      <c r="AS211" s="2466">
        <v>24253.599999999999</v>
      </c>
      <c r="AT211" s="2466"/>
      <c r="AU211" s="2466">
        <v>24865</v>
      </c>
      <c r="AV211" s="2466">
        <v>24689.439999999999</v>
      </c>
      <c r="AX211" s="2466">
        <v>24865</v>
      </c>
      <c r="AY211" s="2470">
        <v>563</v>
      </c>
      <c r="AZ211" s="2466">
        <f t="shared" ref="AZ211:AZ216" si="125">AX211+AY211</f>
        <v>25428</v>
      </c>
      <c r="BA211" s="2468">
        <f>IF(AX211=0," ",(AZ211-AX211)/AX211)</f>
        <v>2.2642268248542128E-2</v>
      </c>
      <c r="BC211" s="2467">
        <v>25428</v>
      </c>
      <c r="BD211" s="2467">
        <v>25428</v>
      </c>
      <c r="BF211" s="2511" t="s">
        <v>1512</v>
      </c>
      <c r="BH211" s="2467">
        <v>25428</v>
      </c>
      <c r="BI211" s="2466">
        <v>25316.53</v>
      </c>
      <c r="BM211" s="2466">
        <v>25428</v>
      </c>
      <c r="BN211" s="2470">
        <v>310</v>
      </c>
      <c r="BO211" s="2472">
        <f t="shared" ref="BO211:BO216" si="126">BM211+BN211</f>
        <v>25738</v>
      </c>
      <c r="BP211" s="2473">
        <f>IF(BM211=0," ",(BO211-BM211)/BM211)</f>
        <v>1.2191285197420167E-2</v>
      </c>
      <c r="BR211" s="2474">
        <v>25738</v>
      </c>
      <c r="BS211" s="2474">
        <v>25738</v>
      </c>
      <c r="BU211" s="2512" t="s">
        <v>1513</v>
      </c>
      <c r="BW211" s="2474">
        <v>25738</v>
      </c>
      <c r="BX211" s="2466">
        <v>13298.53</v>
      </c>
      <c r="BZ211" s="2474">
        <v>25738</v>
      </c>
      <c r="CA211" s="2470"/>
      <c r="CB211" s="2472">
        <f t="shared" ref="CB211:CB216" si="127">BZ211+CA211</f>
        <v>25738</v>
      </c>
      <c r="CC211" s="2473">
        <f>IF(BZ211=0," ",(CB211-BZ211)/BZ211)</f>
        <v>0</v>
      </c>
      <c r="CE211" s="2474">
        <v>26252</v>
      </c>
      <c r="CF211" s="2476">
        <f>IF(CB211=0," ",(CE211-CB211)/CB211)</f>
        <v>1.9970471676120909E-2</v>
      </c>
      <c r="CG211" s="2474">
        <v>26252</v>
      </c>
      <c r="CH211" s="2449" t="s">
        <v>1217</v>
      </c>
      <c r="CI211" s="2449"/>
      <c r="CJ211" s="2450"/>
      <c r="CK211" s="2450"/>
      <c r="CO211" s="2477">
        <v>-4.3837501966337289E-3</v>
      </c>
      <c r="CP211" s="2478">
        <f t="shared" si="118"/>
        <v>-111.47000000000116</v>
      </c>
      <c r="CQ211" s="2478"/>
      <c r="CR211" s="2478"/>
      <c r="CS211" s="2478"/>
      <c r="CT211" s="2478"/>
    </row>
    <row r="212" spans="1:98" hidden="1" x14ac:dyDescent="0.2">
      <c r="A212" s="2395">
        <v>161</v>
      </c>
      <c r="B212" s="2440" t="s">
        <v>1214</v>
      </c>
      <c r="C212" s="2396">
        <v>16102</v>
      </c>
      <c r="D212" s="2396">
        <v>51141</v>
      </c>
      <c r="E212" s="2397" t="s">
        <v>319</v>
      </c>
      <c r="G212" s="2440" t="s">
        <v>1514</v>
      </c>
      <c r="I212" s="2470"/>
      <c r="M212" s="2467"/>
      <c r="N212" s="2467"/>
      <c r="P212" s="2469"/>
      <c r="V212" s="2470"/>
      <c r="Z212" s="2467"/>
      <c r="AA212" s="2467">
        <v>5000</v>
      </c>
      <c r="AC212" s="2469" t="s">
        <v>1515</v>
      </c>
      <c r="AE212" s="2466">
        <v>5000</v>
      </c>
      <c r="AF212" s="2471">
        <v>2905.64</v>
      </c>
      <c r="AH212" s="2466">
        <v>5000</v>
      </c>
      <c r="AI212" s="2470"/>
      <c r="AJ212" s="2466">
        <f t="shared" si="124"/>
        <v>5000</v>
      </c>
      <c r="AM212" s="2467">
        <v>5000</v>
      </c>
      <c r="AN212" s="2467">
        <v>5000</v>
      </c>
      <c r="AP212" s="2469"/>
      <c r="AR212" s="2466">
        <v>5000</v>
      </c>
      <c r="AS212" s="2466">
        <v>1037</v>
      </c>
      <c r="AT212" s="2466"/>
      <c r="AU212" s="2466">
        <v>0</v>
      </c>
      <c r="AX212" s="2466">
        <v>0</v>
      </c>
      <c r="AY212" s="2470"/>
      <c r="AZ212" s="2466">
        <f t="shared" si="125"/>
        <v>0</v>
      </c>
      <c r="BC212" s="2467">
        <v>0</v>
      </c>
      <c r="BD212" s="2467">
        <v>0</v>
      </c>
      <c r="BF212" s="2469"/>
      <c r="BH212" s="2467">
        <v>0</v>
      </c>
      <c r="BM212" s="2466">
        <v>0</v>
      </c>
      <c r="BN212" s="2470"/>
      <c r="BO212" s="2472">
        <f t="shared" si="126"/>
        <v>0</v>
      </c>
      <c r="BR212" s="2474">
        <v>0</v>
      </c>
      <c r="BS212" s="2474">
        <v>0</v>
      </c>
      <c r="BU212" s="2475"/>
      <c r="BW212" s="2474">
        <v>0</v>
      </c>
      <c r="BZ212" s="2474">
        <v>0</v>
      </c>
      <c r="CA212" s="2470"/>
      <c r="CB212" s="2472">
        <f t="shared" si="127"/>
        <v>0</v>
      </c>
      <c r="CE212" s="2474">
        <v>0</v>
      </c>
      <c r="CF212" s="2476"/>
      <c r="CG212" s="2474">
        <v>0</v>
      </c>
      <c r="CH212" s="2449" t="s">
        <v>1217</v>
      </c>
      <c r="CI212" s="2449"/>
      <c r="CJ212" s="2450"/>
      <c r="CK212" s="2450"/>
      <c r="CP212" s="2478">
        <f t="shared" si="118"/>
        <v>0</v>
      </c>
      <c r="CQ212" s="2478"/>
      <c r="CR212" s="2478"/>
      <c r="CS212" s="2478"/>
      <c r="CT212" s="2478"/>
    </row>
    <row r="213" spans="1:98" hidden="1" x14ac:dyDescent="0.2">
      <c r="A213" s="2395">
        <v>161</v>
      </c>
      <c r="B213" s="2440" t="s">
        <v>1214</v>
      </c>
      <c r="C213" s="2396">
        <v>16102</v>
      </c>
      <c r="D213" s="2396">
        <v>51310</v>
      </c>
      <c r="E213" s="2397" t="s">
        <v>319</v>
      </c>
      <c r="F213" s="2440" t="s">
        <v>1214</v>
      </c>
      <c r="G213" s="2440" t="s">
        <v>1516</v>
      </c>
      <c r="H213" s="2466">
        <v>888</v>
      </c>
      <c r="I213" s="2470">
        <v>-544</v>
      </c>
      <c r="J213" s="2466">
        <f>H213+I213</f>
        <v>344</v>
      </c>
      <c r="K213" s="2468">
        <f>IF(H213=0," ",(J213-H213)/H213)</f>
        <v>-0.61261261261261257</v>
      </c>
      <c r="M213" s="2467">
        <v>344</v>
      </c>
      <c r="N213" s="2467">
        <v>344</v>
      </c>
      <c r="P213" s="2469" t="s">
        <v>1517</v>
      </c>
      <c r="R213" s="2466">
        <v>344</v>
      </c>
      <c r="S213" s="2466">
        <v>0</v>
      </c>
      <c r="U213" s="2466">
        <v>344</v>
      </c>
      <c r="V213" s="2470">
        <v>532</v>
      </c>
      <c r="W213" s="2466">
        <f>U213+V213</f>
        <v>876</v>
      </c>
      <c r="X213" s="2468">
        <f>IF(U213=0," ",(W213-U213)/U213)</f>
        <v>1.5465116279069768</v>
      </c>
      <c r="Z213" s="2467">
        <v>876</v>
      </c>
      <c r="AA213" s="2467">
        <v>876</v>
      </c>
      <c r="AC213" s="2596" t="s">
        <v>1518</v>
      </c>
      <c r="AE213" s="2466">
        <v>876</v>
      </c>
      <c r="AF213" s="2471">
        <v>0</v>
      </c>
      <c r="AH213" s="2466">
        <v>876</v>
      </c>
      <c r="AI213" s="2470">
        <v>-876</v>
      </c>
      <c r="AJ213" s="2466">
        <f t="shared" si="124"/>
        <v>0</v>
      </c>
      <c r="AK213" s="2468">
        <f>IF(AH213=0," ",(AJ213-AH213)/AH213)</f>
        <v>-1</v>
      </c>
      <c r="AM213" s="2467">
        <v>0</v>
      </c>
      <c r="AN213" s="2467">
        <v>0</v>
      </c>
      <c r="AP213" s="2596" t="s">
        <v>1519</v>
      </c>
      <c r="AR213" s="2466">
        <v>0</v>
      </c>
      <c r="AS213" s="2466"/>
      <c r="AT213" s="2466"/>
      <c r="AY213" s="2470"/>
      <c r="AZ213" s="2466">
        <f t="shared" si="125"/>
        <v>0</v>
      </c>
      <c r="BA213" s="2468" t="str">
        <f>IF(AX213=0," ",(AZ213-AX213)/AX213)</f>
        <v xml:space="preserve"> </v>
      </c>
      <c r="BC213" s="2467">
        <v>0</v>
      </c>
      <c r="BD213" s="2467">
        <v>0</v>
      </c>
      <c r="BF213" s="2596"/>
      <c r="BH213" s="2467">
        <v>0</v>
      </c>
      <c r="BM213" s="2466">
        <v>0</v>
      </c>
      <c r="BN213" s="2470"/>
      <c r="BO213" s="2472">
        <f t="shared" si="126"/>
        <v>0</v>
      </c>
      <c r="BP213" s="2473" t="str">
        <f>IF(BM213=0," ",(BO213-BM213)/BM213)</f>
        <v xml:space="preserve"> </v>
      </c>
      <c r="BR213" s="2474">
        <v>0</v>
      </c>
      <c r="BS213" s="2474">
        <v>0</v>
      </c>
      <c r="BU213" s="2597"/>
      <c r="BW213" s="2474">
        <v>0</v>
      </c>
      <c r="BZ213" s="2474">
        <v>0</v>
      </c>
      <c r="CA213" s="2470"/>
      <c r="CB213" s="2472">
        <f t="shared" si="127"/>
        <v>0</v>
      </c>
      <c r="CC213" s="2473" t="str">
        <f>IF(BZ213=0," ",(CB213-BZ213)/BZ213)</f>
        <v xml:space="preserve"> </v>
      </c>
      <c r="CE213" s="2474">
        <v>0</v>
      </c>
      <c r="CF213" s="2476" t="str">
        <f>IF(CB213=0," ",(CE213-CB213)/CB213)</f>
        <v xml:space="preserve"> </v>
      </c>
      <c r="CG213" s="2474">
        <v>0</v>
      </c>
      <c r="CH213" s="2449" t="s">
        <v>1217</v>
      </c>
      <c r="CI213" s="2449"/>
      <c r="CJ213" s="2450"/>
      <c r="CK213" s="2450"/>
      <c r="CP213" s="2478">
        <f t="shared" si="118"/>
        <v>0</v>
      </c>
      <c r="CQ213" s="2478"/>
      <c r="CR213" s="2478"/>
      <c r="CS213" s="2478"/>
      <c r="CT213" s="2478"/>
    </row>
    <row r="214" spans="1:98" hidden="1" x14ac:dyDescent="0.2">
      <c r="A214" s="2395">
        <v>161</v>
      </c>
      <c r="B214" s="2440" t="s">
        <v>1214</v>
      </c>
      <c r="C214" s="2396">
        <v>16102</v>
      </c>
      <c r="D214" s="2396">
        <v>51820</v>
      </c>
      <c r="E214" s="2397" t="s">
        <v>319</v>
      </c>
      <c r="F214" s="2440" t="s">
        <v>1214</v>
      </c>
      <c r="G214" s="2440" t="s">
        <v>1520</v>
      </c>
      <c r="H214" s="2466">
        <v>1000</v>
      </c>
      <c r="I214" s="2470"/>
      <c r="J214" s="2466">
        <f>H214+I214</f>
        <v>1000</v>
      </c>
      <c r="K214" s="2468">
        <f>IF(H214=0," ",(J214-H214)/H214)</f>
        <v>0</v>
      </c>
      <c r="M214" s="2467">
        <v>1000</v>
      </c>
      <c r="N214" s="2467">
        <v>1000</v>
      </c>
      <c r="P214" s="2469"/>
      <c r="R214" s="2466">
        <v>1000</v>
      </c>
      <c r="S214" s="2466">
        <v>1000</v>
      </c>
      <c r="U214" s="2466">
        <v>1000</v>
      </c>
      <c r="V214" s="2470">
        <v>0</v>
      </c>
      <c r="W214" s="2466">
        <f>U214+V214</f>
        <v>1000</v>
      </c>
      <c r="X214" s="2468">
        <f>IF(U214=0," ",(W214-U214)/U214)</f>
        <v>0</v>
      </c>
      <c r="Z214" s="2467">
        <v>1000</v>
      </c>
      <c r="AA214" s="2467">
        <v>1000</v>
      </c>
      <c r="AC214" s="2469"/>
      <c r="AE214" s="2466">
        <v>1000</v>
      </c>
      <c r="AF214" s="2471">
        <v>950</v>
      </c>
      <c r="AH214" s="2466">
        <v>1000</v>
      </c>
      <c r="AI214" s="2470"/>
      <c r="AJ214" s="2466">
        <f t="shared" si="124"/>
        <v>1000</v>
      </c>
      <c r="AK214" s="2468">
        <f>IF(AH214=0," ",(AJ214-AH214)/AH214)</f>
        <v>0</v>
      </c>
      <c r="AM214" s="2467">
        <v>1000</v>
      </c>
      <c r="AN214" s="2467">
        <v>1000</v>
      </c>
      <c r="AP214" s="2469"/>
      <c r="AR214" s="2466">
        <v>1000</v>
      </c>
      <c r="AS214" s="2466">
        <v>800</v>
      </c>
      <c r="AT214" s="2466"/>
      <c r="AU214" s="2466">
        <v>1000</v>
      </c>
      <c r="AV214" s="2466">
        <v>800</v>
      </c>
      <c r="AX214" s="2466">
        <v>1000</v>
      </c>
      <c r="AY214" s="2470"/>
      <c r="AZ214" s="2466">
        <f t="shared" si="125"/>
        <v>1000</v>
      </c>
      <c r="BA214" s="2468">
        <f>IF(AX214=0," ",(AZ214-AX214)/AX214)</f>
        <v>0</v>
      </c>
      <c r="BC214" s="2467">
        <v>1000</v>
      </c>
      <c r="BD214" s="2467">
        <v>1000</v>
      </c>
      <c r="BF214" s="2469"/>
      <c r="BH214" s="2467">
        <v>1000</v>
      </c>
      <c r="BI214" s="2466">
        <v>1000</v>
      </c>
      <c r="BM214" s="2466">
        <v>1000</v>
      </c>
      <c r="BN214" s="2470"/>
      <c r="BO214" s="2472">
        <f t="shared" si="126"/>
        <v>1000</v>
      </c>
      <c r="BP214" s="2473">
        <f>IF(BM214=0," ",(BO214-BM214)/BM214)</f>
        <v>0</v>
      </c>
      <c r="BR214" s="2474">
        <v>1000</v>
      </c>
      <c r="BS214" s="2474">
        <v>1000</v>
      </c>
      <c r="BU214" s="2475"/>
      <c r="BW214" s="2474">
        <v>1000</v>
      </c>
      <c r="BX214" s="2466">
        <v>500</v>
      </c>
      <c r="BZ214" s="2474">
        <v>1000</v>
      </c>
      <c r="CA214" s="2470"/>
      <c r="CB214" s="2472">
        <f t="shared" si="127"/>
        <v>1000</v>
      </c>
      <c r="CC214" s="2473">
        <f>IF(BZ214=0," ",(CB214-BZ214)/BZ214)</f>
        <v>0</v>
      </c>
      <c r="CE214" s="2474">
        <v>1000</v>
      </c>
      <c r="CF214" s="2476">
        <f>IF(CB214=0," ",(CE214-CB214)/CB214)</f>
        <v>0</v>
      </c>
      <c r="CG214" s="2474">
        <v>1000</v>
      </c>
      <c r="CH214" s="2449" t="s">
        <v>1217</v>
      </c>
      <c r="CI214" s="2449"/>
      <c r="CJ214" s="2450"/>
      <c r="CK214" s="2450"/>
      <c r="CO214" s="2477">
        <v>0</v>
      </c>
      <c r="CP214" s="2478">
        <f t="shared" si="118"/>
        <v>0</v>
      </c>
      <c r="CQ214" s="2478"/>
      <c r="CR214" s="2478"/>
      <c r="CS214" s="2478"/>
      <c r="CT214" s="2478"/>
    </row>
    <row r="215" spans="1:98" hidden="1" x14ac:dyDescent="0.2">
      <c r="A215" s="2395">
        <v>161</v>
      </c>
      <c r="B215" s="2440" t="s">
        <v>1214</v>
      </c>
      <c r="C215" s="2396">
        <v>16102</v>
      </c>
      <c r="D215" s="2396">
        <v>51825</v>
      </c>
      <c r="E215" s="2397" t="s">
        <v>319</v>
      </c>
      <c r="F215" s="2440" t="s">
        <v>1214</v>
      </c>
      <c r="G215" s="2440" t="s">
        <v>1521</v>
      </c>
      <c r="H215" s="2466">
        <v>300</v>
      </c>
      <c r="I215" s="2470"/>
      <c r="J215" s="2466">
        <f>H215+I215</f>
        <v>300</v>
      </c>
      <c r="K215" s="2468">
        <f>IF(H215=0," ",(J215-H215)/H215)</f>
        <v>0</v>
      </c>
      <c r="M215" s="2467">
        <v>300</v>
      </c>
      <c r="N215" s="2467">
        <v>300</v>
      </c>
      <c r="P215" s="2469"/>
      <c r="R215" s="2466">
        <v>300</v>
      </c>
      <c r="S215" s="2466">
        <v>300</v>
      </c>
      <c r="U215" s="2466">
        <v>300</v>
      </c>
      <c r="V215" s="2470">
        <v>0</v>
      </c>
      <c r="W215" s="2466">
        <f>U215+V215</f>
        <v>300</v>
      </c>
      <c r="X215" s="2468">
        <f>IF(U215=0," ",(W215-U215)/U215)</f>
        <v>0</v>
      </c>
      <c r="Z215" s="2467">
        <v>300</v>
      </c>
      <c r="AA215" s="2467">
        <v>300</v>
      </c>
      <c r="AC215" s="2469"/>
      <c r="AE215" s="2466">
        <v>300</v>
      </c>
      <c r="AF215" s="2471">
        <v>300</v>
      </c>
      <c r="AH215" s="2466">
        <v>300</v>
      </c>
      <c r="AI215" s="2470"/>
      <c r="AJ215" s="2466">
        <f t="shared" si="124"/>
        <v>300</v>
      </c>
      <c r="AK215" s="2468">
        <f>IF(AH215=0," ",(AJ215-AH215)/AH215)</f>
        <v>0</v>
      </c>
      <c r="AM215" s="2467">
        <v>300</v>
      </c>
      <c r="AN215" s="2467">
        <v>300</v>
      </c>
      <c r="AP215" s="2469"/>
      <c r="AR215" s="2466">
        <v>300</v>
      </c>
      <c r="AS215" s="2466">
        <v>300</v>
      </c>
      <c r="AT215" s="2466"/>
      <c r="AU215" s="2466">
        <v>300</v>
      </c>
      <c r="AV215" s="2466">
        <v>300</v>
      </c>
      <c r="AX215" s="2466">
        <v>300</v>
      </c>
      <c r="AY215" s="2470"/>
      <c r="AZ215" s="2466">
        <f t="shared" si="125"/>
        <v>300</v>
      </c>
      <c r="BA215" s="2468">
        <f>IF(AX215=0," ",(AZ215-AX215)/AX215)</f>
        <v>0</v>
      </c>
      <c r="BC215" s="2467">
        <v>300</v>
      </c>
      <c r="BD215" s="2467">
        <v>300</v>
      </c>
      <c r="BF215" s="2469"/>
      <c r="BH215" s="2467">
        <v>300</v>
      </c>
      <c r="BI215" s="2466">
        <v>300</v>
      </c>
      <c r="BM215" s="2466">
        <v>300</v>
      </c>
      <c r="BN215" s="2470"/>
      <c r="BO215" s="2472">
        <f t="shared" si="126"/>
        <v>300</v>
      </c>
      <c r="BP215" s="2473">
        <f>IF(BM215=0," ",(BO215-BM215)/BM215)</f>
        <v>0</v>
      </c>
      <c r="BR215" s="2474">
        <v>300</v>
      </c>
      <c r="BS215" s="2474">
        <v>300</v>
      </c>
      <c r="BU215" s="2475"/>
      <c r="BW215" s="2474">
        <v>300</v>
      </c>
      <c r="BX215" s="2466">
        <v>150</v>
      </c>
      <c r="BZ215" s="2474">
        <v>300</v>
      </c>
      <c r="CA215" s="2470"/>
      <c r="CB215" s="2472">
        <f t="shared" si="127"/>
        <v>300</v>
      </c>
      <c r="CC215" s="2473">
        <f>IF(BZ215=0," ",(CB215-BZ215)/BZ215)</f>
        <v>0</v>
      </c>
      <c r="CE215" s="2474">
        <v>300</v>
      </c>
      <c r="CF215" s="2476">
        <f>IF(CB215=0," ",(CE215-CB215)/CB215)</f>
        <v>0</v>
      </c>
      <c r="CG215" s="2474">
        <v>300</v>
      </c>
      <c r="CH215" s="2449" t="s">
        <v>1217</v>
      </c>
      <c r="CI215" s="2449"/>
      <c r="CJ215" s="2450"/>
      <c r="CK215" s="2450"/>
      <c r="CO215" s="2477">
        <v>0</v>
      </c>
      <c r="CP215" s="2478">
        <f t="shared" si="118"/>
        <v>0</v>
      </c>
      <c r="CQ215" s="2478"/>
      <c r="CR215" s="2478"/>
      <c r="CS215" s="2478"/>
      <c r="CT215" s="2478"/>
    </row>
    <row r="216" spans="1:98" hidden="1" x14ac:dyDescent="0.2">
      <c r="A216" s="2395">
        <v>161</v>
      </c>
      <c r="B216" s="2440" t="s">
        <v>1214</v>
      </c>
      <c r="C216" s="2396">
        <v>16102</v>
      </c>
      <c r="D216" s="2396">
        <v>51870</v>
      </c>
      <c r="E216" s="2397" t="s">
        <v>319</v>
      </c>
      <c r="F216" s="2440" t="s">
        <v>1214</v>
      </c>
      <c r="G216" s="2440" t="s">
        <v>1522</v>
      </c>
      <c r="H216" s="2466">
        <v>4322</v>
      </c>
      <c r="I216" s="2523">
        <v>-3378</v>
      </c>
      <c r="J216" s="2466">
        <f>H216+I216</f>
        <v>944</v>
      </c>
      <c r="K216" s="2468">
        <f>IF(H216=0," ",(J216-H216)/H216)</f>
        <v>-0.78158260064784824</v>
      </c>
      <c r="M216" s="2520">
        <v>944</v>
      </c>
      <c r="N216" s="2520">
        <v>944</v>
      </c>
      <c r="P216" s="2522" t="s">
        <v>1517</v>
      </c>
      <c r="R216" s="2519">
        <v>944</v>
      </c>
      <c r="S216" s="2519">
        <v>958.5</v>
      </c>
      <c r="U216" s="2519">
        <v>944</v>
      </c>
      <c r="V216" s="2523">
        <v>3418</v>
      </c>
      <c r="W216" s="2466">
        <f>U216+V216</f>
        <v>4362</v>
      </c>
      <c r="X216" s="2468">
        <f>IF(U216=0," ",(W216-U216)/U216)</f>
        <v>3.6207627118644066</v>
      </c>
      <c r="Z216" s="2520">
        <v>4362</v>
      </c>
      <c r="AA216" s="2520">
        <v>4362</v>
      </c>
      <c r="AC216" s="2596" t="s">
        <v>1518</v>
      </c>
      <c r="AE216" s="2519">
        <v>4362</v>
      </c>
      <c r="AF216" s="2524">
        <v>3211.5</v>
      </c>
      <c r="AH216" s="2519">
        <v>4362</v>
      </c>
      <c r="AI216" s="2523">
        <v>-1752</v>
      </c>
      <c r="AJ216" s="2466">
        <f t="shared" si="124"/>
        <v>2610</v>
      </c>
      <c r="AK216" s="2468">
        <f>IF(AH216=0," ",(AJ216-AH216)/AH216)</f>
        <v>-0.40165061898211829</v>
      </c>
      <c r="AM216" s="2467">
        <v>2610</v>
      </c>
      <c r="AN216" s="2467">
        <v>2610</v>
      </c>
      <c r="AP216" s="2596" t="s">
        <v>1523</v>
      </c>
      <c r="AR216" s="2466">
        <v>2610</v>
      </c>
      <c r="AS216" s="2466">
        <v>1586</v>
      </c>
      <c r="AT216" s="2466"/>
      <c r="AU216" s="2466">
        <f>2610+1959</f>
        <v>4569</v>
      </c>
      <c r="AV216" s="2466">
        <v>4029.75</v>
      </c>
      <c r="AX216" s="2466">
        <f>2610+1959</f>
        <v>4569</v>
      </c>
      <c r="AY216" s="2523">
        <v>-2969</v>
      </c>
      <c r="AZ216" s="2466">
        <f t="shared" si="125"/>
        <v>1600</v>
      </c>
      <c r="BA216" s="2468">
        <f>IF(AX216=0," ",(AZ216-AX216)/AX216)</f>
        <v>-0.64981396366819877</v>
      </c>
      <c r="BC216" s="2467">
        <v>1600</v>
      </c>
      <c r="BD216" s="2467">
        <v>1600</v>
      </c>
      <c r="BF216" s="2469" t="s">
        <v>1524</v>
      </c>
      <c r="BH216" s="2467">
        <v>1600</v>
      </c>
      <c r="BI216" s="2519">
        <v>1925.96</v>
      </c>
      <c r="BM216" s="2466">
        <v>1600</v>
      </c>
      <c r="BN216" s="2523"/>
      <c r="BO216" s="2472">
        <f t="shared" si="126"/>
        <v>1600</v>
      </c>
      <c r="BP216" s="2473">
        <f>IF(BM216=0," ",(BO216-BM216)/BM216)</f>
        <v>0</v>
      </c>
      <c r="BR216" s="2474">
        <v>1600</v>
      </c>
      <c r="BS216" s="2474">
        <v>11269</v>
      </c>
      <c r="BU216" s="2547" t="s">
        <v>1525</v>
      </c>
      <c r="BW216" s="2474">
        <f>1600+9669</f>
        <v>11269</v>
      </c>
      <c r="BX216" s="2519">
        <v>3640.64</v>
      </c>
      <c r="BZ216" s="2474">
        <f>1600+9669</f>
        <v>11269</v>
      </c>
      <c r="CA216" s="2523">
        <v>-5233</v>
      </c>
      <c r="CB216" s="2472">
        <f t="shared" si="127"/>
        <v>6036</v>
      </c>
      <c r="CC216" s="2473">
        <f>IF(BZ216=0," ",(CB216-BZ216)/BZ216)</f>
        <v>-0.46437128405359834</v>
      </c>
      <c r="CE216" s="2474">
        <v>6036</v>
      </c>
      <c r="CF216" s="2476">
        <f>IF(CB216=0," ",(CE216-CB216)/CB216)</f>
        <v>0</v>
      </c>
      <c r="CG216" s="2474">
        <v>6036</v>
      </c>
      <c r="CH216" s="2449" t="s">
        <v>1217</v>
      </c>
      <c r="CI216" s="2449"/>
      <c r="CJ216" s="2450"/>
      <c r="CK216" s="2450"/>
      <c r="CO216" s="2477">
        <v>0.20372499999999993</v>
      </c>
      <c r="CP216" s="2478">
        <f t="shared" si="118"/>
        <v>325.96000000000004</v>
      </c>
      <c r="CQ216" s="2478"/>
      <c r="CR216" s="2478"/>
      <c r="CS216" s="2478"/>
      <c r="CT216" s="2478"/>
    </row>
    <row r="217" spans="1:98" hidden="1" x14ac:dyDescent="0.2">
      <c r="H217" s="2560">
        <f>SUM(H211:H216)</f>
        <v>29311</v>
      </c>
      <c r="I217" s="2560">
        <f>SUM(I211:I216)</f>
        <v>-2922</v>
      </c>
      <c r="J217" s="2560">
        <f>SUM(J211:J216)</f>
        <v>26389</v>
      </c>
      <c r="K217" s="2561">
        <f>SUM(K211:K216)</f>
        <v>-1.3503374877221073</v>
      </c>
      <c r="M217" s="2560">
        <f>SUM(M211:M216)</f>
        <v>26389</v>
      </c>
      <c r="N217" s="2560">
        <f>SUM(N211:N216)</f>
        <v>26389</v>
      </c>
      <c r="P217" s="2562">
        <f>SUM(P211:P216)</f>
        <v>0</v>
      </c>
      <c r="R217" s="2560">
        <f>SUM(R211:R216)</f>
        <v>26389</v>
      </c>
      <c r="S217" s="2560">
        <f>SUM(S211:S216)</f>
        <v>23396.43</v>
      </c>
      <c r="U217" s="2560">
        <f>SUM(U211:U216)</f>
        <v>26389</v>
      </c>
      <c r="V217" s="2560">
        <f>SUM(V211:V216)</f>
        <v>2538</v>
      </c>
      <c r="W217" s="2560">
        <f>SUM(W211:W216)</f>
        <v>28927</v>
      </c>
      <c r="X217" s="2561">
        <f>SUM(X211:X216)</f>
        <v>5.1079491013360236</v>
      </c>
      <c r="Z217" s="2560">
        <f>SUM(Z211:Z216)</f>
        <v>28927</v>
      </c>
      <c r="AA217" s="2560">
        <f>SUM(AA211:AA216)</f>
        <v>33927</v>
      </c>
      <c r="AC217" s="2562"/>
      <c r="AE217" s="2560">
        <f>SUM(AE211:AE216)</f>
        <v>33927</v>
      </c>
      <c r="AF217" s="2560">
        <f>SUM(AF211:AF216)</f>
        <v>29755.98</v>
      </c>
      <c r="AH217" s="2560">
        <v>33927</v>
      </c>
      <c r="AI217" s="2560">
        <f>SUM(AI211:AI216)</f>
        <v>-739</v>
      </c>
      <c r="AJ217" s="2560">
        <f>SUM(AJ211:AJ216)</f>
        <v>33188</v>
      </c>
      <c r="AK217" s="2561">
        <f>SUM(AK211:AK216)</f>
        <v>-1.317278829263953</v>
      </c>
      <c r="AM217" s="2560">
        <f>SUM(AM211:AM216)</f>
        <v>33188</v>
      </c>
      <c r="AN217" s="2560">
        <f>SUM(AN211:AN216)</f>
        <v>33188</v>
      </c>
      <c r="AP217" s="2562"/>
      <c r="AR217" s="2560">
        <f>SUM(AR211:AR216)</f>
        <v>33188</v>
      </c>
      <c r="AS217" s="2560">
        <f>SUM(AS211:AS216)</f>
        <v>27976.6</v>
      </c>
      <c r="AT217" s="2560"/>
      <c r="AU217" s="2560">
        <f>SUM(AU211:AU216)</f>
        <v>30734</v>
      </c>
      <c r="AV217" s="2560">
        <f>SUM(AV211:AV216)</f>
        <v>29819.19</v>
      </c>
      <c r="AX217" s="2560">
        <f>SUM(AX211:AX216)</f>
        <v>30734</v>
      </c>
      <c r="AY217" s="2560">
        <f>SUM(AY211:AY216)</f>
        <v>-2406</v>
      </c>
      <c r="AZ217" s="2560">
        <f>SUM(AZ211:AZ216)</f>
        <v>28328</v>
      </c>
      <c r="BA217" s="2561">
        <f>SUM(BA211:BA216)</f>
        <v>-0.62717169541965667</v>
      </c>
      <c r="BC217" s="2560">
        <f>SUM(BC211:BC216)</f>
        <v>28328</v>
      </c>
      <c r="BD217" s="2560">
        <f>SUM(BD211:BD216)</f>
        <v>28328</v>
      </c>
      <c r="BF217" s="2562"/>
      <c r="BH217" s="2560">
        <f>SUM(BH211:BH216)</f>
        <v>28328</v>
      </c>
      <c r="BI217" s="2560">
        <f>SUM(BI211:BI216)</f>
        <v>28542.489999999998</v>
      </c>
      <c r="BM217" s="2560">
        <f>SUM(BM211:BM216)</f>
        <v>28328</v>
      </c>
      <c r="BN217" s="2560">
        <f>SUM(BN211:BN216)</f>
        <v>310</v>
      </c>
      <c r="BO217" s="2564">
        <f>SUM(BO211:BO216)</f>
        <v>28638</v>
      </c>
      <c r="BP217" s="2565">
        <f>SUM(BP211:BP216)</f>
        <v>1.2191285197420167E-2</v>
      </c>
      <c r="BR217" s="2564">
        <f>SUM(BR211:BR216)</f>
        <v>28638</v>
      </c>
      <c r="BS217" s="2564">
        <f>SUM(BS211:BS216)</f>
        <v>38307</v>
      </c>
      <c r="BU217" s="2566"/>
      <c r="BW217" s="2564">
        <f>SUM(BW211:BW216)</f>
        <v>38307</v>
      </c>
      <c r="BX217" s="2560">
        <f>SUM(BX211:BX216)</f>
        <v>17589.170000000002</v>
      </c>
      <c r="BZ217" s="2564">
        <f>SUM(BZ211:BZ216)</f>
        <v>38307</v>
      </c>
      <c r="CA217" s="2564">
        <f>SUM(CA211:CA216)</f>
        <v>-5233</v>
      </c>
      <c r="CB217" s="2564">
        <f>SUM(CB211:CB216)</f>
        <v>33074</v>
      </c>
      <c r="CC217" s="2565">
        <f>SUM(CC211:CC216)</f>
        <v>-0.46437128405359834</v>
      </c>
      <c r="CE217" s="2564">
        <f>SUM(CE211:CE216)</f>
        <v>33588</v>
      </c>
      <c r="CF217" s="2565">
        <f>SUM(CF211:CF216)</f>
        <v>1.9970471676120909E-2</v>
      </c>
      <c r="CG217" s="2564">
        <f>SUM(CG211:CG216)</f>
        <v>33588</v>
      </c>
      <c r="CH217" s="2449" t="s">
        <v>1243</v>
      </c>
      <c r="CI217" s="2449"/>
      <c r="CJ217" s="2450"/>
      <c r="CK217" s="2450"/>
      <c r="CO217" s="2477">
        <v>7.5716605478677312E-3</v>
      </c>
      <c r="CP217" s="2478">
        <f t="shared" si="118"/>
        <v>214.48999999999796</v>
      </c>
      <c r="CQ217" s="2478"/>
      <c r="CR217" s="2478"/>
      <c r="CS217" s="2478"/>
      <c r="CT217" s="2478"/>
    </row>
    <row r="218" spans="1:98" hidden="1" x14ac:dyDescent="0.2">
      <c r="AS218" s="2466"/>
      <c r="AT218" s="2466"/>
      <c r="BZ218" s="2472"/>
      <c r="CH218" s="2449" t="s">
        <v>1091</v>
      </c>
      <c r="CI218" s="2449"/>
      <c r="CJ218" s="2450"/>
      <c r="CK218" s="2450"/>
      <c r="CP218" s="2478">
        <f t="shared" si="118"/>
        <v>0</v>
      </c>
      <c r="CQ218" s="2478"/>
      <c r="CR218" s="2478"/>
      <c r="CS218" s="2478"/>
      <c r="CT218" s="2478"/>
    </row>
    <row r="219" spans="1:98" s="2485" customFormat="1" hidden="1" x14ac:dyDescent="0.2">
      <c r="A219" s="2532"/>
      <c r="B219" s="2533"/>
      <c r="C219" s="2534"/>
      <c r="D219" s="2534"/>
      <c r="E219" s="2535"/>
      <c r="F219" s="2533"/>
      <c r="G219" s="2533" t="s">
        <v>1526</v>
      </c>
      <c r="H219" s="2536">
        <f>H209+H217</f>
        <v>95146</v>
      </c>
      <c r="I219" s="2536">
        <f>I209+I217</f>
        <v>-13</v>
      </c>
      <c r="J219" s="2536">
        <f>J209+J217</f>
        <v>95133</v>
      </c>
      <c r="K219" s="2484">
        <f>IF(H219=0," ",(J219-H219)/H219)</f>
        <v>-1.366321232631955E-4</v>
      </c>
      <c r="M219" s="2536">
        <f>M209+M217</f>
        <v>88061</v>
      </c>
      <c r="N219" s="2536">
        <f>N209+N217</f>
        <v>88061</v>
      </c>
      <c r="P219" s="2537">
        <f>P209+P217</f>
        <v>0</v>
      </c>
      <c r="R219" s="2536">
        <f>R209+R217</f>
        <v>88061</v>
      </c>
      <c r="S219" s="2536">
        <f>S209+S217</f>
        <v>85321.85</v>
      </c>
      <c r="U219" s="2536">
        <f>U209+U217</f>
        <v>88061</v>
      </c>
      <c r="V219" s="2536">
        <f>V209+V217</f>
        <v>5513</v>
      </c>
      <c r="W219" s="2536">
        <f>W209+W217</f>
        <v>93574</v>
      </c>
      <c r="X219" s="2484">
        <f>IF(U219=0," ",(W219-U219)/U219)</f>
        <v>6.2604331088677162E-2</v>
      </c>
      <c r="Z219" s="2536">
        <f>Z209+Z217</f>
        <v>93574</v>
      </c>
      <c r="AA219" s="2536">
        <f>AA209+AA217</f>
        <v>98574</v>
      </c>
      <c r="AC219" s="2537"/>
      <c r="AE219" s="2536">
        <f>AE209+AE217</f>
        <v>98574</v>
      </c>
      <c r="AF219" s="2538">
        <f>AF209+AF217</f>
        <v>99560.78</v>
      </c>
      <c r="AH219" s="2536">
        <v>98574</v>
      </c>
      <c r="AI219" s="2536">
        <f>AI209+AI217</f>
        <v>8331</v>
      </c>
      <c r="AJ219" s="2536">
        <f>AJ209+AJ217</f>
        <v>106905</v>
      </c>
      <c r="AK219" s="2484">
        <f>IF(AH219=0," ",(AJ219-AH219)/AH219)</f>
        <v>8.4515186560350605E-2</v>
      </c>
      <c r="AM219" s="2536">
        <f>AM209+AM217</f>
        <v>106905</v>
      </c>
      <c r="AN219" s="2536">
        <f>AN209+AN217</f>
        <v>106905</v>
      </c>
      <c r="AP219" s="2537"/>
      <c r="AR219" s="2536">
        <f>AR209+AR217</f>
        <v>106905</v>
      </c>
      <c r="AS219" s="2536">
        <f>AS209+AS217</f>
        <v>101692.92000000001</v>
      </c>
      <c r="AT219" s="2536"/>
      <c r="AU219" s="2536">
        <f>AU209+AU217</f>
        <v>106195</v>
      </c>
      <c r="AV219" s="2536">
        <f>AV209+AV217</f>
        <v>105279.51000000001</v>
      </c>
      <c r="AX219" s="2536">
        <f>AX209+AX217</f>
        <v>106195</v>
      </c>
      <c r="AY219" s="2536">
        <f>AY209+AY217</f>
        <v>-903</v>
      </c>
      <c r="AZ219" s="2536">
        <f>AZ209+AZ217</f>
        <v>105292</v>
      </c>
      <c r="BA219" s="2484">
        <f>IF(AX219=0," ",(AZ219-AX219)/AX219)</f>
        <v>-8.5032251989265034E-3</v>
      </c>
      <c r="BC219" s="2536">
        <f>BC209+BC217</f>
        <v>105292</v>
      </c>
      <c r="BD219" s="2536">
        <f>BD209+BD217</f>
        <v>105292</v>
      </c>
      <c r="BF219" s="2537"/>
      <c r="BH219" s="2536">
        <f>BH209+BH217</f>
        <v>105292</v>
      </c>
      <c r="BI219" s="2536">
        <f>BI209+BI217</f>
        <v>105506.48999999999</v>
      </c>
      <c r="BJ219" s="2536"/>
      <c r="BK219" s="2536"/>
      <c r="BM219" s="2536">
        <f>BM209+BM217</f>
        <v>105292</v>
      </c>
      <c r="BN219" s="2539">
        <f>BN209+BN217</f>
        <v>1855</v>
      </c>
      <c r="BO219" s="2540">
        <f>BO209+BO217</f>
        <v>107147</v>
      </c>
      <c r="BP219" s="2490">
        <f>IF(BM219=0," ",(BO219-BM219)/BM219)</f>
        <v>1.7617672757664401E-2</v>
      </c>
      <c r="BQ219" s="2491"/>
      <c r="BR219" s="2540">
        <f>BR209+BR217</f>
        <v>107147</v>
      </c>
      <c r="BS219" s="2540">
        <f>BS209+BS217</f>
        <v>116816</v>
      </c>
      <c r="BT219" s="2491"/>
      <c r="BU219" s="2541"/>
      <c r="BV219" s="2491"/>
      <c r="BW219" s="2540">
        <f>BW209+BW217</f>
        <v>116816</v>
      </c>
      <c r="BX219" s="2536">
        <f>BX209+BX217</f>
        <v>55489.97</v>
      </c>
      <c r="BZ219" s="2540">
        <f>BZ209+BZ217</f>
        <v>116816</v>
      </c>
      <c r="CA219" s="2540">
        <f>CA209+CA217</f>
        <v>-5534</v>
      </c>
      <c r="CB219" s="2540">
        <f>CB209+CB217</f>
        <v>111282</v>
      </c>
      <c r="CC219" s="2490">
        <f>IF(BZ219=0," ",(CB219-BZ219)/BZ219)</f>
        <v>-4.7373647445555403E-2</v>
      </c>
      <c r="CD219" s="2491"/>
      <c r="CE219" s="2540">
        <f>CE209+CE217</f>
        <v>115940</v>
      </c>
      <c r="CF219" s="2490">
        <f>IF(CB219=0," ",(CE219-CB219)/CB219)</f>
        <v>4.1857622975863124E-2</v>
      </c>
      <c r="CG219" s="2540">
        <f>CG209+CG217</f>
        <v>115940</v>
      </c>
      <c r="CH219" s="2449" t="s">
        <v>1220</v>
      </c>
      <c r="CI219" s="2449"/>
      <c r="CJ219" s="2450"/>
      <c r="CK219" s="2450"/>
      <c r="CL219" s="2451"/>
      <c r="CM219" s="2451"/>
      <c r="CN219" s="2451"/>
      <c r="CO219" s="2477">
        <v>2.0370968354670449E-3</v>
      </c>
      <c r="CP219" s="2478">
        <f t="shared" si="118"/>
        <v>214.48999999999069</v>
      </c>
      <c r="CQ219" s="2478"/>
      <c r="CR219" s="2478"/>
      <c r="CS219" s="2478"/>
      <c r="CT219" s="2478"/>
    </row>
    <row r="220" spans="1:98" hidden="1" x14ac:dyDescent="0.2">
      <c r="AS220" s="2466"/>
      <c r="AT220" s="2466"/>
      <c r="BZ220" s="2472"/>
      <c r="CH220" s="2449" t="s">
        <v>1091</v>
      </c>
      <c r="CI220" s="2449"/>
      <c r="CJ220" s="2450"/>
      <c r="CK220" s="2450"/>
      <c r="CP220" s="2478">
        <f t="shared" si="118"/>
        <v>0</v>
      </c>
      <c r="CQ220" s="2478"/>
      <c r="CR220" s="2478"/>
      <c r="CS220" s="2478"/>
      <c r="CT220" s="2478"/>
    </row>
    <row r="221" spans="1:98" hidden="1" x14ac:dyDescent="0.2">
      <c r="A221" s="2395">
        <v>161</v>
      </c>
      <c r="B221" s="2440" t="s">
        <v>1214</v>
      </c>
      <c r="C221" s="2396">
        <v>16105</v>
      </c>
      <c r="D221" s="2396">
        <v>52700</v>
      </c>
      <c r="E221" s="2397" t="s">
        <v>1268</v>
      </c>
      <c r="F221" s="2440" t="s">
        <v>1214</v>
      </c>
      <c r="G221" s="2440" t="s">
        <v>1527</v>
      </c>
      <c r="H221" s="2466">
        <v>300</v>
      </c>
      <c r="I221" s="2470">
        <v>-150</v>
      </c>
      <c r="J221" s="2466">
        <f>H221+I221</f>
        <v>150</v>
      </c>
      <c r="K221" s="2468">
        <f>IF(H221=0," ",(J221-H221)/H221)</f>
        <v>-0.5</v>
      </c>
      <c r="M221" s="2467">
        <v>150</v>
      </c>
      <c r="N221" s="2467">
        <v>150</v>
      </c>
      <c r="P221" s="2469" t="s">
        <v>1517</v>
      </c>
      <c r="R221" s="2466">
        <v>150</v>
      </c>
      <c r="S221" s="2466">
        <v>0</v>
      </c>
      <c r="U221" s="2466">
        <v>150</v>
      </c>
      <c r="V221" s="2470">
        <v>0</v>
      </c>
      <c r="W221" s="2466">
        <f>U221+V221</f>
        <v>150</v>
      </c>
      <c r="X221" s="2468">
        <f>IF(U221=0," ",(W221-U221)/U221)</f>
        <v>0</v>
      </c>
      <c r="Z221" s="2467">
        <v>150</v>
      </c>
      <c r="AA221" s="2467">
        <v>450</v>
      </c>
      <c r="AC221" s="2469" t="s">
        <v>1528</v>
      </c>
      <c r="AE221" s="2466">
        <v>450</v>
      </c>
      <c r="AF221" s="2471">
        <v>0</v>
      </c>
      <c r="AH221" s="2466">
        <v>450</v>
      </c>
      <c r="AI221" s="2470">
        <v>-150</v>
      </c>
      <c r="AJ221" s="2466">
        <f>AH221+AI221</f>
        <v>300</v>
      </c>
      <c r="AK221" s="2468">
        <f>IF(AH221=0," ",(AJ221-AH221)/AH221)</f>
        <v>-0.33333333333333331</v>
      </c>
      <c r="AM221" s="2467">
        <v>300</v>
      </c>
      <c r="AN221" s="2467">
        <v>300</v>
      </c>
      <c r="AO221" s="2546"/>
      <c r="AP221" s="2596" t="s">
        <v>1529</v>
      </c>
      <c r="AR221" s="2466">
        <v>300</v>
      </c>
      <c r="AS221" s="2466">
        <v>0</v>
      </c>
      <c r="AT221" s="2466"/>
      <c r="AU221" s="2466">
        <f>300+150</f>
        <v>450</v>
      </c>
      <c r="AX221" s="2466">
        <f>300+150</f>
        <v>450</v>
      </c>
      <c r="AY221" s="2470">
        <v>-300</v>
      </c>
      <c r="AZ221" s="2466">
        <f t="shared" ref="AZ221:AZ235" si="128">AX221+AY221</f>
        <v>150</v>
      </c>
      <c r="BA221" s="2468">
        <f>IF(AX221=0," ",(AZ221-AX221)/AX221)</f>
        <v>-0.66666666666666663</v>
      </c>
      <c r="BC221" s="2467">
        <v>150</v>
      </c>
      <c r="BD221" s="2467">
        <v>150</v>
      </c>
      <c r="BE221" s="2546"/>
      <c r="BF221" s="2469" t="s">
        <v>1530</v>
      </c>
      <c r="BH221" s="2467">
        <v>150</v>
      </c>
      <c r="BI221" s="2466">
        <v>0</v>
      </c>
      <c r="BM221" s="2466">
        <v>150</v>
      </c>
      <c r="BN221" s="2470"/>
      <c r="BO221" s="2472">
        <f t="shared" ref="BO221:BO235" si="129">BM221+BN221</f>
        <v>150</v>
      </c>
      <c r="BP221" s="2473">
        <f>IF(BM221=0," ",(BO221-BM221)/BM221)</f>
        <v>0</v>
      </c>
      <c r="BR221" s="2474">
        <v>150</v>
      </c>
      <c r="BS221" s="2474">
        <v>450</v>
      </c>
      <c r="BU221" s="2547" t="s">
        <v>1531</v>
      </c>
      <c r="BW221" s="2474">
        <f>150+300</f>
        <v>450</v>
      </c>
      <c r="BZ221" s="2474">
        <f>150+300</f>
        <v>450</v>
      </c>
      <c r="CA221" s="2470">
        <v>-150</v>
      </c>
      <c r="CB221" s="2472">
        <f t="shared" ref="CB221:CB235" si="130">BZ221+CA221</f>
        <v>300</v>
      </c>
      <c r="CC221" s="2473">
        <f>IF(BZ221=0," ",(CB221-BZ221)/BZ221)</f>
        <v>-0.33333333333333331</v>
      </c>
      <c r="CE221" s="2474">
        <v>300</v>
      </c>
      <c r="CF221" s="2476">
        <f>IF(CB221=0," ",(CE221-CB221)/CB221)</f>
        <v>0</v>
      </c>
      <c r="CG221" s="2474">
        <v>300</v>
      </c>
      <c r="CH221" s="2449" t="s">
        <v>1217</v>
      </c>
      <c r="CI221" s="2449"/>
      <c r="CJ221" s="2450"/>
      <c r="CK221" s="2450"/>
      <c r="CO221" s="2477" t="s">
        <v>1218</v>
      </c>
      <c r="CP221" s="2478">
        <f t="shared" si="118"/>
        <v>-150</v>
      </c>
      <c r="CQ221" s="2478"/>
      <c r="CR221" s="2478"/>
      <c r="CS221" s="2478"/>
      <c r="CT221" s="2478"/>
    </row>
    <row r="222" spans="1:98" hidden="1" x14ac:dyDescent="0.2">
      <c r="A222" s="2395">
        <v>161</v>
      </c>
      <c r="B222" s="2440" t="s">
        <v>1214</v>
      </c>
      <c r="C222" s="2396">
        <v>16105</v>
      </c>
      <c r="D222" s="2396">
        <v>52760</v>
      </c>
      <c r="E222" s="2397" t="s">
        <v>1268</v>
      </c>
      <c r="F222" s="2440" t="s">
        <v>1214</v>
      </c>
      <c r="G222" s="2440" t="s">
        <v>1532</v>
      </c>
      <c r="H222" s="2466">
        <v>175</v>
      </c>
      <c r="I222" s="2470"/>
      <c r="J222" s="2466">
        <f>H222+I222</f>
        <v>175</v>
      </c>
      <c r="K222" s="2468">
        <f>IF(H222=0," ",(J222-H222)/H222)</f>
        <v>0</v>
      </c>
      <c r="M222" s="2467">
        <v>175</v>
      </c>
      <c r="N222" s="2467">
        <v>175</v>
      </c>
      <c r="P222" s="2469"/>
      <c r="R222" s="2466">
        <v>175</v>
      </c>
      <c r="S222" s="2466">
        <v>185</v>
      </c>
      <c r="U222" s="2466">
        <v>175</v>
      </c>
      <c r="V222" s="2470">
        <v>0</v>
      </c>
      <c r="W222" s="2466">
        <f>U222+V222</f>
        <v>175</v>
      </c>
      <c r="X222" s="2468">
        <f>IF(U222=0," ",(W222-U222)/U222)</f>
        <v>0</v>
      </c>
      <c r="Z222" s="2467">
        <v>175</v>
      </c>
      <c r="AA222" s="2467">
        <v>175</v>
      </c>
      <c r="AC222" s="2469"/>
      <c r="AE222" s="2466">
        <v>175</v>
      </c>
      <c r="AF222" s="2471">
        <v>175</v>
      </c>
      <c r="AH222" s="2466">
        <v>175</v>
      </c>
      <c r="AI222" s="2470"/>
      <c r="AJ222" s="2466">
        <f>AH222+AI222</f>
        <v>175</v>
      </c>
      <c r="AK222" s="2468">
        <f>IF(AH222=0," ",(AJ222-AH222)/AH222)</f>
        <v>0</v>
      </c>
      <c r="AM222" s="2467">
        <v>175</v>
      </c>
      <c r="AN222" s="2467">
        <v>175</v>
      </c>
      <c r="AP222" s="2469"/>
      <c r="AR222" s="2466">
        <v>175</v>
      </c>
      <c r="AS222" s="2466">
        <v>175</v>
      </c>
      <c r="AT222" s="2466"/>
      <c r="AU222" s="2466">
        <v>175</v>
      </c>
      <c r="AV222" s="2466">
        <v>185</v>
      </c>
      <c r="AX222" s="2466">
        <v>175</v>
      </c>
      <c r="AY222" s="2470"/>
      <c r="AZ222" s="2466">
        <f t="shared" si="128"/>
        <v>175</v>
      </c>
      <c r="BA222" s="2468">
        <f>IF(AX222=0," ",(AZ222-AX222)/AX222)</f>
        <v>0</v>
      </c>
      <c r="BC222" s="2467">
        <v>175</v>
      </c>
      <c r="BD222" s="2467">
        <v>175</v>
      </c>
      <c r="BF222" s="2469"/>
      <c r="BH222" s="2467">
        <v>175</v>
      </c>
      <c r="BI222" s="2466">
        <v>175</v>
      </c>
      <c r="BM222" s="2466">
        <v>175</v>
      </c>
      <c r="BN222" s="2470"/>
      <c r="BO222" s="2472">
        <f t="shared" si="129"/>
        <v>175</v>
      </c>
      <c r="BP222" s="2473">
        <f>IF(BM222=0," ",(BO222-BM222)/BM222)</f>
        <v>0</v>
      </c>
      <c r="BR222" s="2474">
        <v>175</v>
      </c>
      <c r="BS222" s="2474">
        <v>175</v>
      </c>
      <c r="BU222" s="2475"/>
      <c r="BW222" s="2474">
        <v>175</v>
      </c>
      <c r="BX222" s="2466">
        <v>175</v>
      </c>
      <c r="BZ222" s="2474">
        <v>175</v>
      </c>
      <c r="CA222" s="2470"/>
      <c r="CB222" s="2472">
        <f t="shared" si="130"/>
        <v>175</v>
      </c>
      <c r="CC222" s="2473">
        <f>IF(BZ222=0," ",(CB222-BZ222)/BZ222)</f>
        <v>0</v>
      </c>
      <c r="CE222" s="2474">
        <v>175</v>
      </c>
      <c r="CF222" s="2476">
        <f>IF(CB222=0," ",(CE222-CB222)/CB222)</f>
        <v>0</v>
      </c>
      <c r="CG222" s="2474">
        <v>175</v>
      </c>
      <c r="CH222" s="2449" t="s">
        <v>1217</v>
      </c>
      <c r="CI222" s="2449"/>
      <c r="CJ222" s="2450"/>
      <c r="CK222" s="2450"/>
      <c r="CO222" s="2477">
        <v>0</v>
      </c>
      <c r="CP222" s="2478">
        <f t="shared" si="118"/>
        <v>0</v>
      </c>
      <c r="CQ222" s="2478"/>
      <c r="CR222" s="2478"/>
      <c r="CS222" s="2478"/>
      <c r="CT222" s="2478"/>
    </row>
    <row r="223" spans="1:98" hidden="1" x14ac:dyDescent="0.2">
      <c r="A223" s="2395">
        <v>161</v>
      </c>
      <c r="C223" s="2396">
        <v>16105</v>
      </c>
      <c r="D223" s="2396">
        <v>53054</v>
      </c>
      <c r="E223" s="2397" t="s">
        <v>1268</v>
      </c>
      <c r="G223" s="2440" t="s">
        <v>1533</v>
      </c>
      <c r="I223" s="2470"/>
      <c r="M223" s="2467"/>
      <c r="N223" s="2467"/>
      <c r="P223" s="2469"/>
      <c r="V223" s="2470"/>
      <c r="Z223" s="2467"/>
      <c r="AA223" s="2467"/>
      <c r="AC223" s="2469"/>
      <c r="AI223" s="2470"/>
      <c r="AM223" s="2467"/>
      <c r="AN223" s="2467"/>
      <c r="AP223" s="2469"/>
      <c r="AS223" s="2466"/>
      <c r="AT223" s="2466"/>
      <c r="AY223" s="2470">
        <v>2000</v>
      </c>
      <c r="AZ223" s="2466">
        <f t="shared" si="128"/>
        <v>2000</v>
      </c>
      <c r="BC223" s="2467">
        <v>2000</v>
      </c>
      <c r="BD223" s="2467">
        <f>2000+4772</f>
        <v>6772</v>
      </c>
      <c r="BF223" s="2598" t="s">
        <v>1534</v>
      </c>
      <c r="BH223" s="2467">
        <f>2000+4772</f>
        <v>6772</v>
      </c>
      <c r="BI223" s="2466">
        <v>5530.62</v>
      </c>
      <c r="BM223" s="2466">
        <f>2000+4772</f>
        <v>6772</v>
      </c>
      <c r="BN223" s="2470">
        <f>-1195-800-377</f>
        <v>-2372</v>
      </c>
      <c r="BO223" s="2472">
        <f t="shared" si="129"/>
        <v>4400</v>
      </c>
      <c r="BR223" s="2474">
        <v>4400</v>
      </c>
      <c r="BS223" s="2474">
        <v>4400</v>
      </c>
      <c r="BU223" s="2578" t="s">
        <v>1535</v>
      </c>
      <c r="BW223" s="2474">
        <v>4400</v>
      </c>
      <c r="BX223" s="2466">
        <v>3200</v>
      </c>
      <c r="BZ223" s="2474">
        <v>4400</v>
      </c>
      <c r="CA223" s="2470"/>
      <c r="CB223" s="2472">
        <f t="shared" si="130"/>
        <v>4400</v>
      </c>
      <c r="CE223" s="2474">
        <v>4400</v>
      </c>
      <c r="CF223" s="2476"/>
      <c r="CG223" s="2474">
        <v>4400</v>
      </c>
      <c r="CH223" s="2449" t="s">
        <v>1217</v>
      </c>
      <c r="CI223" s="2449"/>
      <c r="CJ223" s="2450"/>
      <c r="CK223" s="2450"/>
      <c r="CO223" s="2477">
        <v>-0.18331069108092146</v>
      </c>
      <c r="CP223" s="2478">
        <f t="shared" si="118"/>
        <v>-1241.3800000000001</v>
      </c>
      <c r="CQ223" s="2478"/>
      <c r="CR223" s="2478"/>
      <c r="CS223" s="2478"/>
      <c r="CT223" s="2478"/>
    </row>
    <row r="224" spans="1:98" hidden="1" x14ac:dyDescent="0.2">
      <c r="A224" s="2395">
        <v>161</v>
      </c>
      <c r="B224" s="2440" t="s">
        <v>1214</v>
      </c>
      <c r="C224" s="2396">
        <v>16105</v>
      </c>
      <c r="D224" s="2396">
        <v>53421</v>
      </c>
      <c r="E224" s="2397" t="s">
        <v>1268</v>
      </c>
      <c r="F224" s="2440" t="s">
        <v>1214</v>
      </c>
      <c r="G224" s="2440" t="s">
        <v>1536</v>
      </c>
      <c r="H224" s="2466">
        <v>206</v>
      </c>
      <c r="I224" s="2470"/>
      <c r="J224" s="2466">
        <f t="shared" ref="J224:J235" si="131">H224+I224</f>
        <v>206</v>
      </c>
      <c r="K224" s="2468">
        <f t="shared" ref="K224:K235" si="132">IF(H224=0," ",(J224-H224)/H224)</f>
        <v>0</v>
      </c>
      <c r="M224" s="2467">
        <v>206</v>
      </c>
      <c r="N224" s="2467">
        <v>206</v>
      </c>
      <c r="P224" s="2469"/>
      <c r="R224" s="2466">
        <v>206</v>
      </c>
      <c r="S224" s="2466">
        <v>110.56</v>
      </c>
      <c r="U224" s="2466">
        <v>206</v>
      </c>
      <c r="V224" s="2470">
        <v>0</v>
      </c>
      <c r="W224" s="2466">
        <f t="shared" ref="W224:W235" si="133">U224+V224</f>
        <v>206</v>
      </c>
      <c r="X224" s="2468">
        <f t="shared" ref="X224:X235" si="134">IF(U224=0," ",(W224-U224)/U224)</f>
        <v>0</v>
      </c>
      <c r="Z224" s="2467">
        <v>206</v>
      </c>
      <c r="AA224" s="2467">
        <v>206</v>
      </c>
      <c r="AC224" s="2469"/>
      <c r="AE224" s="2466">
        <v>206</v>
      </c>
      <c r="AF224" s="2471">
        <v>25.98</v>
      </c>
      <c r="AH224" s="2466">
        <v>206</v>
      </c>
      <c r="AI224" s="2470"/>
      <c r="AJ224" s="2466">
        <f t="shared" ref="AJ224:AJ235" si="135">AH224+AI224</f>
        <v>206</v>
      </c>
      <c r="AK224" s="2468">
        <f t="shared" ref="AK224:AK235" si="136">IF(AH224=0," ",(AJ224-AH224)/AH224)</f>
        <v>0</v>
      </c>
      <c r="AM224" s="2467">
        <v>206</v>
      </c>
      <c r="AN224" s="2467">
        <v>206</v>
      </c>
      <c r="AP224" s="2469"/>
      <c r="AR224" s="2466">
        <v>206</v>
      </c>
      <c r="AS224" s="2466">
        <v>0</v>
      </c>
      <c r="AT224" s="2466"/>
      <c r="AU224" s="2466">
        <v>206</v>
      </c>
      <c r="AV224" s="2466">
        <v>173.72</v>
      </c>
      <c r="AX224" s="2466">
        <v>206</v>
      </c>
      <c r="AY224" s="2470"/>
      <c r="AZ224" s="2466">
        <f t="shared" si="128"/>
        <v>206</v>
      </c>
      <c r="BA224" s="2468">
        <f t="shared" ref="BA224:BA235" si="137">IF(AX224=0," ",(AZ224-AX224)/AX224)</f>
        <v>0</v>
      </c>
      <c r="BC224" s="2467">
        <v>206</v>
      </c>
      <c r="BD224" s="2467">
        <v>206</v>
      </c>
      <c r="BF224" s="2469"/>
      <c r="BH224" s="2467">
        <v>206</v>
      </c>
      <c r="BI224" s="2466">
        <v>201.85</v>
      </c>
      <c r="BM224" s="2466">
        <v>206</v>
      </c>
      <c r="BN224" s="2470"/>
      <c r="BO224" s="2472">
        <f t="shared" si="129"/>
        <v>206</v>
      </c>
      <c r="BP224" s="2473">
        <f t="shared" ref="BP224:BP235" si="138">IF(BM224=0," ",(BO224-BM224)/BM224)</f>
        <v>0</v>
      </c>
      <c r="BR224" s="2474">
        <v>206</v>
      </c>
      <c r="BS224" s="2474">
        <v>206</v>
      </c>
      <c r="BU224" s="2475"/>
      <c r="BW224" s="2474">
        <v>206</v>
      </c>
      <c r="BZ224" s="2474">
        <v>206</v>
      </c>
      <c r="CA224" s="2470"/>
      <c r="CB224" s="2472">
        <f t="shared" si="130"/>
        <v>206</v>
      </c>
      <c r="CC224" s="2473">
        <f t="shared" ref="CC224:CC235" si="139">IF(BZ224=0," ",(CB224-BZ224)/BZ224)</f>
        <v>0</v>
      </c>
      <c r="CE224" s="2474">
        <v>206</v>
      </c>
      <c r="CF224" s="2476">
        <f t="shared" ref="CF224:CF236" si="140">IF(CB224=0," ",(CE224-CB224)/CB224)</f>
        <v>0</v>
      </c>
      <c r="CG224" s="2474">
        <v>206</v>
      </c>
      <c r="CH224" s="2449" t="s">
        <v>1217</v>
      </c>
      <c r="CI224" s="2449"/>
      <c r="CJ224" s="2450"/>
      <c r="CK224" s="2450"/>
      <c r="CO224" s="2477">
        <v>-2.0145631067961189E-2</v>
      </c>
      <c r="CP224" s="2478">
        <f t="shared" si="118"/>
        <v>-4.1500000000000057</v>
      </c>
      <c r="CQ224" s="2478"/>
      <c r="CR224" s="2478"/>
      <c r="CS224" s="2478"/>
      <c r="CT224" s="2478"/>
    </row>
    <row r="225" spans="1:98" hidden="1" x14ac:dyDescent="0.2">
      <c r="A225" s="2395">
        <v>161</v>
      </c>
      <c r="B225" s="2440" t="s">
        <v>1214</v>
      </c>
      <c r="C225" s="2396">
        <v>16105</v>
      </c>
      <c r="D225" s="2396">
        <v>53424</v>
      </c>
      <c r="E225" s="2397" t="s">
        <v>1268</v>
      </c>
      <c r="F225" s="2440" t="s">
        <v>1214</v>
      </c>
      <c r="G225" s="2440" t="s">
        <v>1537</v>
      </c>
      <c r="H225" s="2466">
        <v>401</v>
      </c>
      <c r="I225" s="2470"/>
      <c r="J225" s="2466">
        <f t="shared" si="131"/>
        <v>401</v>
      </c>
      <c r="K225" s="2468">
        <f t="shared" si="132"/>
        <v>0</v>
      </c>
      <c r="M225" s="2467">
        <v>401</v>
      </c>
      <c r="N225" s="2467">
        <v>401</v>
      </c>
      <c r="P225" s="2469"/>
      <c r="R225" s="2466">
        <v>401</v>
      </c>
      <c r="S225" s="2466">
        <v>220</v>
      </c>
      <c r="U225" s="2466">
        <v>401</v>
      </c>
      <c r="V225" s="2470">
        <v>0</v>
      </c>
      <c r="W225" s="2466">
        <f t="shared" si="133"/>
        <v>401</v>
      </c>
      <c r="X225" s="2468">
        <f t="shared" si="134"/>
        <v>0</v>
      </c>
      <c r="Z225" s="2467">
        <v>401</v>
      </c>
      <c r="AA225" s="2467">
        <v>401</v>
      </c>
      <c r="AC225" s="2469"/>
      <c r="AE225" s="2466">
        <v>401</v>
      </c>
      <c r="AF225" s="2471">
        <v>118</v>
      </c>
      <c r="AH225" s="2466">
        <v>401</v>
      </c>
      <c r="AI225" s="2470"/>
      <c r="AJ225" s="2466">
        <f t="shared" si="135"/>
        <v>401</v>
      </c>
      <c r="AK225" s="2468">
        <f t="shared" si="136"/>
        <v>0</v>
      </c>
      <c r="AM225" s="2467">
        <v>401</v>
      </c>
      <c r="AN225" s="2467">
        <v>401</v>
      </c>
      <c r="AP225" s="2469"/>
      <c r="AR225" s="2466">
        <v>401</v>
      </c>
      <c r="AS225" s="2466">
        <v>312</v>
      </c>
      <c r="AT225" s="2466"/>
      <c r="AU225" s="2466">
        <v>401</v>
      </c>
      <c r="AV225" s="2466">
        <v>160</v>
      </c>
      <c r="AX225" s="2466">
        <v>401</v>
      </c>
      <c r="AY225" s="2470"/>
      <c r="AZ225" s="2466">
        <f t="shared" si="128"/>
        <v>401</v>
      </c>
      <c r="BA225" s="2468">
        <f t="shared" si="137"/>
        <v>0</v>
      </c>
      <c r="BC225" s="2467">
        <v>401</v>
      </c>
      <c r="BD225" s="2467">
        <v>401</v>
      </c>
      <c r="BF225" s="2469"/>
      <c r="BH225" s="2467">
        <v>401</v>
      </c>
      <c r="BI225" s="2466">
        <v>36.979999999999997</v>
      </c>
      <c r="BM225" s="2466">
        <v>401</v>
      </c>
      <c r="BN225" s="2470"/>
      <c r="BO225" s="2472">
        <f t="shared" si="129"/>
        <v>401</v>
      </c>
      <c r="BP225" s="2473">
        <f t="shared" si="138"/>
        <v>0</v>
      </c>
      <c r="BR225" s="2474">
        <v>401</v>
      </c>
      <c r="BS225" s="2474">
        <v>401</v>
      </c>
      <c r="BU225" s="2475"/>
      <c r="BW225" s="2474">
        <v>401</v>
      </c>
      <c r="BZ225" s="2474">
        <v>401</v>
      </c>
      <c r="CA225" s="2470"/>
      <c r="CB225" s="2472">
        <f t="shared" si="130"/>
        <v>401</v>
      </c>
      <c r="CC225" s="2473">
        <f t="shared" si="139"/>
        <v>0</v>
      </c>
      <c r="CE225" s="2474">
        <v>401</v>
      </c>
      <c r="CF225" s="2476">
        <f t="shared" si="140"/>
        <v>0</v>
      </c>
      <c r="CG225" s="2474">
        <v>401</v>
      </c>
      <c r="CH225" s="2449" t="s">
        <v>1217</v>
      </c>
      <c r="CI225" s="2449"/>
      <c r="CJ225" s="2450"/>
      <c r="CK225" s="2450"/>
      <c r="CO225" s="2477">
        <v>-0.90778054862842894</v>
      </c>
      <c r="CP225" s="2478">
        <f t="shared" si="118"/>
        <v>-364.02</v>
      </c>
      <c r="CQ225" s="2478"/>
      <c r="CR225" s="2478"/>
      <c r="CS225" s="2478"/>
      <c r="CT225" s="2478"/>
    </row>
    <row r="226" spans="1:98" hidden="1" x14ac:dyDescent="0.2">
      <c r="A226" s="2395">
        <v>161</v>
      </c>
      <c r="B226" s="2440" t="s">
        <v>1214</v>
      </c>
      <c r="C226" s="2396">
        <v>16105</v>
      </c>
      <c r="D226" s="2396">
        <v>53430</v>
      </c>
      <c r="E226" s="2397" t="s">
        <v>1268</v>
      </c>
      <c r="F226" s="2440" t="s">
        <v>1214</v>
      </c>
      <c r="G226" s="2440" t="s">
        <v>1538</v>
      </c>
      <c r="H226" s="2466">
        <v>1545</v>
      </c>
      <c r="I226" s="2470"/>
      <c r="J226" s="2466">
        <f t="shared" si="131"/>
        <v>1545</v>
      </c>
      <c r="K226" s="2468">
        <f t="shared" si="132"/>
        <v>0</v>
      </c>
      <c r="M226" s="2467">
        <v>1545</v>
      </c>
      <c r="N226" s="2467">
        <v>1545</v>
      </c>
      <c r="P226" s="2469"/>
      <c r="R226" s="2466">
        <v>1545</v>
      </c>
      <c r="S226" s="2466">
        <v>1526.92</v>
      </c>
      <c r="U226" s="2466">
        <v>1545</v>
      </c>
      <c r="V226" s="2470">
        <v>0</v>
      </c>
      <c r="W226" s="2466">
        <f t="shared" si="133"/>
        <v>1545</v>
      </c>
      <c r="X226" s="2468">
        <f t="shared" si="134"/>
        <v>0</v>
      </c>
      <c r="Z226" s="2467">
        <v>1545</v>
      </c>
      <c r="AA226" s="2467">
        <v>1545</v>
      </c>
      <c r="AC226" s="2469"/>
      <c r="AE226" s="2466">
        <v>1545</v>
      </c>
      <c r="AF226" s="2471">
        <v>1541.59</v>
      </c>
      <c r="AH226" s="2466">
        <v>1545</v>
      </c>
      <c r="AI226" s="2470"/>
      <c r="AJ226" s="2466">
        <f t="shared" si="135"/>
        <v>1545</v>
      </c>
      <c r="AK226" s="2468">
        <f t="shared" si="136"/>
        <v>0</v>
      </c>
      <c r="AM226" s="2467">
        <v>1545</v>
      </c>
      <c r="AN226" s="2467">
        <v>1545</v>
      </c>
      <c r="AP226" s="2469"/>
      <c r="AR226" s="2466">
        <v>1545</v>
      </c>
      <c r="AS226" s="2466">
        <v>2221.9</v>
      </c>
      <c r="AT226" s="2466"/>
      <c r="AU226" s="2466">
        <v>1545</v>
      </c>
      <c r="AV226" s="2466">
        <v>2171.9</v>
      </c>
      <c r="AX226" s="2466">
        <v>1545</v>
      </c>
      <c r="AY226" s="2542">
        <v>500</v>
      </c>
      <c r="AZ226" s="2466">
        <f t="shared" si="128"/>
        <v>2045</v>
      </c>
      <c r="BA226" s="2468">
        <f t="shared" si="137"/>
        <v>0.32362459546925565</v>
      </c>
      <c r="BC226" s="2467">
        <v>2045</v>
      </c>
      <c r="BD226" s="2467">
        <v>2045</v>
      </c>
      <c r="BF226" s="2543" t="s">
        <v>1273</v>
      </c>
      <c r="BH226" s="2467">
        <v>2045</v>
      </c>
      <c r="BI226" s="2466">
        <v>1383.05</v>
      </c>
      <c r="BM226" s="2466">
        <v>2045</v>
      </c>
      <c r="BN226" s="2470"/>
      <c r="BO226" s="2472">
        <f t="shared" si="129"/>
        <v>2045</v>
      </c>
      <c r="BP226" s="2473">
        <f t="shared" si="138"/>
        <v>0</v>
      </c>
      <c r="BR226" s="2474">
        <v>2045</v>
      </c>
      <c r="BS226" s="2474">
        <v>2045</v>
      </c>
      <c r="BU226" s="2544"/>
      <c r="BW226" s="2474">
        <v>2045</v>
      </c>
      <c r="BX226" s="2466">
        <v>1863.43</v>
      </c>
      <c r="BZ226" s="2474">
        <v>2045</v>
      </c>
      <c r="CA226" s="2470"/>
      <c r="CB226" s="2472">
        <f t="shared" si="130"/>
        <v>2045</v>
      </c>
      <c r="CC226" s="2473">
        <f t="shared" si="139"/>
        <v>0</v>
      </c>
      <c r="CE226" s="2474">
        <v>2045</v>
      </c>
      <c r="CF226" s="2476">
        <f t="shared" si="140"/>
        <v>0</v>
      </c>
      <c r="CG226" s="2474">
        <v>2045</v>
      </c>
      <c r="CH226" s="2449" t="s">
        <v>1217</v>
      </c>
      <c r="CI226" s="2449"/>
      <c r="CJ226" s="2450"/>
      <c r="CK226" s="2450"/>
      <c r="CO226" s="2477">
        <v>-0.32369193154034237</v>
      </c>
      <c r="CP226" s="2478">
        <f t="shared" si="118"/>
        <v>-661.95</v>
      </c>
      <c r="CQ226" s="2478"/>
      <c r="CR226" s="2478"/>
      <c r="CS226" s="2478"/>
      <c r="CT226" s="2478"/>
    </row>
    <row r="227" spans="1:98" hidden="1" x14ac:dyDescent="0.2">
      <c r="A227" s="2395">
        <v>161</v>
      </c>
      <c r="B227" s="2440" t="s">
        <v>1214</v>
      </c>
      <c r="C227" s="2396">
        <v>16105</v>
      </c>
      <c r="D227" s="2396">
        <v>53800</v>
      </c>
      <c r="E227" s="2397" t="s">
        <v>1268</v>
      </c>
      <c r="F227" s="2440" t="s">
        <v>1214</v>
      </c>
      <c r="G227" s="2440" t="s">
        <v>1539</v>
      </c>
      <c r="I227" s="2470"/>
      <c r="J227" s="2466">
        <f t="shared" si="131"/>
        <v>0</v>
      </c>
      <c r="K227" s="2468" t="str">
        <f t="shared" si="132"/>
        <v xml:space="preserve"> </v>
      </c>
      <c r="M227" s="2467">
        <v>1030</v>
      </c>
      <c r="N227" s="2467">
        <v>1030</v>
      </c>
      <c r="P227" s="2469"/>
      <c r="R227" s="2466">
        <v>1030</v>
      </c>
      <c r="S227" s="2466">
        <v>0</v>
      </c>
      <c r="U227" s="2466">
        <v>1030</v>
      </c>
      <c r="V227" s="2470">
        <v>0</v>
      </c>
      <c r="W227" s="2466">
        <f t="shared" si="133"/>
        <v>1030</v>
      </c>
      <c r="X227" s="2468">
        <f t="shared" si="134"/>
        <v>0</v>
      </c>
      <c r="Z227" s="2467">
        <v>1030</v>
      </c>
      <c r="AA227" s="2467">
        <v>1030</v>
      </c>
      <c r="AC227" s="2469"/>
      <c r="AE227" s="2466">
        <v>1030</v>
      </c>
      <c r="AF227" s="2471">
        <v>0</v>
      </c>
      <c r="AH227" s="2466">
        <v>1030</v>
      </c>
      <c r="AI227" s="2470"/>
      <c r="AJ227" s="2466">
        <f t="shared" si="135"/>
        <v>1030</v>
      </c>
      <c r="AK227" s="2468">
        <f t="shared" si="136"/>
        <v>0</v>
      </c>
      <c r="AM227" s="2467">
        <v>1030</v>
      </c>
      <c r="AN227" s="2467">
        <v>1030</v>
      </c>
      <c r="AP227" s="2469"/>
      <c r="AR227" s="2466">
        <v>1030</v>
      </c>
      <c r="AS227" s="2466">
        <v>180.2</v>
      </c>
      <c r="AT227" s="2466"/>
      <c r="AU227" s="2466">
        <v>1030</v>
      </c>
      <c r="AX227" s="2466">
        <v>1030</v>
      </c>
      <c r="AY227" s="2542">
        <v>-500</v>
      </c>
      <c r="AZ227" s="2466">
        <f t="shared" si="128"/>
        <v>530</v>
      </c>
      <c r="BA227" s="2468">
        <f t="shared" si="137"/>
        <v>-0.4854368932038835</v>
      </c>
      <c r="BC227" s="2467">
        <v>530</v>
      </c>
      <c r="BD227" s="2467">
        <v>530</v>
      </c>
      <c r="BF227" s="2543" t="s">
        <v>1273</v>
      </c>
      <c r="BH227" s="2467">
        <v>530</v>
      </c>
      <c r="BI227" s="2466">
        <v>288.82</v>
      </c>
      <c r="BM227" s="2466">
        <v>530</v>
      </c>
      <c r="BN227" s="2470"/>
      <c r="BO227" s="2472">
        <f t="shared" si="129"/>
        <v>530</v>
      </c>
      <c r="BP227" s="2473">
        <f t="shared" si="138"/>
        <v>0</v>
      </c>
      <c r="BR227" s="2474">
        <v>530</v>
      </c>
      <c r="BS227" s="2474">
        <v>530</v>
      </c>
      <c r="BU227" s="2544"/>
      <c r="BW227" s="2474">
        <v>530</v>
      </c>
      <c r="BZ227" s="2474">
        <v>530</v>
      </c>
      <c r="CA227" s="2470"/>
      <c r="CB227" s="2472">
        <f t="shared" si="130"/>
        <v>530</v>
      </c>
      <c r="CC227" s="2473">
        <f t="shared" si="139"/>
        <v>0</v>
      </c>
      <c r="CE227" s="2474">
        <v>530</v>
      </c>
      <c r="CF227" s="2476">
        <f t="shared" si="140"/>
        <v>0</v>
      </c>
      <c r="CG227" s="2474">
        <v>530</v>
      </c>
      <c r="CH227" s="2449" t="s">
        <v>1217</v>
      </c>
      <c r="CI227" s="2449"/>
      <c r="CJ227" s="2450"/>
      <c r="CK227" s="2450"/>
      <c r="CO227" s="2477">
        <v>-0.45505660377358492</v>
      </c>
      <c r="CP227" s="2478">
        <f t="shared" si="118"/>
        <v>-241.18</v>
      </c>
      <c r="CQ227" s="2478"/>
      <c r="CR227" s="2478"/>
      <c r="CS227" s="2478"/>
      <c r="CT227" s="2478"/>
    </row>
    <row r="228" spans="1:98" hidden="1" x14ac:dyDescent="0.2">
      <c r="A228" s="2395">
        <v>161</v>
      </c>
      <c r="B228" s="2440" t="s">
        <v>1214</v>
      </c>
      <c r="C228" s="2396">
        <v>16105</v>
      </c>
      <c r="D228" s="2396">
        <v>53801</v>
      </c>
      <c r="E228" s="2397" t="s">
        <v>1268</v>
      </c>
      <c r="F228" s="2440" t="s">
        <v>1214</v>
      </c>
      <c r="G228" s="2440" t="s">
        <v>1540</v>
      </c>
      <c r="H228" s="2466">
        <v>1030</v>
      </c>
      <c r="I228" s="2599"/>
      <c r="J228" s="2466">
        <f t="shared" si="131"/>
        <v>1030</v>
      </c>
      <c r="K228" s="2468">
        <f t="shared" si="132"/>
        <v>0</v>
      </c>
      <c r="M228" s="2467"/>
      <c r="N228" s="2467"/>
      <c r="P228" s="2469"/>
      <c r="V228" s="2599">
        <v>0</v>
      </c>
      <c r="W228" s="2466">
        <f t="shared" si="133"/>
        <v>0</v>
      </c>
      <c r="X228" s="2468" t="str">
        <f t="shared" si="134"/>
        <v xml:space="preserve"> </v>
      </c>
      <c r="Z228" s="2467">
        <v>0</v>
      </c>
      <c r="AA228" s="2467">
        <v>0</v>
      </c>
      <c r="AC228" s="2469"/>
      <c r="AE228" s="2466">
        <v>0</v>
      </c>
      <c r="AF228" s="2471">
        <v>0</v>
      </c>
      <c r="AH228" s="2466">
        <v>0</v>
      </c>
      <c r="AI228" s="2599"/>
      <c r="AJ228" s="2466">
        <f t="shared" si="135"/>
        <v>0</v>
      </c>
      <c r="AK228" s="2468" t="str">
        <f t="shared" si="136"/>
        <v xml:space="preserve"> </v>
      </c>
      <c r="AM228" s="2467">
        <v>0</v>
      </c>
      <c r="AN228" s="2467">
        <v>0</v>
      </c>
      <c r="AP228" s="2469"/>
      <c r="AR228" s="2466">
        <v>0</v>
      </c>
      <c r="AS228" s="2466">
        <v>0</v>
      </c>
      <c r="AT228" s="2466"/>
      <c r="AU228" s="2466">
        <v>0</v>
      </c>
      <c r="AX228" s="2466">
        <v>0</v>
      </c>
      <c r="AY228" s="2599"/>
      <c r="AZ228" s="2466">
        <f t="shared" si="128"/>
        <v>0</v>
      </c>
      <c r="BA228" s="2468" t="str">
        <f t="shared" si="137"/>
        <v xml:space="preserve"> </v>
      </c>
      <c r="BC228" s="2467">
        <v>0</v>
      </c>
      <c r="BD228" s="2467">
        <v>0</v>
      </c>
      <c r="BF228" s="2469"/>
      <c r="BH228" s="2467">
        <v>0</v>
      </c>
      <c r="BM228" s="2466">
        <v>0</v>
      </c>
      <c r="BN228" s="2470">
        <v>2372</v>
      </c>
      <c r="BO228" s="2472">
        <f t="shared" si="129"/>
        <v>2372</v>
      </c>
      <c r="BP228" s="2473" t="str">
        <f t="shared" si="138"/>
        <v xml:space="preserve"> </v>
      </c>
      <c r="BR228" s="2474">
        <v>2372</v>
      </c>
      <c r="BS228" s="2474">
        <v>2372</v>
      </c>
      <c r="BU228" s="2578" t="s">
        <v>1541</v>
      </c>
      <c r="BW228" s="2474">
        <v>2372</v>
      </c>
      <c r="BZ228" s="2474">
        <v>2372</v>
      </c>
      <c r="CA228" s="2470"/>
      <c r="CB228" s="2472">
        <f t="shared" si="130"/>
        <v>2372</v>
      </c>
      <c r="CC228" s="2473">
        <f t="shared" si="139"/>
        <v>0</v>
      </c>
      <c r="CE228" s="2474">
        <v>2372</v>
      </c>
      <c r="CF228" s="2476">
        <f t="shared" si="140"/>
        <v>0</v>
      </c>
      <c r="CG228" s="2474">
        <v>2372</v>
      </c>
      <c r="CH228" s="2449" t="s">
        <v>1217</v>
      </c>
      <c r="CI228" s="2449"/>
      <c r="CJ228" s="2450"/>
      <c r="CK228" s="2450"/>
      <c r="CP228" s="2478">
        <f t="shared" si="118"/>
        <v>0</v>
      </c>
      <c r="CQ228" s="2478"/>
      <c r="CR228" s="2478"/>
      <c r="CS228" s="2478"/>
      <c r="CT228" s="2478"/>
    </row>
    <row r="229" spans="1:98" hidden="1" x14ac:dyDescent="0.2">
      <c r="A229" s="2395">
        <v>161</v>
      </c>
      <c r="B229" s="2440" t="s">
        <v>1214</v>
      </c>
      <c r="C229" s="2396">
        <v>16105</v>
      </c>
      <c r="D229" s="2396">
        <v>53840</v>
      </c>
      <c r="E229" s="2397" t="s">
        <v>1268</v>
      </c>
      <c r="F229" s="2440" t="s">
        <v>1214</v>
      </c>
      <c r="G229" s="2440" t="s">
        <v>1542</v>
      </c>
      <c r="H229" s="2466">
        <v>318</v>
      </c>
      <c r="I229" s="2599">
        <v>2000</v>
      </c>
      <c r="J229" s="2466">
        <f t="shared" si="131"/>
        <v>2318</v>
      </c>
      <c r="K229" s="2468">
        <f t="shared" si="132"/>
        <v>6.2893081761006293</v>
      </c>
      <c r="M229" s="2467">
        <v>2318</v>
      </c>
      <c r="N229" s="2467">
        <v>2318</v>
      </c>
      <c r="P229" s="2469" t="s">
        <v>1543</v>
      </c>
      <c r="R229" s="2466">
        <v>2318</v>
      </c>
      <c r="S229" s="2466">
        <v>1168.02</v>
      </c>
      <c r="U229" s="2466">
        <v>2318</v>
      </c>
      <c r="V229" s="2599">
        <v>0</v>
      </c>
      <c r="W229" s="2466">
        <f t="shared" si="133"/>
        <v>2318</v>
      </c>
      <c r="X229" s="2468">
        <f t="shared" si="134"/>
        <v>0</v>
      </c>
      <c r="Z229" s="2467">
        <v>2318</v>
      </c>
      <c r="AA229" s="2467">
        <v>2318</v>
      </c>
      <c r="AC229" s="2469"/>
      <c r="AE229" s="2466">
        <v>2318</v>
      </c>
      <c r="AF229" s="2471">
        <v>1021.35</v>
      </c>
      <c r="AH229" s="2466">
        <v>2318</v>
      </c>
      <c r="AI229" s="2599"/>
      <c r="AJ229" s="2466">
        <f t="shared" si="135"/>
        <v>2318</v>
      </c>
      <c r="AK229" s="2468">
        <f t="shared" si="136"/>
        <v>0</v>
      </c>
      <c r="AM229" s="2467">
        <v>2318</v>
      </c>
      <c r="AN229" s="2467">
        <v>2318</v>
      </c>
      <c r="AP229" s="2469"/>
      <c r="AR229" s="2466">
        <v>2318</v>
      </c>
      <c r="AS229" s="2466">
        <v>2101.73</v>
      </c>
      <c r="AT229" s="2466"/>
      <c r="AU229" s="2466">
        <v>2318</v>
      </c>
      <c r="AV229" s="2466">
        <v>2211.6</v>
      </c>
      <c r="AX229" s="2466">
        <v>2318</v>
      </c>
      <c r="AY229" s="2599"/>
      <c r="AZ229" s="2466">
        <f t="shared" si="128"/>
        <v>2318</v>
      </c>
      <c r="BA229" s="2468">
        <f t="shared" si="137"/>
        <v>0</v>
      </c>
      <c r="BC229" s="2467">
        <v>2318</v>
      </c>
      <c r="BD229" s="2467">
        <v>2318</v>
      </c>
      <c r="BF229" s="2469"/>
      <c r="BH229" s="2467">
        <v>2318</v>
      </c>
      <c r="BI229" s="2466">
        <v>2498.3000000000002</v>
      </c>
      <c r="BM229" s="2466">
        <v>2318</v>
      </c>
      <c r="BN229" s="2600"/>
      <c r="BO229" s="2472">
        <f t="shared" si="129"/>
        <v>2318</v>
      </c>
      <c r="BP229" s="2473">
        <f t="shared" si="138"/>
        <v>0</v>
      </c>
      <c r="BR229" s="2474">
        <v>2318</v>
      </c>
      <c r="BS229" s="2474">
        <v>2318</v>
      </c>
      <c r="BU229" s="2475"/>
      <c r="BW229" s="2474">
        <v>2318</v>
      </c>
      <c r="BX229" s="2466">
        <v>1093.82</v>
      </c>
      <c r="BZ229" s="2474">
        <v>2318</v>
      </c>
      <c r="CA229" s="2600"/>
      <c r="CB229" s="2472">
        <f t="shared" si="130"/>
        <v>2318</v>
      </c>
      <c r="CC229" s="2473">
        <f t="shared" si="139"/>
        <v>0</v>
      </c>
      <c r="CE229" s="2474">
        <v>2318</v>
      </c>
      <c r="CF229" s="2476">
        <f t="shared" si="140"/>
        <v>0</v>
      </c>
      <c r="CG229" s="2474">
        <v>2318</v>
      </c>
      <c r="CH229" s="2449" t="s">
        <v>1217</v>
      </c>
      <c r="CI229" s="2449"/>
      <c r="CJ229" s="2450"/>
      <c r="CK229" s="2450"/>
      <c r="CO229" s="2477">
        <v>7.7782571182053672E-2</v>
      </c>
      <c r="CP229" s="2478">
        <f t="shared" si="118"/>
        <v>180.30000000000018</v>
      </c>
      <c r="CQ229" s="2478"/>
      <c r="CR229" s="2478"/>
      <c r="CS229" s="2478"/>
      <c r="CT229" s="2478"/>
    </row>
    <row r="230" spans="1:98" hidden="1" x14ac:dyDescent="0.2">
      <c r="A230" s="2395">
        <v>161</v>
      </c>
      <c r="B230" s="2440" t="s">
        <v>1214</v>
      </c>
      <c r="C230" s="2396">
        <v>16105</v>
      </c>
      <c r="D230" s="2396">
        <v>54200</v>
      </c>
      <c r="E230" s="2397" t="s">
        <v>1268</v>
      </c>
      <c r="F230" s="2440" t="s">
        <v>1214</v>
      </c>
      <c r="G230" s="2440" t="s">
        <v>1544</v>
      </c>
      <c r="H230" s="2466">
        <v>1130</v>
      </c>
      <c r="I230" s="2470"/>
      <c r="J230" s="2466">
        <f t="shared" si="131"/>
        <v>1130</v>
      </c>
      <c r="K230" s="2468">
        <f t="shared" si="132"/>
        <v>0</v>
      </c>
      <c r="M230" s="2467">
        <v>1130</v>
      </c>
      <c r="N230" s="2467">
        <v>1130</v>
      </c>
      <c r="P230" s="2469"/>
      <c r="R230" s="2466">
        <v>1130</v>
      </c>
      <c r="S230" s="2466">
        <v>1125.0899999999999</v>
      </c>
      <c r="U230" s="2466">
        <v>1130</v>
      </c>
      <c r="V230" s="2470">
        <v>0</v>
      </c>
      <c r="W230" s="2466">
        <f t="shared" si="133"/>
        <v>1130</v>
      </c>
      <c r="X230" s="2468">
        <f t="shared" si="134"/>
        <v>0</v>
      </c>
      <c r="Z230" s="2467">
        <v>1130</v>
      </c>
      <c r="AA230" s="2467">
        <v>1130</v>
      </c>
      <c r="AC230" s="2469"/>
      <c r="AE230" s="2466">
        <v>1130</v>
      </c>
      <c r="AF230" s="2471">
        <v>769.95</v>
      </c>
      <c r="AH230" s="2466">
        <v>1130</v>
      </c>
      <c r="AI230" s="2470"/>
      <c r="AJ230" s="2466">
        <f t="shared" si="135"/>
        <v>1130</v>
      </c>
      <c r="AK230" s="2468">
        <f t="shared" si="136"/>
        <v>0</v>
      </c>
      <c r="AM230" s="2467">
        <v>1130</v>
      </c>
      <c r="AN230" s="2467">
        <v>1130</v>
      </c>
      <c r="AP230" s="2469"/>
      <c r="AR230" s="2466">
        <v>1130</v>
      </c>
      <c r="AS230" s="2466">
        <v>182.29</v>
      </c>
      <c r="AT230" s="2466"/>
      <c r="AU230" s="2466">
        <v>1130</v>
      </c>
      <c r="AV230" s="2466">
        <v>182.11</v>
      </c>
      <c r="AX230" s="2466">
        <v>1130</v>
      </c>
      <c r="AY230" s="2470"/>
      <c r="AZ230" s="2466">
        <f t="shared" si="128"/>
        <v>1130</v>
      </c>
      <c r="BA230" s="2468">
        <f t="shared" si="137"/>
        <v>0</v>
      </c>
      <c r="BC230" s="2467">
        <v>1130</v>
      </c>
      <c r="BD230" s="2467">
        <v>1130</v>
      </c>
      <c r="BF230" s="2469"/>
      <c r="BH230" s="2467">
        <v>1130</v>
      </c>
      <c r="BI230" s="2466">
        <v>253.46</v>
      </c>
      <c r="BM230" s="2466">
        <v>1130</v>
      </c>
      <c r="BN230" s="2470"/>
      <c r="BO230" s="2472">
        <f t="shared" si="129"/>
        <v>1130</v>
      </c>
      <c r="BP230" s="2473">
        <f t="shared" si="138"/>
        <v>0</v>
      </c>
      <c r="BR230" s="2474">
        <v>1130</v>
      </c>
      <c r="BS230" s="2474">
        <v>1130</v>
      </c>
      <c r="BU230" s="2475"/>
      <c r="BW230" s="2474">
        <v>1130</v>
      </c>
      <c r="BZ230" s="2474">
        <v>1130</v>
      </c>
      <c r="CA230" s="2470"/>
      <c r="CB230" s="2472">
        <f t="shared" si="130"/>
        <v>1130</v>
      </c>
      <c r="CC230" s="2473">
        <f t="shared" si="139"/>
        <v>0</v>
      </c>
      <c r="CE230" s="2474">
        <v>1130</v>
      </c>
      <c r="CF230" s="2476">
        <f t="shared" si="140"/>
        <v>0</v>
      </c>
      <c r="CG230" s="2474">
        <v>1130</v>
      </c>
      <c r="CH230" s="2449" t="s">
        <v>1217</v>
      </c>
      <c r="CI230" s="2449"/>
      <c r="CJ230" s="2450"/>
      <c r="CK230" s="2450"/>
      <c r="CO230" s="2477">
        <v>-0.77569911504424782</v>
      </c>
      <c r="CP230" s="2478">
        <f t="shared" si="118"/>
        <v>-876.54</v>
      </c>
      <c r="CQ230" s="2478"/>
      <c r="CR230" s="2478"/>
      <c r="CS230" s="2478"/>
      <c r="CT230" s="2478"/>
    </row>
    <row r="231" spans="1:98" hidden="1" x14ac:dyDescent="0.2">
      <c r="A231" s="2395">
        <v>161</v>
      </c>
      <c r="B231" s="2440" t="s">
        <v>1214</v>
      </c>
      <c r="C231" s="2396">
        <v>16105</v>
      </c>
      <c r="D231" s="2396">
        <v>54215</v>
      </c>
      <c r="E231" s="2397" t="s">
        <v>1268</v>
      </c>
      <c r="F231" s="2440" t="s">
        <v>1214</v>
      </c>
      <c r="G231" s="2440" t="s">
        <v>1545</v>
      </c>
      <c r="H231" s="2466">
        <v>330</v>
      </c>
      <c r="I231" s="2470"/>
      <c r="J231" s="2466">
        <f t="shared" si="131"/>
        <v>330</v>
      </c>
      <c r="K231" s="2468">
        <f t="shared" si="132"/>
        <v>0</v>
      </c>
      <c r="M231" s="2467">
        <v>330</v>
      </c>
      <c r="N231" s="2467">
        <v>330</v>
      </c>
      <c r="P231" s="2469"/>
      <c r="R231" s="2466">
        <v>330</v>
      </c>
      <c r="S231" s="2466">
        <v>250.64</v>
      </c>
      <c r="U231" s="2466">
        <v>330</v>
      </c>
      <c r="V231" s="2470">
        <v>0</v>
      </c>
      <c r="W231" s="2466">
        <f t="shared" si="133"/>
        <v>330</v>
      </c>
      <c r="X231" s="2468">
        <f t="shared" si="134"/>
        <v>0</v>
      </c>
      <c r="Z231" s="2467">
        <v>330</v>
      </c>
      <c r="AA231" s="2467">
        <v>330</v>
      </c>
      <c r="AC231" s="2469"/>
      <c r="AE231" s="2466">
        <v>330</v>
      </c>
      <c r="AF231" s="2471">
        <v>295.18</v>
      </c>
      <c r="AH231" s="2466">
        <v>330</v>
      </c>
      <c r="AI231" s="2470"/>
      <c r="AJ231" s="2466">
        <f t="shared" si="135"/>
        <v>330</v>
      </c>
      <c r="AK231" s="2468">
        <f t="shared" si="136"/>
        <v>0</v>
      </c>
      <c r="AM231" s="2467">
        <v>330</v>
      </c>
      <c r="AN231" s="2467">
        <v>330</v>
      </c>
      <c r="AP231" s="2469"/>
      <c r="AR231" s="2466">
        <v>330</v>
      </c>
      <c r="AS231" s="2466">
        <v>234.76</v>
      </c>
      <c r="AT231" s="2466"/>
      <c r="AU231" s="2466">
        <v>330</v>
      </c>
      <c r="AV231" s="2466">
        <v>257.24</v>
      </c>
      <c r="AX231" s="2466">
        <v>330</v>
      </c>
      <c r="AY231" s="2470"/>
      <c r="AZ231" s="2466">
        <f t="shared" si="128"/>
        <v>330</v>
      </c>
      <c r="BA231" s="2468">
        <f t="shared" si="137"/>
        <v>0</v>
      </c>
      <c r="BC231" s="2467">
        <v>330</v>
      </c>
      <c r="BD231" s="2467">
        <v>330</v>
      </c>
      <c r="BF231" s="2469"/>
      <c r="BH231" s="2467">
        <v>330</v>
      </c>
      <c r="BI231" s="2466">
        <v>267.64999999999998</v>
      </c>
      <c r="BM231" s="2466">
        <v>330</v>
      </c>
      <c r="BN231" s="2470"/>
      <c r="BO231" s="2472">
        <f t="shared" si="129"/>
        <v>330</v>
      </c>
      <c r="BP231" s="2473">
        <f t="shared" si="138"/>
        <v>0</v>
      </c>
      <c r="BR231" s="2474">
        <v>330</v>
      </c>
      <c r="BS231" s="2474">
        <v>330</v>
      </c>
      <c r="BU231" s="2475"/>
      <c r="BW231" s="2474">
        <v>330</v>
      </c>
      <c r="BX231" s="2466">
        <v>267.26</v>
      </c>
      <c r="BZ231" s="2474">
        <v>330</v>
      </c>
      <c r="CA231" s="2470"/>
      <c r="CB231" s="2472">
        <f t="shared" si="130"/>
        <v>330</v>
      </c>
      <c r="CC231" s="2473">
        <f t="shared" si="139"/>
        <v>0</v>
      </c>
      <c r="CE231" s="2474">
        <v>330</v>
      </c>
      <c r="CF231" s="2476">
        <f t="shared" si="140"/>
        <v>0</v>
      </c>
      <c r="CG231" s="2474">
        <v>330</v>
      </c>
      <c r="CH231" s="2449" t="s">
        <v>1217</v>
      </c>
      <c r="CI231" s="2449"/>
      <c r="CJ231" s="2450"/>
      <c r="CK231" s="2450"/>
      <c r="CO231" s="2477">
        <v>-0.18893939393939396</v>
      </c>
      <c r="CP231" s="2478">
        <f t="shared" si="118"/>
        <v>-62.350000000000023</v>
      </c>
      <c r="CQ231" s="2478"/>
      <c r="CR231" s="2478"/>
      <c r="CS231" s="2478"/>
      <c r="CT231" s="2478"/>
    </row>
    <row r="232" spans="1:98" hidden="1" x14ac:dyDescent="0.2">
      <c r="A232" s="2395">
        <v>161</v>
      </c>
      <c r="B232" s="2440" t="s">
        <v>1214</v>
      </c>
      <c r="C232" s="2396">
        <v>16105</v>
      </c>
      <c r="D232" s="2396">
        <v>54224</v>
      </c>
      <c r="E232" s="2397" t="s">
        <v>1268</v>
      </c>
      <c r="F232" s="2440" t="s">
        <v>1214</v>
      </c>
      <c r="G232" s="2440" t="s">
        <v>1546</v>
      </c>
      <c r="H232" s="2466">
        <v>6350</v>
      </c>
      <c r="I232" s="2470">
        <v>-2550</v>
      </c>
      <c r="J232" s="2466">
        <f t="shared" si="131"/>
        <v>3800</v>
      </c>
      <c r="K232" s="2468">
        <f t="shared" si="132"/>
        <v>-0.40157480314960631</v>
      </c>
      <c r="M232" s="2467">
        <v>3800</v>
      </c>
      <c r="N232" s="2467">
        <v>3800</v>
      </c>
      <c r="P232" s="2469" t="s">
        <v>1517</v>
      </c>
      <c r="R232" s="2466">
        <v>3800</v>
      </c>
      <c r="S232" s="2466">
        <v>3491.5</v>
      </c>
      <c r="U232" s="2466">
        <v>3800</v>
      </c>
      <c r="V232" s="2470">
        <v>0</v>
      </c>
      <c r="W232" s="2466">
        <f t="shared" si="133"/>
        <v>3800</v>
      </c>
      <c r="X232" s="2468">
        <f t="shared" si="134"/>
        <v>0</v>
      </c>
      <c r="Z232" s="2467">
        <v>3800</v>
      </c>
      <c r="AA232" s="2467">
        <f>3800+2750</f>
        <v>6550</v>
      </c>
      <c r="AC232" s="2469" t="s">
        <v>1547</v>
      </c>
      <c r="AE232" s="2466">
        <f>3800+2750</f>
        <v>6550</v>
      </c>
      <c r="AF232" s="2471">
        <v>7494.86</v>
      </c>
      <c r="AH232" s="2466">
        <v>6550</v>
      </c>
      <c r="AI232" s="2470">
        <v>-2550</v>
      </c>
      <c r="AJ232" s="2466">
        <f t="shared" si="135"/>
        <v>4000</v>
      </c>
      <c r="AK232" s="2468">
        <f t="shared" si="136"/>
        <v>-0.38931297709923662</v>
      </c>
      <c r="AM232" s="2467">
        <v>4000</v>
      </c>
      <c r="AN232" s="2467">
        <v>4000</v>
      </c>
      <c r="AO232" s="2546"/>
      <c r="AP232" s="2596" t="s">
        <v>1529</v>
      </c>
      <c r="AR232" s="2466">
        <v>4000</v>
      </c>
      <c r="AS232" s="2466">
        <v>5795.62</v>
      </c>
      <c r="AT232" s="2466"/>
      <c r="AU232" s="2466">
        <f>4000+3062</f>
        <v>7062</v>
      </c>
      <c r="AV232" s="2466">
        <v>5685.96</v>
      </c>
      <c r="AX232" s="2466">
        <f>4000+3062</f>
        <v>7062</v>
      </c>
      <c r="AY232" s="2470">
        <v>-3112</v>
      </c>
      <c r="AZ232" s="2466">
        <f t="shared" si="128"/>
        <v>3950</v>
      </c>
      <c r="BA232" s="2468">
        <f t="shared" si="137"/>
        <v>-0.44066836590201075</v>
      </c>
      <c r="BC232" s="2467">
        <v>3950</v>
      </c>
      <c r="BD232" s="2467">
        <v>3950</v>
      </c>
      <c r="BE232" s="2546"/>
      <c r="BF232" s="2469" t="s">
        <v>1530</v>
      </c>
      <c r="BH232" s="2467">
        <v>3950</v>
      </c>
      <c r="BI232" s="2466">
        <v>3755.38</v>
      </c>
      <c r="BM232" s="2466">
        <v>3950</v>
      </c>
      <c r="BN232" s="2470"/>
      <c r="BO232" s="2472">
        <f t="shared" si="129"/>
        <v>3950</v>
      </c>
      <c r="BP232" s="2473">
        <f t="shared" si="138"/>
        <v>0</v>
      </c>
      <c r="BR232" s="2474">
        <v>3950</v>
      </c>
      <c r="BS232" s="2474">
        <v>6470</v>
      </c>
      <c r="BU232" s="2547" t="s">
        <v>1548</v>
      </c>
      <c r="BW232" s="2474">
        <f>3950+2520</f>
        <v>6470</v>
      </c>
      <c r="BX232" s="2466">
        <v>3927.08</v>
      </c>
      <c r="BZ232" s="2474">
        <f>3950+2520</f>
        <v>6470</v>
      </c>
      <c r="CA232" s="2470">
        <v>-620</v>
      </c>
      <c r="CB232" s="2472">
        <f t="shared" si="130"/>
        <v>5850</v>
      </c>
      <c r="CC232" s="2473">
        <f t="shared" si="139"/>
        <v>-9.5826893353941262E-2</v>
      </c>
      <c r="CE232" s="2474">
        <v>5850</v>
      </c>
      <c r="CF232" s="2476">
        <f t="shared" si="140"/>
        <v>0</v>
      </c>
      <c r="CG232" s="2474">
        <v>5850</v>
      </c>
      <c r="CH232" s="2449" t="s">
        <v>1217</v>
      </c>
      <c r="CI232" s="2449"/>
      <c r="CJ232" s="2450"/>
      <c r="CK232" s="2450"/>
      <c r="CO232" s="2477">
        <v>-4.9270886075949316E-2</v>
      </c>
      <c r="CP232" s="2478">
        <f t="shared" si="118"/>
        <v>-194.61999999999989</v>
      </c>
      <c r="CQ232" s="2478"/>
      <c r="CR232" s="2478"/>
      <c r="CS232" s="2478"/>
      <c r="CT232" s="2478"/>
    </row>
    <row r="233" spans="1:98" hidden="1" x14ac:dyDescent="0.2">
      <c r="A233" s="2395">
        <v>161</v>
      </c>
      <c r="B233" s="2440" t="s">
        <v>1214</v>
      </c>
      <c r="C233" s="2396">
        <v>16105</v>
      </c>
      <c r="D233" s="2396">
        <v>54225</v>
      </c>
      <c r="E233" s="2397" t="s">
        <v>1268</v>
      </c>
      <c r="F233" s="2440" t="s">
        <v>1214</v>
      </c>
      <c r="G233" s="2440" t="s">
        <v>1549</v>
      </c>
      <c r="H233" s="2466">
        <v>825</v>
      </c>
      <c r="I233" s="2470"/>
      <c r="J233" s="2466">
        <f t="shared" si="131"/>
        <v>825</v>
      </c>
      <c r="K233" s="2468">
        <f t="shared" si="132"/>
        <v>0</v>
      </c>
      <c r="M233" s="2467">
        <v>825</v>
      </c>
      <c r="N233" s="2467">
        <v>825</v>
      </c>
      <c r="P233" s="2469"/>
      <c r="R233" s="2466">
        <v>825</v>
      </c>
      <c r="S233" s="2466">
        <v>1230</v>
      </c>
      <c r="U233" s="2466">
        <v>825</v>
      </c>
      <c r="V233" s="2470">
        <v>0</v>
      </c>
      <c r="W233" s="2466">
        <f t="shared" si="133"/>
        <v>825</v>
      </c>
      <c r="X233" s="2468">
        <f t="shared" si="134"/>
        <v>0</v>
      </c>
      <c r="Z233" s="2467">
        <v>825</v>
      </c>
      <c r="AA233" s="2467">
        <v>825</v>
      </c>
      <c r="AC233" s="2469"/>
      <c r="AE233" s="2466">
        <v>825</v>
      </c>
      <c r="AF233" s="2471">
        <v>1290</v>
      </c>
      <c r="AH233" s="2466">
        <v>825</v>
      </c>
      <c r="AI233" s="2470"/>
      <c r="AJ233" s="2466">
        <f t="shared" si="135"/>
        <v>825</v>
      </c>
      <c r="AK233" s="2468">
        <f t="shared" si="136"/>
        <v>0</v>
      </c>
      <c r="AM233" s="2467">
        <v>825</v>
      </c>
      <c r="AN233" s="2467">
        <v>825</v>
      </c>
      <c r="AP233" s="2469"/>
      <c r="AR233" s="2466">
        <v>825</v>
      </c>
      <c r="AS233" s="2466">
        <v>25.93</v>
      </c>
      <c r="AT233" s="2466"/>
      <c r="AU233" s="2466">
        <v>825</v>
      </c>
      <c r="AV233" s="2466">
        <v>1200</v>
      </c>
      <c r="AX233" s="2466">
        <v>825</v>
      </c>
      <c r="AY233" s="2470"/>
      <c r="AZ233" s="2466">
        <f t="shared" si="128"/>
        <v>825</v>
      </c>
      <c r="BA233" s="2468">
        <f t="shared" si="137"/>
        <v>0</v>
      </c>
      <c r="BC233" s="2467">
        <v>825</v>
      </c>
      <c r="BD233" s="2467">
        <v>825</v>
      </c>
      <c r="BF233" s="2469"/>
      <c r="BH233" s="2467">
        <v>825</v>
      </c>
      <c r="BM233" s="2466">
        <v>825</v>
      </c>
      <c r="BN233" s="2470"/>
      <c r="BO233" s="2472">
        <f t="shared" si="129"/>
        <v>825</v>
      </c>
      <c r="BP233" s="2473">
        <f t="shared" si="138"/>
        <v>0</v>
      </c>
      <c r="BR233" s="2474">
        <v>825</v>
      </c>
      <c r="BS233" s="2474">
        <v>825</v>
      </c>
      <c r="BU233" s="2475"/>
      <c r="BW233" s="2474">
        <v>825</v>
      </c>
      <c r="BZ233" s="2474">
        <v>825</v>
      </c>
      <c r="CA233" s="2470"/>
      <c r="CB233" s="2472">
        <f t="shared" si="130"/>
        <v>825</v>
      </c>
      <c r="CC233" s="2473">
        <f t="shared" si="139"/>
        <v>0</v>
      </c>
      <c r="CE233" s="2474">
        <v>825</v>
      </c>
      <c r="CF233" s="2476">
        <f t="shared" si="140"/>
        <v>0</v>
      </c>
      <c r="CG233" s="2474">
        <v>825</v>
      </c>
      <c r="CH233" s="2449" t="s">
        <v>1217</v>
      </c>
      <c r="CI233" s="2449"/>
      <c r="CJ233" s="2450"/>
      <c r="CK233" s="2450"/>
      <c r="CO233" s="2477" t="s">
        <v>1218</v>
      </c>
      <c r="CP233" s="2478">
        <f t="shared" si="118"/>
        <v>-825</v>
      </c>
      <c r="CQ233" s="2478"/>
      <c r="CR233" s="2478"/>
      <c r="CS233" s="2478"/>
      <c r="CT233" s="2478"/>
    </row>
    <row r="234" spans="1:98" hidden="1" x14ac:dyDescent="0.2">
      <c r="A234" s="2395">
        <v>161</v>
      </c>
      <c r="B234" s="2440" t="s">
        <v>1214</v>
      </c>
      <c r="C234" s="2396">
        <v>16105</v>
      </c>
      <c r="D234" s="2396">
        <v>57100</v>
      </c>
      <c r="E234" s="2397" t="s">
        <v>1268</v>
      </c>
      <c r="F234" s="2440" t="s">
        <v>1214</v>
      </c>
      <c r="G234" s="2440" t="s">
        <v>1550</v>
      </c>
      <c r="H234" s="2466">
        <v>1500</v>
      </c>
      <c r="I234" s="2470"/>
      <c r="J234" s="2466">
        <f t="shared" si="131"/>
        <v>1500</v>
      </c>
      <c r="K234" s="2468">
        <f t="shared" si="132"/>
        <v>0</v>
      </c>
      <c r="M234" s="2467">
        <v>1500</v>
      </c>
      <c r="N234" s="2467">
        <v>1500</v>
      </c>
      <c r="P234" s="2469"/>
      <c r="R234" s="2466">
        <v>1500</v>
      </c>
      <c r="S234" s="2466">
        <v>1586.84</v>
      </c>
      <c r="U234" s="2466">
        <v>1500</v>
      </c>
      <c r="V234" s="2470">
        <v>0</v>
      </c>
      <c r="W234" s="2466">
        <f t="shared" si="133"/>
        <v>1500</v>
      </c>
      <c r="X234" s="2468">
        <f t="shared" si="134"/>
        <v>0</v>
      </c>
      <c r="Z234" s="2467">
        <v>1500</v>
      </c>
      <c r="AA234" s="2467">
        <v>1500</v>
      </c>
      <c r="AC234" s="2469"/>
      <c r="AE234" s="2466">
        <v>1500</v>
      </c>
      <c r="AF234" s="2471">
        <v>1636.04</v>
      </c>
      <c r="AH234" s="2466">
        <v>1500</v>
      </c>
      <c r="AI234" s="2470"/>
      <c r="AJ234" s="2466">
        <f t="shared" si="135"/>
        <v>1500</v>
      </c>
      <c r="AK234" s="2468">
        <f t="shared" si="136"/>
        <v>0</v>
      </c>
      <c r="AM234" s="2467">
        <v>1500</v>
      </c>
      <c r="AN234" s="2467">
        <v>1500</v>
      </c>
      <c r="AP234" s="2469"/>
      <c r="AR234" s="2466">
        <v>1500</v>
      </c>
      <c r="AS234" s="2466">
        <v>577.29999999999995</v>
      </c>
      <c r="AT234" s="2466"/>
      <c r="AU234" s="2466">
        <v>1500</v>
      </c>
      <c r="AV234" s="2466">
        <v>35</v>
      </c>
      <c r="AX234" s="2466">
        <v>1500</v>
      </c>
      <c r="AY234" s="2470"/>
      <c r="AZ234" s="2466">
        <f t="shared" si="128"/>
        <v>1500</v>
      </c>
      <c r="BA234" s="2468">
        <f t="shared" si="137"/>
        <v>0</v>
      </c>
      <c r="BC234" s="2467">
        <v>1500</v>
      </c>
      <c r="BD234" s="2467">
        <v>1500</v>
      </c>
      <c r="BF234" s="2469"/>
      <c r="BH234" s="2467">
        <v>1500</v>
      </c>
      <c r="BI234" s="2466">
        <v>1146.96</v>
      </c>
      <c r="BM234" s="2466">
        <v>1500</v>
      </c>
      <c r="BN234" s="2470"/>
      <c r="BO234" s="2472">
        <f t="shared" si="129"/>
        <v>1500</v>
      </c>
      <c r="BP234" s="2473">
        <f t="shared" si="138"/>
        <v>0</v>
      </c>
      <c r="BR234" s="2474">
        <v>1500</v>
      </c>
      <c r="BS234" s="2474">
        <v>1500</v>
      </c>
      <c r="BU234" s="2475"/>
      <c r="BW234" s="2474">
        <v>1500</v>
      </c>
      <c r="BX234" s="2466">
        <v>230</v>
      </c>
      <c r="BZ234" s="2474">
        <v>1500</v>
      </c>
      <c r="CA234" s="2470"/>
      <c r="CB234" s="2472">
        <f t="shared" si="130"/>
        <v>1500</v>
      </c>
      <c r="CC234" s="2473">
        <f t="shared" si="139"/>
        <v>0</v>
      </c>
      <c r="CE234" s="2474">
        <v>1500</v>
      </c>
      <c r="CF234" s="2476">
        <f t="shared" si="140"/>
        <v>0</v>
      </c>
      <c r="CG234" s="2474">
        <v>1500</v>
      </c>
      <c r="CH234" s="2449" t="s">
        <v>1217</v>
      </c>
      <c r="CI234" s="2449"/>
      <c r="CJ234" s="2450"/>
      <c r="CK234" s="2450"/>
      <c r="CO234" s="2477">
        <v>-0.23536000000000001</v>
      </c>
      <c r="CP234" s="2478">
        <f t="shared" si="118"/>
        <v>-353.03999999999996</v>
      </c>
      <c r="CQ234" s="2478"/>
      <c r="CR234" s="2478"/>
      <c r="CS234" s="2478"/>
      <c r="CT234" s="2478"/>
    </row>
    <row r="235" spans="1:98" hidden="1" x14ac:dyDescent="0.2">
      <c r="A235" s="2395">
        <v>161</v>
      </c>
      <c r="B235" s="2440" t="s">
        <v>1214</v>
      </c>
      <c r="C235" s="2396">
        <v>16105</v>
      </c>
      <c r="D235" s="2396">
        <v>57300</v>
      </c>
      <c r="E235" s="2397" t="s">
        <v>1268</v>
      </c>
      <c r="F235" s="2440" t="s">
        <v>1214</v>
      </c>
      <c r="G235" s="2440" t="s">
        <v>1551</v>
      </c>
      <c r="H235" s="2466">
        <v>275</v>
      </c>
      <c r="I235" s="2470">
        <v>-150</v>
      </c>
      <c r="J235" s="2466">
        <f t="shared" si="131"/>
        <v>125</v>
      </c>
      <c r="K235" s="2468">
        <f t="shared" si="132"/>
        <v>-0.54545454545454541</v>
      </c>
      <c r="M235" s="2467">
        <v>125</v>
      </c>
      <c r="N235" s="2467">
        <v>125</v>
      </c>
      <c r="P235" s="2469" t="s">
        <v>1552</v>
      </c>
      <c r="R235" s="2466">
        <v>125</v>
      </c>
      <c r="S235" s="2466">
        <v>100</v>
      </c>
      <c r="U235" s="2466">
        <v>125</v>
      </c>
      <c r="V235" s="2470">
        <v>0</v>
      </c>
      <c r="W235" s="2466">
        <f t="shared" si="133"/>
        <v>125</v>
      </c>
      <c r="X235" s="2468">
        <f t="shared" si="134"/>
        <v>0</v>
      </c>
      <c r="Z235" s="2467">
        <v>125</v>
      </c>
      <c r="AA235" s="2467">
        <v>125</v>
      </c>
      <c r="AC235" s="2469"/>
      <c r="AE235" s="2466">
        <v>125</v>
      </c>
      <c r="AF235" s="2471">
        <v>160</v>
      </c>
      <c r="AH235" s="2466">
        <v>125</v>
      </c>
      <c r="AI235" s="2470"/>
      <c r="AJ235" s="2466">
        <f t="shared" si="135"/>
        <v>125</v>
      </c>
      <c r="AK235" s="2468">
        <f t="shared" si="136"/>
        <v>0</v>
      </c>
      <c r="AM235" s="2467">
        <v>125</v>
      </c>
      <c r="AN235" s="2467">
        <v>125</v>
      </c>
      <c r="AP235" s="2469"/>
      <c r="AR235" s="2466">
        <v>125</v>
      </c>
      <c r="AS235" s="2466">
        <v>100</v>
      </c>
      <c r="AT235" s="2466"/>
      <c r="AU235" s="2466">
        <v>125</v>
      </c>
      <c r="AV235" s="2466">
        <v>75</v>
      </c>
      <c r="AX235" s="2466">
        <v>125</v>
      </c>
      <c r="AY235" s="2470"/>
      <c r="AZ235" s="2466">
        <f t="shared" si="128"/>
        <v>125</v>
      </c>
      <c r="BA235" s="2468">
        <f t="shared" si="137"/>
        <v>0</v>
      </c>
      <c r="BC235" s="2467">
        <v>125</v>
      </c>
      <c r="BD235" s="2467">
        <v>125</v>
      </c>
      <c r="BF235" s="2469"/>
      <c r="BH235" s="2467">
        <v>125</v>
      </c>
      <c r="BI235" s="2466">
        <v>100</v>
      </c>
      <c r="BM235" s="2466">
        <v>125</v>
      </c>
      <c r="BN235" s="2470"/>
      <c r="BO235" s="2472">
        <f t="shared" si="129"/>
        <v>125</v>
      </c>
      <c r="BP235" s="2473">
        <f t="shared" si="138"/>
        <v>0</v>
      </c>
      <c r="BR235" s="2474">
        <v>125</v>
      </c>
      <c r="BS235" s="2474">
        <v>125</v>
      </c>
      <c r="BU235" s="2475"/>
      <c r="BW235" s="2474">
        <v>125</v>
      </c>
      <c r="BX235" s="2466">
        <v>115</v>
      </c>
      <c r="BZ235" s="2474">
        <v>125</v>
      </c>
      <c r="CA235" s="2470"/>
      <c r="CB235" s="2472">
        <f t="shared" si="130"/>
        <v>125</v>
      </c>
      <c r="CC235" s="2473">
        <f t="shared" si="139"/>
        <v>0</v>
      </c>
      <c r="CE235" s="2474">
        <v>125</v>
      </c>
      <c r="CF235" s="2476">
        <f t="shared" si="140"/>
        <v>0</v>
      </c>
      <c r="CG235" s="2474">
        <v>125</v>
      </c>
      <c r="CH235" s="2449" t="s">
        <v>1217</v>
      </c>
      <c r="CI235" s="2449"/>
      <c r="CJ235" s="2450"/>
      <c r="CK235" s="2450"/>
      <c r="CO235" s="2477">
        <v>-0.19999999999999996</v>
      </c>
      <c r="CP235" s="2478">
        <f t="shared" si="118"/>
        <v>-25</v>
      </c>
      <c r="CQ235" s="2478"/>
      <c r="CR235" s="2478"/>
      <c r="CS235" s="2478"/>
      <c r="CT235" s="2478"/>
    </row>
    <row r="236" spans="1:98" s="2485" customFormat="1" hidden="1" x14ac:dyDescent="0.2">
      <c r="A236" s="2532"/>
      <c r="B236" s="2533"/>
      <c r="C236" s="2534"/>
      <c r="D236" s="2534"/>
      <c r="E236" s="2535"/>
      <c r="F236" s="2533"/>
      <c r="G236" s="2533" t="s">
        <v>1553</v>
      </c>
      <c r="H236" s="2536">
        <f>SUM(H221:H235)</f>
        <v>14385</v>
      </c>
      <c r="I236" s="2536">
        <f>SUM(I221:I235)</f>
        <v>-850</v>
      </c>
      <c r="J236" s="2536">
        <f>SUM(J221:J235)</f>
        <v>13535</v>
      </c>
      <c r="K236" s="2484">
        <f>IF(H236=0," ",(J236-H236)/H236)</f>
        <v>-5.908932916232186E-2</v>
      </c>
      <c r="M236" s="2536">
        <f>SUM(M221:M235)</f>
        <v>13535</v>
      </c>
      <c r="N236" s="2536">
        <f>SUM(N221:N235)</f>
        <v>13535</v>
      </c>
      <c r="P236" s="2537">
        <f>SUM(P221:P235)</f>
        <v>0</v>
      </c>
      <c r="R236" s="2536">
        <f>SUM(R221:R235)</f>
        <v>13535</v>
      </c>
      <c r="S236" s="2536">
        <f>SUM(S221:S235)</f>
        <v>10994.57</v>
      </c>
      <c r="U236" s="2536">
        <f>SUM(U221:U235)</f>
        <v>13535</v>
      </c>
      <c r="V236" s="2536">
        <f>SUM(V221:V235)</f>
        <v>0</v>
      </c>
      <c r="W236" s="2536">
        <f>SUM(W221:W235)</f>
        <v>13535</v>
      </c>
      <c r="X236" s="2484">
        <f>IF(U236=0," ",(W236-U236)/U236)</f>
        <v>0</v>
      </c>
      <c r="Z236" s="2536">
        <f>SUM(Z221:Z235)</f>
        <v>13535</v>
      </c>
      <c r="AA236" s="2536">
        <f>SUM(AA221:AA235)</f>
        <v>16585</v>
      </c>
      <c r="AC236" s="2537"/>
      <c r="AE236" s="2536">
        <f>SUM(AE221:AE235)</f>
        <v>16585</v>
      </c>
      <c r="AF236" s="2536">
        <f>SUM(AF221:AF235)</f>
        <v>14527.95</v>
      </c>
      <c r="AH236" s="2536">
        <v>16585</v>
      </c>
      <c r="AI236" s="2536">
        <f>SUM(AI221:AI235)</f>
        <v>-2700</v>
      </c>
      <c r="AJ236" s="2536">
        <f>SUM(AJ221:AJ235)</f>
        <v>13885</v>
      </c>
      <c r="AK236" s="2484">
        <f>IF(AH236=0," ",(AJ236-AH236)/AH236)</f>
        <v>-0.16279770877298763</v>
      </c>
      <c r="AM236" s="2536">
        <f>SUM(AM221:AM235)</f>
        <v>13885</v>
      </c>
      <c r="AN236" s="2536">
        <f>SUM(AN221:AN235)</f>
        <v>13885</v>
      </c>
      <c r="AP236" s="2537"/>
      <c r="AR236" s="2536">
        <f>SUM(AR221:AR235)</f>
        <v>13885</v>
      </c>
      <c r="AS236" s="2536">
        <f>SUM(AS221:AS235)</f>
        <v>11906.73</v>
      </c>
      <c r="AT236" s="2536"/>
      <c r="AU236" s="2536">
        <f>SUM(AU221:AU235)</f>
        <v>17097</v>
      </c>
      <c r="AV236" s="2536">
        <f>SUM(AV221:AV235)</f>
        <v>12337.529999999999</v>
      </c>
      <c r="AX236" s="2536">
        <f>SUM(AX221:AX235)</f>
        <v>17097</v>
      </c>
      <c r="AY236" s="2536">
        <f>SUM(AY221:AY235)</f>
        <v>-1412</v>
      </c>
      <c r="AZ236" s="2536">
        <f>SUM(AZ221:AZ235)</f>
        <v>15685</v>
      </c>
      <c r="BA236" s="2484">
        <f>IF(AX236=0," ",(AZ236-AX236)/AX236)</f>
        <v>-8.2587588465812711E-2</v>
      </c>
      <c r="BC236" s="2536">
        <f>SUM(BC221:BC235)</f>
        <v>15685</v>
      </c>
      <c r="BD236" s="2536">
        <f>SUM(BD221:BD235)</f>
        <v>20457</v>
      </c>
      <c r="BF236" s="2537"/>
      <c r="BH236" s="2536">
        <f>SUM(BH221:BH235)</f>
        <v>20457</v>
      </c>
      <c r="BI236" s="2536">
        <f>SUM(BI221:BI235)</f>
        <v>15638.069999999996</v>
      </c>
      <c r="BJ236" s="2536"/>
      <c r="BK236" s="2536"/>
      <c r="BM236" s="2536">
        <f>SUM(BM221:BM235)</f>
        <v>20457</v>
      </c>
      <c r="BN236" s="2539">
        <f>SUM(BN221:BN235)</f>
        <v>0</v>
      </c>
      <c r="BO236" s="2540">
        <f>SUM(BO221:BO235)</f>
        <v>20457</v>
      </c>
      <c r="BP236" s="2490">
        <f>IF(BM236=0," ",(BO236-BM236)/BM236)</f>
        <v>0</v>
      </c>
      <c r="BQ236" s="2491"/>
      <c r="BR236" s="2540">
        <f>SUM(BR221:BR235)</f>
        <v>20457</v>
      </c>
      <c r="BS236" s="2540">
        <f>SUM(BS221:BS235)</f>
        <v>23277</v>
      </c>
      <c r="BT236" s="2491"/>
      <c r="BU236" s="2541"/>
      <c r="BV236" s="2491"/>
      <c r="BW236" s="2540">
        <f>SUM(BW221:BW235)</f>
        <v>23277</v>
      </c>
      <c r="BX236" s="2536">
        <f>SUM(BX221:BX235)</f>
        <v>10871.59</v>
      </c>
      <c r="BZ236" s="2540">
        <f>SUM(BZ221:BZ235)</f>
        <v>23277</v>
      </c>
      <c r="CA236" s="2540">
        <f>SUM(CA221:CA235)</f>
        <v>-770</v>
      </c>
      <c r="CB236" s="2540">
        <f>SUM(CB221:CB235)</f>
        <v>22507</v>
      </c>
      <c r="CC236" s="2490">
        <f>IF(BZ236=0," ",(CB236-BZ236)/BZ236)</f>
        <v>-3.3079864243674012E-2</v>
      </c>
      <c r="CD236" s="2491"/>
      <c r="CE236" s="2540">
        <f>SUM(CE221:CE235)</f>
        <v>22507</v>
      </c>
      <c r="CF236" s="2490">
        <f t="shared" si="140"/>
        <v>0</v>
      </c>
      <c r="CG236" s="2540">
        <f>SUM(CG221:CG235)</f>
        <v>22507</v>
      </c>
      <c r="CH236" s="2449" t="s">
        <v>1220</v>
      </c>
      <c r="CI236" s="2449"/>
      <c r="CJ236" s="2450"/>
      <c r="CK236" s="2450"/>
      <c r="CL236" s="2451"/>
      <c r="CM236" s="2451"/>
      <c r="CN236" s="2451"/>
      <c r="CO236" s="2477">
        <v>-0.2355638656694532</v>
      </c>
      <c r="CP236" s="2478">
        <f t="shared" si="118"/>
        <v>-4818.9300000000039</v>
      </c>
      <c r="CQ236" s="2478"/>
      <c r="CR236" s="2478"/>
      <c r="CS236" s="2478"/>
      <c r="CT236" s="2478"/>
    </row>
    <row r="237" spans="1:98" ht="9.9499999999999993" hidden="1" customHeight="1" x14ac:dyDescent="0.2">
      <c r="AS237" s="2466"/>
      <c r="AT237" s="2466"/>
      <c r="BZ237" s="2472"/>
      <c r="CH237" s="2449" t="s">
        <v>1091</v>
      </c>
      <c r="CI237" s="2449"/>
      <c r="CJ237" s="2450"/>
      <c r="CK237" s="2450"/>
      <c r="CP237" s="2478">
        <f t="shared" si="118"/>
        <v>0</v>
      </c>
      <c r="CQ237" s="2478"/>
      <c r="CR237" s="2478"/>
      <c r="CS237" s="2478"/>
      <c r="CT237" s="2478"/>
    </row>
    <row r="238" spans="1:98" x14ac:dyDescent="0.2">
      <c r="A238" s="2495"/>
      <c r="B238" s="2496"/>
      <c r="C238" s="2497"/>
      <c r="D238" s="2497"/>
      <c r="E238" s="2498"/>
      <c r="F238" s="2496"/>
      <c r="G238" s="2499" t="s">
        <v>1554</v>
      </c>
      <c r="H238" s="2500">
        <f>H219+H236</f>
        <v>109531</v>
      </c>
      <c r="I238" s="2500">
        <f>I219+I236</f>
        <v>-863</v>
      </c>
      <c r="J238" s="2500">
        <f>J219+J236</f>
        <v>108668</v>
      </c>
      <c r="K238" s="2501">
        <f>IF(H238=0," ",(J238-H238)/H238)</f>
        <v>-7.8790479407656287E-3</v>
      </c>
      <c r="M238" s="2500">
        <f>M219+M236</f>
        <v>101596</v>
      </c>
      <c r="N238" s="2500">
        <f>N219+N236</f>
        <v>101596</v>
      </c>
      <c r="P238" s="2502">
        <f>P219+P236</f>
        <v>0</v>
      </c>
      <c r="R238" s="2500">
        <f>R219+R236</f>
        <v>101596</v>
      </c>
      <c r="S238" s="2500">
        <f>S219+S236</f>
        <v>96316.420000000013</v>
      </c>
      <c r="U238" s="2500">
        <f>U219+U236</f>
        <v>101596</v>
      </c>
      <c r="V238" s="2500">
        <f>V219+V236</f>
        <v>5513</v>
      </c>
      <c r="W238" s="2500">
        <f>W219+W236</f>
        <v>107109</v>
      </c>
      <c r="X238" s="2501">
        <f>IF(U238=0," ",(W238-U238)/U238)</f>
        <v>5.4263947399503916E-2</v>
      </c>
      <c r="Z238" s="2500">
        <f>Z219+Z236</f>
        <v>107109</v>
      </c>
      <c r="AA238" s="2500">
        <f>AA219+AA236</f>
        <v>115159</v>
      </c>
      <c r="AC238" s="2502"/>
      <c r="AE238" s="2500">
        <f>AE219+AE236</f>
        <v>115159</v>
      </c>
      <c r="AF238" s="2503">
        <f>AF219+AF236</f>
        <v>114088.73</v>
      </c>
      <c r="AH238" s="2500">
        <v>115159</v>
      </c>
      <c r="AI238" s="2500">
        <f>AI219+AI236</f>
        <v>5631</v>
      </c>
      <c r="AJ238" s="2500">
        <f>AJ219+AJ236</f>
        <v>120790</v>
      </c>
      <c r="AK238" s="2501">
        <f>IF(AH238=0," ",(AJ238-AH238)/AH238)</f>
        <v>4.8897611128960829E-2</v>
      </c>
      <c r="AM238" s="2500">
        <f>AM219+AM236</f>
        <v>120790</v>
      </c>
      <c r="AN238" s="2500">
        <f>AN219+AN236</f>
        <v>120790</v>
      </c>
      <c r="AP238" s="2502"/>
      <c r="AR238" s="2500">
        <f>AR219+AR236</f>
        <v>120790</v>
      </c>
      <c r="AS238" s="2500">
        <f>AS219+AS236</f>
        <v>113599.65000000001</v>
      </c>
      <c r="AT238" s="2500"/>
      <c r="AU238" s="2500">
        <f>AU219+AU236</f>
        <v>123292</v>
      </c>
      <c r="AV238" s="2500">
        <f>AV219+AV236</f>
        <v>117617.04000000001</v>
      </c>
      <c r="AX238" s="2500">
        <f>AX219+AX236</f>
        <v>123292</v>
      </c>
      <c r="AY238" s="2500">
        <f>AY219+AY236</f>
        <v>-2315</v>
      </c>
      <c r="AZ238" s="2500">
        <f>AZ219+AZ236</f>
        <v>120977</v>
      </c>
      <c r="BA238" s="2501">
        <f>IF(AX238=0," ",(AZ238-AX238)/AX238)</f>
        <v>-1.8776562956233981E-2</v>
      </c>
      <c r="BC238" s="2500">
        <f>BC219+BC236</f>
        <v>120977</v>
      </c>
      <c r="BD238" s="2500">
        <f>BD219+BD236</f>
        <v>125749</v>
      </c>
      <c r="BF238" s="2502"/>
      <c r="BH238" s="2500">
        <f>BH219+BH236</f>
        <v>125749</v>
      </c>
      <c r="BI238" s="2500">
        <f>BI219+BI236</f>
        <v>121144.55999999998</v>
      </c>
      <c r="BJ238" s="2500"/>
      <c r="BK238" s="2500"/>
      <c r="BM238" s="2500">
        <f>BM219+BM236</f>
        <v>125749</v>
      </c>
      <c r="BN238" s="2504">
        <f>BN219+BN236</f>
        <v>1855</v>
      </c>
      <c r="BO238" s="2505">
        <f>BO219+BO236</f>
        <v>127604</v>
      </c>
      <c r="BP238" s="2506">
        <f>IF(BM238=0," ",(BO238-BM238)/BM238)</f>
        <v>1.4751608362690757E-2</v>
      </c>
      <c r="BR238" s="2505">
        <f>BR219+BR236</f>
        <v>127604</v>
      </c>
      <c r="BS238" s="2505">
        <f>BS219+BS236</f>
        <v>140093</v>
      </c>
      <c r="BU238" s="2507"/>
      <c r="BW238" s="2505">
        <f>BW219+BW236</f>
        <v>140093</v>
      </c>
      <c r="BX238" s="2500">
        <f>BX219+BX236</f>
        <v>66361.56</v>
      </c>
      <c r="BZ238" s="2505">
        <f>BZ219+BZ236</f>
        <v>140093</v>
      </c>
      <c r="CA238" s="2505">
        <f>CA219+CA236</f>
        <v>-6304</v>
      </c>
      <c r="CB238" s="2505">
        <f>CB219+CB236</f>
        <v>133789</v>
      </c>
      <c r="CC238" s="2506">
        <f>IF(BZ238=0," ",(CB238-BZ238)/BZ238)</f>
        <v>-4.499867944865197E-2</v>
      </c>
      <c r="CE238" s="2505">
        <f>CE219+CE236</f>
        <v>138447</v>
      </c>
      <c r="CF238" s="2506">
        <f>IF(CB238=0," ",(CE238-CB238)/CB238)</f>
        <v>3.4816016264416355E-2</v>
      </c>
      <c r="CG238" s="2505">
        <f>CG219+CG236</f>
        <v>138447</v>
      </c>
      <c r="CH238" s="2449" t="s">
        <v>1222</v>
      </c>
      <c r="CI238" s="2508" t="str">
        <f>IF(CG238-CE238=0,"",CG238-CE238)</f>
        <v/>
      </c>
      <c r="CJ238" s="2509"/>
      <c r="CK238" s="2509"/>
      <c r="CL238" s="2451" t="str">
        <f>IF(CO238&lt;-1*CM$2,"examine","ignore")</f>
        <v>ignore</v>
      </c>
      <c r="CM238" s="2545" t="str">
        <f>IF(CL238="examine",CP238+CM$2*CP238/CO238,"")</f>
        <v/>
      </c>
      <c r="CN238" s="2545"/>
      <c r="CO238" s="2477">
        <v>-3.6616116231540707E-2</v>
      </c>
      <c r="CP238" s="2510">
        <f t="shared" si="118"/>
        <v>-4604.4400000000169</v>
      </c>
      <c r="CQ238" s="2510">
        <f>AV238-AU238</f>
        <v>-5674.9599999999919</v>
      </c>
      <c r="CR238" s="2510">
        <f>AS238-AR238</f>
        <v>-7190.3499999999913</v>
      </c>
      <c r="CS238" s="2510">
        <f>AF238-AE238</f>
        <v>-1070.2700000000041</v>
      </c>
    </row>
    <row r="239" spans="1:98" ht="20.100000000000001" hidden="1" customHeight="1" x14ac:dyDescent="0.2">
      <c r="AS239" s="2466"/>
      <c r="AT239" s="2466"/>
      <c r="BZ239" s="2472"/>
      <c r="CH239" s="2449" t="s">
        <v>1091</v>
      </c>
      <c r="CI239" s="2449"/>
      <c r="CJ239" s="2450"/>
      <c r="CK239" s="2450"/>
      <c r="CP239" s="2478">
        <f t="shared" si="118"/>
        <v>0</v>
      </c>
      <c r="CQ239" s="2478"/>
      <c r="CR239" s="2478"/>
      <c r="CS239" s="2478"/>
      <c r="CT239" s="2478"/>
    </row>
    <row r="240" spans="1:98" ht="15.75" hidden="1" x14ac:dyDescent="0.2">
      <c r="A240" s="2453" t="s">
        <v>683</v>
      </c>
      <c r="B240" s="2454"/>
      <c r="C240" s="2455"/>
      <c r="D240" s="2455"/>
      <c r="E240" s="2456"/>
      <c r="F240" s="2454"/>
      <c r="G240" s="2454"/>
      <c r="H240" s="2457"/>
      <c r="I240" s="2457"/>
      <c r="J240" s="2457"/>
      <c r="K240" s="2458"/>
      <c r="M240" s="2457"/>
      <c r="N240" s="2457"/>
      <c r="P240" s="2459"/>
      <c r="R240" s="2457"/>
      <c r="S240" s="2457"/>
      <c r="U240" s="2457"/>
      <c r="V240" s="2457"/>
      <c r="W240" s="2457"/>
      <c r="X240" s="2458"/>
      <c r="Z240" s="2457"/>
      <c r="AA240" s="2457"/>
      <c r="AC240" s="2459"/>
      <c r="AE240" s="2457"/>
      <c r="AF240" s="2460"/>
      <c r="AH240" s="2457"/>
      <c r="AI240" s="2457"/>
      <c r="AJ240" s="2457"/>
      <c r="AK240" s="2458"/>
      <c r="AM240" s="2457"/>
      <c r="AN240" s="2457"/>
      <c r="AP240" s="2459"/>
      <c r="AR240" s="2457"/>
      <c r="AS240" s="2457"/>
      <c r="AT240" s="2457"/>
      <c r="AU240" s="2457"/>
      <c r="AV240" s="2457"/>
      <c r="AX240" s="2457"/>
      <c r="AY240" s="2457"/>
      <c r="AZ240" s="2457"/>
      <c r="BA240" s="2458"/>
      <c r="BC240" s="2457"/>
      <c r="BD240" s="2457"/>
      <c r="BF240" s="2461"/>
      <c r="BH240" s="2457"/>
      <c r="BI240" s="2457"/>
      <c r="BJ240" s="2457"/>
      <c r="BK240" s="2457"/>
      <c r="BM240" s="2457"/>
      <c r="BN240" s="2462"/>
      <c r="BO240" s="2463"/>
      <c r="BP240" s="2464"/>
      <c r="BR240" s="2463"/>
      <c r="BS240" s="2463"/>
      <c r="BU240" s="2465"/>
      <c r="BW240" s="2463"/>
      <c r="BX240" s="2457"/>
      <c r="BZ240" s="2463"/>
      <c r="CA240" s="2462"/>
      <c r="CB240" s="2463"/>
      <c r="CC240" s="2464"/>
      <c r="CE240" s="2463"/>
      <c r="CF240" s="2464"/>
      <c r="CG240" s="2463"/>
      <c r="CH240" s="2449" t="s">
        <v>1212</v>
      </c>
      <c r="CI240" s="2449"/>
      <c r="CJ240" s="2450"/>
      <c r="CK240" s="2450"/>
      <c r="CP240" s="2478">
        <f t="shared" si="118"/>
        <v>0</v>
      </c>
      <c r="CQ240" s="2478"/>
      <c r="CR240" s="2478"/>
      <c r="CS240" s="2478"/>
      <c r="CT240" s="2478"/>
    </row>
    <row r="241" spans="1:98" hidden="1" x14ac:dyDescent="0.2">
      <c r="A241" s="2395">
        <v>162</v>
      </c>
      <c r="B241" s="2440" t="s">
        <v>1214</v>
      </c>
      <c r="C241" s="2396">
        <v>16205</v>
      </c>
      <c r="D241" s="2396">
        <v>57800</v>
      </c>
      <c r="E241" s="2397" t="s">
        <v>1268</v>
      </c>
      <c r="F241" s="2440" t="s">
        <v>1214</v>
      </c>
      <c r="G241" s="2440" t="s">
        <v>1555</v>
      </c>
      <c r="H241" s="2466">
        <v>100</v>
      </c>
      <c r="I241" s="2470">
        <v>-100</v>
      </c>
      <c r="J241" s="2466">
        <f>H241+I241</f>
        <v>0</v>
      </c>
      <c r="K241" s="2468">
        <f>IF(H241=0," ",(J241-H241)/H241)</f>
        <v>-1</v>
      </c>
      <c r="M241" s="2467">
        <v>0</v>
      </c>
      <c r="N241" s="2467">
        <v>0</v>
      </c>
      <c r="P241" s="2467" t="s">
        <v>1556</v>
      </c>
      <c r="R241" s="2466">
        <v>0</v>
      </c>
      <c r="S241" s="2466">
        <v>0</v>
      </c>
      <c r="U241" s="2466">
        <v>0</v>
      </c>
      <c r="V241" s="2470">
        <v>0</v>
      </c>
      <c r="W241" s="2466">
        <f>U241+V241</f>
        <v>0</v>
      </c>
      <c r="X241" s="2468" t="str">
        <f>IF(U241=0," ",(W241-U241)/U241)</f>
        <v xml:space="preserve"> </v>
      </c>
      <c r="Z241" s="2467">
        <v>0</v>
      </c>
      <c r="AA241" s="2467">
        <v>0</v>
      </c>
      <c r="AC241" s="2467" t="s">
        <v>1557</v>
      </c>
      <c r="AE241" s="2466">
        <v>0</v>
      </c>
      <c r="AF241" s="2471">
        <v>0</v>
      </c>
      <c r="AH241" s="2466">
        <v>0</v>
      </c>
      <c r="AI241" s="2470"/>
      <c r="AJ241" s="2466">
        <f>AH241+AI241</f>
        <v>0</v>
      </c>
      <c r="AK241" s="2468" t="str">
        <f>IF(AH241=0," ",(AJ241-AH241)/AH241)</f>
        <v xml:space="preserve"> </v>
      </c>
      <c r="AM241" s="2467">
        <v>0</v>
      </c>
      <c r="AN241" s="2467">
        <v>0</v>
      </c>
      <c r="AP241" s="2467"/>
      <c r="AR241" s="2466">
        <v>0</v>
      </c>
      <c r="AS241" s="2466"/>
      <c r="AT241" s="2466"/>
      <c r="AY241" s="2470"/>
      <c r="AZ241" s="2466">
        <f>AX241+AY241</f>
        <v>0</v>
      </c>
      <c r="BA241" s="2468" t="str">
        <f>IF(AX241=0," ",(AZ241-AX241)/AX241)</f>
        <v xml:space="preserve"> </v>
      </c>
      <c r="BC241" s="2467"/>
      <c r="BD241" s="2467"/>
      <c r="BF241" s="2467"/>
      <c r="BH241" s="2467"/>
      <c r="BN241" s="2470"/>
      <c r="BO241" s="2472">
        <f>BM241+BN241</f>
        <v>0</v>
      </c>
      <c r="BP241" s="2473" t="str">
        <f>IF(BM241=0," ",(BO241-BM241)/BM241)</f>
        <v xml:space="preserve"> </v>
      </c>
      <c r="BR241" s="2474"/>
      <c r="BS241" s="2474"/>
      <c r="BU241" s="2601"/>
      <c r="BW241" s="2474"/>
      <c r="BZ241" s="2474"/>
      <c r="CA241" s="2470"/>
      <c r="CB241" s="2472">
        <f>BZ241+CA241</f>
        <v>0</v>
      </c>
      <c r="CC241" s="2473" t="str">
        <f>IF(BZ241=0," ",(CB241-BZ241)/BZ241)</f>
        <v xml:space="preserve"> </v>
      </c>
      <c r="CE241" s="2474">
        <v>0</v>
      </c>
      <c r="CF241" s="2473" t="str">
        <f>IF(CB241=0," ",(CE241-CB241)/CB241)</f>
        <v xml:space="preserve"> </v>
      </c>
      <c r="CG241" s="2474">
        <v>0</v>
      </c>
      <c r="CH241" s="2449" t="s">
        <v>1217</v>
      </c>
      <c r="CI241" s="2449"/>
      <c r="CJ241" s="2450"/>
      <c r="CK241" s="2450"/>
      <c r="CP241" s="2478">
        <f t="shared" si="118"/>
        <v>0</v>
      </c>
      <c r="CQ241" s="2478"/>
      <c r="CR241" s="2478"/>
      <c r="CS241" s="2478"/>
      <c r="CT241" s="2478"/>
    </row>
    <row r="242" spans="1:98" s="2485" customFormat="1" hidden="1" x14ac:dyDescent="0.2">
      <c r="A242" s="2532"/>
      <c r="B242" s="2533"/>
      <c r="C242" s="2534"/>
      <c r="D242" s="2534"/>
      <c r="E242" s="2535"/>
      <c r="F242" s="2533"/>
      <c r="G242" s="2533" t="s">
        <v>1558</v>
      </c>
      <c r="H242" s="2536">
        <f t="shared" ref="H242" si="141">SUM(H241)</f>
        <v>100</v>
      </c>
      <c r="I242" s="2536">
        <f>SUM(I241)</f>
        <v>-100</v>
      </c>
      <c r="J242" s="2536">
        <f>SUM(J241)</f>
        <v>0</v>
      </c>
      <c r="K242" s="2484">
        <f>IF(H242=0," ",(J242-H242)/H242)</f>
        <v>-1</v>
      </c>
      <c r="M242" s="2536">
        <f>SUM(M241)</f>
        <v>0</v>
      </c>
      <c r="N242" s="2536">
        <f>SUM(N241)</f>
        <v>0</v>
      </c>
      <c r="P242" s="2537">
        <f>SUM(P241)</f>
        <v>0</v>
      </c>
      <c r="R242" s="2536">
        <f>SUM(R241)</f>
        <v>0</v>
      </c>
      <c r="S242" s="2536">
        <f>SUM(S241)</f>
        <v>0</v>
      </c>
      <c r="U242" s="2536">
        <f>SUM(U241)</f>
        <v>0</v>
      </c>
      <c r="V242" s="2536">
        <f>SUM(V241)</f>
        <v>0</v>
      </c>
      <c r="W242" s="2536">
        <f>SUM(W241)</f>
        <v>0</v>
      </c>
      <c r="X242" s="2484" t="str">
        <f>IF(U242=0," ",(W242-U242)/U242)</f>
        <v xml:space="preserve"> </v>
      </c>
      <c r="Z242" s="2536">
        <f>SUM(Z241)</f>
        <v>0</v>
      </c>
      <c r="AA242" s="2536">
        <f>SUM(AA241)</f>
        <v>0</v>
      </c>
      <c r="AC242" s="2537"/>
      <c r="AE242" s="2536">
        <f>SUM(AE241)</f>
        <v>0</v>
      </c>
      <c r="AF242" s="2538">
        <f>SUM(AF241)</f>
        <v>0</v>
      </c>
      <c r="AH242" s="2536">
        <v>0</v>
      </c>
      <c r="AI242" s="2536">
        <f>SUM(AI241)</f>
        <v>0</v>
      </c>
      <c r="AJ242" s="2536">
        <f>SUM(AJ241)</f>
        <v>0</v>
      </c>
      <c r="AK242" s="2484" t="str">
        <f>IF(AH242=0," ",(AJ242-AH242)/AH242)</f>
        <v xml:space="preserve"> </v>
      </c>
      <c r="AM242" s="2536">
        <f>SUM(AM241)</f>
        <v>0</v>
      </c>
      <c r="AN242" s="2536">
        <f>SUM(AN241)</f>
        <v>0</v>
      </c>
      <c r="AP242" s="2537"/>
      <c r="AR242" s="2536">
        <f>SUM(AR241)</f>
        <v>0</v>
      </c>
      <c r="AS242" s="2536">
        <f>SUM(AS241)</f>
        <v>0</v>
      </c>
      <c r="AT242" s="2536"/>
      <c r="AU242" s="2536">
        <f>SUM(AU241)</f>
        <v>0</v>
      </c>
      <c r="AV242" s="2536">
        <f>SUM(AV241)</f>
        <v>0</v>
      </c>
      <c r="AX242" s="2536">
        <f>SUM(AX241)</f>
        <v>0</v>
      </c>
      <c r="AY242" s="2536">
        <f>SUM(AY241)</f>
        <v>0</v>
      </c>
      <c r="AZ242" s="2536">
        <f>SUM(AZ241)</f>
        <v>0</v>
      </c>
      <c r="BA242" s="2484" t="str">
        <f>IF(AX242=0," ",(AZ242-AX242)/AX242)</f>
        <v xml:space="preserve"> </v>
      </c>
      <c r="BC242" s="2536">
        <f>SUM(BC241)</f>
        <v>0</v>
      </c>
      <c r="BD242" s="2536">
        <f>SUM(BD241)</f>
        <v>0</v>
      </c>
      <c r="BF242" s="2537"/>
      <c r="BH242" s="2536">
        <f>SUM(BH241)</f>
        <v>0</v>
      </c>
      <c r="BI242" s="2536"/>
      <c r="BJ242" s="2536"/>
      <c r="BK242" s="2536"/>
      <c r="BM242" s="2536">
        <f>SUM(BM241)</f>
        <v>0</v>
      </c>
      <c r="BN242" s="2539">
        <f>SUM(BN241)</f>
        <v>0</v>
      </c>
      <c r="BO242" s="2540">
        <f>SUM(BO241)</f>
        <v>0</v>
      </c>
      <c r="BP242" s="2490" t="str">
        <f>IF(BM242=0," ",(BO242-BM242)/BM242)</f>
        <v xml:space="preserve"> </v>
      </c>
      <c r="BQ242" s="2491"/>
      <c r="BR242" s="2540">
        <f>SUM(BR241)</f>
        <v>0</v>
      </c>
      <c r="BS242" s="2540">
        <f>SUM(BS241)</f>
        <v>0</v>
      </c>
      <c r="BT242" s="2491"/>
      <c r="BU242" s="2541"/>
      <c r="BV242" s="2491"/>
      <c r="BW242" s="2540">
        <f>SUM(BW241)</f>
        <v>0</v>
      </c>
      <c r="BX242" s="2536"/>
      <c r="BZ242" s="2540">
        <f>SUM(BZ241)</f>
        <v>0</v>
      </c>
      <c r="CA242" s="2539">
        <f>SUM(CA241)</f>
        <v>0</v>
      </c>
      <c r="CB242" s="2540">
        <f>SUM(CB241)</f>
        <v>0</v>
      </c>
      <c r="CC242" s="2490" t="str">
        <f>IF(BZ242=0," ",(CB242-BZ242)/BZ242)</f>
        <v xml:space="preserve"> </v>
      </c>
      <c r="CD242" s="2491"/>
      <c r="CE242" s="2540">
        <v>0</v>
      </c>
      <c r="CF242" s="2490" t="str">
        <f>IF(CB242=0," ",(CE242-CB242)/CB242)</f>
        <v xml:space="preserve"> </v>
      </c>
      <c r="CG242" s="2540">
        <f>SUM(CG241)</f>
        <v>0</v>
      </c>
      <c r="CH242" s="2449" t="s">
        <v>1091</v>
      </c>
      <c r="CI242" s="2449"/>
      <c r="CJ242" s="2450"/>
      <c r="CK242" s="2450"/>
      <c r="CL242" s="2451"/>
      <c r="CM242" s="2451"/>
      <c r="CN242" s="2451"/>
      <c r="CO242" s="2477"/>
      <c r="CP242" s="2478">
        <f t="shared" si="118"/>
        <v>0</v>
      </c>
      <c r="CQ242" s="2478"/>
      <c r="CR242" s="2478"/>
      <c r="CS242" s="2478"/>
      <c r="CT242" s="2478"/>
    </row>
    <row r="243" spans="1:98" ht="9.9499999999999993" hidden="1" customHeight="1" x14ac:dyDescent="0.2">
      <c r="AS243" s="2466"/>
      <c r="AT243" s="2466"/>
      <c r="BZ243" s="2472"/>
      <c r="CH243" s="2449" t="s">
        <v>1091</v>
      </c>
      <c r="CI243" s="2449"/>
      <c r="CJ243" s="2450"/>
      <c r="CK243" s="2450"/>
      <c r="CP243" s="2478">
        <f t="shared" si="118"/>
        <v>0</v>
      </c>
      <c r="CQ243" s="2478"/>
      <c r="CR243" s="2478"/>
      <c r="CS243" s="2478"/>
      <c r="CT243" s="2478"/>
    </row>
    <row r="244" spans="1:98" hidden="1" x14ac:dyDescent="0.2">
      <c r="A244" s="2495"/>
      <c r="B244" s="2496"/>
      <c r="C244" s="2497"/>
      <c r="D244" s="2497"/>
      <c r="E244" s="2498"/>
      <c r="F244" s="2496"/>
      <c r="G244" s="2499" t="s">
        <v>1559</v>
      </c>
      <c r="H244" s="2500">
        <f t="shared" ref="H244" si="142">H242</f>
        <v>100</v>
      </c>
      <c r="I244" s="2500">
        <f>I242</f>
        <v>-100</v>
      </c>
      <c r="J244" s="2500">
        <f>J242</f>
        <v>0</v>
      </c>
      <c r="K244" s="2501">
        <f>IF(H244=0," ",(J244-H244)/H244)</f>
        <v>-1</v>
      </c>
      <c r="M244" s="2500">
        <f>M242</f>
        <v>0</v>
      </c>
      <c r="N244" s="2500">
        <f>N242</f>
        <v>0</v>
      </c>
      <c r="P244" s="2502">
        <f>P242</f>
        <v>0</v>
      </c>
      <c r="R244" s="2500">
        <f>R242</f>
        <v>0</v>
      </c>
      <c r="S244" s="2500">
        <f>S242</f>
        <v>0</v>
      </c>
      <c r="U244" s="2500">
        <f>U242</f>
        <v>0</v>
      </c>
      <c r="V244" s="2500">
        <f>V242</f>
        <v>0</v>
      </c>
      <c r="W244" s="2500">
        <f>W242</f>
        <v>0</v>
      </c>
      <c r="X244" s="2501" t="str">
        <f>IF(U244=0," ",(W244-U244)/U244)</f>
        <v xml:space="preserve"> </v>
      </c>
      <c r="Z244" s="2500">
        <f>Z242</f>
        <v>0</v>
      </c>
      <c r="AA244" s="2500">
        <f>AA242</f>
        <v>0</v>
      </c>
      <c r="AC244" s="2502"/>
      <c r="AE244" s="2500">
        <f>AE242</f>
        <v>0</v>
      </c>
      <c r="AF244" s="2503">
        <f>AF242</f>
        <v>0</v>
      </c>
      <c r="AH244" s="2500">
        <v>0</v>
      </c>
      <c r="AI244" s="2500">
        <f>AI242</f>
        <v>0</v>
      </c>
      <c r="AJ244" s="2500">
        <f>AJ242</f>
        <v>0</v>
      </c>
      <c r="AK244" s="2501" t="str">
        <f>IF(AH244=0," ",(AJ244-AH244)/AH244)</f>
        <v xml:space="preserve"> </v>
      </c>
      <c r="AM244" s="2500">
        <f>AM242</f>
        <v>0</v>
      </c>
      <c r="AN244" s="2500">
        <f>AN242</f>
        <v>0</v>
      </c>
      <c r="AP244" s="2502"/>
      <c r="AR244" s="2500">
        <f>AR242</f>
        <v>0</v>
      </c>
      <c r="AS244" s="2500">
        <f>AS242</f>
        <v>0</v>
      </c>
      <c r="AT244" s="2500"/>
      <c r="AU244" s="2500">
        <f>AU242</f>
        <v>0</v>
      </c>
      <c r="AV244" s="2500">
        <f>AV242</f>
        <v>0</v>
      </c>
      <c r="AX244" s="2500">
        <f>AX242</f>
        <v>0</v>
      </c>
      <c r="AY244" s="2500">
        <f>AY242</f>
        <v>0</v>
      </c>
      <c r="AZ244" s="2500">
        <f>AZ242</f>
        <v>0</v>
      </c>
      <c r="BA244" s="2501" t="str">
        <f>IF(AX244=0," ",(AZ244-AX244)/AX244)</f>
        <v xml:space="preserve"> </v>
      </c>
      <c r="BC244" s="2500">
        <f>BC242</f>
        <v>0</v>
      </c>
      <c r="BD244" s="2500">
        <f>BD242</f>
        <v>0</v>
      </c>
      <c r="BF244" s="2502"/>
      <c r="BH244" s="2500">
        <f>BH242</f>
        <v>0</v>
      </c>
      <c r="BI244" s="2500"/>
      <c r="BJ244" s="2500"/>
      <c r="BK244" s="2500"/>
      <c r="BM244" s="2500">
        <f>BM242</f>
        <v>0</v>
      </c>
      <c r="BN244" s="2504">
        <f>BN242</f>
        <v>0</v>
      </c>
      <c r="BO244" s="2505">
        <f>BO242</f>
        <v>0</v>
      </c>
      <c r="BP244" s="2506" t="str">
        <f>IF(BM244=0," ",(BO244-BM244)/BM244)</f>
        <v xml:space="preserve"> </v>
      </c>
      <c r="BR244" s="2505">
        <f>BR242</f>
        <v>0</v>
      </c>
      <c r="BS244" s="2505">
        <f>BS242</f>
        <v>0</v>
      </c>
      <c r="BU244" s="2507"/>
      <c r="BW244" s="2505">
        <f>BW242</f>
        <v>0</v>
      </c>
      <c r="BX244" s="2500"/>
      <c r="BZ244" s="2505">
        <f>BZ242</f>
        <v>0</v>
      </c>
      <c r="CA244" s="2504">
        <f>CA242</f>
        <v>0</v>
      </c>
      <c r="CB244" s="2505">
        <f>CB242</f>
        <v>0</v>
      </c>
      <c r="CC244" s="2506" t="str">
        <f>IF(BZ244=0," ",(CB244-BZ244)/BZ244)</f>
        <v xml:space="preserve"> </v>
      </c>
      <c r="CE244" s="2505">
        <v>0</v>
      </c>
      <c r="CF244" s="2506" t="str">
        <f>IF(CB244=0," ",(CE244-CB244)/CB244)</f>
        <v xml:space="preserve"> </v>
      </c>
      <c r="CG244" s="2505">
        <f>CG242</f>
        <v>0</v>
      </c>
      <c r="CH244" s="2449" t="s">
        <v>1091</v>
      </c>
      <c r="CI244" s="2449"/>
      <c r="CJ244" s="2450"/>
      <c r="CK244" s="2450"/>
      <c r="CP244" s="2478">
        <f t="shared" si="118"/>
        <v>0</v>
      </c>
      <c r="CQ244" s="2478"/>
      <c r="CR244" s="2478"/>
      <c r="CS244" s="2478"/>
      <c r="CT244" s="2478"/>
    </row>
    <row r="245" spans="1:98" ht="20.100000000000001" hidden="1" customHeight="1" x14ac:dyDescent="0.2">
      <c r="AS245" s="2466"/>
      <c r="AT245" s="2466"/>
      <c r="BZ245" s="2472"/>
      <c r="CH245" s="2449" t="s">
        <v>1091</v>
      </c>
      <c r="CI245" s="2449"/>
      <c r="CJ245" s="2450"/>
      <c r="CK245" s="2450"/>
      <c r="CP245" s="2478">
        <f t="shared" si="118"/>
        <v>0</v>
      </c>
      <c r="CQ245" s="2478"/>
      <c r="CR245" s="2478"/>
      <c r="CS245" s="2478"/>
      <c r="CT245" s="2478"/>
    </row>
    <row r="246" spans="1:98" ht="15.75" hidden="1" x14ac:dyDescent="0.2">
      <c r="A246" s="2453" t="s">
        <v>431</v>
      </c>
      <c r="B246" s="2454"/>
      <c r="C246" s="2455"/>
      <c r="D246" s="2455"/>
      <c r="E246" s="2456"/>
      <c r="F246" s="2454"/>
      <c r="G246" s="2454"/>
      <c r="H246" s="2457"/>
      <c r="I246" s="2457"/>
      <c r="J246" s="2457"/>
      <c r="K246" s="2458"/>
      <c r="M246" s="2457"/>
      <c r="N246" s="2457"/>
      <c r="P246" s="2459"/>
      <c r="R246" s="2457"/>
      <c r="S246" s="2457"/>
      <c r="U246" s="2457"/>
      <c r="V246" s="2457"/>
      <c r="W246" s="2457"/>
      <c r="X246" s="2458"/>
      <c r="Z246" s="2457"/>
      <c r="AA246" s="2457"/>
      <c r="AC246" s="2459"/>
      <c r="AE246" s="2457"/>
      <c r="AF246" s="2460"/>
      <c r="AH246" s="2457"/>
      <c r="AI246" s="2457"/>
      <c r="AJ246" s="2457"/>
      <c r="AK246" s="2458"/>
      <c r="AM246" s="2457"/>
      <c r="AN246" s="2457"/>
      <c r="AP246" s="2459"/>
      <c r="AR246" s="2457"/>
      <c r="AS246" s="2457"/>
      <c r="AT246" s="2457"/>
      <c r="AU246" s="2457"/>
      <c r="AV246" s="2457"/>
      <c r="AX246" s="2457"/>
      <c r="AY246" s="2457"/>
      <c r="AZ246" s="2457"/>
      <c r="BA246" s="2458"/>
      <c r="BC246" s="2457"/>
      <c r="BD246" s="2457"/>
      <c r="BF246" s="2461"/>
      <c r="BH246" s="2457"/>
      <c r="BI246" s="2457"/>
      <c r="BJ246" s="2457"/>
      <c r="BK246" s="2457"/>
      <c r="BM246" s="2457"/>
      <c r="BN246" s="2462"/>
      <c r="BO246" s="2463"/>
      <c r="BP246" s="2464"/>
      <c r="BR246" s="2463"/>
      <c r="BS246" s="2463"/>
      <c r="BU246" s="2465"/>
      <c r="BW246" s="2463"/>
      <c r="BX246" s="2457"/>
      <c r="BZ246" s="2463"/>
      <c r="CA246" s="2462"/>
      <c r="CB246" s="2463"/>
      <c r="CC246" s="2464"/>
      <c r="CE246" s="2463"/>
      <c r="CF246" s="2464"/>
      <c r="CG246" s="2463"/>
      <c r="CH246" s="2449" t="s">
        <v>1212</v>
      </c>
      <c r="CI246" s="2449"/>
      <c r="CJ246" s="2450"/>
      <c r="CK246" s="2450"/>
      <c r="CP246" s="2478">
        <f t="shared" si="118"/>
        <v>0</v>
      </c>
      <c r="CQ246" s="2478"/>
      <c r="CR246" s="2478"/>
      <c r="CS246" s="2478"/>
      <c r="CT246" s="2478"/>
    </row>
    <row r="247" spans="1:98" hidden="1" x14ac:dyDescent="0.2">
      <c r="A247" s="2395">
        <v>171</v>
      </c>
      <c r="C247" s="2396">
        <v>17101</v>
      </c>
      <c r="D247" s="2396">
        <v>51120</v>
      </c>
      <c r="E247" s="2397" t="s">
        <v>59</v>
      </c>
      <c r="G247" s="2440" t="s">
        <v>1560</v>
      </c>
      <c r="H247" s="2466">
        <v>73956</v>
      </c>
      <c r="I247" s="2470">
        <v>-550.96</v>
      </c>
      <c r="J247" s="2466">
        <f>H247+I247</f>
        <v>73405.039999999994</v>
      </c>
      <c r="K247" s="2468">
        <f>IF(H247=0," ",(J247-H247)/H247)</f>
        <v>-7.4498350370491425E-3</v>
      </c>
      <c r="M247" s="2467">
        <v>61672</v>
      </c>
      <c r="N247" s="2467">
        <v>61672</v>
      </c>
      <c r="P247" s="2469" t="s">
        <v>1561</v>
      </c>
      <c r="R247" s="2466">
        <v>61672</v>
      </c>
      <c r="S247" s="2466">
        <v>61225.81</v>
      </c>
      <c r="U247" s="2466">
        <v>61672</v>
      </c>
      <c r="V247" s="2470">
        <v>2975</v>
      </c>
      <c r="W247" s="2466">
        <f>U247+V247</f>
        <v>64647</v>
      </c>
      <c r="X247" s="2468">
        <f>IF(U247=0," ",(W247-U247)/U247)</f>
        <v>4.8239071215462448E-2</v>
      </c>
      <c r="Z247" s="2467">
        <v>64647</v>
      </c>
      <c r="AA247" s="2467">
        <v>64647</v>
      </c>
      <c r="AC247" s="2469" t="s">
        <v>1503</v>
      </c>
      <c r="AE247" s="2466">
        <v>64647</v>
      </c>
      <c r="AF247" s="2471">
        <v>64646.400000000001</v>
      </c>
      <c r="AH247" s="2466">
        <v>64647</v>
      </c>
      <c r="AI247" s="2470">
        <v>3599</v>
      </c>
      <c r="AJ247" s="2466">
        <f>AH247+AI247</f>
        <v>68246</v>
      </c>
      <c r="AK247" s="2468">
        <f>IF(AH247=0," ",(AJ247-AH247)/AH247)</f>
        <v>5.5671570219809119E-2</v>
      </c>
      <c r="AM247" s="2467">
        <v>68246</v>
      </c>
      <c r="AN247" s="2467">
        <v>68246</v>
      </c>
      <c r="AP247" s="2469" t="s">
        <v>1562</v>
      </c>
      <c r="AR247" s="2466">
        <v>68246</v>
      </c>
      <c r="AS247" s="2466">
        <v>68245.759999999995</v>
      </c>
      <c r="AT247" s="2466"/>
      <c r="AU247" s="2466">
        <v>69907</v>
      </c>
      <c r="AV247" s="2466">
        <v>69906.240000000005</v>
      </c>
      <c r="AX247" s="2466">
        <v>69907</v>
      </c>
      <c r="AY247" s="2470">
        <v>1399</v>
      </c>
      <c r="AZ247" s="2466">
        <f>AX247+AY247</f>
        <v>71306</v>
      </c>
      <c r="BA247" s="2468">
        <f>IF(AX247=0," ",(AZ247-AX247)/AX247)</f>
        <v>2.0012302058449082E-2</v>
      </c>
      <c r="BC247" s="2467">
        <v>71306</v>
      </c>
      <c r="BD247" s="2467">
        <v>71306</v>
      </c>
      <c r="BF247" s="2511" t="s">
        <v>1563</v>
      </c>
      <c r="BH247" s="2467">
        <v>71306</v>
      </c>
      <c r="BI247" s="2466">
        <v>71306</v>
      </c>
      <c r="BM247" s="2466">
        <v>71306</v>
      </c>
      <c r="BN247" s="2470">
        <v>1420</v>
      </c>
      <c r="BO247" s="2472">
        <f>BM247+BN247</f>
        <v>72726</v>
      </c>
      <c r="BP247" s="2473">
        <f>IF(BM247=0," ",(BO247-BM247)/BM247)</f>
        <v>1.9914172720388187E-2</v>
      </c>
      <c r="BR247" s="2474">
        <v>72726</v>
      </c>
      <c r="BS247" s="2474">
        <v>72726</v>
      </c>
      <c r="BU247" s="2512" t="s">
        <v>1564</v>
      </c>
      <c r="BW247" s="2474">
        <v>72726</v>
      </c>
      <c r="BX247" s="2466">
        <v>35108.639999999999</v>
      </c>
      <c r="BZ247" s="2474">
        <v>72726</v>
      </c>
      <c r="CA247" s="2470">
        <v>-279</v>
      </c>
      <c r="CB247" s="2472">
        <f>BZ247+CA247</f>
        <v>72447</v>
      </c>
      <c r="CC247" s="2473">
        <f>IF(BZ247=0," ",(CB247-BZ247)/BZ247)</f>
        <v>-3.8363171355498722E-3</v>
      </c>
      <c r="CE247" s="2474">
        <v>73903</v>
      </c>
      <c r="CF247" s="2476">
        <f>IF(CB247=0," ",(CE247-CB247)/CB247)</f>
        <v>2.0097450550057284E-2</v>
      </c>
      <c r="CG247" s="2474">
        <v>73903</v>
      </c>
      <c r="CH247" s="2449" t="s">
        <v>1217</v>
      </c>
      <c r="CI247" s="2449"/>
      <c r="CJ247" s="2450"/>
      <c r="CK247" s="2450"/>
      <c r="CO247" s="2477">
        <v>0</v>
      </c>
      <c r="CP247" s="2478">
        <f t="shared" si="118"/>
        <v>0</v>
      </c>
      <c r="CQ247" s="2478"/>
      <c r="CR247" s="2478"/>
      <c r="CS247" s="2478"/>
      <c r="CT247" s="2478"/>
    </row>
    <row r="248" spans="1:98" hidden="1" x14ac:dyDescent="0.2">
      <c r="A248" s="2513">
        <v>171</v>
      </c>
      <c r="B248" s="2514" t="s">
        <v>1214</v>
      </c>
      <c r="C248" s="2515">
        <v>17101</v>
      </c>
      <c r="D248" s="2515">
        <v>51490</v>
      </c>
      <c r="E248" s="2516" t="s">
        <v>59</v>
      </c>
      <c r="F248" s="2514" t="s">
        <v>1214</v>
      </c>
      <c r="G248" s="2514" t="s">
        <v>1565</v>
      </c>
      <c r="H248" s="2466">
        <v>1000</v>
      </c>
      <c r="I248" s="2523">
        <v>-1000</v>
      </c>
      <c r="J248" s="2466">
        <f>H248+I248</f>
        <v>0</v>
      </c>
      <c r="K248" s="2468">
        <f>IF(H248=0," ",(J248-H248)/H248)</f>
        <v>-1</v>
      </c>
      <c r="M248" s="2520"/>
      <c r="N248" s="2520"/>
      <c r="P248" s="2522" t="s">
        <v>1566</v>
      </c>
      <c r="R248" s="2519"/>
      <c r="S248" s="2519"/>
      <c r="U248" s="2519"/>
      <c r="V248" s="2523"/>
      <c r="W248" s="2466">
        <f>U248+V248</f>
        <v>0</v>
      </c>
      <c r="X248" s="2468" t="str">
        <f>IF(U248=0," ",(W248-U248)/U248)</f>
        <v xml:space="preserve"> </v>
      </c>
      <c r="Z248" s="2520">
        <v>0</v>
      </c>
      <c r="AA248" s="2520">
        <v>0</v>
      </c>
      <c r="AC248" s="2522"/>
      <c r="AE248" s="2519">
        <v>0</v>
      </c>
      <c r="AF248" s="2524">
        <v>0</v>
      </c>
      <c r="AH248" s="2519">
        <v>0</v>
      </c>
      <c r="AI248" s="2523"/>
      <c r="AJ248" s="2466">
        <f>AH248+AI248</f>
        <v>0</v>
      </c>
      <c r="AK248" s="2468" t="str">
        <f>IF(AH248=0," ",(AJ248-AH248)/AH248)</f>
        <v xml:space="preserve"> </v>
      </c>
      <c r="AM248" s="2520">
        <v>0</v>
      </c>
      <c r="AN248" s="2467">
        <v>0</v>
      </c>
      <c r="AP248" s="2522"/>
      <c r="AR248" s="2466">
        <v>0</v>
      </c>
      <c r="AS248" s="2466"/>
      <c r="AT248" s="2466"/>
      <c r="AY248" s="2523"/>
      <c r="AZ248" s="2466">
        <f>AX248+AY248</f>
        <v>0</v>
      </c>
      <c r="BA248" s="2468" t="str">
        <f>IF(AX248=0," ",(AZ248-AX248)/AX248)</f>
        <v xml:space="preserve"> </v>
      </c>
      <c r="BC248" s="2467"/>
      <c r="BD248" s="2467"/>
      <c r="BF248" s="2522"/>
      <c r="BH248" s="2467"/>
      <c r="BI248" s="2519"/>
      <c r="BN248" s="2523"/>
      <c r="BO248" s="2472">
        <f>BM248+BN248</f>
        <v>0</v>
      </c>
      <c r="BP248" s="2473" t="str">
        <f>IF(BM248=0," ",(BO248-BM248)/BM248)</f>
        <v xml:space="preserve"> </v>
      </c>
      <c r="BR248" s="2474">
        <v>0</v>
      </c>
      <c r="BS248" s="2474">
        <v>0</v>
      </c>
      <c r="BU248" s="2528"/>
      <c r="BW248" s="2474">
        <v>0</v>
      </c>
      <c r="BX248" s="2519"/>
      <c r="BZ248" s="2474">
        <v>0</v>
      </c>
      <c r="CA248" s="2523"/>
      <c r="CB248" s="2472">
        <f>BZ248+CA248</f>
        <v>0</v>
      </c>
      <c r="CC248" s="2473" t="str">
        <f>IF(BZ248=0," ",(CB248-BZ248)/BZ248)</f>
        <v xml:space="preserve"> </v>
      </c>
      <c r="CE248" s="2517">
        <v>400</v>
      </c>
      <c r="CF248" s="2476" t="str">
        <f>IF(CB248=0," ",(CE248-CB248)/CB248)</f>
        <v xml:space="preserve"> </v>
      </c>
      <c r="CG248" s="2517">
        <v>400</v>
      </c>
      <c r="CH248" s="2449" t="s">
        <v>1217</v>
      </c>
      <c r="CI248" s="2449"/>
      <c r="CJ248" s="2450" t="s">
        <v>1239</v>
      </c>
      <c r="CK248" s="2518">
        <f t="shared" ref="CK248" si="143">-CG248</f>
        <v>-400</v>
      </c>
      <c r="CP248" s="2478">
        <f t="shared" si="118"/>
        <v>0</v>
      </c>
      <c r="CQ248" s="2478"/>
      <c r="CR248" s="2478"/>
      <c r="CS248" s="2478"/>
      <c r="CT248" s="2478" t="s">
        <v>1319</v>
      </c>
    </row>
    <row r="249" spans="1:98" hidden="1" x14ac:dyDescent="0.2">
      <c r="H249" s="2560">
        <f t="shared" ref="H249" si="144">SUM(H247:H248)</f>
        <v>74956</v>
      </c>
      <c r="I249" s="2560">
        <f>SUM(I247:I248)</f>
        <v>-1550.96</v>
      </c>
      <c r="J249" s="2560">
        <f>SUM(J247:J248)</f>
        <v>73405.039999999994</v>
      </c>
      <c r="K249" s="2561">
        <f>IF(H249=0," ",(J249-H249)/H249)</f>
        <v>-2.0691605742035414E-2</v>
      </c>
      <c r="M249" s="2560">
        <f>SUM(M247:M248)</f>
        <v>61672</v>
      </c>
      <c r="N249" s="2560">
        <f>SUM(N247:N248)</f>
        <v>61672</v>
      </c>
      <c r="P249" s="2562">
        <f>SUM(P247:P248)</f>
        <v>0</v>
      </c>
      <c r="R249" s="2560">
        <f>SUM(R247:R248)</f>
        <v>61672</v>
      </c>
      <c r="S249" s="2560">
        <f>SUM(S247:S248)</f>
        <v>61225.81</v>
      </c>
      <c r="U249" s="2560">
        <f>SUM(U247:U248)</f>
        <v>61672</v>
      </c>
      <c r="V249" s="2560">
        <f>SUM(V247:V248)</f>
        <v>2975</v>
      </c>
      <c r="W249" s="2560">
        <f>SUM(W247:W248)</f>
        <v>64647</v>
      </c>
      <c r="X249" s="2561">
        <f>IF(U249=0," ",(W249-U249)/U249)</f>
        <v>4.8239071215462448E-2</v>
      </c>
      <c r="Z249" s="2560">
        <f>SUM(Z247:Z248)</f>
        <v>64647</v>
      </c>
      <c r="AA249" s="2560">
        <f>SUM(AA247:AA248)</f>
        <v>64647</v>
      </c>
      <c r="AC249" s="2562"/>
      <c r="AE249" s="2560">
        <f>SUM(AE247:AE248)</f>
        <v>64647</v>
      </c>
      <c r="AF249" s="2563">
        <f>SUM(AF247:AF248)</f>
        <v>64646.400000000001</v>
      </c>
      <c r="AH249" s="2560">
        <v>64647</v>
      </c>
      <c r="AI249" s="2560">
        <f>SUM(AI247:AI248)</f>
        <v>3599</v>
      </c>
      <c r="AJ249" s="2560">
        <f>SUM(AJ247:AJ248)</f>
        <v>68246</v>
      </c>
      <c r="AK249" s="2561">
        <f>IF(AH249=0," ",(AJ249-AH249)/AH249)</f>
        <v>5.5671570219809119E-2</v>
      </c>
      <c r="AM249" s="2560">
        <f>SUM(AM247:AM248)</f>
        <v>68246</v>
      </c>
      <c r="AN249" s="2560">
        <f>SUM(AN247:AN248)</f>
        <v>68246</v>
      </c>
      <c r="AP249" s="2562"/>
      <c r="AR249" s="2560">
        <f>SUM(AR247:AR248)</f>
        <v>68246</v>
      </c>
      <c r="AS249" s="2560">
        <f>SUM(AS247:AS248)</f>
        <v>68245.759999999995</v>
      </c>
      <c r="AT249" s="2560"/>
      <c r="AU249" s="2560">
        <f>SUM(AU247:AU248)</f>
        <v>69907</v>
      </c>
      <c r="AV249" s="2560">
        <f>SUM(AV247:AV248)</f>
        <v>69906.240000000005</v>
      </c>
      <c r="AX249" s="2560">
        <f>SUM(AX247:AX248)</f>
        <v>69907</v>
      </c>
      <c r="AY249" s="2560">
        <f>SUM(AY247:AY248)</f>
        <v>1399</v>
      </c>
      <c r="AZ249" s="2560">
        <f>SUM(AZ247:AZ248)</f>
        <v>71306</v>
      </c>
      <c r="BA249" s="2561">
        <f>IF(AX249=0," ",(AZ249-AX249)/AX249)</f>
        <v>2.0012302058449082E-2</v>
      </c>
      <c r="BC249" s="2560">
        <f>SUM(BC247:BC248)</f>
        <v>71306</v>
      </c>
      <c r="BD249" s="2560">
        <f>SUM(BD247:BD248)</f>
        <v>71306</v>
      </c>
      <c r="BF249" s="2562"/>
      <c r="BH249" s="2560">
        <f>SUM(BH247:BH248)</f>
        <v>71306</v>
      </c>
      <c r="BI249" s="2560">
        <f>SUM(BI247:BI248)</f>
        <v>71306</v>
      </c>
      <c r="BM249" s="2560">
        <f>SUM(BM247:BM248)</f>
        <v>71306</v>
      </c>
      <c r="BN249" s="2560">
        <f>SUM(BN247:BN248)</f>
        <v>1420</v>
      </c>
      <c r="BO249" s="2564">
        <f>SUM(BO247:BO248)</f>
        <v>72726</v>
      </c>
      <c r="BP249" s="2565">
        <f>IF(BM249=0," ",(BO249-BM249)/BM249)</f>
        <v>1.9914172720388187E-2</v>
      </c>
      <c r="BR249" s="2564">
        <f>SUM(BR247:BR248)</f>
        <v>72726</v>
      </c>
      <c r="BS249" s="2564">
        <f>SUM(BS247:BS248)</f>
        <v>72726</v>
      </c>
      <c r="BU249" s="2566"/>
      <c r="BW249" s="2564">
        <f>SUM(BW247:BW248)</f>
        <v>72726</v>
      </c>
      <c r="BX249" s="2560">
        <f>SUM(BX247:BX248)</f>
        <v>35108.639999999999</v>
      </c>
      <c r="BZ249" s="2564">
        <f>SUM(BZ247:BZ248)</f>
        <v>72726</v>
      </c>
      <c r="CA249" s="2564">
        <f>SUM(CA247:CA248)</f>
        <v>-279</v>
      </c>
      <c r="CB249" s="2564">
        <f>SUM(CB247:CB248)</f>
        <v>72447</v>
      </c>
      <c r="CC249" s="2565">
        <f>IF(BZ249=0," ",(CB249-BZ249)/BZ249)</f>
        <v>-3.8363171355498722E-3</v>
      </c>
      <c r="CE249" s="2564">
        <f>SUM(CE247:CE248)</f>
        <v>74303</v>
      </c>
      <c r="CF249" s="2565">
        <f>IF(CB249=0," ",(CE249-CB249)/CB249)</f>
        <v>2.5618728173699395E-2</v>
      </c>
      <c r="CG249" s="2564">
        <f>SUM(CG247:CG248)</f>
        <v>74303</v>
      </c>
      <c r="CH249" s="2449" t="s">
        <v>1243</v>
      </c>
      <c r="CI249" s="2449"/>
      <c r="CJ249" s="2450"/>
      <c r="CK249" s="2450"/>
      <c r="CO249" s="2477">
        <v>0</v>
      </c>
      <c r="CP249" s="2478">
        <f t="shared" si="118"/>
        <v>0</v>
      </c>
      <c r="CQ249" s="2478"/>
      <c r="CR249" s="2478"/>
      <c r="CS249" s="2478"/>
      <c r="CT249" s="2478"/>
    </row>
    <row r="250" spans="1:98" hidden="1" x14ac:dyDescent="0.2">
      <c r="AS250" s="2466"/>
      <c r="AT250" s="2466"/>
      <c r="BZ250" s="2472"/>
      <c r="CH250" s="2449" t="s">
        <v>1091</v>
      </c>
      <c r="CI250" s="2449"/>
      <c r="CJ250" s="2450"/>
      <c r="CK250" s="2450"/>
      <c r="CP250" s="2478">
        <f t="shared" si="118"/>
        <v>0</v>
      </c>
      <c r="CQ250" s="2478"/>
      <c r="CR250" s="2478"/>
      <c r="CS250" s="2478"/>
      <c r="CT250" s="2478"/>
    </row>
    <row r="251" spans="1:98" hidden="1" x14ac:dyDescent="0.2">
      <c r="A251" s="2395">
        <v>171</v>
      </c>
      <c r="B251" s="2440" t="s">
        <v>1214</v>
      </c>
      <c r="C251" s="2396">
        <v>17102</v>
      </c>
      <c r="D251" s="2396">
        <v>51140</v>
      </c>
      <c r="E251" s="2397" t="s">
        <v>319</v>
      </c>
      <c r="F251" s="2440" t="s">
        <v>1214</v>
      </c>
      <c r="G251" s="2440" t="s">
        <v>1567</v>
      </c>
      <c r="H251" s="2466">
        <v>18481</v>
      </c>
      <c r="I251" s="2470">
        <v>267.08</v>
      </c>
      <c r="J251" s="2466">
        <f>H251+I251</f>
        <v>18748.080000000002</v>
      </c>
      <c r="K251" s="2468">
        <f>IF(H251=0," ",(J251-H251)/H251)</f>
        <v>1.4451598939451422E-2</v>
      </c>
      <c r="M251" s="2467">
        <v>18749</v>
      </c>
      <c r="N251" s="2467">
        <v>18749</v>
      </c>
      <c r="P251" s="2469" t="s">
        <v>1568</v>
      </c>
      <c r="R251" s="2466">
        <v>18749</v>
      </c>
      <c r="S251" s="2466">
        <v>17787.919999999998</v>
      </c>
      <c r="U251" s="2466">
        <v>18749</v>
      </c>
      <c r="V251" s="2470">
        <v>898</v>
      </c>
      <c r="W251" s="2466">
        <f>U251+V251</f>
        <v>19647</v>
      </c>
      <c r="X251" s="2468">
        <f>IF(U251=0," ",(W251-U251)/U251)</f>
        <v>4.7895887780681635E-2</v>
      </c>
      <c r="Z251" s="2467">
        <v>19647</v>
      </c>
      <c r="AA251" s="2467">
        <v>19647</v>
      </c>
      <c r="AC251" s="2469" t="s">
        <v>1569</v>
      </c>
      <c r="AE251" s="2466">
        <v>19647</v>
      </c>
      <c r="AF251" s="2471">
        <v>22939.8</v>
      </c>
      <c r="AH251" s="2466">
        <v>19647</v>
      </c>
      <c r="AI251" s="2470">
        <v>4593</v>
      </c>
      <c r="AJ251" s="2466">
        <f>AH251+AI251</f>
        <v>24240</v>
      </c>
      <c r="AK251" s="2468">
        <f>IF(AH251=0," ",(AJ251-AH251)/AH251)</f>
        <v>0.23377614903038632</v>
      </c>
      <c r="AM251" s="2467">
        <v>24240</v>
      </c>
      <c r="AN251" s="2467">
        <v>24240</v>
      </c>
      <c r="AP251" s="2469" t="s">
        <v>1570</v>
      </c>
      <c r="AR251" s="2466">
        <v>24240</v>
      </c>
      <c r="AS251" s="2466">
        <v>24239.89</v>
      </c>
      <c r="AT251" s="2466"/>
      <c r="AU251" s="2466">
        <v>24786</v>
      </c>
      <c r="AV251" s="2466">
        <v>24785.98</v>
      </c>
      <c r="AX251" s="2466">
        <v>24786</v>
      </c>
      <c r="AY251" s="2470">
        <v>505</v>
      </c>
      <c r="AZ251" s="2466">
        <f>AX251+AY251</f>
        <v>25291</v>
      </c>
      <c r="BA251" s="2468">
        <f>IF(AX251=0," ",(AZ251-AX251)/AX251)</f>
        <v>2.0374404905995319E-2</v>
      </c>
      <c r="BC251" s="2467">
        <v>25291</v>
      </c>
      <c r="BD251" s="2467">
        <v>25291</v>
      </c>
      <c r="BF251" s="2511" t="s">
        <v>1571</v>
      </c>
      <c r="BH251" s="2467">
        <v>25291</v>
      </c>
      <c r="BI251" s="2466">
        <v>25290.240000000002</v>
      </c>
      <c r="BM251" s="2466">
        <v>25291</v>
      </c>
      <c r="BN251" s="2470">
        <v>390</v>
      </c>
      <c r="BO251" s="2472">
        <f>BM251+BN251</f>
        <v>25681</v>
      </c>
      <c r="BP251" s="2473">
        <f>IF(BM251=0," ",(BO251-BM251)/BM251)</f>
        <v>1.5420505318097346E-2</v>
      </c>
      <c r="BR251" s="2474">
        <v>25681</v>
      </c>
      <c r="BS251" s="2474">
        <v>25681</v>
      </c>
      <c r="BU251" s="2512" t="s">
        <v>1572</v>
      </c>
      <c r="BW251" s="2474">
        <v>25681</v>
      </c>
      <c r="BX251" s="2466">
        <v>12346.25</v>
      </c>
      <c r="BZ251" s="2474">
        <v>25681</v>
      </c>
      <c r="CA251" s="2470">
        <v>0</v>
      </c>
      <c r="CB251" s="2472">
        <f>BZ251+CA251</f>
        <v>25681</v>
      </c>
      <c r="CC251" s="2473">
        <f>IF(BZ251=0," ",(CB251-BZ251)/BZ251)</f>
        <v>0</v>
      </c>
      <c r="CE251" s="2474">
        <v>26193</v>
      </c>
      <c r="CF251" s="2476">
        <f>IF(CB251=0," ",(CE251-CB251)/CB251)</f>
        <v>1.9936918344301235E-2</v>
      </c>
      <c r="CG251" s="2474">
        <v>26193</v>
      </c>
      <c r="CH251" s="2449" t="s">
        <v>1217</v>
      </c>
      <c r="CI251" s="2449"/>
      <c r="CJ251" s="2450"/>
      <c r="CK251" s="2450"/>
      <c r="CO251" s="2477">
        <v>-3.0050215491628229E-5</v>
      </c>
      <c r="CP251" s="2478">
        <f t="shared" si="118"/>
        <v>-0.75999999999839929</v>
      </c>
      <c r="CQ251" s="2478"/>
      <c r="CR251" s="2478"/>
      <c r="CS251" s="2478"/>
      <c r="CT251" s="2478"/>
    </row>
    <row r="252" spans="1:98" hidden="1" x14ac:dyDescent="0.2">
      <c r="A252" s="2395">
        <v>171</v>
      </c>
      <c r="B252" s="2440" t="s">
        <v>1214</v>
      </c>
      <c r="C252" s="2396">
        <v>17102</v>
      </c>
      <c r="D252" s="2396">
        <v>51143</v>
      </c>
      <c r="E252" s="2397" t="s">
        <v>319</v>
      </c>
      <c r="F252" s="2440" t="s">
        <v>1214</v>
      </c>
      <c r="G252" s="2440" t="s">
        <v>1573</v>
      </c>
      <c r="H252" s="2466">
        <v>0</v>
      </c>
      <c r="I252" s="2523"/>
      <c r="J252" s="2466">
        <f>H252+I252</f>
        <v>0</v>
      </c>
      <c r="K252" s="2468" t="str">
        <f>IF(H252=0," ",(J252-H252)/H252)</f>
        <v xml:space="preserve"> </v>
      </c>
      <c r="M252" s="2520"/>
      <c r="N252" s="2520"/>
      <c r="P252" s="2522"/>
      <c r="R252" s="2519"/>
      <c r="S252" s="2519"/>
      <c r="U252" s="2519"/>
      <c r="V252" s="2523">
        <v>0</v>
      </c>
      <c r="W252" s="2466">
        <f>U252+V252</f>
        <v>0</v>
      </c>
      <c r="X252" s="2468" t="str">
        <f>IF(U252=0," ",(W252-U252)/U252)</f>
        <v xml:space="preserve"> </v>
      </c>
      <c r="Z252" s="2520">
        <v>0</v>
      </c>
      <c r="AA252" s="2520">
        <v>0</v>
      </c>
      <c r="AC252" s="2522"/>
      <c r="AE252" s="2519">
        <v>0</v>
      </c>
      <c r="AF252" s="2524">
        <v>0</v>
      </c>
      <c r="AH252" s="2519">
        <v>0</v>
      </c>
      <c r="AI252" s="2523"/>
      <c r="AJ252" s="2466">
        <f>AH252+AI252</f>
        <v>0</v>
      </c>
      <c r="AK252" s="2468" t="str">
        <f>IF(AH252=0," ",(AJ252-AH252)/AH252)</f>
        <v xml:space="preserve"> </v>
      </c>
      <c r="AM252" s="2520">
        <v>0</v>
      </c>
      <c r="AN252" s="2467">
        <v>0</v>
      </c>
      <c r="AP252" s="2522"/>
      <c r="AR252" s="2466">
        <v>0</v>
      </c>
      <c r="AS252" s="2466"/>
      <c r="AT252" s="2466"/>
      <c r="AY252" s="2523"/>
      <c r="AZ252" s="2466">
        <f>AX252+AY252</f>
        <v>0</v>
      </c>
      <c r="BA252" s="2468" t="str">
        <f>IF(AX252=0," ",(AZ252-AX252)/AX252)</f>
        <v xml:space="preserve"> </v>
      </c>
      <c r="BC252" s="2467"/>
      <c r="BD252" s="2467"/>
      <c r="BF252" s="2522"/>
      <c r="BH252" s="2467"/>
      <c r="BI252" s="2519"/>
      <c r="BN252" s="2523"/>
      <c r="BO252" s="2472">
        <f>BM252+BN252</f>
        <v>0</v>
      </c>
      <c r="BP252" s="2473" t="str">
        <f>IF(BM252=0," ",(BO252-BM252)/BM252)</f>
        <v xml:space="preserve"> </v>
      </c>
      <c r="BR252" s="2474">
        <v>0</v>
      </c>
      <c r="BS252" s="2474">
        <v>0</v>
      </c>
      <c r="BU252" s="2528"/>
      <c r="BW252" s="2474">
        <v>0</v>
      </c>
      <c r="BX252" s="2519"/>
      <c r="BZ252" s="2474">
        <v>0</v>
      </c>
      <c r="CA252" s="2523"/>
      <c r="CB252" s="2472">
        <f>BZ252+CA252</f>
        <v>0</v>
      </c>
      <c r="CC252" s="2473" t="str">
        <f>IF(BZ252=0," ",(CB252-BZ252)/BZ252)</f>
        <v xml:space="preserve"> </v>
      </c>
      <c r="CE252" s="2517">
        <v>170</v>
      </c>
      <c r="CF252" s="2476" t="str">
        <f>IF(CB252=0," ",(CE252-CB252)/CB252)</f>
        <v xml:space="preserve"> </v>
      </c>
      <c r="CG252" s="2517">
        <v>170</v>
      </c>
      <c r="CH252" s="2449" t="s">
        <v>1217</v>
      </c>
      <c r="CI252" s="2449"/>
      <c r="CJ252" s="2450"/>
      <c r="CK252" s="2450"/>
      <c r="CP252" s="2478">
        <f t="shared" si="118"/>
        <v>0</v>
      </c>
      <c r="CQ252" s="2478"/>
      <c r="CR252" s="2478"/>
      <c r="CS252" s="2478"/>
      <c r="CT252" s="2478"/>
    </row>
    <row r="253" spans="1:98" hidden="1" x14ac:dyDescent="0.2">
      <c r="H253" s="2560">
        <f t="shared" ref="H253" si="145">SUM(H251:H252)</f>
        <v>18481</v>
      </c>
      <c r="I253" s="2560">
        <f>SUM(I251:I252)</f>
        <v>267.08</v>
      </c>
      <c r="J253" s="2560">
        <f>SUM(J251:J252)</f>
        <v>18748.080000000002</v>
      </c>
      <c r="K253" s="2561">
        <f>IF(H253=0," ",(J253-H253)/H253)</f>
        <v>1.4451598939451422E-2</v>
      </c>
      <c r="M253" s="2560">
        <f>SUM(M251:M252)</f>
        <v>18749</v>
      </c>
      <c r="N253" s="2560">
        <f>SUM(N251:N252)</f>
        <v>18749</v>
      </c>
      <c r="P253" s="2562">
        <f>SUM(P251:P252)</f>
        <v>0</v>
      </c>
      <c r="R253" s="2560">
        <f>SUM(R251:R252)</f>
        <v>18749</v>
      </c>
      <c r="S253" s="2560">
        <f>SUM(S251:S252)</f>
        <v>17787.919999999998</v>
      </c>
      <c r="U253" s="2560">
        <f>SUM(U251:U252)</f>
        <v>18749</v>
      </c>
      <c r="V253" s="2560">
        <f>SUM(V251:V252)</f>
        <v>898</v>
      </c>
      <c r="W253" s="2560">
        <f>SUM(W251:W252)</f>
        <v>19647</v>
      </c>
      <c r="X253" s="2561">
        <f>IF(U253=0," ",(W253-U253)/U253)</f>
        <v>4.7895887780681635E-2</v>
      </c>
      <c r="Z253" s="2560">
        <f>SUM(Z251:Z252)</f>
        <v>19647</v>
      </c>
      <c r="AA253" s="2560">
        <f>SUM(AA251:AA252)</f>
        <v>19647</v>
      </c>
      <c r="AC253" s="2562"/>
      <c r="AE253" s="2560">
        <f>SUM(AE251:AE252)</f>
        <v>19647</v>
      </c>
      <c r="AF253" s="2563">
        <f>SUM(AF251:AF252)</f>
        <v>22939.8</v>
      </c>
      <c r="AH253" s="2560">
        <v>19647</v>
      </c>
      <c r="AI253" s="2560">
        <f>SUM(AI251:AI252)</f>
        <v>4593</v>
      </c>
      <c r="AJ253" s="2560">
        <f>SUM(AJ251:AJ252)</f>
        <v>24240</v>
      </c>
      <c r="AK253" s="2561">
        <f>IF(AH253=0," ",(AJ253-AH253)/AH253)</f>
        <v>0.23377614903038632</v>
      </c>
      <c r="AM253" s="2560">
        <f>SUM(AM251:AM252)</f>
        <v>24240</v>
      </c>
      <c r="AN253" s="2560">
        <f>SUM(AN251:AN252)</f>
        <v>24240</v>
      </c>
      <c r="AP253" s="2562"/>
      <c r="AR253" s="2560">
        <f>SUM(AR251:AR252)</f>
        <v>24240</v>
      </c>
      <c r="AS253" s="2560">
        <f>SUM(AS251:AS252)</f>
        <v>24239.89</v>
      </c>
      <c r="AT253" s="2560"/>
      <c r="AU253" s="2560">
        <f>SUM(AU251:AU252)</f>
        <v>24786</v>
      </c>
      <c r="AV253" s="2560">
        <f>SUM(AV251:AV252)</f>
        <v>24785.98</v>
      </c>
      <c r="AX253" s="2560">
        <f>SUM(AX251:AX252)</f>
        <v>24786</v>
      </c>
      <c r="AY253" s="2560">
        <f>SUM(AY251:AY252)</f>
        <v>505</v>
      </c>
      <c r="AZ253" s="2560">
        <f>SUM(AZ251:AZ252)</f>
        <v>25291</v>
      </c>
      <c r="BA253" s="2561">
        <f>IF(AX253=0," ",(AZ253-AX253)/AX253)</f>
        <v>2.0374404905995319E-2</v>
      </c>
      <c r="BC253" s="2560">
        <f>SUM(BC251:BC252)</f>
        <v>25291</v>
      </c>
      <c r="BD253" s="2560">
        <f>SUM(BD251:BD252)</f>
        <v>25291</v>
      </c>
      <c r="BF253" s="2562"/>
      <c r="BH253" s="2560">
        <f>SUM(BH251:BH252)</f>
        <v>25291</v>
      </c>
      <c r="BI253" s="2560">
        <f>SUM(BI251:BI252)</f>
        <v>25290.240000000002</v>
      </c>
      <c r="BM253" s="2560">
        <f>SUM(BM251:BM252)</f>
        <v>25291</v>
      </c>
      <c r="BN253" s="2560">
        <f>SUM(BN251:BN252)</f>
        <v>390</v>
      </c>
      <c r="BO253" s="2564">
        <f>SUM(BO251:BO252)</f>
        <v>25681</v>
      </c>
      <c r="BP253" s="2565">
        <f>IF(BM253=0," ",(BO253-BM253)/BM253)</f>
        <v>1.5420505318097346E-2</v>
      </c>
      <c r="BR253" s="2564">
        <f>SUM(BR251:BR252)</f>
        <v>25681</v>
      </c>
      <c r="BS253" s="2564">
        <f>SUM(BS251:BS252)</f>
        <v>25681</v>
      </c>
      <c r="BU253" s="2566"/>
      <c r="BW253" s="2564">
        <f>SUM(BW251:BW252)</f>
        <v>25681</v>
      </c>
      <c r="BX253" s="2560">
        <f>SUM(BX251:BX252)</f>
        <v>12346.25</v>
      </c>
      <c r="BZ253" s="2564">
        <f>SUM(BZ251:BZ252)</f>
        <v>25681</v>
      </c>
      <c r="CA253" s="2564">
        <f>SUM(CA251:CA252)</f>
        <v>0</v>
      </c>
      <c r="CB253" s="2564">
        <f>SUM(CB251:CB252)</f>
        <v>25681</v>
      </c>
      <c r="CC253" s="2565">
        <f>IF(BZ253=0," ",(CB253-BZ253)/BZ253)</f>
        <v>0</v>
      </c>
      <c r="CE253" s="2564">
        <f>SUM(CE251:CE252)</f>
        <v>26363</v>
      </c>
      <c r="CF253" s="2565">
        <f>IF(CB253=0," ",(CE253-CB253)/CB253)</f>
        <v>2.6556598263307505E-2</v>
      </c>
      <c r="CG253" s="2564">
        <f>SUM(CG251:CG252)</f>
        <v>26363</v>
      </c>
      <c r="CH253" s="2449" t="s">
        <v>1243</v>
      </c>
      <c r="CI253" s="2449"/>
      <c r="CJ253" s="2450"/>
      <c r="CK253" s="2450"/>
      <c r="CO253" s="2477">
        <v>-3.0050215491628229E-5</v>
      </c>
      <c r="CP253" s="2478">
        <f t="shared" si="118"/>
        <v>-0.75999999999839929</v>
      </c>
      <c r="CQ253" s="2478"/>
      <c r="CR253" s="2478"/>
      <c r="CS253" s="2478"/>
      <c r="CT253" s="2478"/>
    </row>
    <row r="254" spans="1:98" hidden="1" x14ac:dyDescent="0.2">
      <c r="AS254" s="2466"/>
      <c r="AT254" s="2466"/>
      <c r="BZ254" s="2472"/>
      <c r="CH254" s="2449" t="s">
        <v>1091</v>
      </c>
      <c r="CI254" s="2449"/>
      <c r="CJ254" s="2450"/>
      <c r="CK254" s="2450"/>
      <c r="CP254" s="2478">
        <f t="shared" si="118"/>
        <v>0</v>
      </c>
      <c r="CQ254" s="2478"/>
      <c r="CR254" s="2478"/>
      <c r="CS254" s="2478"/>
      <c r="CT254" s="2478"/>
    </row>
    <row r="255" spans="1:98" s="2485" customFormat="1" hidden="1" x14ac:dyDescent="0.2">
      <c r="A255" s="2532"/>
      <c r="B255" s="2533"/>
      <c r="C255" s="2534"/>
      <c r="D255" s="2534"/>
      <c r="E255" s="2535"/>
      <c r="F255" s="2533"/>
      <c r="G255" s="2588" t="s">
        <v>1574</v>
      </c>
      <c r="H255" s="2536">
        <f t="shared" ref="H255" si="146">H249+H253</f>
        <v>93437</v>
      </c>
      <c r="I255" s="2536">
        <f>I249+I253</f>
        <v>-1283.8800000000001</v>
      </c>
      <c r="J255" s="2536">
        <f>J249+J253</f>
        <v>92153.12</v>
      </c>
      <c r="K255" s="2484">
        <f>IF(H255=0," ",(J255-H255)/H255)</f>
        <v>-1.3740595267399474E-2</v>
      </c>
      <c r="M255" s="2536">
        <f>M249+M253</f>
        <v>80421</v>
      </c>
      <c r="N255" s="2536">
        <f>N249+N253</f>
        <v>80421</v>
      </c>
      <c r="P255" s="2537">
        <f>P249+P253</f>
        <v>0</v>
      </c>
      <c r="R255" s="2536">
        <f>R249+R253</f>
        <v>80421</v>
      </c>
      <c r="S255" s="2536">
        <f>S249+S253</f>
        <v>79013.73</v>
      </c>
      <c r="U255" s="2536">
        <f>U249+U253</f>
        <v>80421</v>
      </c>
      <c r="V255" s="2536">
        <f>V249+V253</f>
        <v>3873</v>
      </c>
      <c r="W255" s="2536">
        <f>W249+W253</f>
        <v>84294</v>
      </c>
      <c r="X255" s="2484">
        <f>IF(U255=0," ",(W255-U255)/U255)</f>
        <v>4.8159062931323909E-2</v>
      </c>
      <c r="Z255" s="2536">
        <f>Z249+Z253</f>
        <v>84294</v>
      </c>
      <c r="AA255" s="2536">
        <f>AA249+AA253</f>
        <v>84294</v>
      </c>
      <c r="AC255" s="2537"/>
      <c r="AE255" s="2536">
        <f>AE249+AE253</f>
        <v>84294</v>
      </c>
      <c r="AF255" s="2538">
        <f>AF249+AF253</f>
        <v>87586.2</v>
      </c>
      <c r="AH255" s="2536">
        <v>84294</v>
      </c>
      <c r="AI255" s="2536">
        <f>AI249+AI253</f>
        <v>8192</v>
      </c>
      <c r="AJ255" s="2536">
        <f>AJ249+AJ253</f>
        <v>92486</v>
      </c>
      <c r="AK255" s="2484">
        <f>IF(AH255=0," ",(AJ255-AH255)/AH255)</f>
        <v>9.7183666690393147E-2</v>
      </c>
      <c r="AM255" s="2536">
        <f>AM249+AM253</f>
        <v>92486</v>
      </c>
      <c r="AN255" s="2536">
        <f>AN249+AN253</f>
        <v>92486</v>
      </c>
      <c r="AP255" s="2537"/>
      <c r="AR255" s="2536">
        <f>AR249+AR253</f>
        <v>92486</v>
      </c>
      <c r="AS255" s="2536">
        <f>AS249+AS253</f>
        <v>92485.65</v>
      </c>
      <c r="AT255" s="2536"/>
      <c r="AU255" s="2536">
        <f>AU249+AU253</f>
        <v>94693</v>
      </c>
      <c r="AV255" s="2536">
        <f>AV249+AV253</f>
        <v>94692.22</v>
      </c>
      <c r="AX255" s="2536">
        <f>AX249+AX253</f>
        <v>94693</v>
      </c>
      <c r="AY255" s="2536">
        <f>AY249+AY253</f>
        <v>1904</v>
      </c>
      <c r="AZ255" s="2536">
        <f>AZ249+AZ253</f>
        <v>96597</v>
      </c>
      <c r="BA255" s="2484">
        <f>IF(AX255=0," ",(AZ255-AX255)/AX255)</f>
        <v>2.0107082888914704E-2</v>
      </c>
      <c r="BC255" s="2536">
        <f>BC249+BC253</f>
        <v>96597</v>
      </c>
      <c r="BD255" s="2536">
        <f>BD249+BD253</f>
        <v>96597</v>
      </c>
      <c r="BF255" s="2537"/>
      <c r="BH255" s="2536">
        <f>BH249+BH253</f>
        <v>96597</v>
      </c>
      <c r="BI255" s="2536">
        <f>BI249+BI253</f>
        <v>96596.24</v>
      </c>
      <c r="BJ255" s="2536"/>
      <c r="BK255" s="2536"/>
      <c r="BM255" s="2536">
        <f>BM249+BM253</f>
        <v>96597</v>
      </c>
      <c r="BN255" s="2539">
        <f>BN249+BN253</f>
        <v>1810</v>
      </c>
      <c r="BO255" s="2540">
        <f>BO249+BO253</f>
        <v>98407</v>
      </c>
      <c r="BP255" s="2490">
        <f>IF(BM255=0," ",(BO255-BM255)/BM255)</f>
        <v>1.8737641955754319E-2</v>
      </c>
      <c r="BQ255" s="2491"/>
      <c r="BR255" s="2540">
        <f>BR249+BR253</f>
        <v>98407</v>
      </c>
      <c r="BS255" s="2540">
        <f>BS249+BS253</f>
        <v>98407</v>
      </c>
      <c r="BT255" s="2491"/>
      <c r="BU255" s="2541"/>
      <c r="BV255" s="2491"/>
      <c r="BW255" s="2540">
        <f>BW249+BW253</f>
        <v>98407</v>
      </c>
      <c r="BX255" s="2536">
        <f>BX249+BX253</f>
        <v>47454.89</v>
      </c>
      <c r="BZ255" s="2540">
        <f>BZ249+BZ253</f>
        <v>98407</v>
      </c>
      <c r="CA255" s="2540">
        <f>CA249+CA253</f>
        <v>-279</v>
      </c>
      <c r="CB255" s="2540">
        <f>CB249+CB253</f>
        <v>98128</v>
      </c>
      <c r="CC255" s="2490">
        <f>IF(BZ255=0," ",(CB255-BZ255)/BZ255)</f>
        <v>-2.8351641651508529E-3</v>
      </c>
      <c r="CD255" s="2491"/>
      <c r="CE255" s="2540">
        <f>CE249+CE253</f>
        <v>100666</v>
      </c>
      <c r="CF255" s="2490">
        <f>IF(CB255=0," ",(CE255-CB255)/CB255)</f>
        <v>2.5864177400945702E-2</v>
      </c>
      <c r="CG255" s="2540">
        <f>CG249+CG253</f>
        <v>100666</v>
      </c>
      <c r="CH255" s="2449" t="s">
        <v>1220</v>
      </c>
      <c r="CI255" s="2449"/>
      <c r="CJ255" s="2450"/>
      <c r="CK255" s="2450"/>
      <c r="CL255" s="2451"/>
      <c r="CM255" s="2451"/>
      <c r="CN255" s="2451"/>
      <c r="CO255" s="2477">
        <v>-7.8677391637249627E-6</v>
      </c>
      <c r="CP255" s="2478">
        <f t="shared" si="118"/>
        <v>-0.75999999999476131</v>
      </c>
      <c r="CQ255" s="2478"/>
      <c r="CR255" s="2478"/>
      <c r="CS255" s="2478"/>
      <c r="CT255" s="2478"/>
    </row>
    <row r="256" spans="1:98" ht="9.9499999999999993" hidden="1" customHeight="1" x14ac:dyDescent="0.2">
      <c r="A256" s="2602"/>
      <c r="AS256" s="2466"/>
      <c r="AT256" s="2466"/>
      <c r="BZ256" s="2472"/>
      <c r="CH256" s="2449" t="s">
        <v>1091</v>
      </c>
      <c r="CI256" s="2449"/>
      <c r="CJ256" s="2450"/>
      <c r="CK256" s="2450"/>
      <c r="CP256" s="2478">
        <f t="shared" si="118"/>
        <v>0</v>
      </c>
      <c r="CQ256" s="2478"/>
      <c r="CR256" s="2478"/>
      <c r="CS256" s="2478"/>
      <c r="CT256" s="2478"/>
    </row>
    <row r="257" spans="1:98" x14ac:dyDescent="0.2">
      <c r="A257" s="2495"/>
      <c r="B257" s="2496"/>
      <c r="C257" s="2497"/>
      <c r="D257" s="2497"/>
      <c r="E257" s="2498"/>
      <c r="F257" s="2496"/>
      <c r="G257" s="2499" t="s">
        <v>1575</v>
      </c>
      <c r="H257" s="2500">
        <f t="shared" ref="H257" si="147">H255</f>
        <v>93437</v>
      </c>
      <c r="I257" s="2500">
        <f>I255</f>
        <v>-1283.8800000000001</v>
      </c>
      <c r="J257" s="2500">
        <f>J255</f>
        <v>92153.12</v>
      </c>
      <c r="K257" s="2501">
        <f>IF(H257=0," ",(J257-H257)/H257)</f>
        <v>-1.3740595267399474E-2</v>
      </c>
      <c r="M257" s="2500">
        <f>M255</f>
        <v>80421</v>
      </c>
      <c r="N257" s="2500">
        <f>N255</f>
        <v>80421</v>
      </c>
      <c r="P257" s="2502">
        <f>P255</f>
        <v>0</v>
      </c>
      <c r="R257" s="2500">
        <f>R255</f>
        <v>80421</v>
      </c>
      <c r="S257" s="2500">
        <f>S255</f>
        <v>79013.73</v>
      </c>
      <c r="U257" s="2500">
        <f>U255</f>
        <v>80421</v>
      </c>
      <c r="V257" s="2500">
        <f>V255</f>
        <v>3873</v>
      </c>
      <c r="W257" s="2500">
        <f>W255</f>
        <v>84294</v>
      </c>
      <c r="X257" s="2501">
        <f>IF(U257=0," ",(W257-U257)/U257)</f>
        <v>4.8159062931323909E-2</v>
      </c>
      <c r="Z257" s="2500">
        <f>Z255</f>
        <v>84294</v>
      </c>
      <c r="AA257" s="2500">
        <f>AA255</f>
        <v>84294</v>
      </c>
      <c r="AC257" s="2502"/>
      <c r="AE257" s="2500">
        <f>AE255</f>
        <v>84294</v>
      </c>
      <c r="AF257" s="2503">
        <f>AF255</f>
        <v>87586.2</v>
      </c>
      <c r="AH257" s="2500">
        <v>84294</v>
      </c>
      <c r="AI257" s="2500">
        <f>AI255</f>
        <v>8192</v>
      </c>
      <c r="AJ257" s="2500">
        <f>AJ255</f>
        <v>92486</v>
      </c>
      <c r="AK257" s="2501">
        <f>IF(AH257=0," ",(AJ257-AH257)/AH257)</f>
        <v>9.7183666690393147E-2</v>
      </c>
      <c r="AM257" s="2500">
        <f>AM255</f>
        <v>92486</v>
      </c>
      <c r="AN257" s="2500">
        <f>AN255</f>
        <v>92486</v>
      </c>
      <c r="AP257" s="2502"/>
      <c r="AR257" s="2500">
        <f>AR255</f>
        <v>92486</v>
      </c>
      <c r="AS257" s="2500">
        <f>AS255</f>
        <v>92485.65</v>
      </c>
      <c r="AT257" s="2500"/>
      <c r="AU257" s="2500">
        <f>AU255</f>
        <v>94693</v>
      </c>
      <c r="AV257" s="2500">
        <f>AV255</f>
        <v>94692.22</v>
      </c>
      <c r="AX257" s="2500">
        <f>AX255</f>
        <v>94693</v>
      </c>
      <c r="AY257" s="2500">
        <f>AY255</f>
        <v>1904</v>
      </c>
      <c r="AZ257" s="2500">
        <f>AZ255</f>
        <v>96597</v>
      </c>
      <c r="BA257" s="2501">
        <f>IF(AX257=0," ",(AZ257-AX257)/AX257)</f>
        <v>2.0107082888914704E-2</v>
      </c>
      <c r="BC257" s="2500">
        <f>BC255</f>
        <v>96597</v>
      </c>
      <c r="BD257" s="2500">
        <f>BD255</f>
        <v>96597</v>
      </c>
      <c r="BF257" s="2502"/>
      <c r="BH257" s="2500">
        <f>BH255</f>
        <v>96597</v>
      </c>
      <c r="BI257" s="2500">
        <f>BI255</f>
        <v>96596.24</v>
      </c>
      <c r="BJ257" s="2500"/>
      <c r="BK257" s="2500"/>
      <c r="BM257" s="2500">
        <f>BM255</f>
        <v>96597</v>
      </c>
      <c r="BN257" s="2504">
        <f>BN255</f>
        <v>1810</v>
      </c>
      <c r="BO257" s="2505">
        <f>BO255</f>
        <v>98407</v>
      </c>
      <c r="BP257" s="2506">
        <f>IF(BM257=0," ",(BO257-BM257)/BM257)</f>
        <v>1.8737641955754319E-2</v>
      </c>
      <c r="BR257" s="2505">
        <f>BR255</f>
        <v>98407</v>
      </c>
      <c r="BS257" s="2505">
        <f>BS255</f>
        <v>98407</v>
      </c>
      <c r="BU257" s="2507"/>
      <c r="BW257" s="2505">
        <f>BW255</f>
        <v>98407</v>
      </c>
      <c r="BX257" s="2500">
        <f>BX255</f>
        <v>47454.89</v>
      </c>
      <c r="BZ257" s="2505">
        <f>BZ255</f>
        <v>98407</v>
      </c>
      <c r="CA257" s="2505">
        <f>CA255</f>
        <v>-279</v>
      </c>
      <c r="CB257" s="2505">
        <f>CB255</f>
        <v>98128</v>
      </c>
      <c r="CC257" s="2506">
        <f>IF(BZ257=0," ",(CB257-BZ257)/BZ257)</f>
        <v>-2.8351641651508529E-3</v>
      </c>
      <c r="CE257" s="2505">
        <f>CE255</f>
        <v>100666</v>
      </c>
      <c r="CF257" s="2506">
        <f>IF(CB257=0," ",(CE257-CB257)/CB257)</f>
        <v>2.5864177400945702E-2</v>
      </c>
      <c r="CG257" s="2505">
        <f>CG255</f>
        <v>100666</v>
      </c>
      <c r="CH257" s="2449" t="s">
        <v>1222</v>
      </c>
      <c r="CI257" s="2508" t="str">
        <f>IF(CG257-CE257=0,"",CG257-CE257)</f>
        <v/>
      </c>
      <c r="CJ257" s="2509"/>
      <c r="CK257" s="2509"/>
      <c r="CL257" s="2451" t="str">
        <f>IF(CO257&lt;-1*CM$2,"examine","ignore")</f>
        <v>ignore</v>
      </c>
      <c r="CM257" s="2545" t="str">
        <f>IF(CL257="examine",CP257+CM$2*CP257/CO257,"")</f>
        <v/>
      </c>
      <c r="CN257" s="2545"/>
      <c r="CO257" s="2477">
        <v>-7.8677391637249627E-6</v>
      </c>
      <c r="CP257" s="2510">
        <f t="shared" si="118"/>
        <v>-0.75999999999476131</v>
      </c>
      <c r="CQ257" s="2510">
        <f>AV257-AU257</f>
        <v>-0.77999999999883585</v>
      </c>
      <c r="CR257" s="2510">
        <f>AS257-AR257</f>
        <v>-0.35000000000582077</v>
      </c>
      <c r="CS257" s="2510">
        <f>AF257-AE257</f>
        <v>3292.1999999999971</v>
      </c>
    </row>
    <row r="258" spans="1:98" ht="20.100000000000001" hidden="1" customHeight="1" x14ac:dyDescent="0.2">
      <c r="AS258" s="2466"/>
      <c r="AT258" s="2466"/>
      <c r="BZ258" s="2472"/>
      <c r="CH258" s="2449" t="s">
        <v>1091</v>
      </c>
      <c r="CI258" s="2449"/>
      <c r="CJ258" s="2450"/>
      <c r="CK258" s="2450"/>
      <c r="CP258" s="2478">
        <f t="shared" si="118"/>
        <v>0</v>
      </c>
      <c r="CQ258" s="2478"/>
      <c r="CR258" s="2478"/>
      <c r="CS258" s="2478"/>
      <c r="CT258" s="2478"/>
    </row>
    <row r="259" spans="1:98" ht="15.75" hidden="1" x14ac:dyDescent="0.2">
      <c r="A259" s="2453" t="s">
        <v>748</v>
      </c>
      <c r="B259" s="2454"/>
      <c r="C259" s="2455"/>
      <c r="D259" s="2455"/>
      <c r="E259" s="2456"/>
      <c r="F259" s="2454"/>
      <c r="G259" s="2454"/>
      <c r="H259" s="2457"/>
      <c r="I259" s="2457"/>
      <c r="J259" s="2457"/>
      <c r="K259" s="2458"/>
      <c r="M259" s="2457"/>
      <c r="N259" s="2457"/>
      <c r="P259" s="2459"/>
      <c r="R259" s="2457"/>
      <c r="S259" s="2457"/>
      <c r="U259" s="2457"/>
      <c r="V259" s="2457"/>
      <c r="W259" s="2457"/>
      <c r="X259" s="2458"/>
      <c r="Z259" s="2457"/>
      <c r="AA259" s="2457"/>
      <c r="AC259" s="2459"/>
      <c r="AE259" s="2457"/>
      <c r="AF259" s="2460"/>
      <c r="AH259" s="2457"/>
      <c r="AI259" s="2457"/>
      <c r="AJ259" s="2457"/>
      <c r="AK259" s="2458"/>
      <c r="AM259" s="2457"/>
      <c r="AN259" s="2457"/>
      <c r="AP259" s="2459"/>
      <c r="AR259" s="2457"/>
      <c r="AS259" s="2457"/>
      <c r="AT259" s="2457"/>
      <c r="AU259" s="2457"/>
      <c r="AV259" s="2457"/>
      <c r="AX259" s="2457"/>
      <c r="AY259" s="2457"/>
      <c r="AZ259" s="2457"/>
      <c r="BA259" s="2458"/>
      <c r="BC259" s="2457"/>
      <c r="BD259" s="2457"/>
      <c r="BF259" s="2461"/>
      <c r="BH259" s="2457"/>
      <c r="BI259" s="2457"/>
      <c r="BJ259" s="2457"/>
      <c r="BK259" s="2457"/>
      <c r="BM259" s="2457"/>
      <c r="BN259" s="2462"/>
      <c r="BO259" s="2463"/>
      <c r="BP259" s="2464"/>
      <c r="BR259" s="2463"/>
      <c r="BS259" s="2463"/>
      <c r="BU259" s="2465"/>
      <c r="BW259" s="2463"/>
      <c r="BX259" s="2457"/>
      <c r="BZ259" s="2463"/>
      <c r="CA259" s="2462"/>
      <c r="CB259" s="2463"/>
      <c r="CC259" s="2464"/>
      <c r="CE259" s="2463"/>
      <c r="CF259" s="2464"/>
      <c r="CG259" s="2463"/>
      <c r="CH259" s="2449" t="s">
        <v>1212</v>
      </c>
      <c r="CI259" s="2449"/>
      <c r="CJ259" s="2450"/>
      <c r="CK259" s="2450"/>
      <c r="CP259" s="2478">
        <f t="shared" si="118"/>
        <v>0</v>
      </c>
      <c r="CQ259" s="2478"/>
      <c r="CR259" s="2478"/>
      <c r="CS259" s="2478"/>
      <c r="CT259" s="2478"/>
    </row>
    <row r="260" spans="1:98" hidden="1" x14ac:dyDescent="0.2">
      <c r="A260" s="2395">
        <v>175</v>
      </c>
      <c r="B260" s="2440" t="s">
        <v>1214</v>
      </c>
      <c r="C260" s="2396">
        <v>17501</v>
      </c>
      <c r="D260" s="2396">
        <v>51110</v>
      </c>
      <c r="E260" s="2397" t="s">
        <v>319</v>
      </c>
      <c r="F260" s="2440" t="s">
        <v>1214</v>
      </c>
      <c r="G260" s="2440" t="s">
        <v>1576</v>
      </c>
      <c r="H260" s="2466">
        <v>5</v>
      </c>
      <c r="I260" s="2470"/>
      <c r="J260" s="2466">
        <f>H260+I260</f>
        <v>5</v>
      </c>
      <c r="K260" s="2468">
        <f>IF(H260=0," ",(J260-H260)/H260)</f>
        <v>0</v>
      </c>
      <c r="M260" s="2467">
        <v>5</v>
      </c>
      <c r="N260" s="2467">
        <v>5</v>
      </c>
      <c r="P260" s="2469"/>
      <c r="R260" s="2466">
        <v>5</v>
      </c>
      <c r="S260" s="2466">
        <v>0</v>
      </c>
      <c r="U260" s="2466">
        <v>5</v>
      </c>
      <c r="V260" s="2470">
        <v>0</v>
      </c>
      <c r="W260" s="2466">
        <f>U260+V260</f>
        <v>5</v>
      </c>
      <c r="X260" s="2468">
        <f>IF(U260=0," ",(W260-U260)/U260)</f>
        <v>0</v>
      </c>
      <c r="Z260" s="2467">
        <v>5</v>
      </c>
      <c r="AA260" s="2467">
        <v>5</v>
      </c>
      <c r="AC260" s="2469"/>
      <c r="AE260" s="2466">
        <v>5</v>
      </c>
      <c r="AF260" s="2471">
        <v>0</v>
      </c>
      <c r="AH260" s="2466">
        <v>5</v>
      </c>
      <c r="AI260" s="2470"/>
      <c r="AJ260" s="2466">
        <f>AH260+AI260</f>
        <v>5</v>
      </c>
      <c r="AK260" s="2468">
        <f>IF(AH260=0," ",(AJ260-AH260)/AH260)</f>
        <v>0</v>
      </c>
      <c r="AM260" s="2467">
        <v>5</v>
      </c>
      <c r="AN260" s="2467">
        <v>5</v>
      </c>
      <c r="AP260" s="2469"/>
      <c r="AR260" s="2466">
        <v>5</v>
      </c>
      <c r="AS260" s="2466">
        <v>0</v>
      </c>
      <c r="AT260" s="2466"/>
      <c r="AU260" s="2466">
        <v>5</v>
      </c>
      <c r="AV260" s="2466">
        <v>0</v>
      </c>
      <c r="AX260" s="2466">
        <v>5</v>
      </c>
      <c r="AY260" s="2470"/>
      <c r="AZ260" s="2466">
        <f>AX260+AY260</f>
        <v>5</v>
      </c>
      <c r="BA260" s="2468">
        <f>IF(AX260=0," ",(AZ260-AX260)/AX260)</f>
        <v>0</v>
      </c>
      <c r="BC260" s="2467">
        <v>5</v>
      </c>
      <c r="BD260" s="2467">
        <v>5</v>
      </c>
      <c r="BF260" s="2469"/>
      <c r="BH260" s="2467">
        <v>5</v>
      </c>
      <c r="BM260" s="2466">
        <v>5</v>
      </c>
      <c r="BN260" s="2470"/>
      <c r="BO260" s="2472">
        <f>BM260+BN260</f>
        <v>5</v>
      </c>
      <c r="BP260" s="2473">
        <f>IF(BM260=0," ",(BO260-BM260)/BM260)</f>
        <v>0</v>
      </c>
      <c r="BR260" s="2474">
        <v>5</v>
      </c>
      <c r="BS260" s="2474">
        <v>5</v>
      </c>
      <c r="BU260" s="2475"/>
      <c r="BW260" s="2474">
        <v>5</v>
      </c>
      <c r="BZ260" s="2474">
        <v>5</v>
      </c>
      <c r="CA260" s="2470"/>
      <c r="CB260" s="2472">
        <f>BZ260+CA260</f>
        <v>5</v>
      </c>
      <c r="CC260" s="2473">
        <f>IF(BZ260=0," ",(CB260-BZ260)/BZ260)</f>
        <v>0</v>
      </c>
      <c r="CE260" s="2474">
        <v>5</v>
      </c>
      <c r="CF260" s="2476">
        <f>IF(CB260=0," ",(CE260-CB260)/CB260)</f>
        <v>0</v>
      </c>
      <c r="CG260" s="2474">
        <v>5</v>
      </c>
      <c r="CH260" s="2449" t="s">
        <v>1217</v>
      </c>
      <c r="CI260" s="2449"/>
      <c r="CJ260" s="2450"/>
      <c r="CK260" s="2450"/>
      <c r="CO260" s="2477" t="s">
        <v>1218</v>
      </c>
      <c r="CP260" s="2478">
        <f t="shared" si="118"/>
        <v>-5</v>
      </c>
      <c r="CQ260" s="2478"/>
      <c r="CR260" s="2478"/>
      <c r="CS260" s="2478"/>
      <c r="CT260" s="2478"/>
    </row>
    <row r="261" spans="1:98" hidden="1" x14ac:dyDescent="0.2">
      <c r="A261" s="2395">
        <v>175</v>
      </c>
      <c r="B261" s="2440" t="s">
        <v>1214</v>
      </c>
      <c r="C261" s="2396">
        <v>17501</v>
      </c>
      <c r="D261" s="2396">
        <v>51121</v>
      </c>
      <c r="E261" s="2397" t="s">
        <v>319</v>
      </c>
      <c r="F261" s="2440" t="s">
        <v>1214</v>
      </c>
      <c r="G261" s="2440" t="s">
        <v>1577</v>
      </c>
      <c r="H261" s="2466">
        <v>5202</v>
      </c>
      <c r="I261" s="2470">
        <v>104</v>
      </c>
      <c r="J261" s="2466">
        <f>H261+I261</f>
        <v>5306</v>
      </c>
      <c r="K261" s="2468">
        <f>IF(H261=0," ",(J261-H261)/H261)</f>
        <v>1.9992310649750097E-2</v>
      </c>
      <c r="M261" s="2467">
        <v>0</v>
      </c>
      <c r="N261" s="2467">
        <v>0</v>
      </c>
      <c r="P261" s="2469" t="s">
        <v>1578</v>
      </c>
      <c r="R261" s="2466">
        <v>0</v>
      </c>
      <c r="S261" s="2466">
        <v>0</v>
      </c>
      <c r="U261" s="2466">
        <v>0</v>
      </c>
      <c r="V261" s="2470">
        <v>0</v>
      </c>
      <c r="W261" s="2466">
        <f>U261+V261</f>
        <v>0</v>
      </c>
      <c r="X261" s="2468" t="str">
        <f>IF(U261=0," ",(W261-U261)/U261)</f>
        <v xml:space="preserve"> </v>
      </c>
      <c r="Z261" s="2467">
        <v>0</v>
      </c>
      <c r="AA261" s="2467">
        <v>0</v>
      </c>
      <c r="AC261" s="2469"/>
      <c r="AE261" s="2466">
        <v>0</v>
      </c>
      <c r="AF261" s="2471">
        <v>0</v>
      </c>
      <c r="AH261" s="2466">
        <v>0</v>
      </c>
      <c r="AI261" s="2470"/>
      <c r="AJ261" s="2466">
        <f>AH261+AI261</f>
        <v>0</v>
      </c>
      <c r="AK261" s="2468" t="str">
        <f>IF(AH261=0," ",(AJ261-AH261)/AH261)</f>
        <v xml:space="preserve"> </v>
      </c>
      <c r="AM261" s="2467">
        <v>0</v>
      </c>
      <c r="AN261" s="2467">
        <v>0</v>
      </c>
      <c r="AP261" s="2469"/>
      <c r="AR261" s="2466">
        <v>0</v>
      </c>
      <c r="AS261" s="2466"/>
      <c r="AT261" s="2466"/>
      <c r="AY261" s="2470"/>
      <c r="AZ261" s="2466">
        <f>AX261+AY261</f>
        <v>0</v>
      </c>
      <c r="BA261" s="2468" t="str">
        <f>IF(AX261=0," ",(AZ261-AX261)/AX261)</f>
        <v xml:space="preserve"> </v>
      </c>
      <c r="BC261" s="2467"/>
      <c r="BD261" s="2467"/>
      <c r="BF261" s="2469"/>
      <c r="BH261" s="2467"/>
      <c r="BN261" s="2470"/>
      <c r="BO261" s="2472">
        <f>BM261+BN261</f>
        <v>0</v>
      </c>
      <c r="BP261" s="2473" t="str">
        <f>IF(BM261=0," ",(BO261-BM261)/BM261)</f>
        <v xml:space="preserve"> </v>
      </c>
      <c r="BR261" s="2474">
        <v>0</v>
      </c>
      <c r="BS261" s="2474">
        <v>0</v>
      </c>
      <c r="BU261" s="2475"/>
      <c r="BW261" s="2474">
        <v>0</v>
      </c>
      <c r="BZ261" s="2474">
        <v>0</v>
      </c>
      <c r="CA261" s="2470"/>
      <c r="CB261" s="2472">
        <f>BZ261+CA261</f>
        <v>0</v>
      </c>
      <c r="CC261" s="2473" t="str">
        <f>IF(BZ261=0," ",(CB261-BZ261)/BZ261)</f>
        <v xml:space="preserve"> </v>
      </c>
      <c r="CE261" s="2474">
        <v>0</v>
      </c>
      <c r="CF261" s="2476" t="str">
        <f>IF(CB261=0," ",(CE261-CB261)/CB261)</f>
        <v xml:space="preserve"> </v>
      </c>
      <c r="CG261" s="2474">
        <v>0</v>
      </c>
      <c r="CH261" s="2449" t="s">
        <v>1217</v>
      </c>
      <c r="CI261" s="2449"/>
      <c r="CJ261" s="2450"/>
      <c r="CK261" s="2450"/>
      <c r="CP261" s="2478">
        <f t="shared" si="118"/>
        <v>0</v>
      </c>
      <c r="CQ261" s="2478"/>
      <c r="CR261" s="2478"/>
      <c r="CS261" s="2478"/>
      <c r="CT261" s="2478"/>
    </row>
    <row r="262" spans="1:98" hidden="1" x14ac:dyDescent="0.2">
      <c r="AS262" s="2466"/>
      <c r="AT262" s="2466"/>
      <c r="BZ262" s="2564">
        <f>SUM(BZ260:BZ261)</f>
        <v>5</v>
      </c>
      <c r="CA262" s="2564">
        <f>SUM(CA260:CA261)</f>
        <v>0</v>
      </c>
      <c r="CB262" s="2564">
        <f>SUM(CB260:CB261)</f>
        <v>5</v>
      </c>
      <c r="CC262" s="2565"/>
      <c r="CE262" s="2564">
        <f>SUM(CE260:CE261)</f>
        <v>5</v>
      </c>
      <c r="CF262" s="2565"/>
      <c r="CG262" s="2564">
        <f>SUM(CG260:CG261)</f>
        <v>5</v>
      </c>
      <c r="CH262" s="2449" t="s">
        <v>1091</v>
      </c>
      <c r="CI262" s="2449"/>
      <c r="CJ262" s="2450"/>
      <c r="CK262" s="2450"/>
      <c r="CP262" s="2478">
        <f t="shared" ref="CP262:CP325" si="148">IFERROR(BI262-BH262,"")</f>
        <v>0</v>
      </c>
      <c r="CQ262" s="2478"/>
      <c r="CR262" s="2478"/>
      <c r="CS262" s="2478"/>
      <c r="CT262" s="2478"/>
    </row>
    <row r="263" spans="1:98" hidden="1" x14ac:dyDescent="0.2">
      <c r="AS263" s="2466"/>
      <c r="AT263" s="2466"/>
      <c r="BZ263" s="2472"/>
      <c r="CH263" s="2449" t="s">
        <v>1091</v>
      </c>
      <c r="CI263" s="2449"/>
      <c r="CJ263" s="2450"/>
      <c r="CK263" s="2450"/>
      <c r="CP263" s="2478">
        <f t="shared" si="148"/>
        <v>0</v>
      </c>
      <c r="CQ263" s="2478"/>
      <c r="CR263" s="2478"/>
      <c r="CS263" s="2478"/>
      <c r="CT263" s="2478"/>
    </row>
    <row r="264" spans="1:98" hidden="1" x14ac:dyDescent="0.2">
      <c r="A264" s="2395">
        <v>175</v>
      </c>
      <c r="B264" s="2440" t="s">
        <v>1214</v>
      </c>
      <c r="C264" s="2396">
        <v>17502</v>
      </c>
      <c r="D264" s="2396">
        <v>51140</v>
      </c>
      <c r="E264" s="2397" t="s">
        <v>319</v>
      </c>
      <c r="F264" s="2440" t="s">
        <v>1214</v>
      </c>
      <c r="G264" s="2440" t="s">
        <v>1579</v>
      </c>
      <c r="I264" s="2470"/>
      <c r="M264" s="2467"/>
      <c r="N264" s="2467"/>
      <c r="P264" s="2469"/>
      <c r="V264" s="2470"/>
      <c r="Z264" s="2467"/>
      <c r="AA264" s="2467"/>
      <c r="AC264" s="2469"/>
      <c r="AI264" s="2470"/>
      <c r="AM264" s="2467"/>
      <c r="AN264" s="2467"/>
      <c r="AP264" s="2469"/>
      <c r="AS264" s="2466"/>
      <c r="AT264" s="2466"/>
      <c r="AY264" s="2470"/>
      <c r="BC264" s="2467"/>
      <c r="BD264" s="2467"/>
      <c r="BF264" s="2469"/>
      <c r="BH264" s="2467"/>
      <c r="BN264" s="2470"/>
      <c r="BR264" s="2474"/>
      <c r="BS264" s="2474"/>
      <c r="BU264" s="2475"/>
      <c r="BW264" s="2474"/>
      <c r="BZ264" s="2474"/>
      <c r="CA264" s="2470"/>
      <c r="CE264" s="2474"/>
      <c r="CF264" s="2476"/>
      <c r="CG264" s="2474"/>
      <c r="CH264" s="2449" t="s">
        <v>1217</v>
      </c>
      <c r="CI264" s="2449"/>
      <c r="CJ264" s="2450"/>
      <c r="CK264" s="2450"/>
      <c r="CP264" s="2478">
        <f t="shared" si="148"/>
        <v>0</v>
      </c>
      <c r="CQ264" s="2478"/>
      <c r="CR264" s="2478"/>
      <c r="CS264" s="2478"/>
      <c r="CT264" s="2478"/>
    </row>
    <row r="265" spans="1:98" hidden="1" x14ac:dyDescent="0.2">
      <c r="I265" s="2470"/>
      <c r="M265" s="2467"/>
      <c r="N265" s="2467"/>
      <c r="P265" s="2469"/>
      <c r="V265" s="2470"/>
      <c r="Z265" s="2467"/>
      <c r="AA265" s="2467"/>
      <c r="AC265" s="2469"/>
      <c r="AI265" s="2470"/>
      <c r="AM265" s="2467"/>
      <c r="AN265" s="2467"/>
      <c r="AP265" s="2469"/>
      <c r="AS265" s="2466"/>
      <c r="AT265" s="2466"/>
      <c r="AY265" s="2470"/>
      <c r="BC265" s="2467"/>
      <c r="BD265" s="2467"/>
      <c r="BF265" s="2469"/>
      <c r="BH265" s="2467"/>
      <c r="BN265" s="2470"/>
      <c r="BR265" s="2474"/>
      <c r="BS265" s="2474"/>
      <c r="BU265" s="2475"/>
      <c r="BW265" s="2474"/>
      <c r="BZ265" s="2474"/>
      <c r="CA265" s="2470"/>
      <c r="CE265" s="2474"/>
      <c r="CF265" s="2476"/>
      <c r="CG265" s="2474"/>
      <c r="CH265" s="2449" t="s">
        <v>1091</v>
      </c>
      <c r="CI265" s="2449"/>
      <c r="CJ265" s="2450"/>
      <c r="CK265" s="2450"/>
      <c r="CP265" s="2478">
        <f t="shared" si="148"/>
        <v>0</v>
      </c>
      <c r="CQ265" s="2478"/>
      <c r="CR265" s="2478"/>
      <c r="CS265" s="2478"/>
      <c r="CT265" s="2478"/>
    </row>
    <row r="266" spans="1:98" hidden="1" x14ac:dyDescent="0.2">
      <c r="AS266" s="2466"/>
      <c r="AT266" s="2466"/>
      <c r="BZ266" s="2564">
        <f>SUM(BZ264:BZ265)</f>
        <v>0</v>
      </c>
      <c r="CA266" s="2564">
        <f>SUM(CA264:CA265)</f>
        <v>0</v>
      </c>
      <c r="CB266" s="2564">
        <f>SUM(CB264:CB265)</f>
        <v>0</v>
      </c>
      <c r="CC266" s="2565"/>
      <c r="CE266" s="2564">
        <f>SUM(CE264:CE265)</f>
        <v>0</v>
      </c>
      <c r="CF266" s="2565"/>
      <c r="CG266" s="2564">
        <f>SUM(CG264:CG265)</f>
        <v>0</v>
      </c>
      <c r="CH266" s="2449" t="s">
        <v>1091</v>
      </c>
      <c r="CI266" s="2449"/>
      <c r="CJ266" s="2450"/>
      <c r="CK266" s="2450"/>
      <c r="CP266" s="2478">
        <f t="shared" si="148"/>
        <v>0</v>
      </c>
      <c r="CQ266" s="2478"/>
      <c r="CR266" s="2478"/>
      <c r="CS266" s="2478"/>
      <c r="CT266" s="2478"/>
    </row>
    <row r="267" spans="1:98" hidden="1" x14ac:dyDescent="0.2">
      <c r="AS267" s="2466"/>
      <c r="AT267" s="2466"/>
      <c r="BZ267" s="2472"/>
      <c r="CH267" s="2449" t="s">
        <v>1091</v>
      </c>
      <c r="CI267" s="2449"/>
      <c r="CJ267" s="2450"/>
      <c r="CK267" s="2450"/>
      <c r="CP267" s="2478">
        <f t="shared" si="148"/>
        <v>0</v>
      </c>
      <c r="CQ267" s="2478"/>
      <c r="CR267" s="2478"/>
      <c r="CS267" s="2478"/>
      <c r="CT267" s="2478"/>
    </row>
    <row r="268" spans="1:98" s="2485" customFormat="1" hidden="1" x14ac:dyDescent="0.2">
      <c r="A268" s="2532"/>
      <c r="B268" s="2533"/>
      <c r="C268" s="2534"/>
      <c r="D268" s="2534"/>
      <c r="E268" s="2535"/>
      <c r="F268" s="2533"/>
      <c r="G268" s="2533" t="s">
        <v>1580</v>
      </c>
      <c r="H268" s="2536">
        <f t="shared" ref="H268" si="149">SUM(H260:H261)</f>
        <v>5207</v>
      </c>
      <c r="I268" s="2536">
        <f>SUM(I260:I261)</f>
        <v>104</v>
      </c>
      <c r="J268" s="2536">
        <f>SUM(J260:J261)</f>
        <v>5311</v>
      </c>
      <c r="K268" s="2484">
        <f>IF(H268=0," ",(J268-H268)/H268)</f>
        <v>1.9973113116957941E-2</v>
      </c>
      <c r="M268" s="2536">
        <f>SUM(M260:M261)</f>
        <v>5</v>
      </c>
      <c r="N268" s="2536">
        <f>SUM(N260:N261)</f>
        <v>5</v>
      </c>
      <c r="P268" s="2537">
        <f>SUM(P260:P261)</f>
        <v>0</v>
      </c>
      <c r="R268" s="2536">
        <f>SUM(R260:R261)</f>
        <v>5</v>
      </c>
      <c r="S268" s="2536">
        <f>SUM(S260:S261)</f>
        <v>0</v>
      </c>
      <c r="U268" s="2536">
        <f>SUM(U260:U261)</f>
        <v>5</v>
      </c>
      <c r="V268" s="2536">
        <f>SUM(V260:V261)</f>
        <v>0</v>
      </c>
      <c r="W268" s="2536">
        <f>SUM(W260:W261)</f>
        <v>5</v>
      </c>
      <c r="X268" s="2484">
        <f>IF(U268=0," ",(W268-U268)/U268)</f>
        <v>0</v>
      </c>
      <c r="Z268" s="2536">
        <f>SUM(Z260:Z261)</f>
        <v>5</v>
      </c>
      <c r="AA268" s="2536">
        <f>SUM(AA260:AA261)</f>
        <v>5</v>
      </c>
      <c r="AC268" s="2537"/>
      <c r="AE268" s="2536">
        <f>SUM(AE260:AE261)</f>
        <v>5</v>
      </c>
      <c r="AF268" s="2538">
        <f>SUM(AF260:AF261)</f>
        <v>0</v>
      </c>
      <c r="AH268" s="2536">
        <v>5</v>
      </c>
      <c r="AI268" s="2536">
        <f>SUM(AI260:AI261)</f>
        <v>0</v>
      </c>
      <c r="AJ268" s="2536">
        <f>SUM(AJ260:AJ261)</f>
        <v>5</v>
      </c>
      <c r="AK268" s="2484">
        <f>IF(AH268=0," ",(AJ268-AH268)/AH268)</f>
        <v>0</v>
      </c>
      <c r="AM268" s="2536">
        <f>SUM(AM260:AM261)</f>
        <v>5</v>
      </c>
      <c r="AN268" s="2536">
        <f>SUM(AN260:AN261)</f>
        <v>5</v>
      </c>
      <c r="AP268" s="2537"/>
      <c r="AR268" s="2536">
        <f>SUM(AR260:AR261)</f>
        <v>5</v>
      </c>
      <c r="AS268" s="2536">
        <f>SUM(AS260:AS261)</f>
        <v>0</v>
      </c>
      <c r="AT268" s="2536"/>
      <c r="AU268" s="2536">
        <f>SUM(AU260:AU261)</f>
        <v>5</v>
      </c>
      <c r="AV268" s="2536">
        <f>SUM(AV260:AV261)</f>
        <v>0</v>
      </c>
      <c r="AX268" s="2536">
        <f>SUM(AX260:AX261)</f>
        <v>5</v>
      </c>
      <c r="AY268" s="2536">
        <f>SUM(AY260:AY261)</f>
        <v>0</v>
      </c>
      <c r="AZ268" s="2536">
        <f>SUM(AZ260:AZ261)</f>
        <v>5</v>
      </c>
      <c r="BA268" s="2484">
        <f>IF(AX268=0," ",(AZ268-AX268)/AX268)</f>
        <v>0</v>
      </c>
      <c r="BC268" s="2536">
        <f>SUM(BC260:BC261)</f>
        <v>5</v>
      </c>
      <c r="BD268" s="2536">
        <f>SUM(BD260:BD261)</f>
        <v>5</v>
      </c>
      <c r="BF268" s="2537"/>
      <c r="BH268" s="2536">
        <f>SUM(BH260:BH261)</f>
        <v>5</v>
      </c>
      <c r="BI268" s="2536">
        <f>SUM(BI260:BI261)</f>
        <v>0</v>
      </c>
      <c r="BJ268" s="2536"/>
      <c r="BK268" s="2536"/>
      <c r="BM268" s="2536">
        <f>SUM(BM260:BM261)</f>
        <v>5</v>
      </c>
      <c r="BN268" s="2539">
        <f>SUM(BN260:BN261)</f>
        <v>0</v>
      </c>
      <c r="BO268" s="2540">
        <f>SUM(BO260:BO261)</f>
        <v>5</v>
      </c>
      <c r="BP268" s="2490">
        <f>IF(BM268=0," ",(BO268-BM268)/BM268)</f>
        <v>0</v>
      </c>
      <c r="BQ268" s="2491"/>
      <c r="BR268" s="2540">
        <f>SUM(BR260:BR261)</f>
        <v>5</v>
      </c>
      <c r="BS268" s="2540">
        <f>SUM(BS260:BS261)</f>
        <v>5</v>
      </c>
      <c r="BT268" s="2491"/>
      <c r="BU268" s="2541"/>
      <c r="BV268" s="2491"/>
      <c r="BW268" s="2540">
        <f>SUM(BW260:BW261)</f>
        <v>5</v>
      </c>
      <c r="BX268" s="2536">
        <f>SUM(BX260:BX261)</f>
        <v>0</v>
      </c>
      <c r="BZ268" s="2540">
        <f>BZ266+BZ262</f>
        <v>5</v>
      </c>
      <c r="CA268" s="2540">
        <f>CA266+CA262</f>
        <v>0</v>
      </c>
      <c r="CB268" s="2540">
        <f>CB266+CB262</f>
        <v>5</v>
      </c>
      <c r="CC268" s="2490">
        <f>IF(BZ268=0," ",(CB268-BZ268)/BZ268)</f>
        <v>0</v>
      </c>
      <c r="CD268" s="2491"/>
      <c r="CE268" s="2540">
        <f>CE266+CE262</f>
        <v>5</v>
      </c>
      <c r="CF268" s="2490">
        <f>IF(CB268=0," ",(CE268-CB268)/CB268)</f>
        <v>0</v>
      </c>
      <c r="CG268" s="2540">
        <f>CG266+CG262</f>
        <v>5</v>
      </c>
      <c r="CH268" s="2449" t="s">
        <v>1220</v>
      </c>
      <c r="CI268" s="2449"/>
      <c r="CJ268" s="2450"/>
      <c r="CK268" s="2450"/>
      <c r="CL268" s="2451"/>
      <c r="CM268" s="2451"/>
      <c r="CN268" s="2451"/>
      <c r="CO268" s="2477" t="s">
        <v>1218</v>
      </c>
      <c r="CP268" s="2478">
        <f t="shared" si="148"/>
        <v>-5</v>
      </c>
      <c r="CQ268" s="2478"/>
      <c r="CR268" s="2478"/>
      <c r="CS268" s="2478"/>
      <c r="CT268" s="2478"/>
    </row>
    <row r="269" spans="1:98" hidden="1" x14ac:dyDescent="0.2">
      <c r="AS269" s="2466"/>
      <c r="AT269" s="2466"/>
      <c r="BZ269" s="2472"/>
      <c r="CH269" s="2449" t="s">
        <v>1091</v>
      </c>
      <c r="CI269" s="2449"/>
      <c r="CJ269" s="2450"/>
      <c r="CK269" s="2450"/>
      <c r="CP269" s="2478">
        <f t="shared" si="148"/>
        <v>0</v>
      </c>
      <c r="CQ269" s="2478"/>
      <c r="CR269" s="2478"/>
      <c r="CS269" s="2478"/>
      <c r="CT269" s="2478"/>
    </row>
    <row r="270" spans="1:98" hidden="1" x14ac:dyDescent="0.2">
      <c r="A270" s="2395">
        <v>175</v>
      </c>
      <c r="B270" s="2440" t="s">
        <v>1214</v>
      </c>
      <c r="C270" s="2396">
        <v>17505</v>
      </c>
      <c r="D270" s="2396">
        <v>52800</v>
      </c>
      <c r="E270" s="2397" t="s">
        <v>1268</v>
      </c>
      <c r="F270" s="2440" t="s">
        <v>1214</v>
      </c>
      <c r="G270" s="2440" t="s">
        <v>1581</v>
      </c>
      <c r="H270" s="2466">
        <v>370</v>
      </c>
      <c r="I270" s="2470"/>
      <c r="J270" s="2466">
        <f>H270+I270</f>
        <v>370</v>
      </c>
      <c r="K270" s="2468">
        <f>IF(H270=0," ",(J270-H270)/H270)</f>
        <v>0</v>
      </c>
      <c r="M270" s="2467">
        <v>370</v>
      </c>
      <c r="N270" s="2467">
        <v>370</v>
      </c>
      <c r="P270" s="2469" t="s">
        <v>1289</v>
      </c>
      <c r="R270" s="2466">
        <v>370</v>
      </c>
      <c r="S270" s="2466">
        <v>0</v>
      </c>
      <c r="U270" s="2466">
        <v>370</v>
      </c>
      <c r="V270" s="2470">
        <v>0</v>
      </c>
      <c r="W270" s="2466">
        <f>U270+V270</f>
        <v>370</v>
      </c>
      <c r="X270" s="2468">
        <f>IF(U270=0," ",(W270-U270)/U270)</f>
        <v>0</v>
      </c>
      <c r="Z270" s="2467">
        <v>370</v>
      </c>
      <c r="AA270" s="2467">
        <v>370</v>
      </c>
      <c r="AC270" s="2469"/>
      <c r="AE270" s="2466">
        <v>370</v>
      </c>
      <c r="AF270" s="2471">
        <v>278.24</v>
      </c>
      <c r="AI270" s="2470"/>
      <c r="AJ270" s="2466">
        <f>AH270+AI270</f>
        <v>0</v>
      </c>
      <c r="AK270" s="2468" t="str">
        <f>IF(AH270=0," ",(AJ270-AH270)/AH270)</f>
        <v xml:space="preserve"> </v>
      </c>
      <c r="AM270" s="2467"/>
      <c r="AN270" s="2467"/>
      <c r="AP270" s="2469"/>
      <c r="AS270" s="2466"/>
      <c r="AT270" s="2466"/>
      <c r="AY270" s="2470"/>
      <c r="AZ270" s="2466">
        <f>AX270+AY270</f>
        <v>0</v>
      </c>
      <c r="BA270" s="2468" t="str">
        <f>IF(AX270=0," ",(AZ270-AX270)/AX270)</f>
        <v xml:space="preserve"> </v>
      </c>
      <c r="BC270" s="2467">
        <v>0</v>
      </c>
      <c r="BD270" s="2467">
        <v>0</v>
      </c>
      <c r="BF270" s="2469"/>
      <c r="BH270" s="2467">
        <v>0</v>
      </c>
      <c r="BM270" s="2466">
        <v>0</v>
      </c>
      <c r="BN270" s="2470"/>
      <c r="BO270" s="2472">
        <f>BM270+BN270</f>
        <v>0</v>
      </c>
      <c r="BP270" s="2473" t="str">
        <f>IF(BM270=0," ",(BO270-BM270)/BM270)</f>
        <v xml:space="preserve"> </v>
      </c>
      <c r="BR270" s="2474">
        <v>0</v>
      </c>
      <c r="BS270" s="2474">
        <v>0</v>
      </c>
      <c r="BU270" s="2475"/>
      <c r="BW270" s="2474">
        <v>0</v>
      </c>
      <c r="BZ270" s="2474">
        <v>0</v>
      </c>
      <c r="CA270" s="2470"/>
      <c r="CB270" s="2472">
        <f>BZ270+CA270</f>
        <v>0</v>
      </c>
      <c r="CC270" s="2473" t="str">
        <f>IF(BZ270=0," ",(CB270-BZ270)/BZ270)</f>
        <v xml:space="preserve"> </v>
      </c>
      <c r="CE270" s="2474">
        <v>0</v>
      </c>
      <c r="CF270" s="2476" t="str">
        <f>IF(CB270=0," ",(CE270-CB270)/CB270)</f>
        <v xml:space="preserve"> </v>
      </c>
      <c r="CG270" s="2474">
        <v>0</v>
      </c>
      <c r="CH270" s="2449" t="s">
        <v>1217</v>
      </c>
      <c r="CI270" s="2449"/>
      <c r="CJ270" s="2450"/>
      <c r="CK270" s="2450"/>
      <c r="CP270" s="2478">
        <f t="shared" si="148"/>
        <v>0</v>
      </c>
      <c r="CQ270" s="2478"/>
      <c r="CR270" s="2478"/>
      <c r="CS270" s="2478"/>
      <c r="CT270" s="2478"/>
    </row>
    <row r="271" spans="1:98" hidden="1" x14ac:dyDescent="0.2">
      <c r="A271" s="2395">
        <v>175</v>
      </c>
      <c r="B271" s="2440" t="s">
        <v>1214</v>
      </c>
      <c r="C271" s="2396">
        <v>17505</v>
      </c>
      <c r="D271" s="2396">
        <v>53430</v>
      </c>
      <c r="E271" s="2397" t="s">
        <v>1268</v>
      </c>
      <c r="F271" s="2440" t="s">
        <v>1214</v>
      </c>
      <c r="G271" s="2440" t="s">
        <v>1582</v>
      </c>
      <c r="H271" s="2466">
        <v>370</v>
      </c>
      <c r="I271" s="2470"/>
      <c r="J271" s="2466">
        <f t="shared" ref="J271:J275" si="150">H271+I271</f>
        <v>370</v>
      </c>
      <c r="K271" s="2468">
        <f t="shared" ref="K271:K275" si="151">IF(H271=0," ",(J271-H271)/H271)</f>
        <v>0</v>
      </c>
      <c r="M271" s="2467">
        <v>370</v>
      </c>
      <c r="N271" s="2467">
        <v>370</v>
      </c>
      <c r="P271" s="2469" t="s">
        <v>1289</v>
      </c>
      <c r="R271" s="2466">
        <v>370</v>
      </c>
      <c r="S271" s="2466">
        <v>0</v>
      </c>
      <c r="U271" s="2466">
        <v>370</v>
      </c>
      <c r="V271" s="2470">
        <v>0</v>
      </c>
      <c r="W271" s="2466">
        <f t="shared" ref="W271:W275" si="152">U271+V271</f>
        <v>370</v>
      </c>
      <c r="X271" s="2468">
        <f t="shared" ref="X271:X275" si="153">IF(U271=0," ",(W271-U271)/U271)</f>
        <v>0</v>
      </c>
      <c r="Z271" s="2467">
        <v>370</v>
      </c>
      <c r="AA271" s="2467">
        <v>370</v>
      </c>
      <c r="AC271" s="2469"/>
      <c r="AE271" s="2466">
        <v>370</v>
      </c>
      <c r="AF271" s="2471">
        <v>5</v>
      </c>
      <c r="AH271" s="2466">
        <v>370</v>
      </c>
      <c r="AI271" s="2470"/>
      <c r="AJ271" s="2466">
        <f t="shared" ref="AJ271:AJ275" si="154">AH271+AI271</f>
        <v>370</v>
      </c>
      <c r="AK271" s="2468">
        <f t="shared" ref="AK271:AK275" si="155">IF(AH271=0," ",(AJ271-AH271)/AH271)</f>
        <v>0</v>
      </c>
      <c r="AM271" s="2467">
        <v>370</v>
      </c>
      <c r="AN271" s="2467">
        <v>370</v>
      </c>
      <c r="AP271" s="2469"/>
      <c r="AR271" s="2466">
        <v>370</v>
      </c>
      <c r="AS271" s="2466">
        <v>9</v>
      </c>
      <c r="AT271" s="2466"/>
      <c r="AU271" s="2466">
        <v>370</v>
      </c>
      <c r="AV271" s="2466">
        <v>51.02</v>
      </c>
      <c r="AX271" s="2466">
        <v>370</v>
      </c>
      <c r="AY271" s="2542">
        <v>-250</v>
      </c>
      <c r="AZ271" s="2466">
        <f t="shared" ref="AZ271:AZ275" si="156">AX271+AY271</f>
        <v>120</v>
      </c>
      <c r="BA271" s="2468">
        <f t="shared" ref="BA271:BA275" si="157">IF(AX271=0," ",(AZ271-AX271)/AX271)</f>
        <v>-0.67567567567567566</v>
      </c>
      <c r="BC271" s="2467">
        <v>120</v>
      </c>
      <c r="BD271" s="2467">
        <v>120</v>
      </c>
      <c r="BF271" s="2543" t="s">
        <v>1273</v>
      </c>
      <c r="BH271" s="2467">
        <v>120</v>
      </c>
      <c r="BI271" s="2466">
        <v>31.18</v>
      </c>
      <c r="BM271" s="2466">
        <v>120</v>
      </c>
      <c r="BN271" s="2470">
        <v>-20</v>
      </c>
      <c r="BO271" s="2472">
        <f t="shared" ref="BO271:BO275" si="158">BM271+BN271</f>
        <v>100</v>
      </c>
      <c r="BP271" s="2473">
        <f t="shared" ref="BP271:BP275" si="159">IF(BM271=0," ",(BO271-BM271)/BM271)</f>
        <v>-0.16666666666666666</v>
      </c>
      <c r="BR271" s="2474">
        <v>100</v>
      </c>
      <c r="BS271" s="2474">
        <v>100</v>
      </c>
      <c r="BU271" s="2578" t="s">
        <v>1430</v>
      </c>
      <c r="BW271" s="2474">
        <v>100</v>
      </c>
      <c r="BX271" s="2466">
        <v>0.56999999999999995</v>
      </c>
      <c r="BZ271" s="2474">
        <v>100</v>
      </c>
      <c r="CA271" s="2470"/>
      <c r="CB271" s="2472">
        <f t="shared" ref="CB271:CB275" si="160">BZ271+CA271</f>
        <v>100</v>
      </c>
      <c r="CC271" s="2473">
        <f t="shared" ref="CC271:CC273" si="161">IF(BZ271=0," ",(CB271-BZ271)/BZ271)</f>
        <v>0</v>
      </c>
      <c r="CE271" s="2474">
        <v>100</v>
      </c>
      <c r="CF271" s="2476">
        <f>IF(CB271=0," ",(CE271-CB271)/CB271)</f>
        <v>0</v>
      </c>
      <c r="CG271" s="2474">
        <v>100</v>
      </c>
      <c r="CH271" s="2449" t="s">
        <v>1217</v>
      </c>
      <c r="CI271" s="2449"/>
      <c r="CJ271" s="2450"/>
      <c r="CK271" s="2450"/>
      <c r="CO271" s="2477">
        <v>-0.74016666666666664</v>
      </c>
      <c r="CP271" s="2478">
        <f t="shared" si="148"/>
        <v>-88.82</v>
      </c>
      <c r="CQ271" s="2478"/>
      <c r="CR271" s="2478"/>
      <c r="CS271" s="2478"/>
      <c r="CT271" s="2478"/>
    </row>
    <row r="272" spans="1:98" hidden="1" x14ac:dyDescent="0.2">
      <c r="A272" s="2395">
        <v>175</v>
      </c>
      <c r="B272" s="2440" t="s">
        <v>1214</v>
      </c>
      <c r="C272" s="2396">
        <v>17505</v>
      </c>
      <c r="D272" s="2396">
        <v>53450</v>
      </c>
      <c r="E272" s="2397" t="s">
        <v>1268</v>
      </c>
      <c r="F272" s="2440" t="s">
        <v>1214</v>
      </c>
      <c r="G272" s="2440" t="s">
        <v>1583</v>
      </c>
      <c r="H272" s="2466">
        <v>1030</v>
      </c>
      <c r="I272" s="2470"/>
      <c r="J272" s="2466">
        <f t="shared" si="150"/>
        <v>1030</v>
      </c>
      <c r="K272" s="2468">
        <f t="shared" si="151"/>
        <v>0</v>
      </c>
      <c r="M272" s="2467">
        <v>1030</v>
      </c>
      <c r="N272" s="2467">
        <v>1030</v>
      </c>
      <c r="P272" s="2469"/>
      <c r="R272" s="2466">
        <v>1030</v>
      </c>
      <c r="S272" s="2466">
        <v>956.52</v>
      </c>
      <c r="U272" s="2466">
        <v>1030</v>
      </c>
      <c r="V272" s="2470">
        <v>0</v>
      </c>
      <c r="W272" s="2466">
        <f t="shared" si="152"/>
        <v>1030</v>
      </c>
      <c r="X272" s="2468">
        <f t="shared" si="153"/>
        <v>0</v>
      </c>
      <c r="Z272" s="2467">
        <v>1030</v>
      </c>
      <c r="AA272" s="2467">
        <v>1030</v>
      </c>
      <c r="AC272" s="2469"/>
      <c r="AE272" s="2466">
        <v>1030</v>
      </c>
      <c r="AF272" s="2471">
        <v>2272</v>
      </c>
      <c r="AH272" s="2466">
        <v>1030</v>
      </c>
      <c r="AI272" s="2470"/>
      <c r="AJ272" s="2466">
        <f t="shared" si="154"/>
        <v>1030</v>
      </c>
      <c r="AK272" s="2468">
        <f t="shared" si="155"/>
        <v>0</v>
      </c>
      <c r="AM272" s="2467">
        <v>1030</v>
      </c>
      <c r="AN272" s="2467">
        <v>1030</v>
      </c>
      <c r="AP272" s="2469"/>
      <c r="AR272" s="2466">
        <v>1030</v>
      </c>
      <c r="AS272" s="2466">
        <v>101.42</v>
      </c>
      <c r="AT272" s="2466"/>
      <c r="AU272" s="2466">
        <v>1030</v>
      </c>
      <c r="AV272" s="2466">
        <v>745.5</v>
      </c>
      <c r="AX272" s="2466">
        <v>1030</v>
      </c>
      <c r="AY272" s="2542">
        <v>384</v>
      </c>
      <c r="AZ272" s="2466">
        <f t="shared" si="156"/>
        <v>1414</v>
      </c>
      <c r="BA272" s="2468">
        <f t="shared" si="157"/>
        <v>0.37281553398058254</v>
      </c>
      <c r="BC272" s="2467">
        <v>1414</v>
      </c>
      <c r="BD272" s="2467">
        <v>1414</v>
      </c>
      <c r="BF272" s="2543" t="s">
        <v>1273</v>
      </c>
      <c r="BH272" s="2467">
        <v>1414</v>
      </c>
      <c r="BM272" s="2466">
        <v>1414</v>
      </c>
      <c r="BN272" s="2470">
        <f>61+25</f>
        <v>86</v>
      </c>
      <c r="BO272" s="2472">
        <f t="shared" si="158"/>
        <v>1500</v>
      </c>
      <c r="BP272" s="2473">
        <f t="shared" si="159"/>
        <v>6.0820367751060818E-2</v>
      </c>
      <c r="BR272" s="2474">
        <v>1500</v>
      </c>
      <c r="BS272" s="2474">
        <v>1500</v>
      </c>
      <c r="BU272" s="2578" t="s">
        <v>1430</v>
      </c>
      <c r="BW272" s="2474">
        <v>1500</v>
      </c>
      <c r="BZ272" s="2474">
        <v>1500</v>
      </c>
      <c r="CA272" s="2470"/>
      <c r="CB272" s="2472">
        <f t="shared" si="160"/>
        <v>1500</v>
      </c>
      <c r="CC272" s="2473">
        <f t="shared" si="161"/>
        <v>0</v>
      </c>
      <c r="CE272" s="2474">
        <v>1500</v>
      </c>
      <c r="CF272" s="2476">
        <f>IF(CB272=0," ",(CE272-CB272)/CB272)</f>
        <v>0</v>
      </c>
      <c r="CG272" s="2474">
        <v>1500</v>
      </c>
      <c r="CH272" s="2449" t="s">
        <v>1217</v>
      </c>
      <c r="CI272" s="2449"/>
      <c r="CJ272" s="2450"/>
      <c r="CK272" s="2450"/>
      <c r="CO272" s="2477" t="s">
        <v>1218</v>
      </c>
      <c r="CP272" s="2478">
        <f t="shared" si="148"/>
        <v>-1414</v>
      </c>
      <c r="CQ272" s="2478"/>
      <c r="CR272" s="2478"/>
      <c r="CS272" s="2478"/>
      <c r="CT272" s="2478"/>
    </row>
    <row r="273" spans="1:98" hidden="1" x14ac:dyDescent="0.2">
      <c r="A273" s="2395">
        <v>175</v>
      </c>
      <c r="B273" s="2440" t="s">
        <v>1214</v>
      </c>
      <c r="C273" s="2396">
        <v>17505</v>
      </c>
      <c r="D273" s="2396">
        <v>54200</v>
      </c>
      <c r="E273" s="2397" t="s">
        <v>1268</v>
      </c>
      <c r="F273" s="2440" t="s">
        <v>1214</v>
      </c>
      <c r="G273" s="2440" t="s">
        <v>1584</v>
      </c>
      <c r="H273" s="2466">
        <v>257</v>
      </c>
      <c r="I273" s="2470"/>
      <c r="J273" s="2466">
        <f t="shared" si="150"/>
        <v>257</v>
      </c>
      <c r="K273" s="2468">
        <f t="shared" si="151"/>
        <v>0</v>
      </c>
      <c r="M273" s="2467">
        <v>257</v>
      </c>
      <c r="N273" s="2467">
        <v>257</v>
      </c>
      <c r="P273" s="2469"/>
      <c r="R273" s="2466">
        <v>257</v>
      </c>
      <c r="S273" s="2466">
        <v>33.67</v>
      </c>
      <c r="U273" s="2466">
        <v>257</v>
      </c>
      <c r="V273" s="2470">
        <v>0</v>
      </c>
      <c r="W273" s="2466">
        <f t="shared" si="152"/>
        <v>257</v>
      </c>
      <c r="X273" s="2468">
        <f t="shared" si="153"/>
        <v>0</v>
      </c>
      <c r="Z273" s="2467">
        <v>257</v>
      </c>
      <c r="AA273" s="2467">
        <v>257</v>
      </c>
      <c r="AC273" s="2469"/>
      <c r="AE273" s="2466">
        <v>257</v>
      </c>
      <c r="AF273" s="2471">
        <v>407.88</v>
      </c>
      <c r="AH273" s="2466">
        <v>257</v>
      </c>
      <c r="AI273" s="2470"/>
      <c r="AJ273" s="2466">
        <f t="shared" si="154"/>
        <v>257</v>
      </c>
      <c r="AK273" s="2468">
        <f t="shared" si="155"/>
        <v>0</v>
      </c>
      <c r="AM273" s="2467">
        <v>257</v>
      </c>
      <c r="AN273" s="2467">
        <v>257</v>
      </c>
      <c r="AP273" s="2469"/>
      <c r="AR273" s="2466">
        <v>257</v>
      </c>
      <c r="AS273" s="2466">
        <v>0</v>
      </c>
      <c r="AT273" s="2466"/>
      <c r="AU273" s="2466">
        <v>257</v>
      </c>
      <c r="AV273" s="2466">
        <v>141.24</v>
      </c>
      <c r="AX273" s="2466">
        <v>257</v>
      </c>
      <c r="AY273" s="2470"/>
      <c r="AZ273" s="2466">
        <f t="shared" si="156"/>
        <v>257</v>
      </c>
      <c r="BA273" s="2468">
        <f t="shared" si="157"/>
        <v>0</v>
      </c>
      <c r="BC273" s="2467">
        <v>257</v>
      </c>
      <c r="BD273" s="2467">
        <v>257</v>
      </c>
      <c r="BF273" s="2469"/>
      <c r="BH273" s="2467">
        <v>257</v>
      </c>
      <c r="BM273" s="2466">
        <v>257</v>
      </c>
      <c r="BN273" s="2470">
        <v>-257</v>
      </c>
      <c r="BO273" s="2472">
        <f t="shared" si="158"/>
        <v>0</v>
      </c>
      <c r="BP273" s="2473">
        <f t="shared" si="159"/>
        <v>-1</v>
      </c>
      <c r="BR273" s="2474">
        <v>0</v>
      </c>
      <c r="BS273" s="2474">
        <v>0</v>
      </c>
      <c r="BU273" s="2578" t="s">
        <v>1430</v>
      </c>
      <c r="BW273" s="2474">
        <v>0</v>
      </c>
      <c r="BZ273" s="2474">
        <v>0</v>
      </c>
      <c r="CA273" s="2470"/>
      <c r="CB273" s="2472">
        <f t="shared" si="160"/>
        <v>0</v>
      </c>
      <c r="CC273" s="2473" t="str">
        <f t="shared" si="161"/>
        <v xml:space="preserve"> </v>
      </c>
      <c r="CE273" s="2474">
        <v>0</v>
      </c>
      <c r="CF273" s="2476" t="str">
        <f>IF(CB273=0," ",(CE273-CB273)/CB273)</f>
        <v xml:space="preserve"> </v>
      </c>
      <c r="CG273" s="2474">
        <v>0</v>
      </c>
      <c r="CH273" s="2449" t="s">
        <v>1217</v>
      </c>
      <c r="CI273" s="2449"/>
      <c r="CJ273" s="2450"/>
      <c r="CK273" s="2450"/>
      <c r="CO273" s="2477" t="s">
        <v>1218</v>
      </c>
      <c r="CP273" s="2478">
        <f t="shared" si="148"/>
        <v>-257</v>
      </c>
      <c r="CQ273" s="2478"/>
      <c r="CR273" s="2478"/>
      <c r="CS273" s="2478"/>
      <c r="CT273" s="2478"/>
    </row>
    <row r="274" spans="1:98" hidden="1" x14ac:dyDescent="0.2">
      <c r="A274" s="2395">
        <v>175</v>
      </c>
      <c r="C274" s="2396">
        <v>17505</v>
      </c>
      <c r="D274" s="2396">
        <v>55800</v>
      </c>
      <c r="E274" s="2397" t="s">
        <v>1268</v>
      </c>
      <c r="G274" s="2440" t="s">
        <v>1585</v>
      </c>
      <c r="I274" s="2470"/>
      <c r="M274" s="2467"/>
      <c r="N274" s="2467"/>
      <c r="P274" s="2469"/>
      <c r="V274" s="2470"/>
      <c r="Z274" s="2467"/>
      <c r="AA274" s="2467"/>
      <c r="AC274" s="2469"/>
      <c r="AI274" s="2470"/>
      <c r="AM274" s="2467"/>
      <c r="AN274" s="2467"/>
      <c r="AP274" s="2469"/>
      <c r="AS274" s="2466"/>
      <c r="AT274" s="2466"/>
      <c r="AY274" s="2470"/>
      <c r="BC274" s="2467"/>
      <c r="BD274" s="2467"/>
      <c r="BF274" s="2469"/>
      <c r="BH274" s="2467"/>
      <c r="BN274" s="2470">
        <v>150</v>
      </c>
      <c r="BO274" s="2472">
        <f t="shared" si="158"/>
        <v>150</v>
      </c>
      <c r="BR274" s="2474">
        <v>150</v>
      </c>
      <c r="BS274" s="2474">
        <v>150</v>
      </c>
      <c r="BU274" s="2578" t="s">
        <v>1430</v>
      </c>
      <c r="BW274" s="2474">
        <v>150</v>
      </c>
      <c r="BX274" s="2466">
        <v>67.58</v>
      </c>
      <c r="BZ274" s="2474">
        <v>150</v>
      </c>
      <c r="CA274" s="2470"/>
      <c r="CB274" s="2472">
        <f t="shared" si="160"/>
        <v>150</v>
      </c>
      <c r="CE274" s="2474">
        <v>150</v>
      </c>
      <c r="CF274" s="2476"/>
      <c r="CG274" s="2474">
        <v>150</v>
      </c>
      <c r="CH274" s="2449" t="s">
        <v>1217</v>
      </c>
      <c r="CI274" s="2449"/>
      <c r="CJ274" s="2450"/>
      <c r="CK274" s="2450"/>
      <c r="CP274" s="2478">
        <f t="shared" si="148"/>
        <v>0</v>
      </c>
      <c r="CQ274" s="2478"/>
      <c r="CR274" s="2478"/>
      <c r="CS274" s="2478"/>
      <c r="CT274" s="2478"/>
    </row>
    <row r="275" spans="1:98" hidden="1" x14ac:dyDescent="0.2">
      <c r="A275" s="2395">
        <v>175</v>
      </c>
      <c r="B275" s="2440" t="s">
        <v>1214</v>
      </c>
      <c r="C275" s="2396">
        <v>17505</v>
      </c>
      <c r="D275" s="2396">
        <v>57100</v>
      </c>
      <c r="E275" s="2397" t="s">
        <v>1268</v>
      </c>
      <c r="F275" s="2440" t="s">
        <v>1214</v>
      </c>
      <c r="G275" s="2440" t="s">
        <v>1586</v>
      </c>
      <c r="H275" s="2466">
        <v>50</v>
      </c>
      <c r="I275" s="2470"/>
      <c r="J275" s="2466">
        <f t="shared" si="150"/>
        <v>50</v>
      </c>
      <c r="K275" s="2468">
        <f t="shared" si="151"/>
        <v>0</v>
      </c>
      <c r="M275" s="2467">
        <v>50</v>
      </c>
      <c r="N275" s="2467">
        <v>50</v>
      </c>
      <c r="P275" s="2469"/>
      <c r="R275" s="2466">
        <v>50</v>
      </c>
      <c r="S275" s="2466">
        <v>0</v>
      </c>
      <c r="U275" s="2466">
        <v>50</v>
      </c>
      <c r="V275" s="2470">
        <v>0</v>
      </c>
      <c r="W275" s="2466">
        <f t="shared" si="152"/>
        <v>50</v>
      </c>
      <c r="X275" s="2468">
        <f t="shared" si="153"/>
        <v>0</v>
      </c>
      <c r="Z275" s="2467">
        <v>50</v>
      </c>
      <c r="AA275" s="2467">
        <v>50</v>
      </c>
      <c r="AC275" s="2469"/>
      <c r="AE275" s="2466">
        <v>50</v>
      </c>
      <c r="AF275" s="2471">
        <v>0</v>
      </c>
      <c r="AH275" s="2466">
        <v>50</v>
      </c>
      <c r="AI275" s="2470"/>
      <c r="AJ275" s="2466">
        <f t="shared" si="154"/>
        <v>50</v>
      </c>
      <c r="AK275" s="2468">
        <f t="shared" si="155"/>
        <v>0</v>
      </c>
      <c r="AM275" s="2467">
        <v>50</v>
      </c>
      <c r="AN275" s="2467">
        <v>50</v>
      </c>
      <c r="AP275" s="2469"/>
      <c r="AR275" s="2466">
        <v>50</v>
      </c>
      <c r="AS275" s="2466">
        <v>0</v>
      </c>
      <c r="AT275" s="2466"/>
      <c r="AU275" s="2466">
        <v>50</v>
      </c>
      <c r="AX275" s="2466">
        <v>50</v>
      </c>
      <c r="AY275" s="2542">
        <v>-50</v>
      </c>
      <c r="AZ275" s="2466">
        <f t="shared" si="156"/>
        <v>0</v>
      </c>
      <c r="BA275" s="2468">
        <f t="shared" si="157"/>
        <v>-1</v>
      </c>
      <c r="BC275" s="2467">
        <v>0</v>
      </c>
      <c r="BD275" s="2467">
        <v>0</v>
      </c>
      <c r="BF275" s="2543" t="s">
        <v>1273</v>
      </c>
      <c r="BH275" s="2467">
        <v>0</v>
      </c>
      <c r="BM275" s="2466">
        <v>0</v>
      </c>
      <c r="BN275" s="2470"/>
      <c r="BO275" s="2472">
        <f t="shared" si="158"/>
        <v>0</v>
      </c>
      <c r="BP275" s="2473" t="str">
        <f t="shared" si="159"/>
        <v xml:space="preserve"> </v>
      </c>
      <c r="BR275" s="2474">
        <v>0</v>
      </c>
      <c r="BS275" s="2474">
        <v>0</v>
      </c>
      <c r="BU275" s="2544"/>
      <c r="BW275" s="2474">
        <v>0</v>
      </c>
      <c r="BZ275" s="2474">
        <v>0</v>
      </c>
      <c r="CA275" s="2470"/>
      <c r="CB275" s="2472">
        <f t="shared" si="160"/>
        <v>0</v>
      </c>
      <c r="CC275" s="2473" t="str">
        <f t="shared" ref="CC275" si="162">IF(BZ275=0," ",(CB275-BZ275)/BZ275)</f>
        <v xml:space="preserve"> </v>
      </c>
      <c r="CE275" s="2474">
        <v>0</v>
      </c>
      <c r="CF275" s="2476" t="str">
        <f>IF(CB275=0," ",(CE275-CB275)/CB275)</f>
        <v xml:space="preserve"> </v>
      </c>
      <c r="CG275" s="2474">
        <v>0</v>
      </c>
      <c r="CH275" s="2449" t="s">
        <v>1217</v>
      </c>
      <c r="CI275" s="2449"/>
      <c r="CJ275" s="2450"/>
      <c r="CK275" s="2450"/>
      <c r="CP275" s="2478">
        <f t="shared" si="148"/>
        <v>0</v>
      </c>
      <c r="CQ275" s="2478"/>
      <c r="CR275" s="2478"/>
      <c r="CS275" s="2478"/>
      <c r="CT275" s="2478"/>
    </row>
    <row r="276" spans="1:98" hidden="1" x14ac:dyDescent="0.2">
      <c r="A276" s="2395">
        <v>175</v>
      </c>
      <c r="B276" s="2440" t="s">
        <v>1214</v>
      </c>
      <c r="C276" s="2396">
        <v>17505</v>
      </c>
      <c r="D276" s="2396">
        <v>57300</v>
      </c>
      <c r="E276" s="2397" t="s">
        <v>1268</v>
      </c>
      <c r="F276" s="2440" t="s">
        <v>1214</v>
      </c>
      <c r="G276" s="2440" t="s">
        <v>1587</v>
      </c>
      <c r="H276" s="2466">
        <v>84</v>
      </c>
      <c r="I276" s="2470"/>
      <c r="J276" s="2466">
        <f>H276+I276</f>
        <v>84</v>
      </c>
      <c r="K276" s="2468">
        <f>IF(H276=0," ",(J276-H276)/H276)</f>
        <v>0</v>
      </c>
      <c r="M276" s="2467">
        <v>84</v>
      </c>
      <c r="N276" s="2467">
        <v>84</v>
      </c>
      <c r="P276" s="2469"/>
      <c r="R276" s="2466">
        <v>84</v>
      </c>
      <c r="S276" s="2466">
        <v>0</v>
      </c>
      <c r="U276" s="2466">
        <v>84</v>
      </c>
      <c r="V276" s="2470">
        <v>0</v>
      </c>
      <c r="W276" s="2466">
        <f>U276+V276</f>
        <v>84</v>
      </c>
      <c r="X276" s="2468">
        <f>IF(U276=0," ",(W276-U276)/U276)</f>
        <v>0</v>
      </c>
      <c r="Z276" s="2467">
        <v>84</v>
      </c>
      <c r="AA276" s="2467">
        <v>84</v>
      </c>
      <c r="AC276" s="2469"/>
      <c r="AE276" s="2466">
        <v>84</v>
      </c>
      <c r="AF276" s="2471">
        <v>0</v>
      </c>
      <c r="AH276" s="2466">
        <v>84</v>
      </c>
      <c r="AI276" s="2470"/>
      <c r="AJ276" s="2466">
        <f>AH276+AI276</f>
        <v>84</v>
      </c>
      <c r="AK276" s="2468">
        <f>IF(AH276=0," ",(AJ276-AH276)/AH276)</f>
        <v>0</v>
      </c>
      <c r="AM276" s="2467">
        <v>84</v>
      </c>
      <c r="AN276" s="2467">
        <v>84</v>
      </c>
      <c r="AP276" s="2469"/>
      <c r="AR276" s="2466">
        <v>84</v>
      </c>
      <c r="AS276" s="2466">
        <v>0</v>
      </c>
      <c r="AT276" s="2466"/>
      <c r="AU276" s="2466">
        <v>84</v>
      </c>
      <c r="AX276" s="2466">
        <v>84</v>
      </c>
      <c r="AY276" s="2542">
        <v>-84</v>
      </c>
      <c r="AZ276" s="2466">
        <f>AX276+AY276</f>
        <v>0</v>
      </c>
      <c r="BA276" s="2468">
        <f>IF(AX276=0," ",(AZ276-AX276)/AX276)</f>
        <v>-1</v>
      </c>
      <c r="BC276" s="2467">
        <v>0</v>
      </c>
      <c r="BD276" s="2467">
        <v>0</v>
      </c>
      <c r="BF276" s="2543" t="s">
        <v>1273</v>
      </c>
      <c r="BH276" s="2467">
        <v>0</v>
      </c>
      <c r="BM276" s="2466">
        <v>0</v>
      </c>
      <c r="BN276" s="2470"/>
      <c r="BO276" s="2472">
        <f>BM276+BN276</f>
        <v>0</v>
      </c>
      <c r="BP276" s="2473" t="str">
        <f>IF(BM276=0," ",(BO276-BM276)/BM276)</f>
        <v xml:space="preserve"> </v>
      </c>
      <c r="BR276" s="2474">
        <v>0</v>
      </c>
      <c r="BS276" s="2474">
        <v>0</v>
      </c>
      <c r="BU276" s="2603" t="s">
        <v>1588</v>
      </c>
      <c r="BW276" s="2474">
        <v>0</v>
      </c>
      <c r="BZ276" s="2474">
        <v>0</v>
      </c>
      <c r="CA276" s="2470"/>
      <c r="CB276" s="2472">
        <f>BZ276+CA276</f>
        <v>0</v>
      </c>
      <c r="CC276" s="2473" t="str">
        <f>IF(BZ276=0," ",(CB276-BZ276)/BZ276)</f>
        <v xml:space="preserve"> </v>
      </c>
      <c r="CE276" s="2474">
        <v>0</v>
      </c>
      <c r="CF276" s="2476" t="str">
        <f>IF(CB276=0," ",(CE276-CB276)/CB276)</f>
        <v xml:space="preserve"> </v>
      </c>
      <c r="CG276" s="2474">
        <v>0</v>
      </c>
      <c r="CH276" s="2449" t="s">
        <v>1217</v>
      </c>
      <c r="CI276" s="2449"/>
      <c r="CJ276" s="2450"/>
      <c r="CK276" s="2450"/>
      <c r="CP276" s="2478">
        <f t="shared" si="148"/>
        <v>0</v>
      </c>
      <c r="CQ276" s="2478"/>
      <c r="CR276" s="2478"/>
      <c r="CS276" s="2478"/>
      <c r="CT276" s="2478"/>
    </row>
    <row r="277" spans="1:98" s="2485" customFormat="1" hidden="1" x14ac:dyDescent="0.2">
      <c r="A277" s="2532"/>
      <c r="B277" s="2533"/>
      <c r="C277" s="2534"/>
      <c r="D277" s="2534"/>
      <c r="E277" s="2535"/>
      <c r="F277" s="2533"/>
      <c r="G277" s="2533" t="s">
        <v>1589</v>
      </c>
      <c r="H277" s="2536">
        <f>SUM(H271:H275)</f>
        <v>1707</v>
      </c>
      <c r="I277" s="2536">
        <f>SUM(I271:I275)</f>
        <v>0</v>
      </c>
      <c r="J277" s="2536">
        <f>SUM(J271:J275)</f>
        <v>1707</v>
      </c>
      <c r="K277" s="2484">
        <f>IF(H277=0," ",(J277-H277)/H277)</f>
        <v>0</v>
      </c>
      <c r="M277" s="2536">
        <f>SUM(M271:M275)</f>
        <v>1707</v>
      </c>
      <c r="N277" s="2536">
        <f>SUM(N271:N275)</f>
        <v>1707</v>
      </c>
      <c r="P277" s="2537">
        <f>SUM(P271:P275)</f>
        <v>0</v>
      </c>
      <c r="R277" s="2536">
        <f>SUM(R271:R275)</f>
        <v>1707</v>
      </c>
      <c r="S277" s="2536">
        <f>SUM(S271:S275)</f>
        <v>990.18999999999994</v>
      </c>
      <c r="U277" s="2536">
        <f>SUM(U271:U275)</f>
        <v>1707</v>
      </c>
      <c r="V277" s="2536">
        <f>SUM(V271:V275)</f>
        <v>0</v>
      </c>
      <c r="W277" s="2536">
        <f>SUM(W271:W275)</f>
        <v>1707</v>
      </c>
      <c r="X277" s="2484">
        <f>IF(U277=0," ",(W277-U277)/U277)</f>
        <v>0</v>
      </c>
      <c r="Z277" s="2536">
        <f>SUM(Z271:Z275)</f>
        <v>1707</v>
      </c>
      <c r="AA277" s="2536">
        <f>SUM(AA271:AA275)</f>
        <v>1707</v>
      </c>
      <c r="AC277" s="2537"/>
      <c r="AE277" s="2536">
        <f>SUM(AE271:AE275)</f>
        <v>1707</v>
      </c>
      <c r="AF277" s="2538">
        <f>SUM(AF270:AF275)</f>
        <v>2963.12</v>
      </c>
      <c r="AH277" s="2538">
        <f>SUM(AH270:AH275)</f>
        <v>1707</v>
      </c>
      <c r="AI277" s="2538">
        <f>SUM(AI270:AI275)</f>
        <v>0</v>
      </c>
      <c r="AJ277" s="2538">
        <f>SUM(AJ270:AJ275)</f>
        <v>1707</v>
      </c>
      <c r="AK277" s="2484">
        <f>IF(AH277=0," ",(AJ277-AH277)/AH277)</f>
        <v>0</v>
      </c>
      <c r="AM277" s="2536">
        <f>SUM(AM270:AM275)</f>
        <v>1707</v>
      </c>
      <c r="AN277" s="2536">
        <f>SUM(AN270:AN275)</f>
        <v>1707</v>
      </c>
      <c r="AP277" s="2537"/>
      <c r="AR277" s="2536">
        <f>SUM(AR270:AR275)</f>
        <v>1707</v>
      </c>
      <c r="AS277" s="2536">
        <f>SUM(AS270:AS275)</f>
        <v>110.42</v>
      </c>
      <c r="AT277" s="2536"/>
      <c r="AU277" s="2536">
        <f>SUM(AU270:AU275)</f>
        <v>1707</v>
      </c>
      <c r="AV277" s="2536">
        <f>SUM(AV270:AV275)</f>
        <v>937.76</v>
      </c>
      <c r="AX277" s="2536">
        <f>SUM(AX270:AX275)</f>
        <v>1707</v>
      </c>
      <c r="AY277" s="2536">
        <f>SUM(AY270:AY275)</f>
        <v>84</v>
      </c>
      <c r="AZ277" s="2536">
        <f>SUM(AZ270:AZ275)</f>
        <v>1791</v>
      </c>
      <c r="BA277" s="2484">
        <f>IF(AX277=0," ",(AZ277-AX277)/AX277)</f>
        <v>4.9209138840070298E-2</v>
      </c>
      <c r="BC277" s="2536">
        <f>SUM(BC270:BC275)</f>
        <v>1791</v>
      </c>
      <c r="BD277" s="2536">
        <f>SUM(BD270:BD275)</f>
        <v>1791</v>
      </c>
      <c r="BF277" s="2537"/>
      <c r="BH277" s="2536">
        <f>SUM(BH270:BH275)</f>
        <v>1791</v>
      </c>
      <c r="BI277" s="2536">
        <f>SUM(BI270:BI275)</f>
        <v>31.18</v>
      </c>
      <c r="BJ277" s="2536"/>
      <c r="BK277" s="2536"/>
      <c r="BM277" s="2536">
        <f>SUM(BM270:BM275)</f>
        <v>1791</v>
      </c>
      <c r="BN277" s="2539">
        <f>SUM(BN270:BN275)</f>
        <v>-41</v>
      </c>
      <c r="BO277" s="2540">
        <f>SUM(BO270:BO275)</f>
        <v>1750</v>
      </c>
      <c r="BP277" s="2490">
        <f>IF(BM277=0," ",(BO277-BM277)/BM277)</f>
        <v>-2.2892238972640984E-2</v>
      </c>
      <c r="BQ277" s="2491"/>
      <c r="BR277" s="2540">
        <f>SUM(BR270:BR275)</f>
        <v>1750</v>
      </c>
      <c r="BS277" s="2540">
        <f>SUM(BS270:BS275)</f>
        <v>1750</v>
      </c>
      <c r="BT277" s="2491"/>
      <c r="BU277" s="2541"/>
      <c r="BV277" s="2491"/>
      <c r="BW277" s="2540">
        <f>SUM(BW270:BW275)</f>
        <v>1750</v>
      </c>
      <c r="BX277" s="2536">
        <f>SUM(BX270:BX275)</f>
        <v>68.149999999999991</v>
      </c>
      <c r="BZ277" s="2540">
        <f>SUM(BZ270:BZ276)</f>
        <v>1750</v>
      </c>
      <c r="CA277" s="2540">
        <f>SUM(CA270:CA276)</f>
        <v>0</v>
      </c>
      <c r="CB277" s="2540">
        <f>SUM(CB270:CB276)</f>
        <v>1750</v>
      </c>
      <c r="CC277" s="2490">
        <f>IF(BZ277=0," ",(CB277-BZ277)/BZ277)</f>
        <v>0</v>
      </c>
      <c r="CD277" s="2491"/>
      <c r="CE277" s="2540">
        <f>SUM(CE270:CE276)</f>
        <v>1750</v>
      </c>
      <c r="CF277" s="2490">
        <f>IF(CB277=0," ",(CE277-CB277)/CB277)</f>
        <v>0</v>
      </c>
      <c r="CG277" s="2540">
        <f>SUM(CG270:CG276)</f>
        <v>1750</v>
      </c>
      <c r="CH277" s="2449" t="s">
        <v>1220</v>
      </c>
      <c r="CI277" s="2449"/>
      <c r="CJ277" s="2450"/>
      <c r="CK277" s="2450"/>
      <c r="CL277" s="2451"/>
      <c r="CM277" s="2451"/>
      <c r="CN277" s="2451"/>
      <c r="CO277" s="2477">
        <v>-0.98259073143495257</v>
      </c>
      <c r="CP277" s="2478">
        <f t="shared" si="148"/>
        <v>-1759.82</v>
      </c>
      <c r="CQ277" s="2478"/>
      <c r="CR277" s="2478"/>
      <c r="CS277" s="2478"/>
      <c r="CT277" s="2478"/>
    </row>
    <row r="278" spans="1:98" ht="9.9499999999999993" hidden="1" customHeight="1" x14ac:dyDescent="0.2">
      <c r="AS278" s="2466"/>
      <c r="AT278" s="2466"/>
      <c r="BZ278" s="2472"/>
      <c r="CH278" s="2449" t="s">
        <v>1091</v>
      </c>
      <c r="CI278" s="2449"/>
      <c r="CJ278" s="2450"/>
      <c r="CK278" s="2450"/>
      <c r="CP278" s="2478">
        <f t="shared" si="148"/>
        <v>0</v>
      </c>
      <c r="CQ278" s="2478"/>
      <c r="CR278" s="2478"/>
      <c r="CS278" s="2478"/>
      <c r="CT278" s="2478"/>
    </row>
    <row r="279" spans="1:98" x14ac:dyDescent="0.2">
      <c r="A279" s="2495"/>
      <c r="B279" s="2496"/>
      <c r="C279" s="2497"/>
      <c r="D279" s="2497"/>
      <c r="E279" s="2498"/>
      <c r="F279" s="2496"/>
      <c r="G279" s="2499" t="s">
        <v>1590</v>
      </c>
      <c r="H279" s="2500">
        <f>H268+H277</f>
        <v>6914</v>
      </c>
      <c r="I279" s="2500">
        <f>I268+I277</f>
        <v>104</v>
      </c>
      <c r="J279" s="2500">
        <f>J268+J277</f>
        <v>7018</v>
      </c>
      <c r="K279" s="2501">
        <f>IF(H279=0," ",(J279-H279)/H279)</f>
        <v>1.5041943881978595E-2</v>
      </c>
      <c r="M279" s="2500">
        <f>M268+M277</f>
        <v>1712</v>
      </c>
      <c r="N279" s="2500">
        <f>N268+N277</f>
        <v>1712</v>
      </c>
      <c r="P279" s="2502">
        <f>P268+P277</f>
        <v>0</v>
      </c>
      <c r="R279" s="2500">
        <f>R268+R277</f>
        <v>1712</v>
      </c>
      <c r="S279" s="2500">
        <f>S268+S277</f>
        <v>990.18999999999994</v>
      </c>
      <c r="U279" s="2500">
        <f>U268+U277</f>
        <v>1712</v>
      </c>
      <c r="V279" s="2500">
        <f>V268+V277</f>
        <v>0</v>
      </c>
      <c r="W279" s="2500">
        <f>W268+W277</f>
        <v>1712</v>
      </c>
      <c r="X279" s="2501">
        <f>IF(U279=0," ",(W279-U279)/U279)</f>
        <v>0</v>
      </c>
      <c r="Z279" s="2500">
        <f>Z268+Z277</f>
        <v>1712</v>
      </c>
      <c r="AA279" s="2500">
        <f>AA268+AA277</f>
        <v>1712</v>
      </c>
      <c r="AC279" s="2502"/>
      <c r="AE279" s="2500">
        <f>AE268+AE277</f>
        <v>1712</v>
      </c>
      <c r="AF279" s="2503">
        <f>AF268+AF277</f>
        <v>2963.12</v>
      </c>
      <c r="AH279" s="2500">
        <v>1796</v>
      </c>
      <c r="AI279" s="2500">
        <f>AI268+AI277</f>
        <v>0</v>
      </c>
      <c r="AJ279" s="2500">
        <f>AJ268+AJ277</f>
        <v>1712</v>
      </c>
      <c r="AK279" s="2501">
        <f>IF(AH279=0," ",(AJ279-AH279)/AH279)</f>
        <v>-4.6770601336302897E-2</v>
      </c>
      <c r="AM279" s="2500">
        <f>AM268+AM277</f>
        <v>1712</v>
      </c>
      <c r="AN279" s="2500">
        <f>AN268+AN277</f>
        <v>1712</v>
      </c>
      <c r="AP279" s="2502"/>
      <c r="AR279" s="2500">
        <f>AR268+AR277</f>
        <v>1712</v>
      </c>
      <c r="AS279" s="2500">
        <f>AS268+AS277</f>
        <v>110.42</v>
      </c>
      <c r="AT279" s="2500"/>
      <c r="AU279" s="2500">
        <f>AU268+AU277</f>
        <v>1712</v>
      </c>
      <c r="AV279" s="2500">
        <f>AV268+AV277</f>
        <v>937.76</v>
      </c>
      <c r="AX279" s="2500">
        <f>AX268+AX277</f>
        <v>1712</v>
      </c>
      <c r="AY279" s="2500">
        <f>AY268+AY277</f>
        <v>84</v>
      </c>
      <c r="AZ279" s="2500">
        <f>AZ268+AZ277</f>
        <v>1796</v>
      </c>
      <c r="BA279" s="2501">
        <f>IF(AX279=0," ",(AZ279-AX279)/AX279)</f>
        <v>4.9065420560747662E-2</v>
      </c>
      <c r="BC279" s="2500">
        <f>BC268+BC277</f>
        <v>1796</v>
      </c>
      <c r="BD279" s="2500">
        <f>BD268+BD277</f>
        <v>1796</v>
      </c>
      <c r="BF279" s="2502"/>
      <c r="BH279" s="2500">
        <f>BH268+BH277</f>
        <v>1796</v>
      </c>
      <c r="BI279" s="2500">
        <f>BI268+BI277</f>
        <v>31.18</v>
      </c>
      <c r="BJ279" s="2500"/>
      <c r="BK279" s="2500"/>
      <c r="BM279" s="2500">
        <f>BM268+BM277</f>
        <v>1796</v>
      </c>
      <c r="BN279" s="2504">
        <f>BN268+BN277</f>
        <v>-41</v>
      </c>
      <c r="BO279" s="2505">
        <f>BO268+BO277</f>
        <v>1755</v>
      </c>
      <c r="BP279" s="2506">
        <f>IF(BM279=0," ",(BO279-BM279)/BM279)</f>
        <v>-2.2828507795100223E-2</v>
      </c>
      <c r="BR279" s="2505">
        <f>BR268+BR277</f>
        <v>1755</v>
      </c>
      <c r="BS279" s="2505">
        <f>BS268+BS277</f>
        <v>1755</v>
      </c>
      <c r="BU279" s="2507"/>
      <c r="BW279" s="2505">
        <f>BW268+BW277</f>
        <v>1755</v>
      </c>
      <c r="BX279" s="2500">
        <f>BX268+BX277</f>
        <v>68.149999999999991</v>
      </c>
      <c r="BZ279" s="2505">
        <f>BZ268+BZ277</f>
        <v>1755</v>
      </c>
      <c r="CA279" s="2505">
        <f>CA268+CA277</f>
        <v>0</v>
      </c>
      <c r="CB279" s="2505">
        <f>CB268+CB277</f>
        <v>1755</v>
      </c>
      <c r="CC279" s="2506">
        <f>IF(BZ279=0," ",(CB279-BZ279)/BZ279)</f>
        <v>0</v>
      </c>
      <c r="CE279" s="2505">
        <f>CE268+CE277</f>
        <v>1755</v>
      </c>
      <c r="CF279" s="2506">
        <f>IF(CB279=0," ",(CE279-CB279)/CB279)</f>
        <v>0</v>
      </c>
      <c r="CG279" s="2505">
        <f>CG268+CG277</f>
        <v>1755</v>
      </c>
      <c r="CH279" s="2449" t="s">
        <v>1222</v>
      </c>
      <c r="CI279" s="2508" t="str">
        <f>IF(CG279-CE279=0,"",CG279-CE279)</f>
        <v/>
      </c>
      <c r="CJ279" s="2509"/>
      <c r="CK279" s="2509"/>
      <c r="CL279" s="2451" t="str">
        <f>IF(CO279&lt;-1*CM$2,"examine","ignore")</f>
        <v>examine</v>
      </c>
      <c r="CM279" s="2545">
        <f>IF(CL279="examine",CP279+CM$2*CP279/CO279,"")</f>
        <v>-1692.98</v>
      </c>
      <c r="CN279" s="2545">
        <f>IF(CI279="",CM279,CM279-CI279)</f>
        <v>-1692.98</v>
      </c>
      <c r="CO279" s="2477">
        <v>-0.98263919821826284</v>
      </c>
      <c r="CP279" s="2510">
        <f t="shared" si="148"/>
        <v>-1764.82</v>
      </c>
      <c r="CQ279" s="2510">
        <f>AV279-AU279</f>
        <v>-774.24</v>
      </c>
      <c r="CR279" s="2510">
        <f>AS279-AR279</f>
        <v>-1601.58</v>
      </c>
      <c r="CS279" s="2510">
        <f>AF279-AE279</f>
        <v>1251.1199999999999</v>
      </c>
    </row>
    <row r="280" spans="1:98" ht="20.100000000000001" hidden="1" customHeight="1" x14ac:dyDescent="0.2">
      <c r="AS280" s="2466"/>
      <c r="AT280" s="2466"/>
      <c r="BZ280" s="2472"/>
      <c r="CH280" s="2449" t="s">
        <v>1091</v>
      </c>
      <c r="CI280" s="2449"/>
      <c r="CJ280" s="2450"/>
      <c r="CK280" s="2450"/>
      <c r="CP280" s="2478">
        <f t="shared" si="148"/>
        <v>0</v>
      </c>
      <c r="CQ280" s="2478"/>
      <c r="CR280" s="2478"/>
      <c r="CS280" s="2478"/>
      <c r="CT280" s="2478"/>
    </row>
    <row r="281" spans="1:98" ht="15.75" hidden="1" x14ac:dyDescent="0.2">
      <c r="A281" s="2453" t="s">
        <v>1591</v>
      </c>
      <c r="B281" s="2454"/>
      <c r="C281" s="2455"/>
      <c r="D281" s="2455"/>
      <c r="E281" s="2456"/>
      <c r="F281" s="2454"/>
      <c r="G281" s="2454"/>
      <c r="H281" s="2457"/>
      <c r="I281" s="2457"/>
      <c r="J281" s="2457"/>
      <c r="K281" s="2458"/>
      <c r="M281" s="2457"/>
      <c r="N281" s="2457"/>
      <c r="P281" s="2459"/>
      <c r="R281" s="2457"/>
      <c r="S281" s="2457"/>
      <c r="U281" s="2457"/>
      <c r="V281" s="2457"/>
      <c r="W281" s="2457"/>
      <c r="X281" s="2458"/>
      <c r="Z281" s="2457"/>
      <c r="AA281" s="2457"/>
      <c r="AC281" s="2459"/>
      <c r="AE281" s="2457"/>
      <c r="AF281" s="2460"/>
      <c r="AH281" s="2457"/>
      <c r="AI281" s="2457"/>
      <c r="AJ281" s="2457"/>
      <c r="AK281" s="2458"/>
      <c r="AM281" s="2457"/>
      <c r="AN281" s="2457"/>
      <c r="AP281" s="2459"/>
      <c r="AR281" s="2457"/>
      <c r="AS281" s="2457"/>
      <c r="AT281" s="2457"/>
      <c r="AU281" s="2457"/>
      <c r="AV281" s="2457"/>
      <c r="AX281" s="2457"/>
      <c r="AY281" s="2457"/>
      <c r="AZ281" s="2457"/>
      <c r="BA281" s="2458"/>
      <c r="BC281" s="2457"/>
      <c r="BD281" s="2457"/>
      <c r="BF281" s="2461"/>
      <c r="BH281" s="2457"/>
      <c r="BI281" s="2457"/>
      <c r="BJ281" s="2457"/>
      <c r="BK281" s="2457"/>
      <c r="BM281" s="2457"/>
      <c r="BN281" s="2462"/>
      <c r="BO281" s="2463"/>
      <c r="BP281" s="2464"/>
      <c r="BR281" s="2463"/>
      <c r="BS281" s="2463"/>
      <c r="BU281" s="2465"/>
      <c r="BW281" s="2463"/>
      <c r="BX281" s="2457"/>
      <c r="BZ281" s="2463"/>
      <c r="CA281" s="2462"/>
      <c r="CB281" s="2463"/>
      <c r="CC281" s="2464"/>
      <c r="CE281" s="2463"/>
      <c r="CF281" s="2464"/>
      <c r="CG281" s="2463"/>
      <c r="CH281" s="2449" t="s">
        <v>1212</v>
      </c>
      <c r="CI281" s="2449"/>
      <c r="CJ281" s="2450"/>
      <c r="CK281" s="2450"/>
      <c r="CP281" s="2478">
        <f t="shared" si="148"/>
        <v>0</v>
      </c>
      <c r="CQ281" s="2478"/>
      <c r="CR281" s="2478"/>
      <c r="CS281" s="2478"/>
      <c r="CT281" s="2478"/>
    </row>
    <row r="282" spans="1:98" hidden="1" x14ac:dyDescent="0.2">
      <c r="A282" s="2395">
        <v>176</v>
      </c>
      <c r="B282" s="2440" t="s">
        <v>1214</v>
      </c>
      <c r="C282" s="2396">
        <v>17602</v>
      </c>
      <c r="D282" s="2396">
        <v>51140</v>
      </c>
      <c r="E282" s="2397" t="s">
        <v>319</v>
      </c>
      <c r="F282" s="2440" t="s">
        <v>1214</v>
      </c>
      <c r="G282" s="2440" t="s">
        <v>1592</v>
      </c>
      <c r="I282" s="2470"/>
      <c r="M282" s="2467"/>
      <c r="N282" s="2467"/>
      <c r="P282" s="2469"/>
      <c r="V282" s="2470"/>
      <c r="Z282" s="2467"/>
      <c r="AA282" s="2467"/>
      <c r="AC282" s="2469"/>
      <c r="AI282" s="2470"/>
      <c r="AM282" s="2467"/>
      <c r="AN282" s="2467"/>
      <c r="AP282" s="2469"/>
      <c r="AS282" s="2466"/>
      <c r="AT282" s="2466"/>
      <c r="AY282" s="2470"/>
      <c r="BC282" s="2467"/>
      <c r="BD282" s="2467"/>
      <c r="BF282" s="2469"/>
      <c r="BH282" s="2467"/>
      <c r="BN282" s="2470"/>
      <c r="BR282" s="2474"/>
      <c r="BS282" s="2474"/>
      <c r="BU282" s="2475"/>
      <c r="BW282" s="2474"/>
      <c r="BZ282" s="2474"/>
      <c r="CA282" s="2470"/>
      <c r="CE282" s="2474"/>
      <c r="CF282" s="2476"/>
      <c r="CG282" s="2474"/>
      <c r="CH282" s="2449" t="s">
        <v>1217</v>
      </c>
      <c r="CI282" s="2449"/>
      <c r="CJ282" s="2450"/>
      <c r="CK282" s="2450"/>
      <c r="CP282" s="2478">
        <f t="shared" si="148"/>
        <v>0</v>
      </c>
      <c r="CQ282" s="2478"/>
      <c r="CR282" s="2478"/>
      <c r="CS282" s="2478"/>
      <c r="CT282" s="2478"/>
    </row>
    <row r="283" spans="1:98" hidden="1" x14ac:dyDescent="0.2">
      <c r="I283" s="2470"/>
      <c r="M283" s="2467"/>
      <c r="N283" s="2467"/>
      <c r="P283" s="2469"/>
      <c r="V283" s="2470"/>
      <c r="Z283" s="2467"/>
      <c r="AA283" s="2467"/>
      <c r="AC283" s="2469"/>
      <c r="AI283" s="2470"/>
      <c r="AM283" s="2467"/>
      <c r="AN283" s="2467"/>
      <c r="AP283" s="2469"/>
      <c r="AS283" s="2466"/>
      <c r="AT283" s="2466"/>
      <c r="AY283" s="2470"/>
      <c r="BC283" s="2467"/>
      <c r="BD283" s="2467"/>
      <c r="BF283" s="2469"/>
      <c r="BH283" s="2467"/>
      <c r="BN283" s="2470"/>
      <c r="BR283" s="2474"/>
      <c r="BS283" s="2474"/>
      <c r="BU283" s="2475"/>
      <c r="BW283" s="2474"/>
      <c r="BZ283" s="2474"/>
      <c r="CA283" s="2470"/>
      <c r="CE283" s="2474"/>
      <c r="CF283" s="2476"/>
      <c r="CG283" s="2474"/>
      <c r="CH283" s="2449" t="s">
        <v>1091</v>
      </c>
      <c r="CI283" s="2449"/>
      <c r="CJ283" s="2450"/>
      <c r="CK283" s="2450"/>
      <c r="CP283" s="2478">
        <f t="shared" si="148"/>
        <v>0</v>
      </c>
      <c r="CQ283" s="2478"/>
      <c r="CR283" s="2478"/>
      <c r="CS283" s="2478"/>
      <c r="CT283" s="2478"/>
    </row>
    <row r="284" spans="1:98" hidden="1" x14ac:dyDescent="0.2">
      <c r="AS284" s="2466"/>
      <c r="AT284" s="2466"/>
      <c r="BZ284" s="2564">
        <f>SUM(BZ282:BZ283)</f>
        <v>0</v>
      </c>
      <c r="CA284" s="2564">
        <f>SUM(CA282:CA283)</f>
        <v>0</v>
      </c>
      <c r="CB284" s="2564">
        <f>SUM(CB282:CB283)</f>
        <v>0</v>
      </c>
      <c r="CC284" s="2565"/>
      <c r="CE284" s="2564">
        <f>SUM(CE282:CE283)</f>
        <v>0</v>
      </c>
      <c r="CF284" s="2565"/>
      <c r="CG284" s="2564">
        <f>SUM(CG282:CG283)</f>
        <v>0</v>
      </c>
      <c r="CH284" s="2449" t="s">
        <v>1091</v>
      </c>
      <c r="CI284" s="2449"/>
      <c r="CJ284" s="2450"/>
      <c r="CK284" s="2450"/>
      <c r="CP284" s="2478">
        <f t="shared" si="148"/>
        <v>0</v>
      </c>
      <c r="CQ284" s="2478"/>
      <c r="CR284" s="2478"/>
      <c r="CS284" s="2478"/>
      <c r="CT284" s="2478"/>
    </row>
    <row r="285" spans="1:98" hidden="1" x14ac:dyDescent="0.2">
      <c r="AS285" s="2466"/>
      <c r="AT285" s="2466"/>
      <c r="BZ285" s="2472"/>
      <c r="CH285" s="2449" t="s">
        <v>1091</v>
      </c>
      <c r="CI285" s="2449"/>
      <c r="CJ285" s="2450"/>
      <c r="CK285" s="2450"/>
      <c r="CP285" s="2478">
        <f t="shared" si="148"/>
        <v>0</v>
      </c>
      <c r="CQ285" s="2478"/>
      <c r="CR285" s="2478"/>
      <c r="CS285" s="2478"/>
      <c r="CT285" s="2478"/>
    </row>
    <row r="286" spans="1:98" s="2485" customFormat="1" hidden="1" x14ac:dyDescent="0.2">
      <c r="A286" s="2532"/>
      <c r="B286" s="2533"/>
      <c r="C286" s="2534"/>
      <c r="D286" s="2534"/>
      <c r="E286" s="2535"/>
      <c r="F286" s="2533"/>
      <c r="G286" s="2533" t="s">
        <v>1593</v>
      </c>
      <c r="H286" s="2536">
        <f t="shared" ref="H286" si="163">SUM(H278:H279)</f>
        <v>6914</v>
      </c>
      <c r="I286" s="2536">
        <f>SUM(I278:I279)</f>
        <v>104</v>
      </c>
      <c r="J286" s="2536">
        <f>SUM(J278:J279)</f>
        <v>7018</v>
      </c>
      <c r="K286" s="2484">
        <f>IF(H286=0," ",(J286-H286)/H286)</f>
        <v>1.5041943881978595E-2</v>
      </c>
      <c r="M286" s="2536">
        <f>SUM(M278:M279)</f>
        <v>1712</v>
      </c>
      <c r="N286" s="2536">
        <f>SUM(N278:N279)</f>
        <v>1712</v>
      </c>
      <c r="P286" s="2537">
        <f>SUM(P278:P279)</f>
        <v>0</v>
      </c>
      <c r="R286" s="2536">
        <f>SUM(R278:R279)</f>
        <v>1712</v>
      </c>
      <c r="S286" s="2536">
        <f>SUM(S278:S279)</f>
        <v>990.18999999999994</v>
      </c>
      <c r="U286" s="2536">
        <f>SUM(U278:U279)</f>
        <v>1712</v>
      </c>
      <c r="V286" s="2536">
        <f>SUM(V278:V279)</f>
        <v>0</v>
      </c>
      <c r="W286" s="2536">
        <f>SUM(W278:W279)</f>
        <v>1712</v>
      </c>
      <c r="X286" s="2484">
        <f>IF(U286=0," ",(W286-U286)/U286)</f>
        <v>0</v>
      </c>
      <c r="Z286" s="2536">
        <f>SUM(Z278:Z279)</f>
        <v>1712</v>
      </c>
      <c r="AA286" s="2536">
        <f>SUM(AA278:AA279)</f>
        <v>1712</v>
      </c>
      <c r="AC286" s="2537"/>
      <c r="AE286" s="2536">
        <f>SUM(AE278:AE279)</f>
        <v>1712</v>
      </c>
      <c r="AF286" s="2538">
        <f>SUM(AF278:AF279)</f>
        <v>2963.12</v>
      </c>
      <c r="AH286" s="2536">
        <v>5</v>
      </c>
      <c r="AI286" s="2536">
        <f>SUM(AI278:AI279)</f>
        <v>0</v>
      </c>
      <c r="AJ286" s="2536">
        <f>SUM(AJ278:AJ279)</f>
        <v>1712</v>
      </c>
      <c r="AK286" s="2484">
        <f>IF(AH286=0," ",(AJ286-AH286)/AH286)</f>
        <v>341.4</v>
      </c>
      <c r="AM286" s="2536">
        <f>SUM(AM278:AM279)</f>
        <v>1712</v>
      </c>
      <c r="AN286" s="2536">
        <f>SUM(AN278:AN279)</f>
        <v>1712</v>
      </c>
      <c r="AP286" s="2537"/>
      <c r="AR286" s="2536">
        <f>SUM(AR278:AR279)</f>
        <v>1712</v>
      </c>
      <c r="AS286" s="2536">
        <f>SUM(AS278:AS279)</f>
        <v>110.42</v>
      </c>
      <c r="AT286" s="2536"/>
      <c r="AU286" s="2536">
        <f>SUM(AU278:AU279)</f>
        <v>1712</v>
      </c>
      <c r="AV286" s="2536">
        <f>SUM(AV278:AV279)</f>
        <v>937.76</v>
      </c>
      <c r="AX286" s="2536">
        <f>SUM(AX278:AX279)</f>
        <v>1712</v>
      </c>
      <c r="AY286" s="2536">
        <f>SUM(AY278:AY279)</f>
        <v>84</v>
      </c>
      <c r="AZ286" s="2536">
        <f>SUM(AZ278:AZ279)</f>
        <v>1796</v>
      </c>
      <c r="BA286" s="2484">
        <f>IF(AX286=0," ",(AZ286-AX286)/AX286)</f>
        <v>4.9065420560747662E-2</v>
      </c>
      <c r="BC286" s="2536">
        <f>SUM(BC278:BC279)</f>
        <v>1796</v>
      </c>
      <c r="BD286" s="2536">
        <f>SUM(BD278:BD279)</f>
        <v>1796</v>
      </c>
      <c r="BF286" s="2537"/>
      <c r="BH286" s="2536">
        <f>SUM(BH278:BH279)</f>
        <v>1796</v>
      </c>
      <c r="BI286" s="2536">
        <f>SUM(BI278:BI279)</f>
        <v>31.18</v>
      </c>
      <c r="BJ286" s="2536"/>
      <c r="BK286" s="2536"/>
      <c r="BM286" s="2536">
        <f>SUM(BM278:BM279)</f>
        <v>1796</v>
      </c>
      <c r="BN286" s="2539">
        <f>SUM(BN278:BN279)</f>
        <v>-41</v>
      </c>
      <c r="BO286" s="2540">
        <f>SUM(BO278:BO279)</f>
        <v>1755</v>
      </c>
      <c r="BP286" s="2490">
        <f>IF(BM286=0," ",(BO286-BM286)/BM286)</f>
        <v>-2.2828507795100223E-2</v>
      </c>
      <c r="BQ286" s="2491"/>
      <c r="BR286" s="2540">
        <f>SUM(BR278:BR279)</f>
        <v>1755</v>
      </c>
      <c r="BS286" s="2540">
        <f>SUM(BS278:BS279)</f>
        <v>1755</v>
      </c>
      <c r="BT286" s="2491"/>
      <c r="BU286" s="2541"/>
      <c r="BV286" s="2491"/>
      <c r="BW286" s="2540">
        <f>SUM(BW278:BW279)</f>
        <v>1755</v>
      </c>
      <c r="BX286" s="2536">
        <f>SUM(BX278:BX279)</f>
        <v>68.149999999999991</v>
      </c>
      <c r="BZ286" s="2540">
        <f>SUM(BZ284)</f>
        <v>0</v>
      </c>
      <c r="CA286" s="2540">
        <f>SUM(CA284)</f>
        <v>0</v>
      </c>
      <c r="CB286" s="2540">
        <f>SUM(CB284)</f>
        <v>0</v>
      </c>
      <c r="CC286" s="2490" t="str">
        <f>IF(BZ286=0," ",(CB286-BZ286)/BZ286)</f>
        <v xml:space="preserve"> </v>
      </c>
      <c r="CD286" s="2491"/>
      <c r="CE286" s="2540">
        <f>SUM(CE284)</f>
        <v>0</v>
      </c>
      <c r="CF286" s="2490" t="str">
        <f>IF(CB286=0," ",(CE286-CB286)/CB286)</f>
        <v xml:space="preserve"> </v>
      </c>
      <c r="CG286" s="2540">
        <f>SUM(CG284)</f>
        <v>0</v>
      </c>
      <c r="CH286" s="2449" t="s">
        <v>1220</v>
      </c>
      <c r="CI286" s="2449"/>
      <c r="CJ286" s="2450"/>
      <c r="CK286" s="2450"/>
      <c r="CL286" s="2451"/>
      <c r="CM286" s="2451"/>
      <c r="CN286" s="2451"/>
      <c r="CO286" s="2477">
        <v>-0.98263919821826284</v>
      </c>
      <c r="CP286" s="2478">
        <f t="shared" si="148"/>
        <v>-1764.82</v>
      </c>
      <c r="CQ286" s="2478"/>
      <c r="CR286" s="2478"/>
      <c r="CS286" s="2478"/>
      <c r="CT286" s="2478"/>
    </row>
    <row r="287" spans="1:98" hidden="1" x14ac:dyDescent="0.2">
      <c r="AS287" s="2466"/>
      <c r="AT287" s="2466"/>
      <c r="BZ287" s="2472"/>
      <c r="CH287" s="2449" t="s">
        <v>1091</v>
      </c>
      <c r="CI287" s="2449"/>
      <c r="CJ287" s="2450"/>
      <c r="CK287" s="2450"/>
      <c r="CP287" s="2478">
        <f t="shared" si="148"/>
        <v>0</v>
      </c>
      <c r="CQ287" s="2478"/>
      <c r="CR287" s="2478"/>
      <c r="CS287" s="2478"/>
      <c r="CT287" s="2478"/>
    </row>
    <row r="288" spans="1:98" hidden="1" x14ac:dyDescent="0.2">
      <c r="A288" s="2395">
        <v>176</v>
      </c>
      <c r="B288" s="2440" t="s">
        <v>1214</v>
      </c>
      <c r="C288" s="2396">
        <v>17605</v>
      </c>
      <c r="D288" s="2396">
        <v>53430</v>
      </c>
      <c r="E288" s="2397" t="s">
        <v>1268</v>
      </c>
      <c r="F288" s="2440" t="s">
        <v>1214</v>
      </c>
      <c r="G288" s="2440" t="s">
        <v>1594</v>
      </c>
      <c r="H288" s="2466">
        <v>76</v>
      </c>
      <c r="I288" s="2470"/>
      <c r="J288" s="2466">
        <f>H288+I288</f>
        <v>76</v>
      </c>
      <c r="K288" s="2468">
        <f>IF(H288=0," ",(J288-H288)/H288)</f>
        <v>0</v>
      </c>
      <c r="M288" s="2467">
        <v>76</v>
      </c>
      <c r="N288" s="2467">
        <v>76</v>
      </c>
      <c r="P288" s="2469" t="s">
        <v>1289</v>
      </c>
      <c r="R288" s="2466">
        <v>76</v>
      </c>
      <c r="S288" s="2466">
        <v>0</v>
      </c>
      <c r="U288" s="2466">
        <v>76</v>
      </c>
      <c r="V288" s="2470">
        <v>0</v>
      </c>
      <c r="W288" s="2466">
        <f>U288+V288</f>
        <v>76</v>
      </c>
      <c r="X288" s="2468">
        <f>IF(U288=0," ",(W288-U288)/U288)</f>
        <v>0</v>
      </c>
      <c r="Z288" s="2467">
        <v>76</v>
      </c>
      <c r="AA288" s="2467">
        <v>76</v>
      </c>
      <c r="AC288" s="2469"/>
      <c r="AE288" s="2466">
        <v>76</v>
      </c>
      <c r="AF288" s="2471">
        <v>0</v>
      </c>
      <c r="AH288" s="2466">
        <v>76</v>
      </c>
      <c r="AI288" s="2470"/>
      <c r="AJ288" s="2466">
        <f>AH288+AI288</f>
        <v>76</v>
      </c>
      <c r="AK288" s="2468">
        <f>IF(AH288=0," ",(AJ288-AH288)/AH288)</f>
        <v>0</v>
      </c>
      <c r="AM288" s="2467">
        <v>76</v>
      </c>
      <c r="AN288" s="2467">
        <v>76</v>
      </c>
      <c r="AP288" s="2469"/>
      <c r="AR288" s="2466">
        <v>76</v>
      </c>
      <c r="AS288" s="2466">
        <v>4</v>
      </c>
      <c r="AT288" s="2466"/>
      <c r="AU288" s="2466">
        <v>76</v>
      </c>
      <c r="AX288" s="2466">
        <v>76</v>
      </c>
      <c r="AY288" s="2470"/>
      <c r="AZ288" s="2466">
        <f>AX288+AY288</f>
        <v>76</v>
      </c>
      <c r="BA288" s="2468">
        <f>IF(AX288=0," ",(AZ288-AX288)/AX288)</f>
        <v>0</v>
      </c>
      <c r="BC288" s="2467">
        <v>76</v>
      </c>
      <c r="BD288" s="2467">
        <v>76</v>
      </c>
      <c r="BF288" s="2469"/>
      <c r="BH288" s="2467">
        <v>76</v>
      </c>
      <c r="BM288" s="2466">
        <v>76</v>
      </c>
      <c r="BN288" s="2470">
        <v>-26</v>
      </c>
      <c r="BO288" s="2472">
        <f>BM288+BN288</f>
        <v>50</v>
      </c>
      <c r="BP288" s="2473">
        <f>IF(BM288=0," ",(BO288-BM288)/BM288)</f>
        <v>-0.34210526315789475</v>
      </c>
      <c r="BR288" s="2474">
        <v>50</v>
      </c>
      <c r="BS288" s="2474">
        <v>50</v>
      </c>
      <c r="BU288" s="2578" t="s">
        <v>1430</v>
      </c>
      <c r="BW288" s="2474">
        <v>50</v>
      </c>
      <c r="BZ288" s="2474">
        <v>50</v>
      </c>
      <c r="CA288" s="2470"/>
      <c r="CB288" s="2472">
        <f>BZ288+CA288</f>
        <v>50</v>
      </c>
      <c r="CC288" s="2473">
        <f>IF(BZ288=0," ",(CB288-BZ288)/BZ288)</f>
        <v>0</v>
      </c>
      <c r="CE288" s="2474">
        <v>50</v>
      </c>
      <c r="CF288" s="2476">
        <f>IF(CB288=0," ",(CE288-CB288)/CB288)</f>
        <v>0</v>
      </c>
      <c r="CG288" s="2474">
        <v>50</v>
      </c>
      <c r="CH288" s="2449" t="s">
        <v>1217</v>
      </c>
      <c r="CI288" s="2449"/>
      <c r="CJ288" s="2450"/>
      <c r="CK288" s="2450"/>
      <c r="CO288" s="2477" t="s">
        <v>1218</v>
      </c>
      <c r="CP288" s="2478">
        <f t="shared" si="148"/>
        <v>-76</v>
      </c>
      <c r="CQ288" s="2478"/>
      <c r="CR288" s="2478"/>
      <c r="CS288" s="2478"/>
      <c r="CT288" s="2478"/>
    </row>
    <row r="289" spans="1:98" hidden="1" x14ac:dyDescent="0.2">
      <c r="A289" s="2395">
        <v>176</v>
      </c>
      <c r="B289" s="2440" t="s">
        <v>1214</v>
      </c>
      <c r="C289" s="2396">
        <v>17605</v>
      </c>
      <c r="D289" s="2396">
        <v>53450</v>
      </c>
      <c r="E289" s="2397" t="s">
        <v>1268</v>
      </c>
      <c r="F289" s="2440" t="s">
        <v>1214</v>
      </c>
      <c r="G289" s="2440" t="s">
        <v>1595</v>
      </c>
      <c r="H289" s="2466">
        <v>489</v>
      </c>
      <c r="I289" s="2470"/>
      <c r="J289" s="2466">
        <f>H289+I289</f>
        <v>489</v>
      </c>
      <c r="K289" s="2468">
        <f>IF(H289=0," ",(J289-H289)/H289)</f>
        <v>0</v>
      </c>
      <c r="M289" s="2467">
        <v>489</v>
      </c>
      <c r="N289" s="2467">
        <v>489</v>
      </c>
      <c r="P289" s="2469"/>
      <c r="R289" s="2466">
        <v>489</v>
      </c>
      <c r="S289" s="2466">
        <v>0</v>
      </c>
      <c r="U289" s="2466">
        <v>489</v>
      </c>
      <c r="V289" s="2470">
        <v>0</v>
      </c>
      <c r="W289" s="2466">
        <f>U289+V289</f>
        <v>489</v>
      </c>
      <c r="X289" s="2468">
        <f>IF(U289=0," ",(W289-U289)/U289)</f>
        <v>0</v>
      </c>
      <c r="Z289" s="2467">
        <v>489</v>
      </c>
      <c r="AA289" s="2467">
        <v>489</v>
      </c>
      <c r="AC289" s="2469"/>
      <c r="AE289" s="2466">
        <v>489</v>
      </c>
      <c r="AF289" s="2471">
        <v>739.13</v>
      </c>
      <c r="AH289" s="2466">
        <v>489</v>
      </c>
      <c r="AI289" s="2470"/>
      <c r="AJ289" s="2466">
        <f>AH289+AI289</f>
        <v>489</v>
      </c>
      <c r="AK289" s="2468">
        <f>IF(AH289=0," ",(AJ289-AH289)/AH289)</f>
        <v>0</v>
      </c>
      <c r="AM289" s="2467">
        <v>489</v>
      </c>
      <c r="AN289" s="2467">
        <v>489</v>
      </c>
      <c r="AP289" s="2469"/>
      <c r="AR289" s="2466">
        <v>489</v>
      </c>
      <c r="AS289" s="2466">
        <v>64.06</v>
      </c>
      <c r="AT289" s="2466"/>
      <c r="AU289" s="2466">
        <v>489</v>
      </c>
      <c r="AX289" s="2466">
        <v>489</v>
      </c>
      <c r="AY289" s="2542">
        <v>77</v>
      </c>
      <c r="AZ289" s="2466">
        <f>AX289+AY289</f>
        <v>566</v>
      </c>
      <c r="BA289" s="2468">
        <f>IF(AX289=0," ",(AZ289-AX289)/AX289)</f>
        <v>0.15746421267893659</v>
      </c>
      <c r="BC289" s="2467">
        <v>566</v>
      </c>
      <c r="BD289" s="2467">
        <v>566</v>
      </c>
      <c r="BF289" s="2469"/>
      <c r="BH289" s="2467">
        <v>566</v>
      </c>
      <c r="BM289" s="2466">
        <v>566</v>
      </c>
      <c r="BN289" s="2470">
        <v>34</v>
      </c>
      <c r="BO289" s="2472">
        <f>BM289+BN289</f>
        <v>600</v>
      </c>
      <c r="BP289" s="2473">
        <f>IF(BM289=0," ",(BO289-BM289)/BM289)</f>
        <v>6.0070671378091869E-2</v>
      </c>
      <c r="BR289" s="2474">
        <v>600</v>
      </c>
      <c r="BS289" s="2474">
        <v>600</v>
      </c>
      <c r="BU289" s="2578" t="s">
        <v>1430</v>
      </c>
      <c r="BW289" s="2474">
        <v>600</v>
      </c>
      <c r="BZ289" s="2474">
        <v>600</v>
      </c>
      <c r="CA289" s="2470"/>
      <c r="CB289" s="2472">
        <f>BZ289+CA289</f>
        <v>600</v>
      </c>
      <c r="CC289" s="2473">
        <f>IF(BZ289=0," ",(CB289-BZ289)/BZ289)</f>
        <v>0</v>
      </c>
      <c r="CE289" s="2474">
        <v>600</v>
      </c>
      <c r="CF289" s="2476">
        <f>IF(CB289=0," ",(CE289-CB289)/CB289)</f>
        <v>0</v>
      </c>
      <c r="CG289" s="2474">
        <v>600</v>
      </c>
      <c r="CH289" s="2449" t="s">
        <v>1217</v>
      </c>
      <c r="CI289" s="2449"/>
      <c r="CJ289" s="2450"/>
      <c r="CK289" s="2450"/>
      <c r="CO289" s="2477" t="s">
        <v>1218</v>
      </c>
      <c r="CP289" s="2478">
        <f t="shared" si="148"/>
        <v>-566</v>
      </c>
      <c r="CQ289" s="2478"/>
      <c r="CR289" s="2478"/>
      <c r="CS289" s="2478"/>
      <c r="CT289" s="2478"/>
    </row>
    <row r="290" spans="1:98" hidden="1" x14ac:dyDescent="0.2">
      <c r="A290" s="2395">
        <v>176</v>
      </c>
      <c r="B290" s="2440" t="s">
        <v>1214</v>
      </c>
      <c r="C290" s="2396">
        <v>17605</v>
      </c>
      <c r="D290" s="2396">
        <v>54200</v>
      </c>
      <c r="E290" s="2397" t="s">
        <v>1268</v>
      </c>
      <c r="F290" s="2440" t="s">
        <v>1214</v>
      </c>
      <c r="G290" s="2440" t="s">
        <v>1596</v>
      </c>
      <c r="H290" s="2466">
        <v>103</v>
      </c>
      <c r="I290" s="2470"/>
      <c r="J290" s="2466">
        <f>H290+I290</f>
        <v>103</v>
      </c>
      <c r="K290" s="2468">
        <f>IF(H290=0," ",(J290-H290)/H290)</f>
        <v>0</v>
      </c>
      <c r="M290" s="2467">
        <v>103</v>
      </c>
      <c r="N290" s="2467">
        <v>103</v>
      </c>
      <c r="P290" s="2469"/>
      <c r="R290" s="2466">
        <v>103</v>
      </c>
      <c r="S290" s="2466">
        <v>553.67999999999995</v>
      </c>
      <c r="U290" s="2466">
        <v>103</v>
      </c>
      <c r="V290" s="2470">
        <v>0</v>
      </c>
      <c r="W290" s="2466">
        <f>U290+V290</f>
        <v>103</v>
      </c>
      <c r="X290" s="2468">
        <f>IF(U290=0," ",(W290-U290)/U290)</f>
        <v>0</v>
      </c>
      <c r="Z290" s="2467">
        <v>103</v>
      </c>
      <c r="AA290" s="2467">
        <v>103</v>
      </c>
      <c r="AC290" s="2469"/>
      <c r="AE290" s="2466">
        <v>103</v>
      </c>
      <c r="AF290" s="2471">
        <v>0</v>
      </c>
      <c r="AH290" s="2466">
        <v>103</v>
      </c>
      <c r="AI290" s="2470"/>
      <c r="AJ290" s="2466">
        <f>AH290+AI290</f>
        <v>103</v>
      </c>
      <c r="AK290" s="2468">
        <f>IF(AH290=0," ",(AJ290-AH290)/AH290)</f>
        <v>0</v>
      </c>
      <c r="AM290" s="2467">
        <v>103</v>
      </c>
      <c r="AN290" s="2467">
        <v>103</v>
      </c>
      <c r="AP290" s="2469"/>
      <c r="AR290" s="2466">
        <v>103</v>
      </c>
      <c r="AS290" s="2466">
        <v>146.26</v>
      </c>
      <c r="AT290" s="2466"/>
      <c r="AU290" s="2466">
        <v>103</v>
      </c>
      <c r="AV290" s="2466">
        <v>130.24</v>
      </c>
      <c r="AX290" s="2466">
        <v>103</v>
      </c>
      <c r="AY290" s="2470"/>
      <c r="AZ290" s="2466">
        <f>AX290+AY290</f>
        <v>103</v>
      </c>
      <c r="BA290" s="2468">
        <f>IF(AX290=0," ",(AZ290-AX290)/AX290)</f>
        <v>0</v>
      </c>
      <c r="BC290" s="2467">
        <v>103</v>
      </c>
      <c r="BD290" s="2467">
        <v>103</v>
      </c>
      <c r="BF290" s="2469"/>
      <c r="BH290" s="2467">
        <v>103</v>
      </c>
      <c r="BM290" s="2466">
        <v>103</v>
      </c>
      <c r="BN290" s="2470">
        <v>-103</v>
      </c>
      <c r="BO290" s="2472">
        <f t="shared" ref="BO290:BO291" si="164">BM290+BN290</f>
        <v>0</v>
      </c>
      <c r="BP290" s="2473">
        <f>IF(BM290=0," ",(BO290-BM290)/BM290)</f>
        <v>-1</v>
      </c>
      <c r="BR290" s="2474">
        <v>0</v>
      </c>
      <c r="BS290" s="2474">
        <v>0</v>
      </c>
      <c r="BU290" s="2578" t="s">
        <v>1430</v>
      </c>
      <c r="BW290" s="2474">
        <v>0</v>
      </c>
      <c r="BZ290" s="2474">
        <v>0</v>
      </c>
      <c r="CA290" s="2470"/>
      <c r="CB290" s="2472">
        <f t="shared" ref="CB290:CB291" si="165">BZ290+CA290</f>
        <v>0</v>
      </c>
      <c r="CC290" s="2473" t="str">
        <f>IF(BZ290=0," ",(CB290-BZ290)/BZ290)</f>
        <v xml:space="preserve"> </v>
      </c>
      <c r="CE290" s="2474">
        <v>0</v>
      </c>
      <c r="CF290" s="2476" t="str">
        <f>IF(CB290=0," ",(CE290-CB290)/CB290)</f>
        <v xml:space="preserve"> </v>
      </c>
      <c r="CG290" s="2474">
        <v>0</v>
      </c>
      <c r="CH290" s="2449" t="s">
        <v>1217</v>
      </c>
      <c r="CI290" s="2449"/>
      <c r="CJ290" s="2450"/>
      <c r="CK290" s="2450"/>
      <c r="CO290" s="2477" t="s">
        <v>1218</v>
      </c>
      <c r="CP290" s="2478">
        <f t="shared" si="148"/>
        <v>-103</v>
      </c>
      <c r="CQ290" s="2478"/>
      <c r="CR290" s="2478"/>
      <c r="CS290" s="2478"/>
      <c r="CT290" s="2478"/>
    </row>
    <row r="291" spans="1:98" hidden="1" x14ac:dyDescent="0.2">
      <c r="A291" s="2395">
        <v>176</v>
      </c>
      <c r="C291" s="2396">
        <v>17605</v>
      </c>
      <c r="D291" s="2396">
        <v>55800</v>
      </c>
      <c r="E291" s="2397" t="s">
        <v>1268</v>
      </c>
      <c r="G291" s="2440" t="s">
        <v>1597</v>
      </c>
      <c r="I291" s="2470"/>
      <c r="M291" s="2467"/>
      <c r="N291" s="2467"/>
      <c r="P291" s="2469"/>
      <c r="V291" s="2470"/>
      <c r="Z291" s="2467"/>
      <c r="AA291" s="2467"/>
      <c r="AC291" s="2469"/>
      <c r="AI291" s="2470"/>
      <c r="AM291" s="2467"/>
      <c r="AN291" s="2467"/>
      <c r="AP291" s="2469"/>
      <c r="AS291" s="2466"/>
      <c r="AT291" s="2466"/>
      <c r="AY291" s="2470"/>
      <c r="BC291" s="2467"/>
      <c r="BD291" s="2467"/>
      <c r="BF291" s="2469"/>
      <c r="BH291" s="2467"/>
      <c r="BN291" s="2470">
        <v>100</v>
      </c>
      <c r="BO291" s="2472">
        <f t="shared" si="164"/>
        <v>100</v>
      </c>
      <c r="BR291" s="2474">
        <v>100</v>
      </c>
      <c r="BS291" s="2474">
        <v>100</v>
      </c>
      <c r="BU291" s="2578" t="s">
        <v>1430</v>
      </c>
      <c r="BW291" s="2474">
        <v>100</v>
      </c>
      <c r="BZ291" s="2474">
        <v>100</v>
      </c>
      <c r="CA291" s="2470"/>
      <c r="CB291" s="2472">
        <f t="shared" si="165"/>
        <v>100</v>
      </c>
      <c r="CE291" s="2474">
        <v>100</v>
      </c>
      <c r="CF291" s="2476"/>
      <c r="CG291" s="2474">
        <v>100</v>
      </c>
      <c r="CH291" s="2449" t="s">
        <v>1217</v>
      </c>
      <c r="CI291" s="2449"/>
      <c r="CJ291" s="2450"/>
      <c r="CK291" s="2450"/>
      <c r="CP291" s="2478">
        <f t="shared" si="148"/>
        <v>0</v>
      </c>
      <c r="CQ291" s="2478"/>
      <c r="CR291" s="2478"/>
      <c r="CS291" s="2478"/>
      <c r="CT291" s="2478"/>
    </row>
    <row r="292" spans="1:98" hidden="1" x14ac:dyDescent="0.2">
      <c r="A292" s="2395">
        <v>176</v>
      </c>
      <c r="B292" s="2440" t="s">
        <v>1214</v>
      </c>
      <c r="C292" s="2396">
        <v>17605</v>
      </c>
      <c r="D292" s="2396">
        <v>57300</v>
      </c>
      <c r="E292" s="2397" t="s">
        <v>1268</v>
      </c>
      <c r="F292" s="2440" t="s">
        <v>1214</v>
      </c>
      <c r="G292" s="2440" t="s">
        <v>1598</v>
      </c>
      <c r="H292" s="2466">
        <v>77</v>
      </c>
      <c r="I292" s="2470"/>
      <c r="J292" s="2466">
        <f>H292+I292</f>
        <v>77</v>
      </c>
      <c r="K292" s="2468">
        <f>IF(H292=0," ",(J292-H292)/H292)</f>
        <v>0</v>
      </c>
      <c r="M292" s="2467">
        <v>77</v>
      </c>
      <c r="N292" s="2467">
        <v>77</v>
      </c>
      <c r="P292" s="2469"/>
      <c r="R292" s="2466">
        <v>77</v>
      </c>
      <c r="S292" s="2466">
        <v>0</v>
      </c>
      <c r="U292" s="2466">
        <v>77</v>
      </c>
      <c r="V292" s="2470">
        <v>0</v>
      </c>
      <c r="W292" s="2466">
        <f>U292+V292</f>
        <v>77</v>
      </c>
      <c r="X292" s="2468">
        <f>IF(U292=0," ",(W292-U292)/U292)</f>
        <v>0</v>
      </c>
      <c r="Z292" s="2467">
        <v>77</v>
      </c>
      <c r="AA292" s="2467">
        <v>77</v>
      </c>
      <c r="AC292" s="2469"/>
      <c r="AE292" s="2466">
        <v>77</v>
      </c>
      <c r="AF292" s="2471">
        <v>0</v>
      </c>
      <c r="AH292" s="2466">
        <v>77</v>
      </c>
      <c r="AI292" s="2470"/>
      <c r="AJ292" s="2466">
        <f>AH292+AI292</f>
        <v>77</v>
      </c>
      <c r="AK292" s="2468">
        <f>IF(AH292=0," ",(AJ292-AH292)/AH292)</f>
        <v>0</v>
      </c>
      <c r="AM292" s="2467">
        <v>77</v>
      </c>
      <c r="AN292" s="2467">
        <v>77</v>
      </c>
      <c r="AP292" s="2469"/>
      <c r="AR292" s="2466">
        <v>77</v>
      </c>
      <c r="AS292" s="2466">
        <v>0</v>
      </c>
      <c r="AT292" s="2466"/>
      <c r="AU292" s="2466">
        <v>77</v>
      </c>
      <c r="AX292" s="2466">
        <v>77</v>
      </c>
      <c r="AY292" s="2542">
        <v>-77</v>
      </c>
      <c r="AZ292" s="2466">
        <f>AX292+AY292</f>
        <v>0</v>
      </c>
      <c r="BA292" s="2468">
        <f>IF(AX292=0," ",(AZ292-AX292)/AX292)</f>
        <v>-1</v>
      </c>
      <c r="BC292" s="2467">
        <v>0</v>
      </c>
      <c r="BD292" s="2467">
        <v>0</v>
      </c>
      <c r="BF292" s="2469"/>
      <c r="BH292" s="2467">
        <v>0</v>
      </c>
      <c r="BM292" s="2466">
        <v>0</v>
      </c>
      <c r="BN292" s="2470"/>
      <c r="BO292" s="2472">
        <f>BM292+BN292</f>
        <v>0</v>
      </c>
      <c r="BP292" s="2473" t="str">
        <f>IF(BM292=0," ",(BO292-BM292)/BM292)</f>
        <v xml:space="preserve"> </v>
      </c>
      <c r="BR292" s="2474">
        <v>0</v>
      </c>
      <c r="BS292" s="2474">
        <v>0</v>
      </c>
      <c r="BU292" s="2603" t="s">
        <v>1588</v>
      </c>
      <c r="BW292" s="2474">
        <v>0</v>
      </c>
      <c r="BZ292" s="2474">
        <v>0</v>
      </c>
      <c r="CA292" s="2470"/>
      <c r="CB292" s="2472">
        <f>BZ292+CA292</f>
        <v>0</v>
      </c>
      <c r="CC292" s="2473" t="str">
        <f>IF(BZ292=0," ",(CB292-BZ292)/BZ292)</f>
        <v xml:space="preserve"> </v>
      </c>
      <c r="CE292" s="2474">
        <v>0</v>
      </c>
      <c r="CF292" s="2476" t="str">
        <f>IF(CB292=0," ",(CE292-CB292)/CB292)</f>
        <v xml:space="preserve"> </v>
      </c>
      <c r="CG292" s="2474">
        <v>0</v>
      </c>
      <c r="CH292" s="2449" t="s">
        <v>1217</v>
      </c>
      <c r="CI292" s="2449"/>
      <c r="CJ292" s="2450"/>
      <c r="CK292" s="2450"/>
      <c r="CP292" s="2478">
        <f t="shared" si="148"/>
        <v>0</v>
      </c>
      <c r="CQ292" s="2478"/>
      <c r="CR292" s="2478"/>
      <c r="CS292" s="2478"/>
      <c r="CT292" s="2478"/>
    </row>
    <row r="293" spans="1:98" s="2485" customFormat="1" hidden="1" x14ac:dyDescent="0.2">
      <c r="A293" s="2532"/>
      <c r="B293" s="2533"/>
      <c r="C293" s="2534"/>
      <c r="D293" s="2534"/>
      <c r="E293" s="2535"/>
      <c r="F293" s="2533"/>
      <c r="G293" s="2533" t="s">
        <v>1599</v>
      </c>
      <c r="H293" s="2536">
        <f t="shared" ref="H293" si="166">SUM(H288:H292)</f>
        <v>745</v>
      </c>
      <c r="I293" s="2536">
        <f>SUM(I288:I292)</f>
        <v>0</v>
      </c>
      <c r="J293" s="2536">
        <f>SUM(J288:J292)</f>
        <v>745</v>
      </c>
      <c r="K293" s="2484">
        <f>IF(H293=0," ",(J293-H293)/H293)</f>
        <v>0</v>
      </c>
      <c r="M293" s="2536">
        <f>SUM(M288:M292)</f>
        <v>745</v>
      </c>
      <c r="N293" s="2536">
        <f>SUM(N288:N292)</f>
        <v>745</v>
      </c>
      <c r="P293" s="2537">
        <f>SUM(P288:P292)</f>
        <v>0</v>
      </c>
      <c r="R293" s="2536">
        <f>SUM(R288:R292)</f>
        <v>745</v>
      </c>
      <c r="S293" s="2536">
        <f>SUM(S288:S292)</f>
        <v>553.67999999999995</v>
      </c>
      <c r="U293" s="2536">
        <f>SUM(U288:U292)</f>
        <v>745</v>
      </c>
      <c r="V293" s="2536">
        <f>SUM(V288:V292)</f>
        <v>0</v>
      </c>
      <c r="W293" s="2536">
        <f>SUM(W288:W292)</f>
        <v>745</v>
      </c>
      <c r="X293" s="2484">
        <f>IF(U293=0," ",(W293-U293)/U293)</f>
        <v>0</v>
      </c>
      <c r="Z293" s="2536">
        <f>SUM(Z288:Z292)</f>
        <v>745</v>
      </c>
      <c r="AA293" s="2536">
        <f>SUM(AA288:AA292)</f>
        <v>745</v>
      </c>
      <c r="AC293" s="2537"/>
      <c r="AE293" s="2536">
        <f>SUM(AE288:AE292)</f>
        <v>745</v>
      </c>
      <c r="AF293" s="2538">
        <f>SUM(AF288:AF292)</f>
        <v>739.13</v>
      </c>
      <c r="AH293" s="2536">
        <v>745</v>
      </c>
      <c r="AI293" s="2536">
        <f>SUM(AI288:AI292)</f>
        <v>0</v>
      </c>
      <c r="AJ293" s="2536">
        <f>SUM(AJ288:AJ292)</f>
        <v>745</v>
      </c>
      <c r="AK293" s="2484">
        <f>IF(AH293=0," ",(AJ293-AH293)/AH293)</f>
        <v>0</v>
      </c>
      <c r="AM293" s="2536">
        <f>SUM(AM288:AM292)</f>
        <v>745</v>
      </c>
      <c r="AN293" s="2536">
        <f>SUM(AN288:AN292)</f>
        <v>745</v>
      </c>
      <c r="AP293" s="2537"/>
      <c r="AR293" s="2536">
        <f>SUM(AR288:AR292)</f>
        <v>745</v>
      </c>
      <c r="AS293" s="2536">
        <f>SUM(AS288:AS292)</f>
        <v>214.32</v>
      </c>
      <c r="AT293" s="2536"/>
      <c r="AU293" s="2536">
        <f>SUM(AU288:AU292)</f>
        <v>745</v>
      </c>
      <c r="AV293" s="2536">
        <f>SUM(AV288:AV292)</f>
        <v>130.24</v>
      </c>
      <c r="AX293" s="2536">
        <f>SUM(AX288:AX292)</f>
        <v>745</v>
      </c>
      <c r="AY293" s="2536">
        <f>SUM(AY288:AY292)</f>
        <v>0</v>
      </c>
      <c r="AZ293" s="2536">
        <f>SUM(AZ288:AZ292)</f>
        <v>745</v>
      </c>
      <c r="BA293" s="2484">
        <f>IF(AX293=0," ",(AZ293-AX293)/AX293)</f>
        <v>0</v>
      </c>
      <c r="BC293" s="2536">
        <f>SUM(BC288:BC292)</f>
        <v>745</v>
      </c>
      <c r="BD293" s="2536">
        <f>SUM(BD288:BD292)</f>
        <v>745</v>
      </c>
      <c r="BF293" s="2537"/>
      <c r="BH293" s="2536">
        <f>SUM(BH288:BH292)</f>
        <v>745</v>
      </c>
      <c r="BI293" s="2536">
        <f>SUM(BI288:BI292)</f>
        <v>0</v>
      </c>
      <c r="BJ293" s="2536"/>
      <c r="BK293" s="2536"/>
      <c r="BM293" s="2536">
        <f>SUM(BM288:BM292)</f>
        <v>745</v>
      </c>
      <c r="BN293" s="2539">
        <f>SUM(BN288:BN292)</f>
        <v>5</v>
      </c>
      <c r="BO293" s="2540">
        <f>SUM(BO288:BO292)</f>
        <v>750</v>
      </c>
      <c r="BP293" s="2490">
        <f>IF(BM293=0," ",(BO293-BM293)/BM293)</f>
        <v>6.7114093959731542E-3</v>
      </c>
      <c r="BQ293" s="2491"/>
      <c r="BR293" s="2540">
        <f>SUM(BR288:BR292)</f>
        <v>750</v>
      </c>
      <c r="BS293" s="2540">
        <f>SUM(BS288:BS292)</f>
        <v>750</v>
      </c>
      <c r="BT293" s="2491"/>
      <c r="BU293" s="2541"/>
      <c r="BV293" s="2491"/>
      <c r="BW293" s="2540">
        <f>SUM(BW288:BW292)</f>
        <v>750</v>
      </c>
      <c r="BX293" s="2536">
        <f>SUM(BX288:BX292)</f>
        <v>0</v>
      </c>
      <c r="BZ293" s="2540">
        <f>SUM(BZ288:BZ292)</f>
        <v>750</v>
      </c>
      <c r="CA293" s="2540">
        <f>SUM(CA288:CA292)</f>
        <v>0</v>
      </c>
      <c r="CB293" s="2540">
        <f>SUM(CB288:CB292)</f>
        <v>750</v>
      </c>
      <c r="CC293" s="2490">
        <f>IF(BZ293=0," ",(CB293-BZ293)/BZ293)</f>
        <v>0</v>
      </c>
      <c r="CD293" s="2491"/>
      <c r="CE293" s="2540">
        <f>SUM(CE288:CE292)</f>
        <v>750</v>
      </c>
      <c r="CF293" s="2490">
        <f>IF(CB293=0," ",(CE293-CB293)/CB293)</f>
        <v>0</v>
      </c>
      <c r="CG293" s="2540">
        <f>SUM(CG288:CG292)</f>
        <v>750</v>
      </c>
      <c r="CH293" s="2449" t="s">
        <v>1220</v>
      </c>
      <c r="CI293" s="2449"/>
      <c r="CJ293" s="2450"/>
      <c r="CK293" s="2450"/>
      <c r="CL293" s="2451"/>
      <c r="CM293" s="2451"/>
      <c r="CN293" s="2451"/>
      <c r="CO293" s="2477" t="s">
        <v>1218</v>
      </c>
      <c r="CP293" s="2478">
        <f t="shared" si="148"/>
        <v>-745</v>
      </c>
      <c r="CQ293" s="2478"/>
      <c r="CR293" s="2478"/>
      <c r="CS293" s="2478"/>
      <c r="CT293" s="2478"/>
    </row>
    <row r="294" spans="1:98" ht="9.9499999999999993" hidden="1" customHeight="1" x14ac:dyDescent="0.2">
      <c r="AS294" s="2466"/>
      <c r="AT294" s="2466"/>
      <c r="BZ294" s="2472"/>
      <c r="CH294" s="2449" t="s">
        <v>1091</v>
      </c>
      <c r="CI294" s="2449"/>
      <c r="CJ294" s="2450"/>
      <c r="CK294" s="2450"/>
      <c r="CP294" s="2478">
        <f t="shared" si="148"/>
        <v>0</v>
      </c>
      <c r="CQ294" s="2478"/>
      <c r="CR294" s="2478"/>
      <c r="CS294" s="2478"/>
      <c r="CT294" s="2478"/>
    </row>
    <row r="295" spans="1:98" x14ac:dyDescent="0.2">
      <c r="A295" s="2495"/>
      <c r="B295" s="2496"/>
      <c r="C295" s="2497"/>
      <c r="D295" s="2497"/>
      <c r="E295" s="2498"/>
      <c r="F295" s="2496"/>
      <c r="G295" s="2499" t="s">
        <v>1600</v>
      </c>
      <c r="H295" s="2500">
        <f>H293</f>
        <v>745</v>
      </c>
      <c r="I295" s="2500">
        <f>I293</f>
        <v>0</v>
      </c>
      <c r="J295" s="2500">
        <f>J293</f>
        <v>745</v>
      </c>
      <c r="K295" s="2501">
        <f>IF(H295=0," ",(J295-H295)/H295)</f>
        <v>0</v>
      </c>
      <c r="M295" s="2500">
        <f>M293</f>
        <v>745</v>
      </c>
      <c r="N295" s="2500">
        <f>N293</f>
        <v>745</v>
      </c>
      <c r="P295" s="2502">
        <f>P293</f>
        <v>0</v>
      </c>
      <c r="R295" s="2500">
        <f>R293</f>
        <v>745</v>
      </c>
      <c r="S295" s="2500">
        <f>S293</f>
        <v>553.67999999999995</v>
      </c>
      <c r="U295" s="2500">
        <f>U293</f>
        <v>745</v>
      </c>
      <c r="V295" s="2500">
        <f>V293</f>
        <v>0</v>
      </c>
      <c r="W295" s="2500">
        <f>W293</f>
        <v>745</v>
      </c>
      <c r="X295" s="2501">
        <f>IF(U295=0," ",(W295-U295)/U295)</f>
        <v>0</v>
      </c>
      <c r="Z295" s="2500">
        <f>Z293</f>
        <v>745</v>
      </c>
      <c r="AA295" s="2500">
        <f>AA293</f>
        <v>745</v>
      </c>
      <c r="AC295" s="2502"/>
      <c r="AE295" s="2500">
        <f>AE293</f>
        <v>745</v>
      </c>
      <c r="AF295" s="2503">
        <f>AF293</f>
        <v>739.13</v>
      </c>
      <c r="AH295" s="2500">
        <v>745</v>
      </c>
      <c r="AI295" s="2500">
        <f>AI293</f>
        <v>0</v>
      </c>
      <c r="AJ295" s="2500">
        <f>AJ293</f>
        <v>745</v>
      </c>
      <c r="AK295" s="2501">
        <f>IF(AH295=0," ",(AJ295-AH295)/AH295)</f>
        <v>0</v>
      </c>
      <c r="AM295" s="2500">
        <f>AM293</f>
        <v>745</v>
      </c>
      <c r="AN295" s="2500">
        <f>AN293</f>
        <v>745</v>
      </c>
      <c r="AP295" s="2502"/>
      <c r="AR295" s="2500">
        <f>AR293</f>
        <v>745</v>
      </c>
      <c r="AS295" s="2500">
        <f>AS293</f>
        <v>214.32</v>
      </c>
      <c r="AT295" s="2500"/>
      <c r="AU295" s="2500">
        <f>AU293</f>
        <v>745</v>
      </c>
      <c r="AV295" s="2500">
        <f>AV293</f>
        <v>130.24</v>
      </c>
      <c r="AX295" s="2500">
        <f>AX293</f>
        <v>745</v>
      </c>
      <c r="AY295" s="2500">
        <f>AY293</f>
        <v>0</v>
      </c>
      <c r="AZ295" s="2500">
        <f>AZ293</f>
        <v>745</v>
      </c>
      <c r="BA295" s="2501">
        <f>IF(AX295=0," ",(AZ295-AX295)/AX295)</f>
        <v>0</v>
      </c>
      <c r="BC295" s="2500">
        <f>BC293</f>
        <v>745</v>
      </c>
      <c r="BD295" s="2500">
        <f>BD293</f>
        <v>745</v>
      </c>
      <c r="BF295" s="2502"/>
      <c r="BH295" s="2500">
        <f>BH293</f>
        <v>745</v>
      </c>
      <c r="BI295" s="2500">
        <f>BI293</f>
        <v>0</v>
      </c>
      <c r="BJ295" s="2500"/>
      <c r="BK295" s="2500"/>
      <c r="BM295" s="2500">
        <f>BM293</f>
        <v>745</v>
      </c>
      <c r="BN295" s="2504">
        <f>BN293</f>
        <v>5</v>
      </c>
      <c r="BO295" s="2505">
        <f>BO293</f>
        <v>750</v>
      </c>
      <c r="BP295" s="2506">
        <f>IF(BM295=0," ",(BO295-BM295)/BM295)</f>
        <v>6.7114093959731542E-3</v>
      </c>
      <c r="BR295" s="2505">
        <f>BR293</f>
        <v>750</v>
      </c>
      <c r="BS295" s="2505">
        <f>BS293</f>
        <v>750</v>
      </c>
      <c r="BU295" s="2507"/>
      <c r="BW295" s="2505">
        <f>BW293</f>
        <v>750</v>
      </c>
      <c r="BX295" s="2500">
        <f>BX293</f>
        <v>0</v>
      </c>
      <c r="BZ295" s="2505">
        <f>BZ286+BZ293</f>
        <v>750</v>
      </c>
      <c r="CA295" s="2505">
        <f>CA286+CA293</f>
        <v>0</v>
      </c>
      <c r="CB295" s="2505">
        <f>CB286+CB293</f>
        <v>750</v>
      </c>
      <c r="CC295" s="2506">
        <f>IF(BZ295=0," ",(CB295-BZ295)/BZ295)</f>
        <v>0</v>
      </c>
      <c r="CE295" s="2505">
        <f>CE286+CE293</f>
        <v>750</v>
      </c>
      <c r="CF295" s="2506">
        <f>IF(CB295=0," ",(CE295-CB295)/CB295)</f>
        <v>0</v>
      </c>
      <c r="CG295" s="2505">
        <f>CG286+CG293</f>
        <v>750</v>
      </c>
      <c r="CH295" s="2449" t="s">
        <v>1222</v>
      </c>
      <c r="CI295" s="2508" t="str">
        <f>IF(CG295-CE295=0,"",CG295-CE295)</f>
        <v/>
      </c>
      <c r="CJ295" s="2509"/>
      <c r="CK295" s="2509"/>
      <c r="CL295" s="2451" t="str">
        <f>IF(CO295&lt;-1*CM$2,"examine","ignore")</f>
        <v>ignore</v>
      </c>
      <c r="CM295" s="2545" t="str">
        <f>IF(CL295="examine",CP295+CM$2*CP295/CO295,"")</f>
        <v/>
      </c>
      <c r="CN295" s="2545"/>
      <c r="CO295" s="2477" t="s">
        <v>1218</v>
      </c>
      <c r="CP295" s="2510">
        <f t="shared" si="148"/>
        <v>-745</v>
      </c>
      <c r="CQ295" s="2510">
        <f>AV295-AU295</f>
        <v>-614.76</v>
      </c>
      <c r="CR295" s="2510">
        <f>AS295-AR295</f>
        <v>-530.68000000000006</v>
      </c>
      <c r="CS295" s="2510">
        <f>AF295-AE295</f>
        <v>-5.8700000000000045</v>
      </c>
    </row>
    <row r="296" spans="1:98" ht="20.100000000000001" hidden="1" customHeight="1" x14ac:dyDescent="0.2">
      <c r="AS296" s="2466"/>
      <c r="AT296" s="2466"/>
      <c r="BZ296" s="2472"/>
      <c r="CH296" s="2449" t="s">
        <v>1091</v>
      </c>
      <c r="CI296" s="2449"/>
      <c r="CJ296" s="2450"/>
      <c r="CK296" s="2450"/>
      <c r="CP296" s="2478">
        <f t="shared" si="148"/>
        <v>0</v>
      </c>
      <c r="CQ296" s="2478"/>
      <c r="CR296" s="2478"/>
      <c r="CS296" s="2478"/>
      <c r="CT296" s="2478"/>
    </row>
    <row r="297" spans="1:98" ht="20.100000000000001" hidden="1" customHeight="1" x14ac:dyDescent="0.2">
      <c r="A297" s="2604" t="s">
        <v>1601</v>
      </c>
      <c r="B297" s="2435"/>
      <c r="C297" s="2436"/>
      <c r="D297" s="2436"/>
      <c r="E297" s="2437"/>
      <c r="F297" s="2435"/>
      <c r="G297" s="2435"/>
      <c r="H297" s="2438">
        <f>H295+H279+H257+H244+H238+H204+H188+H182+H148+H119+H90+H68+H53+H42+H9</f>
        <v>1252982</v>
      </c>
      <c r="I297" s="2438">
        <f>I295+I279+I257+I244+I238+I204+I188+I182+I148+I119+I90+I68+I53+I42+I9</f>
        <v>80190.080000000002</v>
      </c>
      <c r="J297" s="2438">
        <f>J295+J279+J257+J244+J238+J204+J188+J182+J148+J119+J90+J68+J53+J42+J9</f>
        <v>1333172.08</v>
      </c>
      <c r="K297" s="2439">
        <f>IF(H297=0," ",(J297-H297)/H297)</f>
        <v>6.3999387062224411E-2</v>
      </c>
      <c r="M297" s="2438">
        <f>M295+M279+M257+M244+M238+M204+M188+M182+M148+M119+M90+M68+M53+M42+M9</f>
        <v>1421760</v>
      </c>
      <c r="N297" s="2438">
        <f>N295+N279+N257+N244+N238+N204+N188+N182+N148+N119+N90+N68+N53+N42+N9</f>
        <v>1421760</v>
      </c>
      <c r="P297" s="2441">
        <f>P295+P279+P257+P244+P238+P204+P188+P182+P148+P119+P90+P68+P53+P42+P9</f>
        <v>0</v>
      </c>
      <c r="R297" s="2438">
        <f>R295+R279+R257+R244+R238+R204+R188+R182+R148+R119+R90+R68+R53+R42+R9</f>
        <v>1421760</v>
      </c>
      <c r="S297" s="2438">
        <f>S295+S279+S257+S244+S238+S204+S188+S182+S148+S119+S90+S68+S53+S42+S9</f>
        <v>1299955.8800000001</v>
      </c>
      <c r="U297" s="2438">
        <f>U295+U279+U257+U244+U238+U204+U188+U182+U148+U119+U90+U68+U53+U42+U9</f>
        <v>1426340</v>
      </c>
      <c r="V297" s="2438">
        <f>V295+V279+V257+V244+V238+V204+V188+V182+V148+V119+V90+V68+V53+V42+V9</f>
        <v>38946</v>
      </c>
      <c r="W297" s="2438">
        <f>W295+W279+W257+W244+W238+W204+W188+W182+W148+W119+W90+W68+W53+W42+W9</f>
        <v>1465286</v>
      </c>
      <c r="X297" s="2439">
        <f>IF(U297=0," ",(W297-U297)/U297)</f>
        <v>2.7304850175974872E-2</v>
      </c>
      <c r="Z297" s="2438">
        <f>Z295+Z279+Z257+Z244+Z238+Z204+Z188+Z182+Z148+Z119+Z90+Z68+Z53+Z42+Z9</f>
        <v>1465286</v>
      </c>
      <c r="AA297" s="2438">
        <f>AA295+AA279+AA257+AA244+AA238+AA204+AA188+AA182+AA148+AA119+AA90+AA68+AA53+AA42+AA9</f>
        <v>1485186</v>
      </c>
      <c r="AC297" s="2441"/>
      <c r="AE297" s="2438">
        <f>AE295+AE279+AE257+AE244+AE238+AE204+AE188+AE182+AE148+AE119+AE90+AE68+AE53+AE42+AE9</f>
        <v>1485186</v>
      </c>
      <c r="AF297" s="2442">
        <f>AF295+AF279+AF257+AF244+AF238+AF204+AF188+AF182+AF148+AF119+AF90+AF68+AF53+AF42+AF9</f>
        <v>1511738.73</v>
      </c>
      <c r="AH297" s="2438">
        <v>1485270</v>
      </c>
      <c r="AI297" s="2438">
        <f>AI295+AI279+AI257+AI244+AI238+AI204+AI188+AI182+AI148+AI119+AI90+AI68+AI53+AI42+AI9</f>
        <v>48274</v>
      </c>
      <c r="AJ297" s="2438">
        <f>AJ295+AJ279+AJ257+AJ244+AJ238+AJ204+AJ188+AJ182+AJ148+AJ119+AJ90+AJ68+AJ53+AJ42+AJ9</f>
        <v>1529481.58</v>
      </c>
      <c r="AK297" s="2439">
        <f>IF(AH297=0," ",(AJ297-AH297)/AH297)</f>
        <v>2.9766695617631862E-2</v>
      </c>
      <c r="AM297" s="2438">
        <f>AM295+AM279+AM257+AM244+AM238+AM204+AM188+AM182+AM148+AM119+AM90+AM68+AM53+AM42+AM9</f>
        <v>1638795</v>
      </c>
      <c r="AN297" s="2438">
        <f>AN295+AN279+AN257+AN244+AN238+AN204+AN188+AN182+AN148+AN119+AN90+AN68+AN53+AN42+AN9</f>
        <v>1638795</v>
      </c>
      <c r="AP297" s="2441"/>
      <c r="AR297" s="2438">
        <f>AR295+AR279+AR257+AR244+AR238+AR204+AR188+AR182+AR148+AR119+AR90+AR68+AR53+AR42+AR9</f>
        <v>1648375</v>
      </c>
      <c r="AS297" s="2438">
        <f>AS295+AS279+AS257+AS244+AS238+AS204+AS188+AS182+AS148+AS119+AS90+AS68+AS53+AS42+AS9</f>
        <v>1428803.55</v>
      </c>
      <c r="AT297" s="2438"/>
      <c r="AU297" s="2438">
        <f>AU295+AU279+AU257+AU244+AU238+AU204+AU188+AU182+AU148+AU119+AU90+AU68+AU53+AU42+AU9</f>
        <v>1664170</v>
      </c>
      <c r="AV297" s="2438">
        <f>AV295+AV279+AV257+AV244+AV238+AV204+AV188+AV182+AV148+AV119+AV90+AV68+AV53+AV42+AV9</f>
        <v>1486810.96</v>
      </c>
      <c r="AX297" s="2438">
        <f>AX295+AX279+AX257+AX244+AX238+AX204+AX188+AX182+AX148+AX119+AX90+AX68+AX53+AX42+AX9</f>
        <v>1664170</v>
      </c>
      <c r="AY297" s="2438">
        <f>AY295+AY279+AY257+AY244+AY238+AY204+AY188+AY182+AY148+AY119+AY90+AY68+AY53+AY42+AY9</f>
        <v>7427</v>
      </c>
      <c r="AZ297" s="2438">
        <f>AZ295+AZ279+AZ257+AZ244+AZ238+AZ204+AZ188+AZ182+AZ148+AZ119+AZ90+AZ68+AZ53+AZ42+AZ9</f>
        <v>1671597</v>
      </c>
      <c r="BA297" s="2439">
        <f>IF(AX297=0," ",(AZ297-AX297)/AX297)</f>
        <v>4.4628854023326947E-3</v>
      </c>
      <c r="BC297" s="2438">
        <f>BC295+BC279+BC257+BC244+BC238+BC204+BC188+BC182+BC148+BC119+BC90+BC68+BC53+BC42+BC9</f>
        <v>1671597</v>
      </c>
      <c r="BD297" s="2438">
        <f>BD295+BD279+BD257+BD244+BD238+BD204+BD188+BD182+BD148+BD119+BD90+BD68+BD53+BD42+BD9</f>
        <v>1705960</v>
      </c>
      <c r="BF297" s="2443"/>
      <c r="BH297" s="2438">
        <f>BH295+BH279+BH257+BH244+BH238+BH204+BH188+BH182+BH148+BH119+BH90+BH68+BH53+BH42+BH9</f>
        <v>1705960</v>
      </c>
      <c r="BI297" s="2438">
        <f>BI295+BI279+BI257+BI244+BI238+BI204+BI188+BI182+BI148+BI119+BI90+BI68+BI53+BI42+BI9</f>
        <v>1505372.38</v>
      </c>
      <c r="BJ297" s="2438"/>
      <c r="BK297" s="2438"/>
      <c r="BM297" s="2438">
        <f>BM295+BM279+BM257+BM244+BM238+BM204+BM188+BM182+BM148+BM119+BM90+BM68+BM53+BM42+BM9</f>
        <v>1705960</v>
      </c>
      <c r="BN297" s="2438">
        <f>BN295+BN279+BN257+BN244+BN238+BN204+BN188+BN182+BN148+BN119+BN90+BN68+BN53+BN42+BN9</f>
        <v>14040</v>
      </c>
      <c r="BO297" s="2438">
        <f>BO295+BO279+BO257+BO244+BO238+BO204+BO188+BO182+BO148+BO119+BO90+BO68+BO53+BO42+BO9</f>
        <v>1720000</v>
      </c>
      <c r="BP297" s="2439">
        <f>IF(BM297=0," ",(BO297-BM297)/BM297)</f>
        <v>8.229970222045066E-3</v>
      </c>
      <c r="BR297" s="2438">
        <f>BR295+BR279+BR257+BR244+BR238+BR204+BR188+BR182+BR148+BR119+BR90+BR68+BR53+BR42+BR9</f>
        <v>1720000</v>
      </c>
      <c r="BS297" s="2438">
        <f>BS295+BS279+BS257+BS244+BS238+BS204+BS188+BS182+BS148+BS119+BS90+BS68+BS53+BS42+BS9</f>
        <v>1758942</v>
      </c>
      <c r="BU297" s="2448"/>
      <c r="BW297" s="2438">
        <f>BW295+BW279+BW257+BW244+BW238+BW204+BW188+BW182+BW148+BW119+BW90+BW68+BW53+BW42+BW9</f>
        <v>1758942</v>
      </c>
      <c r="BX297" s="2438">
        <f>BX295+BX279+BX257+BX244+BX238+BX204+BX188+BX182+BX148+BX119+BX90+BX68+BX53+BX42+BX9</f>
        <v>702240.83000000007</v>
      </c>
      <c r="BZ297" s="2438">
        <f>BZ295+BZ279+BZ257+BZ244+BZ238+BZ204+BZ188+BZ182+BZ148+BZ119+BZ90+BZ68+BZ53+BZ42+BZ9</f>
        <v>1758942</v>
      </c>
      <c r="CA297" s="2438">
        <f>CA295+CA279+CA257+CA244+CA238+CA204+CA188+CA182+CA148+CA119+CA90+CA68+CA53+CA42+CA9</f>
        <v>-17750</v>
      </c>
      <c r="CB297" s="2438">
        <f>CB295+CB279+CB257+CB244+CB238+CB204+CB188+CB182+CB148+CB119+CB90+CB68+CB53+CB42+CB9</f>
        <v>1741192</v>
      </c>
      <c r="CC297" s="2439">
        <f>IF(BZ297=0," ",(CB297-BZ297)/BZ297)</f>
        <v>-1.0091293516215998E-2</v>
      </c>
      <c r="CE297" s="2438">
        <f>CE295+CE279+CE257+CE244+CE238+CE204+CE188+CE182+CE148+CE119+CE90+CE68+CE53+CE42+CE9</f>
        <v>1770171</v>
      </c>
      <c r="CF297" s="2439">
        <f>IF(CB297=0," ",(CE297-CB297)/CB297)</f>
        <v>1.6643196155277533E-2</v>
      </c>
      <c r="CG297" s="2438">
        <f>CG295+CG279+CG257+CG244+CG238+CG204+CG188+CG182+CG148+CG119+CG90+CG68+CG53+CG42+CG9</f>
        <v>1761830</v>
      </c>
      <c r="CH297" s="2449" t="s">
        <v>1602</v>
      </c>
      <c r="CI297" s="2449"/>
      <c r="CJ297" s="2450"/>
      <c r="CK297" s="2450"/>
      <c r="CO297" s="2477">
        <v>-0.11758049426715755</v>
      </c>
      <c r="CP297" s="2478">
        <f t="shared" si="148"/>
        <v>-200587.62000000011</v>
      </c>
      <c r="CQ297" s="2478"/>
      <c r="CR297" s="2478"/>
      <c r="CS297" s="2478"/>
      <c r="CT297" s="2478"/>
    </row>
    <row r="298" spans="1:98" ht="20.100000000000001" hidden="1" customHeight="1" x14ac:dyDescent="0.2">
      <c r="A298" s="2605"/>
      <c r="B298" s="2606"/>
      <c r="C298" s="2607"/>
      <c r="D298" s="2607"/>
      <c r="E298" s="2608"/>
      <c r="F298" s="2606"/>
      <c r="G298" s="2606"/>
      <c r="H298" s="2609"/>
      <c r="I298" s="2609"/>
      <c r="J298" s="2609"/>
      <c r="K298" s="2610"/>
      <c r="M298" s="2609"/>
      <c r="N298" s="2611"/>
      <c r="P298" s="2612"/>
      <c r="R298" s="2611"/>
      <c r="S298" s="2611"/>
      <c r="U298" s="2611"/>
      <c r="V298" s="2609"/>
      <c r="W298" s="2609"/>
      <c r="X298" s="2610"/>
      <c r="Z298" s="2609"/>
      <c r="AA298" s="2611"/>
      <c r="AC298" s="2612"/>
      <c r="AE298" s="2611"/>
      <c r="AF298" s="2613"/>
      <c r="AH298" s="2611"/>
      <c r="AI298" s="2609"/>
      <c r="AJ298" s="2609"/>
      <c r="AK298" s="2610"/>
      <c r="AM298" s="2609"/>
      <c r="AN298" s="2611"/>
      <c r="AP298" s="2612"/>
      <c r="AR298" s="2611"/>
      <c r="AS298" s="2611"/>
      <c r="AT298" s="2611"/>
      <c r="AU298" s="2611"/>
      <c r="AV298" s="2611"/>
      <c r="AX298" s="2611"/>
      <c r="AY298" s="2609"/>
      <c r="AZ298" s="2609"/>
      <c r="BA298" s="2610"/>
      <c r="BC298" s="2611"/>
      <c r="BD298" s="2611"/>
      <c r="BF298" s="2551"/>
      <c r="BH298" s="2611"/>
      <c r="BI298" s="2611"/>
      <c r="BJ298" s="2611"/>
      <c r="BK298" s="2611"/>
      <c r="BM298" s="2611"/>
      <c r="BN298" s="2614"/>
      <c r="BO298" s="2553"/>
      <c r="BP298" s="2554"/>
      <c r="BR298" s="2553"/>
      <c r="BS298" s="2553"/>
      <c r="BU298" s="2555"/>
      <c r="BW298" s="2553"/>
      <c r="BX298" s="2611"/>
      <c r="BZ298" s="2553"/>
      <c r="CA298" s="2614"/>
      <c r="CB298" s="2553"/>
      <c r="CC298" s="2554"/>
      <c r="CE298" s="2553"/>
      <c r="CF298" s="2554"/>
      <c r="CG298" s="2553"/>
      <c r="CH298" s="2449" t="s">
        <v>1091</v>
      </c>
      <c r="CI298" s="2449"/>
      <c r="CJ298" s="2450"/>
      <c r="CK298" s="2450"/>
      <c r="CP298" s="2478">
        <f t="shared" si="148"/>
        <v>0</v>
      </c>
      <c r="CQ298" s="2478"/>
      <c r="CR298" s="2478"/>
      <c r="CS298" s="2478"/>
      <c r="CT298" s="2478"/>
    </row>
    <row r="299" spans="1:98" ht="20.100000000000001" hidden="1" customHeight="1" x14ac:dyDescent="0.2">
      <c r="A299" s="2434" t="s">
        <v>733</v>
      </c>
      <c r="B299" s="2435"/>
      <c r="C299" s="2436"/>
      <c r="D299" s="2436"/>
      <c r="E299" s="2437"/>
      <c r="F299" s="2435"/>
      <c r="G299" s="2435"/>
      <c r="H299" s="2438"/>
      <c r="I299" s="2438"/>
      <c r="J299" s="2438"/>
      <c r="K299" s="2439"/>
      <c r="M299" s="2438"/>
      <c r="N299" s="2438"/>
      <c r="P299" s="2441"/>
      <c r="R299" s="2438"/>
      <c r="S299" s="2438"/>
      <c r="U299" s="2438"/>
      <c r="V299" s="2438"/>
      <c r="W299" s="2438"/>
      <c r="X299" s="2439"/>
      <c r="Z299" s="2438"/>
      <c r="AA299" s="2438"/>
      <c r="AC299" s="2441"/>
      <c r="AE299" s="2438"/>
      <c r="AF299" s="2442"/>
      <c r="AH299" s="2438"/>
      <c r="AI299" s="2438"/>
      <c r="AJ299" s="2438"/>
      <c r="AK299" s="2439"/>
      <c r="AM299" s="2438"/>
      <c r="AN299" s="2438"/>
      <c r="AP299" s="2441"/>
      <c r="AR299" s="2438"/>
      <c r="AS299" s="2438"/>
      <c r="AT299" s="2438"/>
      <c r="AU299" s="2438"/>
      <c r="AV299" s="2438"/>
      <c r="AX299" s="2438"/>
      <c r="AY299" s="2438"/>
      <c r="AZ299" s="2438"/>
      <c r="BA299" s="2439"/>
      <c r="BC299" s="2438"/>
      <c r="BD299" s="2438"/>
      <c r="BF299" s="2443"/>
      <c r="BH299" s="2438"/>
      <c r="BI299" s="2438"/>
      <c r="BJ299" s="2438"/>
      <c r="BK299" s="2438"/>
      <c r="BM299" s="2438"/>
      <c r="BN299" s="2444"/>
      <c r="BO299" s="2445"/>
      <c r="BP299" s="2446"/>
      <c r="BR299" s="2445"/>
      <c r="BS299" s="2445"/>
      <c r="BU299" s="2448"/>
      <c r="BW299" s="2445"/>
      <c r="BX299" s="2438"/>
      <c r="BZ299" s="2445"/>
      <c r="CA299" s="2444"/>
      <c r="CB299" s="2445"/>
      <c r="CC299" s="2446"/>
      <c r="CE299" s="2445"/>
      <c r="CF299" s="2446"/>
      <c r="CG299" s="2445"/>
      <c r="CH299" s="2449" t="s">
        <v>1212</v>
      </c>
      <c r="CI299" s="2449"/>
      <c r="CJ299" s="2450"/>
      <c r="CK299" s="2450"/>
      <c r="CP299" s="2478">
        <f t="shared" si="148"/>
        <v>0</v>
      </c>
      <c r="CQ299" s="2478"/>
      <c r="CR299" s="2478"/>
      <c r="CS299" s="2478"/>
      <c r="CT299" s="2478"/>
    </row>
    <row r="300" spans="1:98" ht="15.75" hidden="1" x14ac:dyDescent="0.2">
      <c r="A300" s="2453" t="s">
        <v>734</v>
      </c>
      <c r="B300" s="2454"/>
      <c r="C300" s="2455"/>
      <c r="D300" s="2455"/>
      <c r="E300" s="2456"/>
      <c r="F300" s="2454"/>
      <c r="G300" s="2454"/>
      <c r="H300" s="2457"/>
      <c r="I300" s="2457"/>
      <c r="J300" s="2457"/>
      <c r="K300" s="2458"/>
      <c r="M300" s="2457"/>
      <c r="N300" s="2457"/>
      <c r="P300" s="2459"/>
      <c r="R300" s="2457"/>
      <c r="S300" s="2457"/>
      <c r="U300" s="2457"/>
      <c r="V300" s="2457"/>
      <c r="W300" s="2457"/>
      <c r="X300" s="2458"/>
      <c r="Z300" s="2457"/>
      <c r="AA300" s="2457"/>
      <c r="AC300" s="2459"/>
      <c r="AE300" s="2457"/>
      <c r="AF300" s="2460"/>
      <c r="AH300" s="2457"/>
      <c r="AI300" s="2457"/>
      <c r="AJ300" s="2457"/>
      <c r="AK300" s="2458"/>
      <c r="AM300" s="2457"/>
      <c r="AN300" s="2457"/>
      <c r="AP300" s="2459"/>
      <c r="AR300" s="2457"/>
      <c r="AS300" s="2457"/>
      <c r="AT300" s="2457"/>
      <c r="AU300" s="2457"/>
      <c r="AV300" s="2457"/>
      <c r="AX300" s="2457"/>
      <c r="AY300" s="2457"/>
      <c r="AZ300" s="2457"/>
      <c r="BA300" s="2458"/>
      <c r="BC300" s="2457"/>
      <c r="BD300" s="2457"/>
      <c r="BF300" s="2461"/>
      <c r="BH300" s="2457"/>
      <c r="BI300" s="2457"/>
      <c r="BJ300" s="2457"/>
      <c r="BK300" s="2457"/>
      <c r="BM300" s="2457"/>
      <c r="BN300" s="2462"/>
      <c r="BO300" s="2463"/>
      <c r="BP300" s="2464"/>
      <c r="BR300" s="2463"/>
      <c r="BS300" s="2463"/>
      <c r="BU300" s="2465"/>
      <c r="BW300" s="2463"/>
      <c r="BX300" s="2457"/>
      <c r="BZ300" s="2463"/>
      <c r="CA300" s="2462"/>
      <c r="CB300" s="2463"/>
      <c r="CC300" s="2464"/>
      <c r="CE300" s="2463"/>
      <c r="CF300" s="2464"/>
      <c r="CG300" s="2463"/>
      <c r="CH300" s="2449" t="s">
        <v>1212</v>
      </c>
      <c r="CI300" s="2449"/>
      <c r="CJ300" s="2450"/>
      <c r="CK300" s="2450"/>
      <c r="CP300" s="2478">
        <f t="shared" si="148"/>
        <v>0</v>
      </c>
      <c r="CQ300" s="2478"/>
      <c r="CR300" s="2478"/>
      <c r="CS300" s="2478"/>
      <c r="CT300" s="2478"/>
    </row>
    <row r="301" spans="1:98" hidden="1" x14ac:dyDescent="0.2">
      <c r="A301" s="2395">
        <v>210</v>
      </c>
      <c r="B301" s="2440" t="s">
        <v>1214</v>
      </c>
      <c r="C301" s="2396">
        <v>21001</v>
      </c>
      <c r="D301" s="2396">
        <v>51120</v>
      </c>
      <c r="E301" s="2397" t="s">
        <v>59</v>
      </c>
      <c r="F301" s="2440" t="s">
        <v>1214</v>
      </c>
      <c r="G301" s="2440" t="s">
        <v>1603</v>
      </c>
      <c r="H301" s="2466">
        <v>115315</v>
      </c>
      <c r="I301" s="2470"/>
      <c r="J301" s="2466">
        <f>H301+I301</f>
        <v>115315</v>
      </c>
      <c r="K301" s="2468">
        <f>IF(H301=0," ",(J301-H301)/H301)</f>
        <v>0</v>
      </c>
      <c r="M301" s="2467">
        <v>115315</v>
      </c>
      <c r="N301" s="2467">
        <v>115315</v>
      </c>
      <c r="P301" s="2469"/>
      <c r="R301" s="2466">
        <v>115315</v>
      </c>
      <c r="S301" s="2466">
        <v>125000.2</v>
      </c>
      <c r="U301" s="2466">
        <v>115315</v>
      </c>
      <c r="V301" s="2470">
        <v>12185</v>
      </c>
      <c r="W301" s="2466">
        <f>U301+V301</f>
        <v>127500</v>
      </c>
      <c r="X301" s="2468">
        <f>IF(U301=0," ",(W301-U301)/U301)</f>
        <v>0.10566708580843776</v>
      </c>
      <c r="Z301" s="2467">
        <v>127500</v>
      </c>
      <c r="AA301" s="2467">
        <v>127500</v>
      </c>
      <c r="AC301" s="2469" t="s">
        <v>1604</v>
      </c>
      <c r="AE301" s="2466">
        <v>127500</v>
      </c>
      <c r="AF301" s="2471">
        <v>127500</v>
      </c>
      <c r="AH301" s="2466">
        <v>127500</v>
      </c>
      <c r="AI301" s="2470">
        <v>2550</v>
      </c>
      <c r="AJ301" s="2466">
        <f>AH301+AI301</f>
        <v>130050</v>
      </c>
      <c r="AK301" s="2468">
        <f>IF(AH301=0," ",(AJ301-AH301)/AH301)</f>
        <v>0.02</v>
      </c>
      <c r="AM301" s="2467">
        <v>130050</v>
      </c>
      <c r="AN301" s="2467">
        <v>130050</v>
      </c>
      <c r="AP301" s="2469"/>
      <c r="AR301" s="2466">
        <v>130050</v>
      </c>
      <c r="AS301" s="2466">
        <v>129243.85</v>
      </c>
      <c r="AT301" s="2466"/>
      <c r="AU301" s="2466">
        <v>125250</v>
      </c>
      <c r="AV301" s="2466">
        <v>125250</v>
      </c>
      <c r="AX301" s="2466">
        <v>125250</v>
      </c>
      <c r="AY301" s="2470">
        <v>2505</v>
      </c>
      <c r="AZ301" s="2466">
        <f>AX301+AY301</f>
        <v>127755</v>
      </c>
      <c r="BA301" s="2468">
        <f>IF(AX301=0," ",(AZ301-AX301)/AX301)</f>
        <v>0.02</v>
      </c>
      <c r="BC301" s="2467">
        <v>127755</v>
      </c>
      <c r="BD301" s="2467">
        <v>127755</v>
      </c>
      <c r="BF301" s="2469" t="s">
        <v>1605</v>
      </c>
      <c r="BH301" s="2467">
        <v>127755</v>
      </c>
      <c r="BI301" s="2466">
        <v>127755</v>
      </c>
      <c r="BM301" s="2466">
        <v>127755</v>
      </c>
      <c r="BN301" s="2600">
        <v>2550</v>
      </c>
      <c r="BO301" s="2472">
        <f>BM301+BN301</f>
        <v>130305</v>
      </c>
      <c r="BP301" s="2473">
        <f>IF(BM301=0," ",(BO301-BM301)/BM301)</f>
        <v>1.9960079840319361E-2</v>
      </c>
      <c r="BR301" s="2474">
        <v>130305</v>
      </c>
      <c r="BS301" s="2474">
        <v>130305</v>
      </c>
      <c r="BU301" s="2475" t="s">
        <v>1605</v>
      </c>
      <c r="BW301" s="2474">
        <v>130305</v>
      </c>
      <c r="BX301" s="2466">
        <v>62908.27</v>
      </c>
      <c r="BZ301" s="2474">
        <v>130305</v>
      </c>
      <c r="CA301" s="2600"/>
      <c r="CB301" s="2472">
        <f>BZ301+CA301</f>
        <v>130305</v>
      </c>
      <c r="CC301" s="2473">
        <f>IF(BZ301=0," ",(CB301-BZ301)/BZ301)</f>
        <v>0</v>
      </c>
      <c r="CE301" s="2474">
        <v>130305</v>
      </c>
      <c r="CF301" s="2476">
        <f>IF(CB301=0," ",(CE301-CB301)/CB301)</f>
        <v>0</v>
      </c>
      <c r="CG301" s="2474">
        <v>130305</v>
      </c>
      <c r="CH301" s="2449" t="s">
        <v>1217</v>
      </c>
      <c r="CI301" s="2449"/>
      <c r="CJ301" s="2450"/>
      <c r="CK301" s="2450"/>
      <c r="CO301" s="2477">
        <v>0</v>
      </c>
      <c r="CP301" s="2478">
        <f t="shared" si="148"/>
        <v>0</v>
      </c>
      <c r="CQ301" s="2478"/>
      <c r="CR301" s="2478"/>
      <c r="CS301" s="2478"/>
      <c r="CT301" s="2478"/>
    </row>
    <row r="302" spans="1:98" hidden="1" x14ac:dyDescent="0.2">
      <c r="A302" s="2395">
        <v>210</v>
      </c>
      <c r="B302" s="2440" t="s">
        <v>1214</v>
      </c>
      <c r="C302" s="2396">
        <v>21001</v>
      </c>
      <c r="D302" s="2396">
        <v>51121</v>
      </c>
      <c r="E302" s="2397" t="s">
        <v>59</v>
      </c>
      <c r="F302" s="2440" t="s">
        <v>1214</v>
      </c>
      <c r="G302" s="2440" t="s">
        <v>1606</v>
      </c>
      <c r="H302" s="2466">
        <v>0</v>
      </c>
      <c r="I302" s="2470"/>
      <c r="J302" s="2466">
        <f>H302+I302</f>
        <v>0</v>
      </c>
      <c r="K302" s="2468" t="str">
        <f>IF(H302=0," ",(J302-H302)/H302)</f>
        <v xml:space="preserve"> </v>
      </c>
      <c r="M302" s="2467">
        <v>0</v>
      </c>
      <c r="N302" s="2467"/>
      <c r="P302" s="2469"/>
      <c r="R302" s="2466">
        <v>0</v>
      </c>
      <c r="S302" s="2466">
        <v>1669.87</v>
      </c>
      <c r="U302" s="2466">
        <v>0</v>
      </c>
      <c r="V302" s="2470">
        <v>0</v>
      </c>
      <c r="W302" s="2466">
        <f>U302+V302</f>
        <v>0</v>
      </c>
      <c r="X302" s="2468" t="str">
        <f>IF(U302=0," ",(W302-U302)/U302)</f>
        <v xml:space="preserve"> </v>
      </c>
      <c r="Z302" s="2467">
        <v>0</v>
      </c>
      <c r="AA302" s="2467"/>
      <c r="AC302" s="2469"/>
      <c r="AI302" s="2470"/>
      <c r="AJ302" s="2466">
        <f>AH302+AI302</f>
        <v>0</v>
      </c>
      <c r="AK302" s="2468" t="str">
        <f>IF(AH302=0," ",(AJ302-AH302)/AH302)</f>
        <v xml:space="preserve"> </v>
      </c>
      <c r="AM302" s="2467">
        <v>0</v>
      </c>
      <c r="AN302" s="2467">
        <v>0</v>
      </c>
      <c r="AP302" s="2469"/>
      <c r="AR302" s="2466">
        <v>0</v>
      </c>
      <c r="AS302" s="2466"/>
      <c r="AT302" s="2466"/>
      <c r="AY302" s="2470"/>
      <c r="AZ302" s="2466">
        <f>AX302+AY302</f>
        <v>0</v>
      </c>
      <c r="BA302" s="2468" t="str">
        <f>IF(AX302=0," ",(AZ302-AX302)/AX302)</f>
        <v xml:space="preserve"> </v>
      </c>
      <c r="BC302" s="2467">
        <v>0</v>
      </c>
      <c r="BD302" s="2467">
        <v>0</v>
      </c>
      <c r="BF302" s="2469"/>
      <c r="BH302" s="2467">
        <v>0</v>
      </c>
      <c r="BM302" s="2466">
        <v>0</v>
      </c>
      <c r="BN302" s="2470"/>
      <c r="BO302" s="2472">
        <f>BM302+BN302</f>
        <v>0</v>
      </c>
      <c r="BP302" s="2473" t="str">
        <f>IF(BM302=0," ",(BO302-BM302)/BM302)</f>
        <v xml:space="preserve"> </v>
      </c>
      <c r="BR302" s="2474">
        <v>0</v>
      </c>
      <c r="BS302" s="2474">
        <v>0</v>
      </c>
      <c r="BU302" s="2475"/>
      <c r="BW302" s="2474">
        <v>0</v>
      </c>
      <c r="BZ302" s="2474">
        <v>0</v>
      </c>
      <c r="CA302" s="2470"/>
      <c r="CB302" s="2472">
        <f>BZ302+CA302</f>
        <v>0</v>
      </c>
      <c r="CC302" s="2473" t="str">
        <f>IF(BZ302=0," ",(CB302-BZ302)/BZ302)</f>
        <v xml:space="preserve"> </v>
      </c>
      <c r="CE302" s="2474">
        <v>0</v>
      </c>
      <c r="CF302" s="2476" t="str">
        <f>IF(CB302=0," ",(CE302-CB302)/CB302)</f>
        <v xml:space="preserve"> </v>
      </c>
      <c r="CG302" s="2474">
        <v>0</v>
      </c>
      <c r="CH302" s="2449" t="s">
        <v>1217</v>
      </c>
      <c r="CI302" s="2449"/>
      <c r="CJ302" s="2450"/>
      <c r="CK302" s="2450"/>
      <c r="CP302" s="2478">
        <f t="shared" si="148"/>
        <v>0</v>
      </c>
      <c r="CQ302" s="2478"/>
      <c r="CR302" s="2478"/>
      <c r="CS302" s="2478"/>
      <c r="CT302" s="2478"/>
    </row>
    <row r="303" spans="1:98" hidden="1" x14ac:dyDescent="0.2">
      <c r="A303" s="2395">
        <v>210</v>
      </c>
      <c r="C303" s="2615">
        <v>21001</v>
      </c>
      <c r="D303" s="2615">
        <v>51122</v>
      </c>
      <c r="E303" s="2616" t="s">
        <v>319</v>
      </c>
      <c r="G303" s="2440" t="s">
        <v>1607</v>
      </c>
      <c r="I303" s="2470"/>
      <c r="M303" s="2467"/>
      <c r="N303" s="2467"/>
      <c r="P303" s="2469"/>
      <c r="V303" s="2470"/>
      <c r="Z303" s="2467"/>
      <c r="AA303" s="2467"/>
      <c r="AC303" s="2469"/>
      <c r="AI303" s="2470"/>
      <c r="AM303" s="2467"/>
      <c r="AN303" s="2467"/>
      <c r="AP303" s="2469"/>
      <c r="AS303" s="2466">
        <v>111069.52</v>
      </c>
      <c r="AT303" s="2466"/>
      <c r="AU303" s="2466">
        <v>117300</v>
      </c>
      <c r="AV303" s="2466">
        <v>117300</v>
      </c>
      <c r="AX303" s="2466">
        <v>117300</v>
      </c>
      <c r="AY303" s="2470">
        <v>2345</v>
      </c>
      <c r="AZ303" s="2466">
        <f>AX303+AY303</f>
        <v>119645</v>
      </c>
      <c r="BA303" s="2468">
        <f>IF(AX303=0," ",(AZ303-AX303)/AX303)</f>
        <v>1.999147485080989E-2</v>
      </c>
      <c r="BC303" s="2467">
        <v>119645</v>
      </c>
      <c r="BD303" s="2467">
        <v>119645</v>
      </c>
      <c r="BF303" s="2469" t="s">
        <v>1608</v>
      </c>
      <c r="BH303" s="2467">
        <v>119645</v>
      </c>
      <c r="BI303" s="2466">
        <v>64271.78</v>
      </c>
      <c r="BM303" s="2466">
        <v>119645</v>
      </c>
      <c r="BN303" s="2600">
        <v>-2800</v>
      </c>
      <c r="BO303" s="2472">
        <f>BM303+BN303</f>
        <v>116845</v>
      </c>
      <c r="BP303" s="2473">
        <f>IF(BM303=0," ",(BO303-BM303)/BM303)</f>
        <v>-2.3402565924192403E-2</v>
      </c>
      <c r="BR303" s="2474">
        <v>116845</v>
      </c>
      <c r="BS303" s="2474">
        <v>116845</v>
      </c>
      <c r="BU303" s="2512" t="s">
        <v>1609</v>
      </c>
      <c r="BW303" s="2474">
        <v>116845</v>
      </c>
      <c r="BX303" s="2466">
        <v>56407.68</v>
      </c>
      <c r="BZ303" s="2474">
        <v>116845</v>
      </c>
      <c r="CA303" s="2600">
        <v>-448</v>
      </c>
      <c r="CB303" s="2472">
        <f>BZ303+CA303</f>
        <v>116397</v>
      </c>
      <c r="CC303" s="2473">
        <f>IF(BZ303=0," ",(CB303-BZ303)/BZ303)</f>
        <v>-3.8341392442980018E-3</v>
      </c>
      <c r="CE303" s="2474">
        <v>118727</v>
      </c>
      <c r="CF303" s="2476">
        <f>IF(CB303=0," ",(CE303-CB303)/CB303)</f>
        <v>2.0017698050637044E-2</v>
      </c>
      <c r="CG303" s="2474">
        <v>118727</v>
      </c>
      <c r="CH303" s="2449" t="s">
        <v>1217</v>
      </c>
      <c r="CI303" s="2449"/>
      <c r="CJ303" s="2450" t="s">
        <v>1610</v>
      </c>
      <c r="CK303" s="2518">
        <f t="shared" ref="CK303:CK304" si="167">-CG303</f>
        <v>-118727</v>
      </c>
      <c r="CO303" s="2477">
        <v>-0.46281265410171757</v>
      </c>
      <c r="CP303" s="2478">
        <f t="shared" si="148"/>
        <v>-55373.22</v>
      </c>
      <c r="CQ303" s="2478"/>
      <c r="CR303" s="2478"/>
      <c r="CS303" s="2478"/>
      <c r="CT303" s="2478"/>
    </row>
    <row r="304" spans="1:98" hidden="1" x14ac:dyDescent="0.2">
      <c r="A304" s="2513">
        <v>210</v>
      </c>
      <c r="B304" s="2514" t="s">
        <v>1214</v>
      </c>
      <c r="C304" s="2515">
        <v>21001</v>
      </c>
      <c r="D304" s="2515">
        <v>51490</v>
      </c>
      <c r="E304" s="2516" t="s">
        <v>59</v>
      </c>
      <c r="F304" s="2514" t="s">
        <v>1214</v>
      </c>
      <c r="G304" s="2514" t="s">
        <v>1611</v>
      </c>
      <c r="H304" s="2466">
        <v>0</v>
      </c>
      <c r="I304" s="2523">
        <v>650</v>
      </c>
      <c r="J304" s="2466">
        <f>H304+I304</f>
        <v>650</v>
      </c>
      <c r="K304" s="2468" t="str">
        <f>IF(H304=0," ",(J304-H304)/H304)</f>
        <v xml:space="preserve"> </v>
      </c>
      <c r="M304" s="2520">
        <v>650</v>
      </c>
      <c r="N304" s="2520">
        <v>650</v>
      </c>
      <c r="P304" s="2522"/>
      <c r="R304" s="2519">
        <v>650</v>
      </c>
      <c r="S304" s="2519">
        <v>650</v>
      </c>
      <c r="U304" s="2519">
        <v>650</v>
      </c>
      <c r="V304" s="2523">
        <v>0</v>
      </c>
      <c r="W304" s="2466">
        <f>U304+V304</f>
        <v>650</v>
      </c>
      <c r="X304" s="2468">
        <f>IF(U304=0," ",(W304-U304)/U304)</f>
        <v>0</v>
      </c>
      <c r="Z304" s="2520">
        <v>650</v>
      </c>
      <c r="AA304" s="2520">
        <v>650</v>
      </c>
      <c r="AC304" s="2522" t="s">
        <v>1612</v>
      </c>
      <c r="AE304" s="2519">
        <v>650</v>
      </c>
      <c r="AF304" s="2524">
        <v>650</v>
      </c>
      <c r="AH304" s="2519">
        <v>650</v>
      </c>
      <c r="AI304" s="2523"/>
      <c r="AJ304" s="2466">
        <f>AH304+AI304</f>
        <v>650</v>
      </c>
      <c r="AK304" s="2468">
        <f>IF(AH304=0," ",(AJ304-AH304)/AH304)</f>
        <v>0</v>
      </c>
      <c r="AM304" s="2467">
        <v>650</v>
      </c>
      <c r="AN304" s="2467">
        <v>650</v>
      </c>
      <c r="AP304" s="2522"/>
      <c r="AR304" s="2466">
        <v>650</v>
      </c>
      <c r="AS304" s="2466">
        <v>650</v>
      </c>
      <c r="AT304" s="2466"/>
      <c r="AU304" s="2466">
        <v>1750</v>
      </c>
      <c r="AX304" s="2466">
        <v>1750</v>
      </c>
      <c r="AY304" s="2523"/>
      <c r="AZ304" s="2466">
        <f>AX304+AY304</f>
        <v>1750</v>
      </c>
      <c r="BA304" s="2468">
        <f>IF(AX304=0," ",(AZ304-AX304)/AX304)</f>
        <v>0</v>
      </c>
      <c r="BC304" s="2467">
        <v>1750</v>
      </c>
      <c r="BD304" s="2467">
        <v>1750</v>
      </c>
      <c r="BF304" s="2522"/>
      <c r="BH304" s="2467">
        <v>1750</v>
      </c>
      <c r="BI304" s="2519">
        <v>1750</v>
      </c>
      <c r="BM304" s="2466">
        <v>1750</v>
      </c>
      <c r="BN304" s="2617">
        <v>-1750</v>
      </c>
      <c r="BO304" s="2472">
        <f>BM304+BN304</f>
        <v>0</v>
      </c>
      <c r="BP304" s="2473">
        <f>IF(BM304=0," ",(BO304-BM304)/BM304)</f>
        <v>-1</v>
      </c>
      <c r="BR304" s="2474">
        <v>0</v>
      </c>
      <c r="BS304" s="2474">
        <v>0</v>
      </c>
      <c r="BU304" s="2475" t="s">
        <v>1238</v>
      </c>
      <c r="BW304" s="2474">
        <v>0</v>
      </c>
      <c r="BX304" s="2519"/>
      <c r="BZ304" s="2474">
        <v>0</v>
      </c>
      <c r="CA304" s="2617"/>
      <c r="CB304" s="2472">
        <f>BZ304+CA304</f>
        <v>0</v>
      </c>
      <c r="CC304" s="2473" t="str">
        <f>IF(BZ304=0," ",(CB304-BZ304)/BZ304)</f>
        <v xml:space="preserve"> </v>
      </c>
      <c r="CE304" s="2517">
        <v>400</v>
      </c>
      <c r="CF304" s="2476" t="str">
        <f>IF(CB304=0," ",(CE304-CB304)/CB304)</f>
        <v xml:space="preserve"> </v>
      </c>
      <c r="CG304" s="2517">
        <v>400</v>
      </c>
      <c r="CH304" s="2449" t="s">
        <v>1217</v>
      </c>
      <c r="CI304" s="2449"/>
      <c r="CJ304" s="2450" t="s">
        <v>1239</v>
      </c>
      <c r="CK304" s="2518">
        <f t="shared" si="167"/>
        <v>-400</v>
      </c>
      <c r="CO304" s="2477">
        <v>0</v>
      </c>
      <c r="CP304" s="2478">
        <f t="shared" si="148"/>
        <v>0</v>
      </c>
      <c r="CQ304" s="2478"/>
      <c r="CR304" s="2478"/>
      <c r="CS304" s="2478"/>
      <c r="CT304" s="2478"/>
    </row>
    <row r="305" spans="1:98" hidden="1" x14ac:dyDescent="0.2">
      <c r="C305" s="2615"/>
      <c r="D305" s="2615"/>
      <c r="E305" s="2616"/>
      <c r="H305" s="2560">
        <f>SUM(H301:H304)</f>
        <v>115315</v>
      </c>
      <c r="I305" s="2560">
        <f>SUM(I301:I304)</f>
        <v>650</v>
      </c>
      <c r="J305" s="2560">
        <f>SUM(J301:J304)</f>
        <v>115965</v>
      </c>
      <c r="K305" s="2561">
        <f>IF(H305=0," ",(J305-H305)/H305)</f>
        <v>5.636734162944977E-3</v>
      </c>
      <c r="M305" s="2560">
        <f>SUM(M301:M304)</f>
        <v>115965</v>
      </c>
      <c r="N305" s="2560">
        <f>SUM(N301:N304)</f>
        <v>115965</v>
      </c>
      <c r="P305" s="2562">
        <f>SUM(P301:P304)</f>
        <v>0</v>
      </c>
      <c r="R305" s="2560">
        <f>SUM(R301:R304)</f>
        <v>115965</v>
      </c>
      <c r="S305" s="2560">
        <f>SUM(S301:S304)</f>
        <v>127320.06999999999</v>
      </c>
      <c r="U305" s="2560">
        <f>SUM(U301:U304)</f>
        <v>115965</v>
      </c>
      <c r="V305" s="2560">
        <f>SUM(V301:V304)</f>
        <v>12185</v>
      </c>
      <c r="W305" s="2560">
        <f>SUM(W301:W304)</f>
        <v>128150</v>
      </c>
      <c r="X305" s="2561">
        <f>IF(U305=0," ",(W305-U305)/U305)</f>
        <v>0.10507480705385246</v>
      </c>
      <c r="Z305" s="2560">
        <f>SUM(Z301:Z304)</f>
        <v>128150</v>
      </c>
      <c r="AA305" s="2560">
        <f>SUM(AA301:AA304)</f>
        <v>128150</v>
      </c>
      <c r="AC305" s="2562"/>
      <c r="AE305" s="2560">
        <f>SUM(AE301:AE304)</f>
        <v>128150</v>
      </c>
      <c r="AF305" s="2563">
        <f>SUM(AF301:AF304)</f>
        <v>128150</v>
      </c>
      <c r="AH305" s="2560">
        <f>SUM(AH301:AH304)</f>
        <v>128150</v>
      </c>
      <c r="AI305" s="2560">
        <f>SUM(AI301:AI304)</f>
        <v>2550</v>
      </c>
      <c r="AJ305" s="2560">
        <f>SUM(AJ301:AJ304)</f>
        <v>130700</v>
      </c>
      <c r="AK305" s="2561">
        <f>IF(AH305=0," ",(AJ305-AH305)/AH305)</f>
        <v>1.9898556379243076E-2</v>
      </c>
      <c r="AM305" s="2560">
        <f>SUM(AM301:AM304)</f>
        <v>130700</v>
      </c>
      <c r="AN305" s="2560">
        <f>SUM(AN301:AN304)</f>
        <v>130700</v>
      </c>
      <c r="AP305" s="2562"/>
      <c r="AR305" s="2560">
        <f>SUM(AR301:AR304)</f>
        <v>130700</v>
      </c>
      <c r="AS305" s="2560">
        <f>SUM(AS301:AS304)</f>
        <v>240963.37</v>
      </c>
      <c r="AT305" s="2560"/>
      <c r="AU305" s="2560">
        <f>SUM(AU301:AU304)</f>
        <v>244300</v>
      </c>
      <c r="AV305" s="2560">
        <f>SUM(AV301:AV304)</f>
        <v>242550</v>
      </c>
      <c r="AX305" s="2560">
        <f>SUM(AX301:AX304)</f>
        <v>244300</v>
      </c>
      <c r="AY305" s="2560">
        <f>SUM(AY301:AY304)</f>
        <v>4850</v>
      </c>
      <c r="AZ305" s="2560">
        <f>SUM(AZ301:AZ304)</f>
        <v>249150</v>
      </c>
      <c r="BA305" s="2561">
        <f>IF(AX305=0," ",(AZ305-AX305)/AX305)</f>
        <v>1.9852640196479737E-2</v>
      </c>
      <c r="BC305" s="2560">
        <f>SUM(BC301:BC304)</f>
        <v>249150</v>
      </c>
      <c r="BD305" s="2560">
        <f>SUM(BD301:BD304)</f>
        <v>249150</v>
      </c>
      <c r="BF305" s="2562"/>
      <c r="BH305" s="2560">
        <f>SUM(BH301:BH304)</f>
        <v>249150</v>
      </c>
      <c r="BI305" s="2560">
        <f>SUM(BI301:BI304)</f>
        <v>193776.78</v>
      </c>
      <c r="BM305" s="2560">
        <f>SUM(BM301:BM304)</f>
        <v>249150</v>
      </c>
      <c r="BN305" s="2560">
        <f>SUM(BN301:BN304)</f>
        <v>-2000</v>
      </c>
      <c r="BO305" s="2564">
        <f>SUM(BO301:BO304)</f>
        <v>247150</v>
      </c>
      <c r="BP305" s="2565">
        <f>IF(BM305=0," ",(BO305-BM305)/BM305)</f>
        <v>-8.027292795504716E-3</v>
      </c>
      <c r="BR305" s="2564">
        <f>SUM(BR301:BR304)</f>
        <v>247150</v>
      </c>
      <c r="BS305" s="2564">
        <f>SUM(BS301:BS304)</f>
        <v>247150</v>
      </c>
      <c r="BU305" s="2566"/>
      <c r="BW305" s="2564">
        <f>SUM(BW301:BW304)</f>
        <v>247150</v>
      </c>
      <c r="BX305" s="2560">
        <f>SUM(BX301:BX304)</f>
        <v>119315.95</v>
      </c>
      <c r="BZ305" s="2564">
        <f>SUM(BZ301:BZ304)</f>
        <v>247150</v>
      </c>
      <c r="CA305" s="2564">
        <f>SUM(CA301:CA304)</f>
        <v>-448</v>
      </c>
      <c r="CB305" s="2564">
        <f>SUM(CB301:CB304)</f>
        <v>246702</v>
      </c>
      <c r="CC305" s="2565">
        <f>IF(BZ305=0," ",(CB305-BZ305)/BZ305)</f>
        <v>-1.8126643738620271E-3</v>
      </c>
      <c r="CE305" s="2564">
        <f>SUM(CE301:CE304)</f>
        <v>249432</v>
      </c>
      <c r="CF305" s="2565">
        <f>IF(CB305=0," ",(CE305-CB305)/CB305)</f>
        <v>1.1065982440353138E-2</v>
      </c>
      <c r="CG305" s="2564">
        <f>SUM(CG301:CG304)</f>
        <v>249432</v>
      </c>
      <c r="CH305" s="2449" t="s">
        <v>1243</v>
      </c>
      <c r="CI305" s="2449"/>
      <c r="CJ305" s="2450"/>
      <c r="CK305" s="2450"/>
      <c r="CO305" s="2477">
        <v>-0.22224852498494885</v>
      </c>
      <c r="CP305" s="2478">
        <f t="shared" si="148"/>
        <v>-55373.22</v>
      </c>
      <c r="CQ305" s="2478"/>
      <c r="CR305" s="2478"/>
      <c r="CS305" s="2478"/>
      <c r="CT305" s="2478"/>
    </row>
    <row r="306" spans="1:98" hidden="1" x14ac:dyDescent="0.2">
      <c r="C306" s="2615"/>
      <c r="D306" s="2615"/>
      <c r="E306" s="2616"/>
      <c r="AS306" s="2466"/>
      <c r="AT306" s="2466"/>
      <c r="BZ306" s="2472"/>
      <c r="CH306" s="2449" t="s">
        <v>1091</v>
      </c>
      <c r="CI306" s="2449"/>
      <c r="CJ306" s="2450"/>
      <c r="CK306" s="2450"/>
      <c r="CP306" s="2478">
        <f t="shared" si="148"/>
        <v>0</v>
      </c>
      <c r="CQ306" s="2478"/>
      <c r="CR306" s="2478"/>
      <c r="CS306" s="2478"/>
      <c r="CT306" s="2478"/>
    </row>
    <row r="307" spans="1:98" hidden="1" x14ac:dyDescent="0.2">
      <c r="A307" s="2395">
        <v>210</v>
      </c>
      <c r="C307" s="2615">
        <v>21002</v>
      </c>
      <c r="D307" s="2615">
        <v>51125</v>
      </c>
      <c r="E307" s="2616" t="s">
        <v>319</v>
      </c>
      <c r="G307" s="2440" t="s">
        <v>1607</v>
      </c>
      <c r="S307" s="2466">
        <v>0</v>
      </c>
      <c r="AH307" s="2466">
        <v>0</v>
      </c>
      <c r="AI307" s="2470"/>
      <c r="AJ307" s="2466">
        <v>102977</v>
      </c>
      <c r="AK307" s="2468" t="str">
        <f>IF(AH307=0," ",(AJ307-AH307)/AH307)</f>
        <v xml:space="preserve"> </v>
      </c>
      <c r="AM307" s="2467">
        <v>102977</v>
      </c>
      <c r="AN307" s="2467">
        <v>102977</v>
      </c>
      <c r="AP307" s="2618" t="s">
        <v>1613</v>
      </c>
      <c r="AR307" s="2466">
        <v>102977</v>
      </c>
      <c r="AS307" s="2466"/>
      <c r="AT307" s="2466"/>
      <c r="AY307" s="2470"/>
      <c r="BA307" s="2468" t="str">
        <f t="shared" ref="BA307:BA310" si="168">IF(AX307=0," ",(AZ307-AX307)/AX307)</f>
        <v xml:space="preserve"> </v>
      </c>
      <c r="BC307" s="2467"/>
      <c r="BD307" s="2467"/>
      <c r="BF307" s="2619"/>
      <c r="BH307" s="2467"/>
      <c r="BN307" s="2470"/>
      <c r="BP307" s="2473" t="str">
        <f t="shared" ref="BP307:BP310" si="169">IF(BM307=0," ",(BO307-BM307)/BM307)</f>
        <v xml:space="preserve"> </v>
      </c>
      <c r="BR307" s="2474"/>
      <c r="BS307" s="2474"/>
      <c r="BU307" s="2603"/>
      <c r="BW307" s="2474"/>
      <c r="BZ307" s="2474"/>
      <c r="CA307" s="2470"/>
      <c r="CC307" s="2473" t="str">
        <f t="shared" ref="CC307:CC310" si="170">IF(BZ307=0," ",(CB307-BZ307)/BZ307)</f>
        <v xml:space="preserve"> </v>
      </c>
      <c r="CE307" s="2474"/>
      <c r="CF307" s="2476" t="str">
        <f t="shared" ref="CF307:CF315" si="171">IF(CB307=0," ",(CE307-CB307)/CB307)</f>
        <v xml:space="preserve"> </v>
      </c>
      <c r="CG307" s="2474"/>
      <c r="CH307" s="2449" t="s">
        <v>1217</v>
      </c>
      <c r="CI307" s="2449"/>
      <c r="CJ307" s="2450"/>
      <c r="CK307" s="2450"/>
      <c r="CP307" s="2478">
        <f t="shared" si="148"/>
        <v>0</v>
      </c>
      <c r="CQ307" s="2478"/>
      <c r="CR307" s="2478"/>
      <c r="CS307" s="2478"/>
      <c r="CT307" s="2478"/>
    </row>
    <row r="308" spans="1:98" ht="15" hidden="1" x14ac:dyDescent="0.2">
      <c r="A308" s="2395">
        <v>210</v>
      </c>
      <c r="B308" s="2440" t="s">
        <v>1214</v>
      </c>
      <c r="C308" s="2615">
        <v>21002</v>
      </c>
      <c r="D308" s="2615">
        <v>51130</v>
      </c>
      <c r="E308" s="2616" t="s">
        <v>319</v>
      </c>
      <c r="F308" s="2440" t="s">
        <v>1214</v>
      </c>
      <c r="G308" s="2440" t="s">
        <v>1614</v>
      </c>
      <c r="H308" s="2466">
        <v>714426</v>
      </c>
      <c r="I308" s="2470">
        <v>-20029</v>
      </c>
      <c r="J308" s="2466">
        <f t="shared" ref="J308:J324" si="172">H308+I308</f>
        <v>694397</v>
      </c>
      <c r="K308" s="2468">
        <f t="shared" ref="K308:K324" si="173">IF(H308=0," ",(J308-H308)/H308)</f>
        <v>-2.8035093907556555E-2</v>
      </c>
      <c r="M308" s="2467">
        <v>694397</v>
      </c>
      <c r="N308" s="2573">
        <f>694397+7500</f>
        <v>701897</v>
      </c>
      <c r="P308" s="2469" t="s">
        <v>1615</v>
      </c>
      <c r="R308" s="2549">
        <f>694397+7500</f>
        <v>701897</v>
      </c>
      <c r="S308" s="2549">
        <v>690659.76</v>
      </c>
      <c r="U308" s="2549">
        <f>694397+7500</f>
        <v>701897</v>
      </c>
      <c r="V308" s="2470">
        <v>51711</v>
      </c>
      <c r="W308" s="2466">
        <f t="shared" ref="W308:W324" si="174">U308+V308</f>
        <v>753608</v>
      </c>
      <c r="X308" s="2468">
        <f t="shared" ref="X308:X324" si="175">IF(U308=0," ",(W308-U308)/U308)</f>
        <v>7.3673202763368417E-2</v>
      </c>
      <c r="Z308" s="2467">
        <v>753608</v>
      </c>
      <c r="AA308" s="2467">
        <v>753608</v>
      </c>
      <c r="AC308" s="2469"/>
      <c r="AE308" s="2466">
        <v>753608</v>
      </c>
      <c r="AF308" s="2471">
        <v>738967.25</v>
      </c>
      <c r="AH308" s="2466">
        <v>753608</v>
      </c>
      <c r="AI308" s="2470">
        <v>16737</v>
      </c>
      <c r="AJ308" s="2620">
        <v>667366</v>
      </c>
      <c r="AK308" s="2468">
        <f t="shared" ref="AK308:AK326" si="176">IF(AH308=0," ",(AJ308-AH308)/AH308)</f>
        <v>-0.11443880638209786</v>
      </c>
      <c r="AM308" s="2621">
        <f>667366</f>
        <v>667366</v>
      </c>
      <c r="AN308" s="2621">
        <f>667366</f>
        <v>667366</v>
      </c>
      <c r="AP308" s="2622" t="s">
        <v>1616</v>
      </c>
      <c r="AR308" s="2623">
        <f>667366</f>
        <v>667366</v>
      </c>
      <c r="AS308" s="2466">
        <v>731440.8</v>
      </c>
      <c r="AT308" s="2466"/>
      <c r="AU308" s="2466">
        <v>795400</v>
      </c>
      <c r="AV308" s="2466">
        <v>582729.56999999995</v>
      </c>
      <c r="AX308" s="2466">
        <v>795400</v>
      </c>
      <c r="AY308" s="2470">
        <v>5477</v>
      </c>
      <c r="AZ308" s="2466">
        <f t="shared" ref="AZ308:AZ326" si="177">AX308+AY308</f>
        <v>800877</v>
      </c>
      <c r="BA308" s="2468">
        <f t="shared" si="168"/>
        <v>6.8858436007040481E-3</v>
      </c>
      <c r="BC308" s="2467">
        <v>800877</v>
      </c>
      <c r="BD308" s="2467">
        <v>800877</v>
      </c>
      <c r="BF308" s="2469" t="s">
        <v>1617</v>
      </c>
      <c r="BH308" s="2467">
        <v>800877</v>
      </c>
      <c r="BI308" s="2466">
        <v>672060.93</v>
      </c>
      <c r="BM308" s="2466">
        <v>800877</v>
      </c>
      <c r="BN308" s="2600">
        <v>-20795</v>
      </c>
      <c r="BO308" s="2472">
        <f t="shared" ref="BO308:BO326" si="178">BM308+BN308</f>
        <v>780082</v>
      </c>
      <c r="BP308" s="2473">
        <f t="shared" si="169"/>
        <v>-2.5965285555709552E-2</v>
      </c>
      <c r="BR308" s="2474">
        <v>780082</v>
      </c>
      <c r="BS308" s="2474">
        <v>780082</v>
      </c>
      <c r="BU308" s="2603" t="s">
        <v>1618</v>
      </c>
      <c r="BW308" s="2474">
        <v>780082</v>
      </c>
      <c r="BX308" s="2466">
        <v>329386.62</v>
      </c>
      <c r="BZ308" s="2474">
        <v>780082</v>
      </c>
      <c r="CA308" s="2470">
        <v>19622</v>
      </c>
      <c r="CB308" s="2472">
        <f t="shared" ref="CB308:CB326" si="179">BZ308+CA308</f>
        <v>799704</v>
      </c>
      <c r="CC308" s="2473">
        <f t="shared" si="170"/>
        <v>2.5153765886150429E-2</v>
      </c>
      <c r="CE308" s="2474">
        <v>799704</v>
      </c>
      <c r="CF308" s="2476">
        <f t="shared" si="171"/>
        <v>0</v>
      </c>
      <c r="CG308" s="2474">
        <v>799704</v>
      </c>
      <c r="CH308" s="2449" t="s">
        <v>1217</v>
      </c>
      <c r="CI308" s="2449"/>
      <c r="CJ308" s="2450"/>
      <c r="CK308" s="2450"/>
      <c r="CO308" s="2477">
        <v>-0.1608437625253315</v>
      </c>
      <c r="CP308" s="2478">
        <f t="shared" si="148"/>
        <v>-128816.06999999995</v>
      </c>
      <c r="CQ308" s="2478"/>
      <c r="CR308" s="2478"/>
      <c r="CS308" s="2478"/>
      <c r="CT308" s="2478"/>
    </row>
    <row r="309" spans="1:98" hidden="1" x14ac:dyDescent="0.2">
      <c r="A309" s="2395">
        <v>210</v>
      </c>
      <c r="B309" s="2440" t="s">
        <v>1214</v>
      </c>
      <c r="C309" s="2615">
        <v>21002</v>
      </c>
      <c r="D309" s="2615">
        <v>51135</v>
      </c>
      <c r="E309" s="2616" t="s">
        <v>319</v>
      </c>
      <c r="F309" s="2440" t="s">
        <v>1214</v>
      </c>
      <c r="G309" s="2440" t="s">
        <v>1619</v>
      </c>
      <c r="H309" s="2466">
        <v>47476</v>
      </c>
      <c r="I309" s="2470">
        <v>3929</v>
      </c>
      <c r="J309" s="2466">
        <f t="shared" si="172"/>
        <v>51405</v>
      </c>
      <c r="K309" s="2468">
        <f t="shared" si="173"/>
        <v>8.2757603841941196E-2</v>
      </c>
      <c r="M309" s="2467">
        <v>51406</v>
      </c>
      <c r="N309" s="2467">
        <v>51406</v>
      </c>
      <c r="P309" s="2469" t="s">
        <v>1620</v>
      </c>
      <c r="R309" s="2466">
        <v>51406</v>
      </c>
      <c r="S309" s="2466">
        <v>51624.800000000003</v>
      </c>
      <c r="U309" s="2466">
        <v>51406</v>
      </c>
      <c r="V309" s="2470">
        <v>2452</v>
      </c>
      <c r="W309" s="2466">
        <f t="shared" si="174"/>
        <v>53858</v>
      </c>
      <c r="X309" s="2468">
        <f t="shared" si="175"/>
        <v>4.7698712212582192E-2</v>
      </c>
      <c r="Z309" s="2467">
        <v>53858</v>
      </c>
      <c r="AA309" s="2467">
        <v>53858</v>
      </c>
      <c r="AC309" s="2469" t="s">
        <v>1621</v>
      </c>
      <c r="AE309" s="2466">
        <v>53858</v>
      </c>
      <c r="AF309" s="2471">
        <v>55281.56</v>
      </c>
      <c r="AH309" s="2466">
        <v>53858</v>
      </c>
      <c r="AI309" s="2470">
        <v>3104</v>
      </c>
      <c r="AJ309" s="2466">
        <f t="shared" ref="AJ309:AJ326" si="180">AH309+AI309</f>
        <v>56962</v>
      </c>
      <c r="AK309" s="2468">
        <f t="shared" si="176"/>
        <v>5.7633035018010322E-2</v>
      </c>
      <c r="AM309" s="2467">
        <v>56962</v>
      </c>
      <c r="AN309" s="2467">
        <v>56962</v>
      </c>
      <c r="AP309" s="2469" t="s">
        <v>1622</v>
      </c>
      <c r="AR309" s="2466">
        <v>56962</v>
      </c>
      <c r="AS309" s="2466">
        <v>59317.99</v>
      </c>
      <c r="AT309" s="2466"/>
      <c r="AU309" s="2466">
        <v>58243</v>
      </c>
      <c r="AV309" s="2466">
        <v>58242.400000000001</v>
      </c>
      <c r="AX309" s="2466">
        <v>58243</v>
      </c>
      <c r="AY309" s="2470">
        <v>1197</v>
      </c>
      <c r="AZ309" s="2466">
        <f t="shared" si="177"/>
        <v>59440</v>
      </c>
      <c r="BA309" s="2468">
        <f t="shared" si="168"/>
        <v>2.0551825970502893E-2</v>
      </c>
      <c r="BC309" s="2467">
        <v>59440</v>
      </c>
      <c r="BD309" s="2467">
        <f>59440+6668</f>
        <v>66108</v>
      </c>
      <c r="BF309" s="2531" t="s">
        <v>1623</v>
      </c>
      <c r="BH309" s="2467">
        <f>59440+6668</f>
        <v>66108</v>
      </c>
      <c r="BI309" s="2466">
        <v>65980.800000000003</v>
      </c>
      <c r="BM309" s="2466">
        <f>59440+6668</f>
        <v>66108</v>
      </c>
      <c r="BN309" s="2600">
        <v>1189</v>
      </c>
      <c r="BO309" s="2472">
        <f t="shared" si="178"/>
        <v>67297</v>
      </c>
      <c r="BP309" s="2473">
        <f t="shared" si="169"/>
        <v>1.7985720336419191E-2</v>
      </c>
      <c r="BR309" s="2474">
        <v>67297</v>
      </c>
      <c r="BS309" s="2474">
        <v>67297</v>
      </c>
      <c r="BU309" s="2512" t="s">
        <v>1624</v>
      </c>
      <c r="BW309" s="2474">
        <v>67297</v>
      </c>
      <c r="BX309" s="2466">
        <v>32487.84</v>
      </c>
      <c r="BZ309" s="2474">
        <v>67297</v>
      </c>
      <c r="CA309" s="2470">
        <v>-258</v>
      </c>
      <c r="CB309" s="2472">
        <f t="shared" si="179"/>
        <v>67039</v>
      </c>
      <c r="CC309" s="2473">
        <f t="shared" si="170"/>
        <v>-3.8337518760123038E-3</v>
      </c>
      <c r="CE309" s="2474">
        <v>68370</v>
      </c>
      <c r="CF309" s="2476">
        <f t="shared" si="171"/>
        <v>1.9854114769015052E-2</v>
      </c>
      <c r="CG309" s="2474">
        <v>68370</v>
      </c>
      <c r="CH309" s="2449" t="s">
        <v>1217</v>
      </c>
      <c r="CI309" s="2449"/>
      <c r="CJ309" s="2450"/>
      <c r="CK309" s="2450"/>
      <c r="CO309" s="2477">
        <v>-1.9241241604646131E-3</v>
      </c>
      <c r="CP309" s="2478">
        <f t="shared" si="148"/>
        <v>-127.19999999999709</v>
      </c>
      <c r="CQ309" s="2478"/>
      <c r="CR309" s="2478"/>
      <c r="CS309" s="2478"/>
      <c r="CT309" s="2478"/>
    </row>
    <row r="310" spans="1:98" hidden="1" x14ac:dyDescent="0.2">
      <c r="A310" s="2395">
        <v>210</v>
      </c>
      <c r="B310" s="2440" t="s">
        <v>1214</v>
      </c>
      <c r="C310" s="2615">
        <v>21002</v>
      </c>
      <c r="D310" s="2615">
        <v>51140</v>
      </c>
      <c r="E310" s="2616" t="s">
        <v>319</v>
      </c>
      <c r="F310" s="2440" t="s">
        <v>1214</v>
      </c>
      <c r="G310" s="2440" t="s">
        <v>1625</v>
      </c>
      <c r="H310" s="2466">
        <v>14401</v>
      </c>
      <c r="I310" s="2470">
        <f>632-3758</f>
        <v>-3126</v>
      </c>
      <c r="J310" s="2466">
        <f t="shared" si="172"/>
        <v>11275</v>
      </c>
      <c r="K310" s="2468">
        <f t="shared" si="173"/>
        <v>-0.21706825914867023</v>
      </c>
      <c r="M310" s="2467">
        <v>11275</v>
      </c>
      <c r="N310" s="2573">
        <f>11275+3758</f>
        <v>15033</v>
      </c>
      <c r="P310" s="2469" t="s">
        <v>1626</v>
      </c>
      <c r="R310" s="2549">
        <f>11275+3758</f>
        <v>15033</v>
      </c>
      <c r="S310" s="2549">
        <v>12309.38</v>
      </c>
      <c r="U310" s="2549">
        <f>11275+3758</f>
        <v>15033</v>
      </c>
      <c r="V310" s="2470">
        <v>-1445</v>
      </c>
      <c r="W310" s="2466">
        <f t="shared" si="174"/>
        <v>13588</v>
      </c>
      <c r="X310" s="2468">
        <f t="shared" si="175"/>
        <v>-9.6121865229827713E-2</v>
      </c>
      <c r="Z310" s="2467">
        <v>13588</v>
      </c>
      <c r="AA310" s="2467">
        <v>13588</v>
      </c>
      <c r="AC310" s="2596" t="s">
        <v>1627</v>
      </c>
      <c r="AE310" s="2466">
        <v>13588</v>
      </c>
      <c r="AF310" s="2471">
        <v>14367.66</v>
      </c>
      <c r="AH310" s="2466">
        <v>13588</v>
      </c>
      <c r="AI310" s="2470">
        <v>794</v>
      </c>
      <c r="AJ310" s="2466">
        <f t="shared" si="180"/>
        <v>14382</v>
      </c>
      <c r="AK310" s="2468">
        <f t="shared" si="176"/>
        <v>5.8433912275537236E-2</v>
      </c>
      <c r="AM310" s="2467">
        <v>14382</v>
      </c>
      <c r="AN310" s="2467">
        <v>14382</v>
      </c>
      <c r="AP310" s="2469" t="s">
        <v>1628</v>
      </c>
      <c r="AR310" s="2466">
        <v>14382</v>
      </c>
      <c r="AS310" s="2466">
        <v>12122</v>
      </c>
      <c r="AT310" s="2466"/>
      <c r="AU310" s="2466">
        <v>14723</v>
      </c>
      <c r="AX310" s="2466">
        <v>14723</v>
      </c>
      <c r="AY310" s="2470">
        <v>-14723</v>
      </c>
      <c r="AZ310" s="2466">
        <f t="shared" si="177"/>
        <v>0</v>
      </c>
      <c r="BA310" s="2468">
        <f t="shared" si="168"/>
        <v>-1</v>
      </c>
      <c r="BC310" s="2467">
        <v>0</v>
      </c>
      <c r="BD310" s="2467">
        <v>0</v>
      </c>
      <c r="BF310" s="2596"/>
      <c r="BH310" s="2467">
        <v>0</v>
      </c>
      <c r="BM310" s="2466">
        <v>0</v>
      </c>
      <c r="BN310" s="2470"/>
      <c r="BO310" s="2472">
        <f t="shared" si="178"/>
        <v>0</v>
      </c>
      <c r="BP310" s="2473" t="str">
        <f t="shared" si="169"/>
        <v xml:space="preserve"> </v>
      </c>
      <c r="BR310" s="2474">
        <v>0</v>
      </c>
      <c r="BS310" s="2474">
        <v>0</v>
      </c>
      <c r="BU310" s="2603"/>
      <c r="BW310" s="2474">
        <v>0</v>
      </c>
      <c r="BZ310" s="2474">
        <v>0</v>
      </c>
      <c r="CA310" s="2470"/>
      <c r="CB310" s="2472">
        <f t="shared" si="179"/>
        <v>0</v>
      </c>
      <c r="CC310" s="2473" t="str">
        <f t="shared" si="170"/>
        <v xml:space="preserve"> </v>
      </c>
      <c r="CE310" s="2474">
        <v>0</v>
      </c>
      <c r="CF310" s="2476" t="str">
        <f t="shared" si="171"/>
        <v xml:space="preserve"> </v>
      </c>
      <c r="CG310" s="2474">
        <v>0</v>
      </c>
      <c r="CH310" s="2449" t="s">
        <v>1217</v>
      </c>
      <c r="CI310" s="2449"/>
      <c r="CJ310" s="2450"/>
      <c r="CK310" s="2450"/>
      <c r="CP310" s="2478">
        <f t="shared" si="148"/>
        <v>0</v>
      </c>
      <c r="CQ310" s="2478"/>
      <c r="CR310" s="2478"/>
      <c r="CS310" s="2478"/>
      <c r="CT310" s="2478"/>
    </row>
    <row r="311" spans="1:98" ht="12.75" hidden="1" customHeight="1" x14ac:dyDescent="0.2">
      <c r="A311" s="2395">
        <v>210</v>
      </c>
      <c r="B311" s="2440" t="s">
        <v>1214</v>
      </c>
      <c r="C311" s="2615">
        <v>21002</v>
      </c>
      <c r="D311" s="2615">
        <v>51150</v>
      </c>
      <c r="E311" s="2616" t="s">
        <v>319</v>
      </c>
      <c r="F311" s="2440" t="s">
        <v>1214</v>
      </c>
      <c r="G311" s="2440" t="s">
        <v>1629</v>
      </c>
      <c r="H311" s="2466">
        <v>98682</v>
      </c>
      <c r="I311" s="2470">
        <v>1974</v>
      </c>
      <c r="J311" s="2466">
        <f t="shared" si="172"/>
        <v>100656</v>
      </c>
      <c r="K311" s="2468">
        <f t="shared" si="173"/>
        <v>2.0003648081717031E-2</v>
      </c>
      <c r="M311" s="2467">
        <v>100656</v>
      </c>
      <c r="N311" s="2467">
        <v>100656</v>
      </c>
      <c r="P311" s="2469" t="s">
        <v>1630</v>
      </c>
      <c r="R311" s="2466">
        <v>100656</v>
      </c>
      <c r="S311" s="2466">
        <v>61764.02</v>
      </c>
      <c r="U311" s="2466">
        <v>100656</v>
      </c>
      <c r="V311" s="2470">
        <v>-29978</v>
      </c>
      <c r="W311" s="2466">
        <f t="shared" si="174"/>
        <v>70678</v>
      </c>
      <c r="X311" s="2468">
        <f t="shared" si="175"/>
        <v>-0.29782625973613097</v>
      </c>
      <c r="Z311" s="2467">
        <v>70678</v>
      </c>
      <c r="AA311" s="2467">
        <v>70678</v>
      </c>
      <c r="AC311" s="2469"/>
      <c r="AE311" s="2466">
        <v>70678</v>
      </c>
      <c r="AF311" s="2471">
        <v>84867.87</v>
      </c>
      <c r="AH311" s="2466">
        <v>70678</v>
      </c>
      <c r="AI311" s="2470">
        <v>1075</v>
      </c>
      <c r="AJ311" s="2466">
        <f t="shared" si="180"/>
        <v>71753</v>
      </c>
      <c r="AK311" s="2468">
        <f t="shared" si="176"/>
        <v>1.5209824839412547E-2</v>
      </c>
      <c r="AM311" s="2467">
        <v>71753</v>
      </c>
      <c r="AN311" s="2467">
        <v>71753</v>
      </c>
      <c r="AP311" s="2622" t="s">
        <v>1631</v>
      </c>
      <c r="AR311" s="2466">
        <v>71753</v>
      </c>
      <c r="AS311" s="2466">
        <v>39803.5</v>
      </c>
      <c r="AT311" s="2466"/>
      <c r="AU311" s="2466">
        <v>52466</v>
      </c>
      <c r="AV311" s="2466">
        <v>107698.24000000001</v>
      </c>
      <c r="AX311" s="2466">
        <v>52466</v>
      </c>
      <c r="AY311" s="2470">
        <v>14658</v>
      </c>
      <c r="AZ311" s="2466">
        <f t="shared" si="177"/>
        <v>67124</v>
      </c>
      <c r="BA311" s="2468">
        <f>IF(AX311=0," ",(AZ311-AX311)/AX311)</f>
        <v>0.27938093241337247</v>
      </c>
      <c r="BC311" s="2467">
        <v>67124</v>
      </c>
      <c r="BD311" s="2467">
        <v>67124</v>
      </c>
      <c r="BF311" s="2964" t="s">
        <v>1632</v>
      </c>
      <c r="BH311" s="2467">
        <v>67124</v>
      </c>
      <c r="BI311" s="2466">
        <v>62154.82</v>
      </c>
      <c r="BM311" s="2466">
        <v>67124</v>
      </c>
      <c r="BN311" s="2542">
        <v>-27518</v>
      </c>
      <c r="BO311" s="2472">
        <f t="shared" si="178"/>
        <v>39606</v>
      </c>
      <c r="BP311" s="2473">
        <f>IF(BM311=0," ",(BO311-BM311)/BM311)</f>
        <v>-0.40995769024491985</v>
      </c>
      <c r="BR311" s="2474">
        <v>39606</v>
      </c>
      <c r="BS311" s="2474">
        <v>39606</v>
      </c>
      <c r="BU311" s="2603" t="s">
        <v>1633</v>
      </c>
      <c r="BW311" s="2474">
        <v>39606</v>
      </c>
      <c r="BX311" s="2466">
        <v>29496.18</v>
      </c>
      <c r="BZ311" s="2474">
        <v>39606</v>
      </c>
      <c r="CA311" s="2470">
        <v>793</v>
      </c>
      <c r="CB311" s="2472">
        <f t="shared" si="179"/>
        <v>40399</v>
      </c>
      <c r="CC311" s="2473">
        <f>IF(BZ311=0," ",(CB311-BZ311)/BZ311)</f>
        <v>2.002221885572893E-2</v>
      </c>
      <c r="CE311" s="2474">
        <v>40399</v>
      </c>
      <c r="CF311" s="2476">
        <f t="shared" si="171"/>
        <v>0</v>
      </c>
      <c r="CG311" s="2474">
        <v>40399</v>
      </c>
      <c r="CH311" s="2449" t="s">
        <v>1217</v>
      </c>
      <c r="CI311" s="2449"/>
      <c r="CJ311" s="2450"/>
      <c r="CK311" s="2450"/>
      <c r="CO311" s="2477">
        <v>-7.4029855193373462E-2</v>
      </c>
      <c r="CP311" s="2478">
        <f t="shared" si="148"/>
        <v>-4969.18</v>
      </c>
      <c r="CQ311" s="2478"/>
      <c r="CR311" s="2478"/>
      <c r="CS311" s="2478"/>
      <c r="CT311" s="2478"/>
    </row>
    <row r="312" spans="1:98" hidden="1" x14ac:dyDescent="0.2">
      <c r="A312" s="2395">
        <v>210</v>
      </c>
      <c r="B312" s="2440" t="s">
        <v>1214</v>
      </c>
      <c r="C312" s="2615">
        <v>21002</v>
      </c>
      <c r="D312" s="2615">
        <v>51152</v>
      </c>
      <c r="E312" s="2616" t="s">
        <v>319</v>
      </c>
      <c r="F312" s="2440" t="s">
        <v>1214</v>
      </c>
      <c r="G312" s="2440" t="s">
        <v>1634</v>
      </c>
      <c r="H312" s="2466">
        <v>0</v>
      </c>
      <c r="I312" s="2470"/>
      <c r="J312" s="2466">
        <f t="shared" si="172"/>
        <v>0</v>
      </c>
      <c r="K312" s="2468" t="str">
        <f t="shared" si="173"/>
        <v xml:space="preserve"> </v>
      </c>
      <c r="M312" s="2467">
        <v>0</v>
      </c>
      <c r="N312" s="2467">
        <v>0</v>
      </c>
      <c r="P312" s="2469"/>
      <c r="R312" s="2466">
        <v>0</v>
      </c>
      <c r="S312" s="2466">
        <v>175.44</v>
      </c>
      <c r="U312" s="2466">
        <v>0</v>
      </c>
      <c r="V312" s="2470">
        <v>0</v>
      </c>
      <c r="W312" s="2466">
        <f t="shared" si="174"/>
        <v>0</v>
      </c>
      <c r="X312" s="2468" t="str">
        <f t="shared" si="175"/>
        <v xml:space="preserve"> </v>
      </c>
      <c r="Z312" s="2467">
        <v>0</v>
      </c>
      <c r="AA312" s="2467">
        <v>0</v>
      </c>
      <c r="AC312" s="2469"/>
      <c r="AE312" s="2466">
        <v>0</v>
      </c>
      <c r="AF312" s="2471">
        <v>720.84</v>
      </c>
      <c r="AH312" s="2466">
        <v>0</v>
      </c>
      <c r="AI312" s="2470"/>
      <c r="AJ312" s="2466">
        <f t="shared" si="180"/>
        <v>0</v>
      </c>
      <c r="AK312" s="2468" t="str">
        <f t="shared" si="176"/>
        <v xml:space="preserve"> </v>
      </c>
      <c r="AM312" s="2467">
        <v>0</v>
      </c>
      <c r="AN312" s="2467">
        <v>0</v>
      </c>
      <c r="AP312" s="2469"/>
      <c r="AR312" s="2466">
        <v>0</v>
      </c>
      <c r="AS312" s="2466">
        <v>87.72</v>
      </c>
      <c r="AT312" s="2466"/>
      <c r="AV312" s="2466">
        <v>175.44</v>
      </c>
      <c r="AY312" s="2470"/>
      <c r="AZ312" s="2466">
        <f t="shared" si="177"/>
        <v>0</v>
      </c>
      <c r="BA312" s="2468" t="str">
        <f>IF(AX312=0," ",(AZ312-AX312)/AX312)</f>
        <v xml:space="preserve"> </v>
      </c>
      <c r="BC312" s="2467">
        <v>0</v>
      </c>
      <c r="BD312" s="2467">
        <v>0</v>
      </c>
      <c r="BF312" s="2965"/>
      <c r="BH312" s="2467">
        <v>0</v>
      </c>
      <c r="BM312" s="2466">
        <v>0</v>
      </c>
      <c r="BN312" s="2470"/>
      <c r="BO312" s="2472">
        <f t="shared" si="178"/>
        <v>0</v>
      </c>
      <c r="BP312" s="2473" t="str">
        <f>IF(BM312=0," ",(BO312-BM312)/BM312)</f>
        <v xml:space="preserve"> </v>
      </c>
      <c r="BR312" s="2474">
        <v>0</v>
      </c>
      <c r="BS312" s="2474">
        <v>0</v>
      </c>
      <c r="BU312" s="2603"/>
      <c r="BW312" s="2474">
        <v>0</v>
      </c>
      <c r="BX312" s="2466">
        <v>189.69</v>
      </c>
      <c r="BZ312" s="2474">
        <v>0</v>
      </c>
      <c r="CA312" s="2470"/>
      <c r="CB312" s="2472">
        <f t="shared" si="179"/>
        <v>0</v>
      </c>
      <c r="CC312" s="2473" t="str">
        <f>IF(BZ312=0," ",(CB312-BZ312)/BZ312)</f>
        <v xml:space="preserve"> </v>
      </c>
      <c r="CE312" s="2474">
        <v>0</v>
      </c>
      <c r="CF312" s="2476" t="str">
        <f t="shared" si="171"/>
        <v xml:space="preserve"> </v>
      </c>
      <c r="CG312" s="2474">
        <v>0</v>
      </c>
      <c r="CH312" s="2449" t="s">
        <v>1217</v>
      </c>
      <c r="CI312" s="2449"/>
      <c r="CJ312" s="2450"/>
      <c r="CK312" s="2450"/>
      <c r="CP312" s="2478">
        <f t="shared" si="148"/>
        <v>0</v>
      </c>
      <c r="CQ312" s="2478"/>
      <c r="CR312" s="2478"/>
      <c r="CS312" s="2478"/>
      <c r="CT312" s="2478"/>
    </row>
    <row r="313" spans="1:98" hidden="1" x14ac:dyDescent="0.2">
      <c r="A313" s="2395">
        <v>210</v>
      </c>
      <c r="B313" s="2440" t="s">
        <v>1214</v>
      </c>
      <c r="C313" s="2615">
        <v>21002</v>
      </c>
      <c r="D313" s="2615">
        <v>51160</v>
      </c>
      <c r="E313" s="2616" t="s">
        <v>319</v>
      </c>
      <c r="F313" s="2440" t="s">
        <v>1214</v>
      </c>
      <c r="G313" s="2440" t="s">
        <v>1635</v>
      </c>
      <c r="H313" s="2466">
        <v>5789</v>
      </c>
      <c r="I313" s="2470"/>
      <c r="J313" s="2466">
        <f t="shared" si="172"/>
        <v>5789</v>
      </c>
      <c r="K313" s="2468">
        <f t="shared" si="173"/>
        <v>0</v>
      </c>
      <c r="M313" s="2467">
        <v>5789</v>
      </c>
      <c r="N313" s="2467">
        <v>5789</v>
      </c>
      <c r="P313" s="2469"/>
      <c r="R313" s="2466">
        <v>5789</v>
      </c>
      <c r="S313" s="2466">
        <v>2630.84</v>
      </c>
      <c r="U313" s="2466">
        <v>5789</v>
      </c>
      <c r="V313" s="2470">
        <v>116</v>
      </c>
      <c r="W313" s="2466">
        <f t="shared" si="174"/>
        <v>5905</v>
      </c>
      <c r="X313" s="2468">
        <f t="shared" si="175"/>
        <v>2.0038003109345309E-2</v>
      </c>
      <c r="Z313" s="2467">
        <v>5905</v>
      </c>
      <c r="AA313" s="2467">
        <v>5905</v>
      </c>
      <c r="AC313" s="2469"/>
      <c r="AE313" s="2466">
        <v>5905</v>
      </c>
      <c r="AF313" s="2471">
        <v>2853.76</v>
      </c>
      <c r="AH313" s="2466">
        <v>5905</v>
      </c>
      <c r="AI313" s="2470">
        <v>215</v>
      </c>
      <c r="AJ313" s="2466">
        <f t="shared" si="180"/>
        <v>6120</v>
      </c>
      <c r="AK313" s="2468">
        <f t="shared" si="176"/>
        <v>3.6409822184589331E-2</v>
      </c>
      <c r="AM313" s="2467">
        <v>6120</v>
      </c>
      <c r="AN313" s="2467">
        <v>6120</v>
      </c>
      <c r="AP313" s="2469" t="s">
        <v>1636</v>
      </c>
      <c r="AR313" s="2466">
        <v>6120</v>
      </c>
      <c r="AS313" s="2466">
        <v>2880.85</v>
      </c>
      <c r="AT313" s="2466"/>
      <c r="AU313" s="2466">
        <v>6120</v>
      </c>
      <c r="AV313" s="2466">
        <v>1067.2</v>
      </c>
      <c r="AX313" s="2466">
        <v>6120</v>
      </c>
      <c r="AY313" s="2470">
        <v>5399</v>
      </c>
      <c r="AZ313" s="2466">
        <f t="shared" si="177"/>
        <v>11519</v>
      </c>
      <c r="BA313" s="2468">
        <f>IF(AX313=0," ",(AZ313-AX313)/AX313)</f>
        <v>0.88218954248366011</v>
      </c>
      <c r="BC313" s="2467">
        <v>11519</v>
      </c>
      <c r="BD313" s="2467">
        <f>11519-5000</f>
        <v>6519</v>
      </c>
      <c r="BF313" s="2965"/>
      <c r="BH313" s="2467">
        <f>11519-5000</f>
        <v>6519</v>
      </c>
      <c r="BI313" s="2466">
        <v>863.42</v>
      </c>
      <c r="BM313" s="2466">
        <f>11519-5000</f>
        <v>6519</v>
      </c>
      <c r="BN313" s="2600">
        <v>-4603</v>
      </c>
      <c r="BO313" s="2472">
        <f t="shared" si="178"/>
        <v>1916</v>
      </c>
      <c r="BP313" s="2473">
        <f>IF(BM313=0," ",(BO313-BM313)/BM313)</f>
        <v>-0.70608989108759013</v>
      </c>
      <c r="BR313" s="2474">
        <v>1916</v>
      </c>
      <c r="BS313" s="2474">
        <v>1916</v>
      </c>
      <c r="BU313" s="2624" t="s">
        <v>1637</v>
      </c>
      <c r="BW313" s="2474">
        <v>1916</v>
      </c>
      <c r="BX313" s="2466">
        <v>450.03</v>
      </c>
      <c r="BZ313" s="2474">
        <v>1916</v>
      </c>
      <c r="CA313" s="2470"/>
      <c r="CB313" s="2472">
        <f t="shared" si="179"/>
        <v>1916</v>
      </c>
      <c r="CC313" s="2473">
        <f>IF(BZ313=0," ",(CB313-BZ313)/BZ313)</f>
        <v>0</v>
      </c>
      <c r="CE313" s="2474">
        <v>1954</v>
      </c>
      <c r="CF313" s="2476">
        <f t="shared" si="171"/>
        <v>1.9832985386221295E-2</v>
      </c>
      <c r="CG313" s="2474">
        <v>1954</v>
      </c>
      <c r="CH313" s="2449" t="s">
        <v>1217</v>
      </c>
      <c r="CI313" s="2449"/>
      <c r="CJ313" s="2450"/>
      <c r="CK313" s="2450"/>
      <c r="CO313" s="2477">
        <v>-0.8675533057217365</v>
      </c>
      <c r="CP313" s="2478">
        <f t="shared" si="148"/>
        <v>-5655.58</v>
      </c>
      <c r="CQ313" s="2478"/>
      <c r="CR313" s="2478"/>
      <c r="CS313" s="2478"/>
      <c r="CT313" s="2478"/>
    </row>
    <row r="314" spans="1:98" hidden="1" x14ac:dyDescent="0.2">
      <c r="A314" s="2395">
        <v>210</v>
      </c>
      <c r="B314" s="2440" t="s">
        <v>1214</v>
      </c>
      <c r="C314" s="2615">
        <v>21002</v>
      </c>
      <c r="D314" s="2615">
        <v>51310</v>
      </c>
      <c r="E314" s="2616" t="s">
        <v>319</v>
      </c>
      <c r="F314" s="2440" t="s">
        <v>1214</v>
      </c>
      <c r="G314" s="2440" t="s">
        <v>1638</v>
      </c>
      <c r="H314" s="2466">
        <v>175555</v>
      </c>
      <c r="I314" s="2470"/>
      <c r="J314" s="2466">
        <f t="shared" si="172"/>
        <v>175555</v>
      </c>
      <c r="K314" s="2468">
        <f t="shared" si="173"/>
        <v>0</v>
      </c>
      <c r="M314" s="2467">
        <v>175555</v>
      </c>
      <c r="N314" s="2467">
        <v>175555</v>
      </c>
      <c r="P314" s="2469"/>
      <c r="R314" s="2466">
        <v>175555</v>
      </c>
      <c r="S314" s="2466">
        <v>259927.53</v>
      </c>
      <c r="U314" s="2466">
        <v>175555</v>
      </c>
      <c r="V314" s="2470">
        <v>46111</v>
      </c>
      <c r="W314" s="2466">
        <f t="shared" si="174"/>
        <v>221666</v>
      </c>
      <c r="X314" s="2468">
        <f t="shared" si="175"/>
        <v>0.26265842613425994</v>
      </c>
      <c r="Z314" s="2467">
        <v>221666</v>
      </c>
      <c r="AA314" s="2467">
        <v>221666</v>
      </c>
      <c r="AC314" s="2469"/>
      <c r="AE314" s="2466">
        <v>221666</v>
      </c>
      <c r="AF314" s="2471">
        <v>236201.68</v>
      </c>
      <c r="AH314" s="2466">
        <v>221666</v>
      </c>
      <c r="AI314" s="2470">
        <v>-13208</v>
      </c>
      <c r="AJ314" s="2466">
        <f t="shared" si="180"/>
        <v>208458</v>
      </c>
      <c r="AK314" s="2468">
        <f t="shared" si="176"/>
        <v>-5.9585141609448451E-2</v>
      </c>
      <c r="AM314" s="2467">
        <f>208458-40000</f>
        <v>168458</v>
      </c>
      <c r="AN314" s="2467">
        <f>208458-40000</f>
        <v>168458</v>
      </c>
      <c r="AP314" s="2622" t="s">
        <v>1639</v>
      </c>
      <c r="AR314" s="2466">
        <f>208458-40000</f>
        <v>168458</v>
      </c>
      <c r="AS314" s="2466">
        <v>105419.78</v>
      </c>
      <c r="AT314" s="2466"/>
      <c r="AU314" s="2466">
        <v>140000</v>
      </c>
      <c r="AV314" s="2466">
        <v>157391.47</v>
      </c>
      <c r="AX314" s="2466">
        <v>140000</v>
      </c>
      <c r="AY314" s="2470">
        <v>12294</v>
      </c>
      <c r="AZ314" s="2466">
        <f t="shared" si="177"/>
        <v>152294</v>
      </c>
      <c r="BA314" s="2468">
        <f>IF(AX314=0," ",(AZ314-AX314)/AX314)</f>
        <v>8.781428571428572E-2</v>
      </c>
      <c r="BC314" s="2467">
        <v>152294</v>
      </c>
      <c r="BD314" s="2467">
        <v>152294</v>
      </c>
      <c r="BF314" s="2966"/>
      <c r="BH314" s="2467">
        <v>152294</v>
      </c>
      <c r="BI314" s="2466">
        <v>190475.12</v>
      </c>
      <c r="BM314" s="2466">
        <v>152294</v>
      </c>
      <c r="BN314" s="2542">
        <v>19706</v>
      </c>
      <c r="BO314" s="2472">
        <f t="shared" si="178"/>
        <v>172000</v>
      </c>
      <c r="BP314" s="2473">
        <f>IF(BM314=0," ",(BO314-BM314)/BM314)</f>
        <v>0.12939446071414501</v>
      </c>
      <c r="BR314" s="2474">
        <v>172000</v>
      </c>
      <c r="BS314" s="2474">
        <v>172000</v>
      </c>
      <c r="BU314" s="2603" t="s">
        <v>1633</v>
      </c>
      <c r="BW314" s="2474">
        <v>172000</v>
      </c>
      <c r="BX314" s="2466">
        <v>83763.37</v>
      </c>
      <c r="BZ314" s="2474">
        <v>172000</v>
      </c>
      <c r="CA314" s="2470">
        <v>3440</v>
      </c>
      <c r="CB314" s="2472">
        <f t="shared" si="179"/>
        <v>175440</v>
      </c>
      <c r="CC314" s="2473">
        <f>IF(BZ314=0," ",(CB314-BZ314)/BZ314)</f>
        <v>0.02</v>
      </c>
      <c r="CE314" s="2474">
        <v>175440</v>
      </c>
      <c r="CF314" s="2476">
        <f t="shared" si="171"/>
        <v>0</v>
      </c>
      <c r="CG314" s="2572">
        <f>CE314-15000</f>
        <v>160440</v>
      </c>
      <c r="CH314" s="2449" t="s">
        <v>1217</v>
      </c>
      <c r="CI314" s="2449"/>
      <c r="CJ314" s="2450"/>
      <c r="CK314" s="2450"/>
      <c r="CO314" s="2477">
        <v>0.25070665948756998</v>
      </c>
      <c r="CP314" s="2478">
        <f t="shared" si="148"/>
        <v>38181.119999999995</v>
      </c>
      <c r="CQ314" s="2478"/>
      <c r="CR314" s="2478"/>
      <c r="CS314" s="2478"/>
      <c r="CT314" s="2478"/>
    </row>
    <row r="315" spans="1:98" hidden="1" x14ac:dyDescent="0.2">
      <c r="A315" s="2395">
        <v>210</v>
      </c>
      <c r="C315" s="2615">
        <v>21002</v>
      </c>
      <c r="D315" s="2615">
        <v>51313</v>
      </c>
      <c r="E315" s="2616" t="s">
        <v>319</v>
      </c>
      <c r="G315" s="2440" t="s">
        <v>1640</v>
      </c>
      <c r="H315" s="2466">
        <v>18916</v>
      </c>
      <c r="I315" s="2470">
        <v>378</v>
      </c>
      <c r="J315" s="2466">
        <f>H315+I315</f>
        <v>19294</v>
      </c>
      <c r="K315" s="2468">
        <f>IF(H315=0," ",(J315-H315)/H315)</f>
        <v>1.9983083104250371E-2</v>
      </c>
      <c r="M315" s="2467">
        <v>19294</v>
      </c>
      <c r="N315" s="2467">
        <v>19294</v>
      </c>
      <c r="P315" s="2469" t="s">
        <v>1630</v>
      </c>
      <c r="R315" s="2466">
        <v>19294</v>
      </c>
      <c r="S315" s="2466">
        <v>0</v>
      </c>
      <c r="U315" s="2466">
        <v>19294</v>
      </c>
      <c r="V315" s="2470">
        <v>-19294</v>
      </c>
      <c r="W315" s="2466">
        <f>U315+V315</f>
        <v>0</v>
      </c>
      <c r="X315" s="2468">
        <f>IF(U315=0," ",(W315-U315)/U315)</f>
        <v>-1</v>
      </c>
      <c r="Z315" s="2467">
        <v>0</v>
      </c>
      <c r="AA315" s="2467">
        <v>0</v>
      </c>
      <c r="AC315" s="2469" t="s">
        <v>1641</v>
      </c>
      <c r="AE315" s="2466">
        <v>0</v>
      </c>
      <c r="AF315" s="2471">
        <v>0</v>
      </c>
      <c r="AH315" s="2466">
        <v>0</v>
      </c>
      <c r="AI315" s="2470"/>
      <c r="AJ315" s="2466">
        <f t="shared" si="180"/>
        <v>0</v>
      </c>
      <c r="AK315" s="2468" t="str">
        <f t="shared" si="176"/>
        <v xml:space="preserve"> </v>
      </c>
      <c r="AM315" s="2467">
        <v>0</v>
      </c>
      <c r="AN315" s="2467">
        <v>0</v>
      </c>
      <c r="AP315" s="2469"/>
      <c r="AR315" s="2466">
        <v>0</v>
      </c>
      <c r="AS315" s="2466"/>
      <c r="AT315" s="2466"/>
      <c r="AV315" s="2466">
        <v>1184.22</v>
      </c>
      <c r="AY315" s="2470"/>
      <c r="AZ315" s="2466">
        <f t="shared" si="177"/>
        <v>0</v>
      </c>
      <c r="BA315" s="2468" t="str">
        <f t="shared" ref="BA315:BA326" si="181">IF(AX315=0," ",(AZ315-AX315)/AX315)</f>
        <v xml:space="preserve"> </v>
      </c>
      <c r="BC315" s="2467">
        <v>0</v>
      </c>
      <c r="BD315" s="2467">
        <v>0</v>
      </c>
      <c r="BF315" s="2469"/>
      <c r="BH315" s="2467">
        <v>0</v>
      </c>
      <c r="BM315" s="2466">
        <v>0</v>
      </c>
      <c r="BN315" s="2470"/>
      <c r="BO315" s="2472">
        <f t="shared" si="178"/>
        <v>0</v>
      </c>
      <c r="BP315" s="2473" t="str">
        <f t="shared" ref="BP315:BP326" si="182">IF(BM315=0," ",(BO315-BM315)/BM315)</f>
        <v xml:space="preserve"> </v>
      </c>
      <c r="BR315" s="2474">
        <v>0</v>
      </c>
      <c r="BS315" s="2474">
        <v>0</v>
      </c>
      <c r="BU315" s="2603"/>
      <c r="BW315" s="2474">
        <v>0</v>
      </c>
      <c r="BZ315" s="2474">
        <v>0</v>
      </c>
      <c r="CA315" s="2470"/>
      <c r="CB315" s="2472">
        <f t="shared" si="179"/>
        <v>0</v>
      </c>
      <c r="CC315" s="2473" t="str">
        <f t="shared" ref="CC315:CC326" si="183">IF(BZ315=0," ",(CB315-BZ315)/BZ315)</f>
        <v xml:space="preserve"> </v>
      </c>
      <c r="CE315" s="2474">
        <v>0</v>
      </c>
      <c r="CF315" s="2476" t="str">
        <f t="shared" si="171"/>
        <v xml:space="preserve"> </v>
      </c>
      <c r="CG315" s="2474">
        <v>0</v>
      </c>
      <c r="CH315" s="2449" t="s">
        <v>1217</v>
      </c>
      <c r="CI315" s="2449"/>
      <c r="CJ315" s="2450"/>
      <c r="CK315" s="2450"/>
      <c r="CP315" s="2478">
        <f t="shared" si="148"/>
        <v>0</v>
      </c>
      <c r="CQ315" s="2478"/>
      <c r="CR315" s="2478"/>
      <c r="CS315" s="2478"/>
      <c r="CT315" s="2478"/>
    </row>
    <row r="316" spans="1:98" hidden="1" x14ac:dyDescent="0.2">
      <c r="A316" s="2395">
        <v>210</v>
      </c>
      <c r="C316" s="2615">
        <v>21002</v>
      </c>
      <c r="D316" s="2615">
        <v>51316</v>
      </c>
      <c r="E316" s="2616" t="s">
        <v>319</v>
      </c>
      <c r="G316" s="2440" t="s">
        <v>1642</v>
      </c>
      <c r="I316" s="2470"/>
      <c r="M316" s="2467"/>
      <c r="N316" s="2467"/>
      <c r="P316" s="2469"/>
      <c r="V316" s="2470"/>
      <c r="Z316" s="2467"/>
      <c r="AA316" s="2467"/>
      <c r="AC316" s="2469"/>
      <c r="AI316" s="2470"/>
      <c r="AM316" s="2467"/>
      <c r="AN316" s="2467"/>
      <c r="AP316" s="2469"/>
      <c r="AS316" s="2466"/>
      <c r="AT316" s="2466"/>
      <c r="AY316" s="2470"/>
      <c r="BC316" s="2467"/>
      <c r="BD316" s="2467"/>
      <c r="BF316" s="2469"/>
      <c r="BH316" s="2467"/>
      <c r="BI316" s="2466">
        <v>713.18</v>
      </c>
      <c r="BN316" s="2470"/>
      <c r="BR316" s="2474"/>
      <c r="BS316" s="2474"/>
      <c r="BU316" s="2603"/>
      <c r="BW316" s="2474"/>
      <c r="BZ316" s="2474"/>
      <c r="CA316" s="2470"/>
      <c r="CE316" s="2474"/>
      <c r="CF316" s="2476"/>
      <c r="CG316" s="2474"/>
      <c r="CH316" s="2449" t="s">
        <v>1217</v>
      </c>
      <c r="CI316" s="2449"/>
      <c r="CJ316" s="2450"/>
      <c r="CK316" s="2450"/>
      <c r="CO316" s="2477" t="s">
        <v>1257</v>
      </c>
      <c r="CP316" s="2478">
        <f t="shared" si="148"/>
        <v>713.18</v>
      </c>
      <c r="CQ316" s="2478"/>
      <c r="CR316" s="2478"/>
      <c r="CS316" s="2478"/>
      <c r="CT316" s="2478"/>
    </row>
    <row r="317" spans="1:98" hidden="1" x14ac:dyDescent="0.2">
      <c r="A317" s="2395">
        <v>210</v>
      </c>
      <c r="B317" s="2440" t="s">
        <v>1214</v>
      </c>
      <c r="C317" s="2615">
        <v>21002</v>
      </c>
      <c r="D317" s="2615">
        <v>51401</v>
      </c>
      <c r="E317" s="2616" t="s">
        <v>319</v>
      </c>
      <c r="F317" s="2440" t="s">
        <v>1214</v>
      </c>
      <c r="G317" s="2440" t="s">
        <v>1643</v>
      </c>
      <c r="H317" s="2466">
        <v>40109</v>
      </c>
      <c r="I317" s="2470"/>
      <c r="J317" s="2466">
        <f t="shared" si="172"/>
        <v>40109</v>
      </c>
      <c r="K317" s="2468">
        <f t="shared" si="173"/>
        <v>0</v>
      </c>
      <c r="M317" s="2467">
        <v>40109</v>
      </c>
      <c r="N317" s="2467">
        <v>40109</v>
      </c>
      <c r="P317" s="2469"/>
      <c r="R317" s="2466">
        <v>40109</v>
      </c>
      <c r="S317" s="2466">
        <v>167.32</v>
      </c>
      <c r="U317" s="2625">
        <v>40109</v>
      </c>
      <c r="V317" s="2625">
        <v>-40109</v>
      </c>
      <c r="W317" s="2466">
        <f t="shared" si="174"/>
        <v>0</v>
      </c>
      <c r="X317" s="2468">
        <f t="shared" si="175"/>
        <v>-1</v>
      </c>
      <c r="Z317" s="2467">
        <v>0</v>
      </c>
      <c r="AA317" s="2467">
        <v>0</v>
      </c>
      <c r="AC317" s="2626" t="s">
        <v>1644</v>
      </c>
      <c r="AE317" s="2466">
        <v>0</v>
      </c>
      <c r="AF317" s="2471">
        <v>0</v>
      </c>
      <c r="AH317" s="2466">
        <v>0</v>
      </c>
      <c r="AI317" s="2470"/>
      <c r="AJ317" s="2466">
        <f t="shared" si="180"/>
        <v>0</v>
      </c>
      <c r="AK317" s="2468" t="str">
        <f t="shared" si="176"/>
        <v xml:space="preserve"> </v>
      </c>
      <c r="AM317" s="2467">
        <v>0</v>
      </c>
      <c r="AN317" s="2467">
        <v>0</v>
      </c>
      <c r="AP317" s="2626"/>
      <c r="AR317" s="2466">
        <v>0</v>
      </c>
      <c r="AS317" s="2466"/>
      <c r="AT317" s="2466"/>
      <c r="AY317" s="2470"/>
      <c r="AZ317" s="2466">
        <f t="shared" si="177"/>
        <v>0</v>
      </c>
      <c r="BA317" s="2468" t="str">
        <f t="shared" si="181"/>
        <v xml:space="preserve"> </v>
      </c>
      <c r="BC317" s="2467">
        <v>0</v>
      </c>
      <c r="BD317" s="2467">
        <v>0</v>
      </c>
      <c r="BF317" s="2543"/>
      <c r="BH317" s="2467">
        <v>0</v>
      </c>
      <c r="BM317" s="2466">
        <v>0</v>
      </c>
      <c r="BN317" s="2470"/>
      <c r="BO317" s="2472">
        <f t="shared" si="178"/>
        <v>0</v>
      </c>
      <c r="BP317" s="2473" t="str">
        <f t="shared" si="182"/>
        <v xml:space="preserve"> </v>
      </c>
      <c r="BR317" s="2474">
        <v>0</v>
      </c>
      <c r="BS317" s="2474">
        <v>0</v>
      </c>
      <c r="BU317" s="2603"/>
      <c r="BW317" s="2474">
        <v>0</v>
      </c>
      <c r="BZ317" s="2474">
        <v>0</v>
      </c>
      <c r="CA317" s="2470"/>
      <c r="CB317" s="2472">
        <f t="shared" si="179"/>
        <v>0</v>
      </c>
      <c r="CC317" s="2473" t="str">
        <f t="shared" si="183"/>
        <v xml:space="preserve"> </v>
      </c>
      <c r="CE317" s="2474">
        <v>0</v>
      </c>
      <c r="CF317" s="2476" t="str">
        <f t="shared" ref="CF317:CF328" si="184">IF(CB317=0," ",(CE317-CB317)/CB317)</f>
        <v xml:space="preserve"> </v>
      </c>
      <c r="CG317" s="2474">
        <v>0</v>
      </c>
      <c r="CH317" s="2449" t="s">
        <v>1217</v>
      </c>
      <c r="CI317" s="2449"/>
      <c r="CJ317" s="2450"/>
      <c r="CK317" s="2450"/>
      <c r="CP317" s="2478">
        <f t="shared" si="148"/>
        <v>0</v>
      </c>
      <c r="CQ317" s="2478"/>
      <c r="CR317" s="2478"/>
      <c r="CS317" s="2478"/>
      <c r="CT317" s="2478"/>
    </row>
    <row r="318" spans="1:98" hidden="1" x14ac:dyDescent="0.2">
      <c r="A318" s="2395">
        <v>210</v>
      </c>
      <c r="B318" s="2440" t="s">
        <v>1214</v>
      </c>
      <c r="C318" s="2615">
        <v>21002</v>
      </c>
      <c r="D318" s="2615">
        <v>51410</v>
      </c>
      <c r="E318" s="2616" t="s">
        <v>319</v>
      </c>
      <c r="F318" s="2440" t="s">
        <v>1214</v>
      </c>
      <c r="G318" s="2440" t="s">
        <v>1645</v>
      </c>
      <c r="H318" s="2466">
        <v>41555</v>
      </c>
      <c r="I318" s="2470"/>
      <c r="J318" s="2466">
        <f t="shared" si="172"/>
        <v>41555</v>
      </c>
      <c r="K318" s="2468">
        <f t="shared" si="173"/>
        <v>0</v>
      </c>
      <c r="M318" s="2467">
        <v>41555</v>
      </c>
      <c r="N318" s="2467">
        <v>41555</v>
      </c>
      <c r="P318" s="2469"/>
      <c r="R318" s="2466">
        <v>41555</v>
      </c>
      <c r="S318" s="2466">
        <v>39075.29</v>
      </c>
      <c r="U318" s="2466">
        <v>41555</v>
      </c>
      <c r="V318" s="2470">
        <v>1945</v>
      </c>
      <c r="W318" s="2466">
        <f t="shared" si="174"/>
        <v>43500</v>
      </c>
      <c r="X318" s="2468">
        <f t="shared" si="175"/>
        <v>4.6805438575382025E-2</v>
      </c>
      <c r="Z318" s="2467">
        <v>43500</v>
      </c>
      <c r="AA318" s="2467">
        <v>43500</v>
      </c>
      <c r="AC318" s="2469"/>
      <c r="AE318" s="2466">
        <v>43500</v>
      </c>
      <c r="AF318" s="2471">
        <v>41377.33</v>
      </c>
      <c r="AH318" s="2466">
        <v>43500</v>
      </c>
      <c r="AI318" s="2470">
        <v>2281</v>
      </c>
      <c r="AJ318" s="2466">
        <f t="shared" si="180"/>
        <v>45781</v>
      </c>
      <c r="AK318" s="2468">
        <f t="shared" si="176"/>
        <v>5.2436781609195404E-2</v>
      </c>
      <c r="AM318" s="2467">
        <v>45781</v>
      </c>
      <c r="AN318" s="2467">
        <v>45781</v>
      </c>
      <c r="AP318" s="2469" t="s">
        <v>1646</v>
      </c>
      <c r="AR318" s="2466">
        <v>45781</v>
      </c>
      <c r="AS318" s="2466">
        <v>36064.300000000003</v>
      </c>
      <c r="AT318" s="2466"/>
      <c r="AU318" s="2466">
        <f>48021+1900</f>
        <v>49921</v>
      </c>
      <c r="AV318" s="2466">
        <v>32311.040000000001</v>
      </c>
      <c r="AX318" s="2466">
        <f>48021+1900</f>
        <v>49921</v>
      </c>
      <c r="AY318" s="2470">
        <v>-10699</v>
      </c>
      <c r="AZ318" s="2466">
        <f t="shared" si="177"/>
        <v>39222</v>
      </c>
      <c r="BA318" s="2468">
        <f t="shared" si="181"/>
        <v>-0.21431862342501151</v>
      </c>
      <c r="BC318" s="2467">
        <v>39222</v>
      </c>
      <c r="BD318" s="2467">
        <v>39222</v>
      </c>
      <c r="BF318" s="2543"/>
      <c r="BH318" s="2467">
        <v>39222</v>
      </c>
      <c r="BI318" s="2466">
        <v>35172.82</v>
      </c>
      <c r="BM318" s="2466">
        <v>39222</v>
      </c>
      <c r="BN318" s="2470">
        <f>5399+1373+432</f>
        <v>7204</v>
      </c>
      <c r="BO318" s="2472">
        <f t="shared" si="178"/>
        <v>46426</v>
      </c>
      <c r="BP318" s="2473">
        <f t="shared" si="182"/>
        <v>0.18367242873897302</v>
      </c>
      <c r="BR318" s="2474">
        <v>46426</v>
      </c>
      <c r="BS318" s="2474">
        <v>46426</v>
      </c>
      <c r="BU318" s="2624" t="s">
        <v>1647</v>
      </c>
      <c r="BW318" s="2474">
        <v>46426</v>
      </c>
      <c r="BX318" s="2466">
        <v>16921.240000000002</v>
      </c>
      <c r="BZ318" s="2474">
        <v>46426</v>
      </c>
      <c r="CA318" s="2470">
        <v>929</v>
      </c>
      <c r="CB318" s="2472">
        <f t="shared" si="179"/>
        <v>47355</v>
      </c>
      <c r="CC318" s="2473">
        <f t="shared" si="183"/>
        <v>2.0010339034161891E-2</v>
      </c>
      <c r="CE318" s="2474">
        <v>47355</v>
      </c>
      <c r="CF318" s="2476">
        <f t="shared" si="184"/>
        <v>0</v>
      </c>
      <c r="CG318" s="2474">
        <v>47355</v>
      </c>
      <c r="CH318" s="2449" t="s">
        <v>1217</v>
      </c>
      <c r="CI318" s="2449"/>
      <c r="CJ318" s="2450"/>
      <c r="CK318" s="2450"/>
      <c r="CO318" s="2477">
        <v>-0.10323746876752848</v>
      </c>
      <c r="CP318" s="2478">
        <f t="shared" si="148"/>
        <v>-4049.1800000000003</v>
      </c>
      <c r="CQ318" s="2478"/>
      <c r="CR318" s="2478"/>
      <c r="CS318" s="2478"/>
      <c r="CT318" s="2478"/>
    </row>
    <row r="319" spans="1:98" hidden="1" x14ac:dyDescent="0.2">
      <c r="A319" s="2395">
        <v>210</v>
      </c>
      <c r="B319" s="2440" t="s">
        <v>1214</v>
      </c>
      <c r="C319" s="2615">
        <v>21002</v>
      </c>
      <c r="D319" s="2615">
        <v>51412</v>
      </c>
      <c r="E319" s="2616" t="s">
        <v>319</v>
      </c>
      <c r="F319" s="2440" t="s">
        <v>1214</v>
      </c>
      <c r="G319" s="2440" t="s">
        <v>1648</v>
      </c>
      <c r="H319" s="2466">
        <v>5420</v>
      </c>
      <c r="I319" s="2470">
        <v>108</v>
      </c>
      <c r="J319" s="2466">
        <f t="shared" si="172"/>
        <v>5528</v>
      </c>
      <c r="K319" s="2468">
        <f t="shared" si="173"/>
        <v>1.9926199261992621E-2</v>
      </c>
      <c r="M319" s="2467">
        <v>5528</v>
      </c>
      <c r="N319" s="2467">
        <v>5528</v>
      </c>
      <c r="P319" s="2469" t="s">
        <v>1630</v>
      </c>
      <c r="R319" s="2466">
        <v>5528</v>
      </c>
      <c r="S319" s="2466">
        <v>2564.9499999999998</v>
      </c>
      <c r="U319" s="2466">
        <v>5528</v>
      </c>
      <c r="V319" s="2470">
        <v>87</v>
      </c>
      <c r="W319" s="2466">
        <f t="shared" si="174"/>
        <v>5615</v>
      </c>
      <c r="X319" s="2468">
        <f t="shared" si="175"/>
        <v>1.5738060781476122E-2</v>
      </c>
      <c r="Z319" s="2467">
        <v>5615</v>
      </c>
      <c r="AA319" s="2467">
        <v>5615</v>
      </c>
      <c r="AC319" s="2469"/>
      <c r="AE319" s="2466">
        <v>5615</v>
      </c>
      <c r="AF319" s="2471">
        <v>4243.8500000000004</v>
      </c>
      <c r="AH319" s="2466">
        <v>5615</v>
      </c>
      <c r="AI319" s="2470">
        <v>895</v>
      </c>
      <c r="AJ319" s="2466">
        <f t="shared" si="180"/>
        <v>6510</v>
      </c>
      <c r="AK319" s="2468">
        <f t="shared" si="176"/>
        <v>0.15939447907390916</v>
      </c>
      <c r="AM319" s="2467">
        <v>6510</v>
      </c>
      <c r="AN319" s="2467">
        <v>6510</v>
      </c>
      <c r="AP319" s="2622" t="s">
        <v>1649</v>
      </c>
      <c r="AR319" s="2466">
        <v>6510</v>
      </c>
      <c r="AS319" s="2466">
        <v>1607.6</v>
      </c>
      <c r="AT319" s="2466"/>
      <c r="AU319" s="2466">
        <v>4270</v>
      </c>
      <c r="AV319" s="2466">
        <v>5964.05</v>
      </c>
      <c r="AX319" s="2466">
        <v>4270</v>
      </c>
      <c r="AY319" s="2470">
        <v>1129</v>
      </c>
      <c r="AZ319" s="2466">
        <f t="shared" si="177"/>
        <v>5399</v>
      </c>
      <c r="BA319" s="2468">
        <f t="shared" si="181"/>
        <v>0.26440281030444968</v>
      </c>
      <c r="BC319" s="2467">
        <v>5399</v>
      </c>
      <c r="BD319" s="2467">
        <v>5399</v>
      </c>
      <c r="BF319" s="2543"/>
      <c r="BH319" s="2467">
        <v>5399</v>
      </c>
      <c r="BI319" s="2466">
        <v>3290.23</v>
      </c>
      <c r="BM319" s="2466">
        <v>5399</v>
      </c>
      <c r="BN319" s="2470">
        <f>-5399</f>
        <v>-5399</v>
      </c>
      <c r="BO319" s="2472">
        <f t="shared" si="178"/>
        <v>0</v>
      </c>
      <c r="BP319" s="2473">
        <f t="shared" si="182"/>
        <v>-1</v>
      </c>
      <c r="BR319" s="2474">
        <v>0</v>
      </c>
      <c r="BS319" s="2474">
        <v>0</v>
      </c>
      <c r="BU319" s="2624" t="s">
        <v>1650</v>
      </c>
      <c r="BW319" s="2474">
        <v>0</v>
      </c>
      <c r="BX319" s="2466">
        <v>1646.96</v>
      </c>
      <c r="BZ319" s="2474">
        <v>0</v>
      </c>
      <c r="CA319" s="2470"/>
      <c r="CB319" s="2472">
        <f t="shared" si="179"/>
        <v>0</v>
      </c>
      <c r="CC319" s="2473" t="str">
        <f t="shared" si="183"/>
        <v xml:space="preserve"> </v>
      </c>
      <c r="CE319" s="2474">
        <v>0</v>
      </c>
      <c r="CF319" s="2476" t="str">
        <f t="shared" si="184"/>
        <v xml:space="preserve"> </v>
      </c>
      <c r="CG319" s="2474">
        <v>0</v>
      </c>
      <c r="CH319" s="2449" t="s">
        <v>1217</v>
      </c>
      <c r="CI319" s="2449"/>
      <c r="CJ319" s="2450"/>
      <c r="CK319" s="2450"/>
      <c r="CO319" s="2477">
        <v>-0.39058529357288385</v>
      </c>
      <c r="CP319" s="2478">
        <f t="shared" si="148"/>
        <v>-2108.77</v>
      </c>
      <c r="CQ319" s="2478"/>
      <c r="CR319" s="2478"/>
      <c r="CS319" s="2478"/>
      <c r="CT319" s="2478"/>
    </row>
    <row r="320" spans="1:98" hidden="1" x14ac:dyDescent="0.2">
      <c r="A320" s="2395">
        <v>210</v>
      </c>
      <c r="B320" s="2440" t="s">
        <v>1214</v>
      </c>
      <c r="C320" s="2615">
        <v>21002</v>
      </c>
      <c r="D320" s="2615">
        <v>51414</v>
      </c>
      <c r="E320" s="2616" t="s">
        <v>319</v>
      </c>
      <c r="F320" s="2440" t="s">
        <v>1214</v>
      </c>
      <c r="G320" s="2440" t="s">
        <v>1651</v>
      </c>
      <c r="H320" s="2466">
        <v>1445</v>
      </c>
      <c r="I320" s="2470">
        <v>714</v>
      </c>
      <c r="J320" s="2466">
        <f t="shared" si="172"/>
        <v>2159</v>
      </c>
      <c r="K320" s="2468">
        <f t="shared" si="173"/>
        <v>0.49411764705882355</v>
      </c>
      <c r="M320" s="2467">
        <v>2159</v>
      </c>
      <c r="N320" s="2467">
        <v>2159</v>
      </c>
      <c r="P320" s="2469"/>
      <c r="R320" s="2466">
        <v>2159</v>
      </c>
      <c r="S320" s="2466">
        <v>3278.83</v>
      </c>
      <c r="U320" s="2466">
        <v>2159</v>
      </c>
      <c r="V320" s="2470">
        <v>-2159</v>
      </c>
      <c r="W320" s="2466">
        <f t="shared" si="174"/>
        <v>0</v>
      </c>
      <c r="X320" s="2468">
        <f t="shared" si="175"/>
        <v>-1</v>
      </c>
      <c r="Z320" s="2467">
        <v>0</v>
      </c>
      <c r="AA320" s="2467">
        <v>0</v>
      </c>
      <c r="AC320" s="2469" t="s">
        <v>1652</v>
      </c>
      <c r="AE320" s="2466">
        <v>0</v>
      </c>
      <c r="AF320" s="2471">
        <v>0</v>
      </c>
      <c r="AH320" s="2466">
        <v>0</v>
      </c>
      <c r="AI320" s="2470"/>
      <c r="AJ320" s="2466">
        <f t="shared" si="180"/>
        <v>0</v>
      </c>
      <c r="AK320" s="2468" t="str">
        <f t="shared" si="176"/>
        <v xml:space="preserve"> </v>
      </c>
      <c r="AM320" s="2467">
        <v>0</v>
      </c>
      <c r="AN320" s="2467">
        <v>0</v>
      </c>
      <c r="AP320" s="2469"/>
      <c r="AR320" s="2466">
        <v>0</v>
      </c>
      <c r="AS320" s="2466"/>
      <c r="AT320" s="2466"/>
      <c r="AY320" s="2470"/>
      <c r="AZ320" s="2466">
        <f t="shared" si="177"/>
        <v>0</v>
      </c>
      <c r="BA320" s="2468" t="str">
        <f t="shared" si="181"/>
        <v xml:space="preserve"> </v>
      </c>
      <c r="BC320" s="2467">
        <v>0</v>
      </c>
      <c r="BD320" s="2467">
        <v>0</v>
      </c>
      <c r="BF320" s="2469"/>
      <c r="BH320" s="2467">
        <v>0</v>
      </c>
      <c r="BM320" s="2466">
        <v>0</v>
      </c>
      <c r="BN320" s="2470"/>
      <c r="BO320" s="2472">
        <f t="shared" si="178"/>
        <v>0</v>
      </c>
      <c r="BP320" s="2473" t="str">
        <f t="shared" si="182"/>
        <v xml:space="preserve"> </v>
      </c>
      <c r="BR320" s="2474">
        <v>0</v>
      </c>
      <c r="BS320" s="2474">
        <v>0</v>
      </c>
      <c r="BU320" s="2603"/>
      <c r="BW320" s="2474">
        <v>0</v>
      </c>
      <c r="BZ320" s="2474">
        <v>0</v>
      </c>
      <c r="CA320" s="2470"/>
      <c r="CB320" s="2472">
        <f t="shared" si="179"/>
        <v>0</v>
      </c>
      <c r="CC320" s="2473" t="str">
        <f t="shared" si="183"/>
        <v xml:space="preserve"> </v>
      </c>
      <c r="CE320" s="2474">
        <v>0</v>
      </c>
      <c r="CF320" s="2476" t="str">
        <f t="shared" si="184"/>
        <v xml:space="preserve"> </v>
      </c>
      <c r="CG320" s="2474">
        <v>0</v>
      </c>
      <c r="CH320" s="2449" t="s">
        <v>1217</v>
      </c>
      <c r="CI320" s="2449"/>
      <c r="CJ320" s="2450"/>
      <c r="CK320" s="2450"/>
      <c r="CP320" s="2478">
        <f t="shared" si="148"/>
        <v>0</v>
      </c>
      <c r="CQ320" s="2478"/>
      <c r="CR320" s="2478"/>
      <c r="CS320" s="2478"/>
      <c r="CT320" s="2478"/>
    </row>
    <row r="321" spans="1:98" hidden="1" x14ac:dyDescent="0.2">
      <c r="A321" s="2395">
        <v>210</v>
      </c>
      <c r="B321" s="2440" t="s">
        <v>1214</v>
      </c>
      <c r="C321" s="2615">
        <v>21002</v>
      </c>
      <c r="D321" s="2615">
        <v>51420</v>
      </c>
      <c r="E321" s="2616" t="s">
        <v>319</v>
      </c>
      <c r="F321" s="2440" t="s">
        <v>1214</v>
      </c>
      <c r="G321" s="2440" t="s">
        <v>1653</v>
      </c>
      <c r="H321" s="2466">
        <v>47147</v>
      </c>
      <c r="I321" s="2470"/>
      <c r="J321" s="2466">
        <f t="shared" si="172"/>
        <v>47147</v>
      </c>
      <c r="K321" s="2468">
        <f t="shared" si="173"/>
        <v>0</v>
      </c>
      <c r="M321" s="2467">
        <v>47147</v>
      </c>
      <c r="N321" s="2467">
        <v>47147</v>
      </c>
      <c r="P321" s="2469"/>
      <c r="R321" s="2466">
        <v>47147</v>
      </c>
      <c r="S321" s="2466">
        <v>49532.23</v>
      </c>
      <c r="U321" s="2466">
        <v>47147</v>
      </c>
      <c r="V321" s="2470">
        <v>14928</v>
      </c>
      <c r="W321" s="2466">
        <f t="shared" si="174"/>
        <v>62075</v>
      </c>
      <c r="X321" s="2468">
        <f t="shared" si="175"/>
        <v>0.31662672068212189</v>
      </c>
      <c r="Z321" s="2467">
        <v>62075</v>
      </c>
      <c r="AA321" s="2467">
        <v>62075</v>
      </c>
      <c r="AC321" s="2469"/>
      <c r="AE321" s="2466">
        <v>62075</v>
      </c>
      <c r="AF321" s="2471">
        <v>60706.74</v>
      </c>
      <c r="AH321" s="2466">
        <v>62075</v>
      </c>
      <c r="AI321" s="2470">
        <v>1168</v>
      </c>
      <c r="AJ321" s="2466">
        <f t="shared" si="180"/>
        <v>63243</v>
      </c>
      <c r="AK321" s="2468">
        <f t="shared" si="176"/>
        <v>1.8815948449456305E-2</v>
      </c>
      <c r="AM321" s="2467">
        <v>63243</v>
      </c>
      <c r="AN321" s="2467">
        <v>63243</v>
      </c>
      <c r="AP321" s="2622" t="s">
        <v>1654</v>
      </c>
      <c r="AR321" s="2466">
        <v>63243</v>
      </c>
      <c r="AS321" s="2466">
        <v>54570.62</v>
      </c>
      <c r="AT321" s="2466"/>
      <c r="AU321" s="2466">
        <f>63243+12215</f>
        <v>75458</v>
      </c>
      <c r="AV321" s="2466">
        <v>51870.76</v>
      </c>
      <c r="AX321" s="2466">
        <f>63243+12215</f>
        <v>75458</v>
      </c>
      <c r="AY321" s="2470">
        <v>-13358</v>
      </c>
      <c r="AZ321" s="2466">
        <f t="shared" si="177"/>
        <v>62100</v>
      </c>
      <c r="BA321" s="2468">
        <f t="shared" si="181"/>
        <v>-0.17702563015187256</v>
      </c>
      <c r="BC321" s="2467">
        <v>62100</v>
      </c>
      <c r="BD321" s="2467">
        <v>62100</v>
      </c>
      <c r="BF321" s="2543"/>
      <c r="BH321" s="2467">
        <v>62100</v>
      </c>
      <c r="BI321" s="2466">
        <v>58240.61</v>
      </c>
      <c r="BM321" s="2466">
        <v>62100</v>
      </c>
      <c r="BN321" s="2577">
        <f>13700+17086</f>
        <v>30786</v>
      </c>
      <c r="BO321" s="2472">
        <f t="shared" si="178"/>
        <v>92886</v>
      </c>
      <c r="BP321" s="2473">
        <f t="shared" si="182"/>
        <v>0.49574879227053142</v>
      </c>
      <c r="BR321" s="2474">
        <v>92886</v>
      </c>
      <c r="BS321" s="2474">
        <v>92886</v>
      </c>
      <c r="BU321" s="2603" t="s">
        <v>1655</v>
      </c>
      <c r="BW321" s="2474">
        <v>92886</v>
      </c>
      <c r="BX321" s="2466">
        <v>3150.28</v>
      </c>
      <c r="BZ321" s="2474">
        <v>92886</v>
      </c>
      <c r="CA321" s="2470">
        <v>1858</v>
      </c>
      <c r="CB321" s="2472">
        <f t="shared" si="179"/>
        <v>94744</v>
      </c>
      <c r="CC321" s="2473">
        <f t="shared" si="183"/>
        <v>2.0003014447817755E-2</v>
      </c>
      <c r="CE321" s="2474">
        <v>94744</v>
      </c>
      <c r="CF321" s="2476">
        <f t="shared" si="184"/>
        <v>0</v>
      </c>
      <c r="CG321" s="2572">
        <f>CE321-15000</f>
        <v>79744</v>
      </c>
      <c r="CH321" s="2449" t="s">
        <v>1217</v>
      </c>
      <c r="CI321" s="2449"/>
      <c r="CJ321" s="2450"/>
      <c r="CK321" s="2450"/>
      <c r="CO321" s="2477">
        <v>-6.2147987117552317E-2</v>
      </c>
      <c r="CP321" s="2478">
        <f t="shared" si="148"/>
        <v>-3859.3899999999994</v>
      </c>
      <c r="CQ321" s="2478"/>
      <c r="CR321" s="2478"/>
      <c r="CS321" s="2478"/>
      <c r="CT321" s="2478"/>
    </row>
    <row r="322" spans="1:98" hidden="1" x14ac:dyDescent="0.2">
      <c r="A322" s="2513">
        <v>210</v>
      </c>
      <c r="B322" s="2514" t="s">
        <v>1214</v>
      </c>
      <c r="C322" s="2515">
        <v>21002</v>
      </c>
      <c r="D322" s="2515">
        <v>51490</v>
      </c>
      <c r="E322" s="2516" t="s">
        <v>319</v>
      </c>
      <c r="F322" s="2514" t="s">
        <v>1214</v>
      </c>
      <c r="G322" s="2514" t="s">
        <v>1656</v>
      </c>
      <c r="H322" s="2466">
        <v>10850</v>
      </c>
      <c r="I322" s="2470">
        <v>-725</v>
      </c>
      <c r="J322" s="2466">
        <f t="shared" si="172"/>
        <v>10125</v>
      </c>
      <c r="K322" s="2468">
        <f t="shared" si="173"/>
        <v>-6.6820276497695855E-2</v>
      </c>
      <c r="M322" s="2467">
        <v>10125</v>
      </c>
      <c r="N322" s="2467">
        <v>10125</v>
      </c>
      <c r="P322" s="2469" t="s">
        <v>1657</v>
      </c>
      <c r="R322" s="2466">
        <v>10125</v>
      </c>
      <c r="S322" s="2466">
        <v>8625</v>
      </c>
      <c r="U322" s="2466">
        <v>10125</v>
      </c>
      <c r="V322" s="2470">
        <v>-375</v>
      </c>
      <c r="W322" s="2466">
        <f t="shared" si="174"/>
        <v>9750</v>
      </c>
      <c r="X322" s="2468">
        <f t="shared" si="175"/>
        <v>-3.7037037037037035E-2</v>
      </c>
      <c r="Z322" s="2467">
        <v>9750</v>
      </c>
      <c r="AA322" s="2467">
        <v>9750</v>
      </c>
      <c r="AC322" s="2469"/>
      <c r="AE322" s="2466">
        <v>9750</v>
      </c>
      <c r="AF322" s="2471">
        <v>6650</v>
      </c>
      <c r="AH322" s="2466">
        <v>9750</v>
      </c>
      <c r="AI322" s="2470">
        <v>500</v>
      </c>
      <c r="AJ322" s="2466">
        <f t="shared" si="180"/>
        <v>10250</v>
      </c>
      <c r="AK322" s="2468">
        <f t="shared" si="176"/>
        <v>5.128205128205128E-2</v>
      </c>
      <c r="AM322" s="2467">
        <v>10250</v>
      </c>
      <c r="AN322" s="2467">
        <v>10250</v>
      </c>
      <c r="AP322" s="2469" t="s">
        <v>1646</v>
      </c>
      <c r="AR322" s="2466">
        <v>10250</v>
      </c>
      <c r="AS322" s="2466">
        <v>7750</v>
      </c>
      <c r="AT322" s="2466"/>
      <c r="AU322" s="2466">
        <f>10625-1500</f>
        <v>9125</v>
      </c>
      <c r="AV322" s="2466">
        <v>6750</v>
      </c>
      <c r="AX322" s="2466">
        <f>10625-1500</f>
        <v>9125</v>
      </c>
      <c r="AY322" s="2470">
        <v>-1300</v>
      </c>
      <c r="AZ322" s="2466">
        <f t="shared" si="177"/>
        <v>7825</v>
      </c>
      <c r="BA322" s="2468">
        <f t="shared" si="181"/>
        <v>-0.14246575342465753</v>
      </c>
      <c r="BC322" s="2467">
        <v>7825</v>
      </c>
      <c r="BD322" s="2467">
        <v>7825</v>
      </c>
      <c r="BF322" s="2469" t="s">
        <v>1630</v>
      </c>
      <c r="BH322" s="2467">
        <v>7825</v>
      </c>
      <c r="BI322" s="2466">
        <v>6000</v>
      </c>
      <c r="BM322" s="2466">
        <v>7825</v>
      </c>
      <c r="BN322" s="2600">
        <v>-925</v>
      </c>
      <c r="BO322" s="2472">
        <f t="shared" si="178"/>
        <v>6900</v>
      </c>
      <c r="BP322" s="2473">
        <f t="shared" si="182"/>
        <v>-0.1182108626198083</v>
      </c>
      <c r="BR322" s="2474">
        <v>6900</v>
      </c>
      <c r="BS322" s="2474">
        <f>6900-325</f>
        <v>6575</v>
      </c>
      <c r="BU322" s="2603" t="s">
        <v>1658</v>
      </c>
      <c r="BW322" s="2474">
        <f>6900-325</f>
        <v>6575</v>
      </c>
      <c r="BX322" s="2466">
        <v>6575</v>
      </c>
      <c r="BZ322" s="2474">
        <f>6900-325</f>
        <v>6575</v>
      </c>
      <c r="CA322" s="2470">
        <v>1900</v>
      </c>
      <c r="CB322" s="2472">
        <f t="shared" si="179"/>
        <v>8475</v>
      </c>
      <c r="CC322" s="2473">
        <f t="shared" si="183"/>
        <v>0.28897338403041822</v>
      </c>
      <c r="CE322" s="2474">
        <v>8475</v>
      </c>
      <c r="CF322" s="2476">
        <f t="shared" si="184"/>
        <v>0</v>
      </c>
      <c r="CG322" s="2474">
        <v>8475</v>
      </c>
      <c r="CH322" s="2449" t="s">
        <v>1217</v>
      </c>
      <c r="CI322" s="2449"/>
      <c r="CJ322" s="2450" t="s">
        <v>1239</v>
      </c>
      <c r="CK322" s="2518">
        <f t="shared" ref="CK322:CK323" si="185">-CG322</f>
        <v>-8475</v>
      </c>
      <c r="CO322" s="2477">
        <v>-0.23322683706070291</v>
      </c>
      <c r="CP322" s="2478">
        <f t="shared" si="148"/>
        <v>-1825</v>
      </c>
      <c r="CQ322" s="2478"/>
      <c r="CR322" s="2478"/>
      <c r="CS322" s="2478"/>
      <c r="CT322" s="2478"/>
    </row>
    <row r="323" spans="1:98" hidden="1" x14ac:dyDescent="0.2">
      <c r="A323" s="2395">
        <v>210</v>
      </c>
      <c r="B323" s="2440" t="s">
        <v>1214</v>
      </c>
      <c r="C323" s="2615">
        <v>21002</v>
      </c>
      <c r="D323" s="2615">
        <v>51910</v>
      </c>
      <c r="E323" s="2616" t="s">
        <v>319</v>
      </c>
      <c r="F323" s="2440" t="s">
        <v>1214</v>
      </c>
      <c r="G323" s="2440" t="s">
        <v>1659</v>
      </c>
      <c r="H323" s="2466">
        <v>50816</v>
      </c>
      <c r="I323" s="2470">
        <v>3618</v>
      </c>
      <c r="J323" s="2466">
        <f t="shared" si="172"/>
        <v>54434</v>
      </c>
      <c r="K323" s="2468">
        <f t="shared" si="173"/>
        <v>7.1198047858942071E-2</v>
      </c>
      <c r="M323" s="2467">
        <v>54434</v>
      </c>
      <c r="N323" s="2467">
        <v>54434</v>
      </c>
      <c r="P323" s="2469" t="s">
        <v>1660</v>
      </c>
      <c r="R323" s="2466">
        <v>54434</v>
      </c>
      <c r="S323" s="2466">
        <v>51083.5</v>
      </c>
      <c r="U323" s="2466">
        <v>54434</v>
      </c>
      <c r="V323" s="2470">
        <f>7571-5</f>
        <v>7566</v>
      </c>
      <c r="W323" s="2466">
        <f t="shared" si="174"/>
        <v>62000</v>
      </c>
      <c r="X323" s="2468">
        <f t="shared" si="175"/>
        <v>0.13899401109600618</v>
      </c>
      <c r="Z323" s="2467">
        <v>62000</v>
      </c>
      <c r="AA323" s="2467">
        <v>62005</v>
      </c>
      <c r="AC323" s="2469"/>
      <c r="AE323" s="2466">
        <v>62005</v>
      </c>
      <c r="AF323" s="2471">
        <v>44189.68</v>
      </c>
      <c r="AH323" s="2466">
        <v>62005</v>
      </c>
      <c r="AI323" s="2470">
        <v>2800</v>
      </c>
      <c r="AJ323" s="2466">
        <f t="shared" si="180"/>
        <v>64805</v>
      </c>
      <c r="AK323" s="2468">
        <f t="shared" si="176"/>
        <v>4.5157648576727681E-2</v>
      </c>
      <c r="AM323" s="2467">
        <f>64805+12720</f>
        <v>77525</v>
      </c>
      <c r="AN323" s="2467">
        <f>64805+12720</f>
        <v>77525</v>
      </c>
      <c r="AP323" s="2627" t="s">
        <v>1661</v>
      </c>
      <c r="AR323" s="2466">
        <f>64805+12720</f>
        <v>77525</v>
      </c>
      <c r="AS323" s="2466">
        <v>14607.36</v>
      </c>
      <c r="AT323" s="2466"/>
      <c r="AU323" s="2466">
        <f>77525+8450</f>
        <v>85975</v>
      </c>
      <c r="AV323" s="2466">
        <v>42840.28</v>
      </c>
      <c r="AX323" s="2466">
        <f>77525+8450</f>
        <v>85975</v>
      </c>
      <c r="AY323" s="2470">
        <v>-13423</v>
      </c>
      <c r="AZ323" s="2466">
        <f t="shared" si="177"/>
        <v>72552</v>
      </c>
      <c r="BA323" s="2468">
        <f t="shared" si="181"/>
        <v>-0.15612678104100028</v>
      </c>
      <c r="BC323" s="2467">
        <v>72552</v>
      </c>
      <c r="BD323" s="2467">
        <v>72552</v>
      </c>
      <c r="BF323" s="2543"/>
      <c r="BH323" s="2467">
        <v>72552</v>
      </c>
      <c r="BI323" s="2466">
        <v>44871.6</v>
      </c>
      <c r="BM323" s="2466">
        <v>72552</v>
      </c>
      <c r="BN323" s="2542">
        <v>-5888</v>
      </c>
      <c r="BO323" s="2472">
        <f t="shared" si="178"/>
        <v>66664</v>
      </c>
      <c r="BP323" s="2473">
        <f t="shared" si="182"/>
        <v>-8.1155584959753002E-2</v>
      </c>
      <c r="BR323" s="2474">
        <v>66664</v>
      </c>
      <c r="BS323" s="2474">
        <f>66664-2660</f>
        <v>64004</v>
      </c>
      <c r="BU323" s="2603" t="s">
        <v>1662</v>
      </c>
      <c r="BW323" s="2474">
        <f>66664-2660</f>
        <v>64004</v>
      </c>
      <c r="BX323" s="2466">
        <v>28484.43</v>
      </c>
      <c r="BZ323" s="2474">
        <f>66664-2660</f>
        <v>64004</v>
      </c>
      <c r="CA323" s="2470">
        <v>1280</v>
      </c>
      <c r="CB323" s="2472">
        <f t="shared" si="179"/>
        <v>65284</v>
      </c>
      <c r="CC323" s="2473">
        <f t="shared" si="183"/>
        <v>1.9998750078120117E-2</v>
      </c>
      <c r="CE323" s="2474">
        <v>65284</v>
      </c>
      <c r="CF323" s="2476">
        <f t="shared" si="184"/>
        <v>0</v>
      </c>
      <c r="CG323" s="2474">
        <v>65284</v>
      </c>
      <c r="CH323" s="2449" t="s">
        <v>1217</v>
      </c>
      <c r="CI323" s="2449"/>
      <c r="CJ323" s="2450" t="s">
        <v>1663</v>
      </c>
      <c r="CK323" s="2518">
        <f t="shared" si="185"/>
        <v>-65284</v>
      </c>
      <c r="CO323" s="2477">
        <v>-0.38152497519020845</v>
      </c>
      <c r="CP323" s="2478">
        <f t="shared" si="148"/>
        <v>-27680.400000000001</v>
      </c>
      <c r="CQ323" s="2478"/>
      <c r="CR323" s="2478"/>
      <c r="CS323" s="2478"/>
      <c r="CT323" s="2478"/>
    </row>
    <row r="324" spans="1:98" hidden="1" x14ac:dyDescent="0.2">
      <c r="A324" s="2395">
        <v>210</v>
      </c>
      <c r="B324" s="2440" t="s">
        <v>1214</v>
      </c>
      <c r="C324" s="2615">
        <v>21002</v>
      </c>
      <c r="D324" s="2615">
        <v>51912</v>
      </c>
      <c r="E324" s="2616" t="s">
        <v>319</v>
      </c>
      <c r="F324" s="2440" t="s">
        <v>1214</v>
      </c>
      <c r="G324" s="2440" t="s">
        <v>1664</v>
      </c>
      <c r="H324" s="2466">
        <v>4200</v>
      </c>
      <c r="I324" s="2470"/>
      <c r="J324" s="2466">
        <f t="shared" si="172"/>
        <v>4200</v>
      </c>
      <c r="K324" s="2468">
        <f t="shared" si="173"/>
        <v>0</v>
      </c>
      <c r="M324" s="2467">
        <v>4200</v>
      </c>
      <c r="N324" s="2467">
        <v>4200</v>
      </c>
      <c r="P324" s="2469"/>
      <c r="R324" s="2466">
        <v>4200</v>
      </c>
      <c r="S324" s="2466">
        <v>2800</v>
      </c>
      <c r="U324" s="2466">
        <v>4200</v>
      </c>
      <c r="V324" s="2470">
        <v>-600</v>
      </c>
      <c r="W324" s="2466">
        <f t="shared" si="174"/>
        <v>3600</v>
      </c>
      <c r="X324" s="2468">
        <f t="shared" si="175"/>
        <v>-0.14285714285714285</v>
      </c>
      <c r="Z324" s="2467">
        <v>3600</v>
      </c>
      <c r="AA324" s="2467">
        <v>3600</v>
      </c>
      <c r="AC324" s="2469"/>
      <c r="AE324" s="2466">
        <v>3600</v>
      </c>
      <c r="AF324" s="2471">
        <v>3050</v>
      </c>
      <c r="AH324" s="2466">
        <v>3600</v>
      </c>
      <c r="AI324" s="2470"/>
      <c r="AJ324" s="2466">
        <f t="shared" si="180"/>
        <v>3600</v>
      </c>
      <c r="AK324" s="2468">
        <f t="shared" si="176"/>
        <v>0</v>
      </c>
      <c r="AM324" s="2467">
        <v>3600</v>
      </c>
      <c r="AN324" s="2467">
        <v>3600</v>
      </c>
      <c r="AP324" s="2469"/>
      <c r="AR324" s="2466">
        <v>3600</v>
      </c>
      <c r="AS324" s="2466">
        <v>0</v>
      </c>
      <c r="AT324" s="2466"/>
      <c r="AU324" s="2466">
        <f>3600+900</f>
        <v>4500</v>
      </c>
      <c r="AV324" s="2466">
        <v>3300</v>
      </c>
      <c r="AX324" s="2466">
        <f>3600+900</f>
        <v>4500</v>
      </c>
      <c r="AY324" s="2470">
        <v>300</v>
      </c>
      <c r="AZ324" s="2466">
        <f t="shared" si="177"/>
        <v>4800</v>
      </c>
      <c r="BA324" s="2468">
        <f t="shared" si="181"/>
        <v>6.6666666666666666E-2</v>
      </c>
      <c r="BC324" s="2467">
        <v>4800</v>
      </c>
      <c r="BD324" s="2467">
        <v>4800</v>
      </c>
      <c r="BF324" s="2469" t="s">
        <v>1630</v>
      </c>
      <c r="BH324" s="2467">
        <v>4800</v>
      </c>
      <c r="BI324" s="2466">
        <v>3150.06</v>
      </c>
      <c r="BM324" s="2466">
        <v>4800</v>
      </c>
      <c r="BN324" s="2600">
        <v>-900</v>
      </c>
      <c r="BO324" s="2472">
        <f t="shared" si="178"/>
        <v>3900</v>
      </c>
      <c r="BP324" s="2473">
        <f t="shared" si="182"/>
        <v>-0.1875</v>
      </c>
      <c r="BR324" s="2474">
        <v>3900</v>
      </c>
      <c r="BS324" s="2474">
        <v>3900</v>
      </c>
      <c r="BU324" s="2603" t="s">
        <v>1665</v>
      </c>
      <c r="BW324" s="2474">
        <v>3900</v>
      </c>
      <c r="BX324" s="2466">
        <v>1950.26</v>
      </c>
      <c r="BZ324" s="2474">
        <v>3900</v>
      </c>
      <c r="CA324" s="2470">
        <v>600</v>
      </c>
      <c r="CB324" s="2472">
        <f t="shared" si="179"/>
        <v>4500</v>
      </c>
      <c r="CC324" s="2473">
        <f t="shared" si="183"/>
        <v>0.15384615384615385</v>
      </c>
      <c r="CE324" s="2474">
        <v>4500</v>
      </c>
      <c r="CF324" s="2476">
        <f t="shared" si="184"/>
        <v>0</v>
      </c>
      <c r="CG324" s="2474">
        <v>4500</v>
      </c>
      <c r="CH324" s="2449" t="s">
        <v>1217</v>
      </c>
      <c r="CI324" s="2449"/>
      <c r="CJ324" s="2450"/>
      <c r="CK324" s="2450"/>
      <c r="CO324" s="2477">
        <v>-0.34373750000000003</v>
      </c>
      <c r="CP324" s="2478">
        <f t="shared" si="148"/>
        <v>-1649.94</v>
      </c>
      <c r="CQ324" s="2478"/>
      <c r="CR324" s="2478"/>
      <c r="CS324" s="2478"/>
      <c r="CT324" s="2478"/>
    </row>
    <row r="325" spans="1:98" hidden="1" x14ac:dyDescent="0.2">
      <c r="A325" s="2395">
        <v>210</v>
      </c>
      <c r="C325" s="2615">
        <v>21002</v>
      </c>
      <c r="D325" s="2615">
        <v>51916</v>
      </c>
      <c r="E325" s="2616" t="s">
        <v>319</v>
      </c>
      <c r="G325" s="2440" t="s">
        <v>1666</v>
      </c>
      <c r="I325" s="2470"/>
      <c r="M325" s="2467"/>
      <c r="N325" s="2467"/>
      <c r="P325" s="2469"/>
      <c r="V325" s="2470"/>
      <c r="Z325" s="2467"/>
      <c r="AA325" s="2467"/>
      <c r="AC325" s="2469"/>
      <c r="AI325" s="2470">
        <v>2000</v>
      </c>
      <c r="AJ325" s="2466">
        <f t="shared" si="180"/>
        <v>2000</v>
      </c>
      <c r="AK325" s="2468" t="str">
        <f t="shared" si="176"/>
        <v xml:space="preserve"> </v>
      </c>
      <c r="AM325" s="2467">
        <v>2000</v>
      </c>
      <c r="AN325" s="2467">
        <v>2000</v>
      </c>
      <c r="AP325" s="2469" t="s">
        <v>1667</v>
      </c>
      <c r="AR325" s="2466">
        <v>2000</v>
      </c>
      <c r="AS325" s="2466">
        <v>7650</v>
      </c>
      <c r="AT325" s="2466"/>
      <c r="AU325" s="2466">
        <v>2000</v>
      </c>
      <c r="AV325" s="2466">
        <v>400</v>
      </c>
      <c r="AX325" s="2466">
        <v>2000</v>
      </c>
      <c r="AY325" s="2470"/>
      <c r="AZ325" s="2466">
        <f t="shared" si="177"/>
        <v>2000</v>
      </c>
      <c r="BA325" s="2468">
        <f t="shared" si="181"/>
        <v>0</v>
      </c>
      <c r="BC325" s="2467">
        <v>2000</v>
      </c>
      <c r="BD325" s="2467">
        <v>2000</v>
      </c>
      <c r="BF325" s="2469"/>
      <c r="BH325" s="2467">
        <v>2000</v>
      </c>
      <c r="BI325" s="2466">
        <v>2000</v>
      </c>
      <c r="BM325" s="2466">
        <v>2000</v>
      </c>
      <c r="BN325" s="2600">
        <v>-2000</v>
      </c>
      <c r="BO325" s="2472">
        <f t="shared" si="178"/>
        <v>0</v>
      </c>
      <c r="BP325" s="2473">
        <f t="shared" si="182"/>
        <v>-1</v>
      </c>
      <c r="BR325" s="2474">
        <v>0</v>
      </c>
      <c r="BS325" s="2474">
        <v>0</v>
      </c>
      <c r="BU325" s="2603" t="s">
        <v>1668</v>
      </c>
      <c r="BW325" s="2474">
        <v>0</v>
      </c>
      <c r="BZ325" s="2474">
        <v>0</v>
      </c>
      <c r="CA325" s="2470"/>
      <c r="CB325" s="2472">
        <f t="shared" si="179"/>
        <v>0</v>
      </c>
      <c r="CC325" s="2473" t="str">
        <f t="shared" si="183"/>
        <v xml:space="preserve"> </v>
      </c>
      <c r="CE325" s="2474">
        <v>0</v>
      </c>
      <c r="CF325" s="2476" t="str">
        <f t="shared" si="184"/>
        <v xml:space="preserve"> </v>
      </c>
      <c r="CG325" s="2474">
        <v>0</v>
      </c>
      <c r="CH325" s="2449" t="s">
        <v>1217</v>
      </c>
      <c r="CI325" s="2449"/>
      <c r="CJ325" s="2450"/>
      <c r="CK325" s="2450"/>
      <c r="CO325" s="2477">
        <v>0</v>
      </c>
      <c r="CP325" s="2478">
        <f t="shared" si="148"/>
        <v>0</v>
      </c>
      <c r="CQ325" s="2478"/>
      <c r="CR325" s="2478"/>
      <c r="CS325" s="2478"/>
      <c r="CT325" s="2478"/>
    </row>
    <row r="326" spans="1:98" hidden="1" x14ac:dyDescent="0.2">
      <c r="A326" s="2395">
        <v>210</v>
      </c>
      <c r="C326" s="2615">
        <v>21002</v>
      </c>
      <c r="D326" s="2615">
        <v>51920</v>
      </c>
      <c r="E326" s="2616" t="s">
        <v>319</v>
      </c>
      <c r="G326" s="2587" t="s">
        <v>1669</v>
      </c>
      <c r="I326" s="2470"/>
      <c r="M326" s="2467"/>
      <c r="N326" s="2467"/>
      <c r="P326" s="2469"/>
      <c r="V326" s="2470">
        <v>15000</v>
      </c>
      <c r="Z326" s="2467">
        <v>15000</v>
      </c>
      <c r="AA326" s="2467">
        <v>15000</v>
      </c>
      <c r="AC326" s="2626" t="s">
        <v>1670</v>
      </c>
      <c r="AE326" s="2466">
        <v>15000</v>
      </c>
      <c r="AF326" s="2471">
        <v>17100</v>
      </c>
      <c r="AH326" s="2466">
        <v>15000</v>
      </c>
      <c r="AI326" s="2470">
        <v>7000</v>
      </c>
      <c r="AJ326" s="2466">
        <f t="shared" si="180"/>
        <v>22000</v>
      </c>
      <c r="AK326" s="2468">
        <f t="shared" si="176"/>
        <v>0.46666666666666667</v>
      </c>
      <c r="AM326" s="2467">
        <v>22000</v>
      </c>
      <c r="AN326" s="2467">
        <v>22000</v>
      </c>
      <c r="AP326" s="2626" t="s">
        <v>1671</v>
      </c>
      <c r="AR326" s="2466">
        <v>22000</v>
      </c>
      <c r="AS326" s="2466">
        <v>22580</v>
      </c>
      <c r="AT326" s="2466"/>
      <c r="AU326" s="2466">
        <v>20900</v>
      </c>
      <c r="AV326" s="2466">
        <v>17800</v>
      </c>
      <c r="AX326" s="2466">
        <v>20900</v>
      </c>
      <c r="AY326" s="2470">
        <v>3300</v>
      </c>
      <c r="AZ326" s="2466">
        <f t="shared" si="177"/>
        <v>24200</v>
      </c>
      <c r="BA326" s="2468">
        <f t="shared" si="181"/>
        <v>0.15789473684210525</v>
      </c>
      <c r="BC326" s="2467">
        <v>24200</v>
      </c>
      <c r="BD326" s="2467">
        <v>24200</v>
      </c>
      <c r="BF326" s="2469" t="s">
        <v>1630</v>
      </c>
      <c r="BH326" s="2467">
        <v>24200</v>
      </c>
      <c r="BI326" s="2466">
        <v>20200</v>
      </c>
      <c r="BM326" s="2466">
        <v>24200</v>
      </c>
      <c r="BN326" s="2600">
        <v>-1400</v>
      </c>
      <c r="BO326" s="2472">
        <f t="shared" si="178"/>
        <v>22800</v>
      </c>
      <c r="BP326" s="2473">
        <f t="shared" si="182"/>
        <v>-5.7851239669421489E-2</v>
      </c>
      <c r="BR326" s="2474">
        <v>22800</v>
      </c>
      <c r="BS326" s="2474">
        <v>22800</v>
      </c>
      <c r="BU326" s="2603"/>
      <c r="BW326" s="2474">
        <v>22800</v>
      </c>
      <c r="BX326" s="2466">
        <v>21000</v>
      </c>
      <c r="BZ326" s="2474">
        <v>22800</v>
      </c>
      <c r="CA326" s="2470">
        <v>-1200</v>
      </c>
      <c r="CB326" s="2472">
        <f t="shared" si="179"/>
        <v>21600</v>
      </c>
      <c r="CC326" s="2473">
        <f t="shared" si="183"/>
        <v>-5.2631578947368418E-2</v>
      </c>
      <c r="CE326" s="2474">
        <v>21600</v>
      </c>
      <c r="CF326" s="2476">
        <f t="shared" si="184"/>
        <v>0</v>
      </c>
      <c r="CG326" s="2474">
        <v>21600</v>
      </c>
      <c r="CH326" s="2449" t="s">
        <v>1217</v>
      </c>
      <c r="CI326" s="2449"/>
      <c r="CJ326" s="2450"/>
      <c r="CK326" s="2450"/>
      <c r="CO326" s="2477">
        <v>-0.16528925619834711</v>
      </c>
      <c r="CP326" s="2478">
        <f t="shared" ref="CP326:CP389" si="186">IFERROR(BI326-BH326,"")</f>
        <v>-4000</v>
      </c>
      <c r="CQ326" s="2478"/>
      <c r="CR326" s="2478"/>
      <c r="CS326" s="2478"/>
      <c r="CT326" s="2478"/>
    </row>
    <row r="327" spans="1:98" hidden="1" x14ac:dyDescent="0.2">
      <c r="A327" s="2395">
        <v>210</v>
      </c>
      <c r="C327" s="2396">
        <v>21002</v>
      </c>
      <c r="D327" s="2396">
        <v>51932</v>
      </c>
      <c r="E327" s="2397" t="s">
        <v>319</v>
      </c>
      <c r="G327" s="2587" t="s">
        <v>1672</v>
      </c>
      <c r="I327" s="2470"/>
      <c r="M327" s="2467"/>
      <c r="N327" s="2467"/>
      <c r="P327" s="2469"/>
      <c r="V327" s="2470">
        <v>15000</v>
      </c>
      <c r="Z327" s="2467">
        <v>15000</v>
      </c>
      <c r="AA327" s="2467">
        <v>15000</v>
      </c>
      <c r="AC327" s="2626" t="s">
        <v>1670</v>
      </c>
      <c r="AF327" s="2471">
        <v>400</v>
      </c>
      <c r="AI327" s="2628"/>
      <c r="AJ327" s="2466">
        <f>AH327+AI327</f>
        <v>0</v>
      </c>
      <c r="AK327" s="2468" t="str">
        <f>IF(AH327=0," ",(AJ327-AH327)/AH327)</f>
        <v xml:space="preserve"> </v>
      </c>
      <c r="AM327" s="2467"/>
      <c r="AN327" s="2467"/>
      <c r="AP327" s="2626"/>
      <c r="AS327" s="2466"/>
      <c r="AT327" s="2466"/>
      <c r="AY327" s="2470"/>
      <c r="AZ327" s="2466">
        <f>AX327+AY327</f>
        <v>0</v>
      </c>
      <c r="BA327" s="2468" t="str">
        <f>IF(AX327=0," ",(AZ327-AX327)/AX327)</f>
        <v xml:space="preserve"> </v>
      </c>
      <c r="BC327" s="2467">
        <v>0</v>
      </c>
      <c r="BD327" s="2467">
        <v>0</v>
      </c>
      <c r="BF327" s="2626"/>
      <c r="BH327" s="2467">
        <v>0</v>
      </c>
      <c r="BM327" s="2466">
        <v>0</v>
      </c>
      <c r="BN327" s="2470"/>
      <c r="BO327" s="2472">
        <f>BM327+BN327</f>
        <v>0</v>
      </c>
      <c r="BP327" s="2473" t="str">
        <f>IF(BM327=0," ",(BO327-BM327)/BM327)</f>
        <v xml:space="preserve"> </v>
      </c>
      <c r="BR327" s="2474">
        <v>0</v>
      </c>
      <c r="BS327" s="2474">
        <v>0</v>
      </c>
      <c r="BU327" s="2629"/>
      <c r="BW327" s="2474">
        <v>0</v>
      </c>
      <c r="BZ327" s="2474">
        <v>0</v>
      </c>
      <c r="CA327" s="2470"/>
      <c r="CB327" s="2472">
        <f>BZ327+CA327</f>
        <v>0</v>
      </c>
      <c r="CC327" s="2473" t="str">
        <f>IF(BZ327=0," ",(CB327-BZ327)/BZ327)</f>
        <v xml:space="preserve"> </v>
      </c>
      <c r="CE327" s="2474">
        <v>0</v>
      </c>
      <c r="CF327" s="2476" t="str">
        <f t="shared" si="184"/>
        <v xml:space="preserve"> </v>
      </c>
      <c r="CG327" s="2474">
        <v>0</v>
      </c>
      <c r="CH327" s="2449" t="s">
        <v>1217</v>
      </c>
      <c r="CI327" s="2449"/>
      <c r="CJ327" s="2450"/>
      <c r="CK327" s="2450"/>
      <c r="CP327" s="2478">
        <f t="shared" si="186"/>
        <v>0</v>
      </c>
      <c r="CQ327" s="2478"/>
      <c r="CR327" s="2478"/>
      <c r="CS327" s="2478"/>
      <c r="CT327" s="2478"/>
    </row>
    <row r="328" spans="1:98" hidden="1" x14ac:dyDescent="0.2">
      <c r="H328" s="2560">
        <f>SUM(H308:H324)</f>
        <v>1276787</v>
      </c>
      <c r="I328" s="2560">
        <f>SUM(I308:I324)</f>
        <v>-13159</v>
      </c>
      <c r="J328" s="2560">
        <f>SUM(J308:J324)</f>
        <v>1263628</v>
      </c>
      <c r="K328" s="2561">
        <f>IF(H328=0," ",(J328-H328)/H328)</f>
        <v>-1.0306339271938076E-2</v>
      </c>
      <c r="M328" s="2560">
        <f>SUM(M308:M324)</f>
        <v>1263629</v>
      </c>
      <c r="N328" s="2560">
        <f>SUM(N307:N324)</f>
        <v>1274887</v>
      </c>
      <c r="P328" s="2562">
        <f>SUM(P308:P324)</f>
        <v>0</v>
      </c>
      <c r="R328" s="2560">
        <f>SUM(R308:R324)</f>
        <v>1274887</v>
      </c>
      <c r="S328" s="2560">
        <f>SUM(S307:S324)</f>
        <v>1236218.8900000001</v>
      </c>
      <c r="U328" s="2560">
        <f>SUM(U308:U326)</f>
        <v>1274887</v>
      </c>
      <c r="V328" s="2560">
        <f>SUM(V308:V326)</f>
        <v>45956</v>
      </c>
      <c r="W328" s="2560">
        <f>SUM(W308:W326)</f>
        <v>1305843</v>
      </c>
      <c r="X328" s="2561">
        <f>IF(U328=0," ",(W328-U328)/U328)</f>
        <v>2.4281367681998484E-2</v>
      </c>
      <c r="Z328" s="2560">
        <f>SUM(Z308:Z326)</f>
        <v>1320843</v>
      </c>
      <c r="AA328" s="2560">
        <f>SUM(AA308:AA326)</f>
        <v>1320848</v>
      </c>
      <c r="AC328" s="2562"/>
      <c r="AE328" s="2560">
        <f>SUM(AE307:AE327)</f>
        <v>1320848</v>
      </c>
      <c r="AF328" s="2563">
        <f>SUM(AF307:AF327)</f>
        <v>1310978.2200000002</v>
      </c>
      <c r="AH328" s="2560">
        <f>SUM(AH307:AH327)</f>
        <v>1320848</v>
      </c>
      <c r="AI328" s="2560">
        <f>SUM(AI307:AI327)</f>
        <v>25361</v>
      </c>
      <c r="AJ328" s="2560">
        <f>SUM(AJ307:AJ327)</f>
        <v>1346207</v>
      </c>
      <c r="AK328" s="2561">
        <f>IF(AH328=0," ",(AJ328-AH328)/AH328)</f>
        <v>1.9199029714244184E-2</v>
      </c>
      <c r="AM328" s="2560">
        <f>SUM(AM307:AM327)</f>
        <v>1318927</v>
      </c>
      <c r="AN328" s="2560">
        <f>SUM(AN307:AN327)</f>
        <v>1318927</v>
      </c>
      <c r="AP328" s="2562"/>
      <c r="AR328" s="2560">
        <f>SUM(AR307:AR327)</f>
        <v>1318927</v>
      </c>
      <c r="AS328" s="2563">
        <f>SUM(AS307:AS327)</f>
        <v>1095902.5200000003</v>
      </c>
      <c r="AT328" s="2563"/>
      <c r="AU328" s="2563">
        <f>SUM(AU307:AU327)</f>
        <v>1319101</v>
      </c>
      <c r="AV328" s="2563">
        <f>SUM(AV307:AV327)</f>
        <v>1069724.67</v>
      </c>
      <c r="AX328" s="2563">
        <f>SUM(AX307:AX327)</f>
        <v>1319101</v>
      </c>
      <c r="AY328" s="2563">
        <f>SUM(AY307:AY327)</f>
        <v>-9749</v>
      </c>
      <c r="AZ328" s="2563">
        <f>SUM(AZ307:AZ327)</f>
        <v>1309352</v>
      </c>
      <c r="BA328" s="2561">
        <f>IF(AX328=0," ",(AZ328-AX328)/AX328)</f>
        <v>-7.3906395340462934E-3</v>
      </c>
      <c r="BC328" s="2563">
        <f>SUM(BC307:BC327)</f>
        <v>1309352</v>
      </c>
      <c r="BD328" s="2563">
        <f>SUM(BD307:BD327)</f>
        <v>1311020</v>
      </c>
      <c r="BF328" s="2562"/>
      <c r="BH328" s="2563">
        <f>SUM(BH307:BH327)</f>
        <v>1311020</v>
      </c>
      <c r="BI328" s="2630">
        <f>SUM(BI307:BI327)</f>
        <v>1165173.5900000003</v>
      </c>
      <c r="BJ328" s="2631"/>
      <c r="BK328" s="2631"/>
      <c r="BM328" s="2563">
        <f>SUM(BM307:BM327)</f>
        <v>1311020</v>
      </c>
      <c r="BN328" s="2563">
        <f>SUM(BN307:BN327)</f>
        <v>-10543</v>
      </c>
      <c r="BO328" s="2632">
        <f>SUM(BO307:BO327)</f>
        <v>1300477</v>
      </c>
      <c r="BP328" s="2565">
        <f>IF(BM328=0," ",(BO328-BM328)/BM328)</f>
        <v>-8.0418300254763465E-3</v>
      </c>
      <c r="BR328" s="2632">
        <f>SUM(BR307:BR327)</f>
        <v>1300477</v>
      </c>
      <c r="BS328" s="2632">
        <f>SUM(BS307:BS327)</f>
        <v>1297492</v>
      </c>
      <c r="BU328" s="2566"/>
      <c r="BW328" s="2632">
        <f>SUM(BW307:BW327)</f>
        <v>1297492</v>
      </c>
      <c r="BX328" s="2563">
        <f>SUM(BX307:BX327)</f>
        <v>555501.90000000014</v>
      </c>
      <c r="BZ328" s="2632">
        <f>SUM(BZ307:BZ327)</f>
        <v>1297492</v>
      </c>
      <c r="CA328" s="2632">
        <f>SUM(CA307:CA327)</f>
        <v>28964</v>
      </c>
      <c r="CB328" s="2632">
        <f>SUM(CB307:CB327)</f>
        <v>1326456</v>
      </c>
      <c r="CC328" s="2565">
        <f>IF(BZ328=0," ",(CB328-BZ328)/BZ328)</f>
        <v>2.2323066346459169E-2</v>
      </c>
      <c r="CE328" s="2632">
        <f>SUM(CE307:CE327)</f>
        <v>1327825</v>
      </c>
      <c r="CF328" s="2565">
        <f t="shared" si="184"/>
        <v>1.0320734347765777E-3</v>
      </c>
      <c r="CG328" s="2632">
        <f>SUM(CG307:CG327)</f>
        <v>1297825</v>
      </c>
      <c r="CH328" s="2449" t="s">
        <v>1243</v>
      </c>
      <c r="CI328" s="2449"/>
      <c r="CJ328" s="2450"/>
      <c r="CK328" s="2450"/>
      <c r="CO328" s="2477">
        <v>-0.11124651797836771</v>
      </c>
      <c r="CP328" s="2478">
        <f t="shared" si="186"/>
        <v>-145846.40999999968</v>
      </c>
      <c r="CQ328" s="2478"/>
      <c r="CR328" s="2478"/>
      <c r="CS328" s="2478"/>
      <c r="CT328" s="2478"/>
    </row>
    <row r="329" spans="1:98" hidden="1" x14ac:dyDescent="0.2">
      <c r="AF329" s="2466"/>
      <c r="AS329" s="2466"/>
      <c r="AT329" s="2466"/>
      <c r="AU329" s="2633"/>
      <c r="AX329" s="2633"/>
      <c r="BC329" s="2633"/>
      <c r="BD329" s="2633"/>
      <c r="BH329" s="2633"/>
      <c r="BM329" s="2633"/>
      <c r="BR329" s="2634"/>
      <c r="BS329" s="2634"/>
      <c r="BW329" s="2634"/>
      <c r="BZ329" s="2634"/>
      <c r="CE329" s="2635"/>
      <c r="CG329" s="2634"/>
      <c r="CH329" s="2449" t="s">
        <v>1091</v>
      </c>
      <c r="CI329" s="2449"/>
      <c r="CJ329" s="2450"/>
      <c r="CK329" s="2450"/>
      <c r="CP329" s="2478">
        <f t="shared" si="186"/>
        <v>0</v>
      </c>
      <c r="CQ329" s="2478"/>
      <c r="CR329" s="2478"/>
      <c r="CS329" s="2478"/>
      <c r="CT329" s="2478"/>
    </row>
    <row r="330" spans="1:98" s="2485" customFormat="1" hidden="1" x14ac:dyDescent="0.2">
      <c r="A330" s="2532"/>
      <c r="B330" s="2533"/>
      <c r="C330" s="2534"/>
      <c r="D330" s="2534"/>
      <c r="E330" s="2535"/>
      <c r="F330" s="2533"/>
      <c r="G330" s="2533" t="s">
        <v>1673</v>
      </c>
      <c r="H330" s="2536">
        <f>H305+H328</f>
        <v>1392102</v>
      </c>
      <c r="I330" s="2536">
        <f>I305+I328</f>
        <v>-12509</v>
      </c>
      <c r="J330" s="2536">
        <f>J305+J328</f>
        <v>1379593</v>
      </c>
      <c r="K330" s="2484">
        <f>IF(H330=0," ",(J330-H330)/H330)</f>
        <v>-8.9856921403747708E-3</v>
      </c>
      <c r="M330" s="2536">
        <f>M305+M328</f>
        <v>1379594</v>
      </c>
      <c r="N330" s="2536">
        <f>N305+N328</f>
        <v>1390852</v>
      </c>
      <c r="P330" s="2537">
        <f>P305+P328</f>
        <v>0</v>
      </c>
      <c r="R330" s="2536">
        <f>R305+R328</f>
        <v>1390852</v>
      </c>
      <c r="S330" s="2536">
        <f>S305+S328</f>
        <v>1363538.9600000002</v>
      </c>
      <c r="U330" s="2536">
        <f>U305+U328</f>
        <v>1390852</v>
      </c>
      <c r="V330" s="2536">
        <f>V305+V328</f>
        <v>58141</v>
      </c>
      <c r="W330" s="2536">
        <f>W305+W328</f>
        <v>1433993</v>
      </c>
      <c r="X330" s="2484">
        <f>IF(U330=0," ",(W330-U330)/U330)</f>
        <v>3.1017678372680917E-2</v>
      </c>
      <c r="Z330" s="2536">
        <f>Z305+Z328</f>
        <v>1448993</v>
      </c>
      <c r="AA330" s="2536">
        <f>AA305+AA328</f>
        <v>1448998</v>
      </c>
      <c r="AC330" s="2537"/>
      <c r="AE330" s="2536">
        <f>AE305+AE328</f>
        <v>1448998</v>
      </c>
      <c r="AF330" s="2538">
        <f>AF305+AF328</f>
        <v>1439128.2200000002</v>
      </c>
      <c r="AH330" s="2536">
        <f>AH328+AH305</f>
        <v>1448998</v>
      </c>
      <c r="AI330" s="2536">
        <f>AI328+AI305</f>
        <v>27911</v>
      </c>
      <c r="AJ330" s="2536">
        <f>AJ328+AJ305</f>
        <v>1476907</v>
      </c>
      <c r="AK330" s="2484">
        <f>IF(AH330=0," ",(AJ330-AH330)/AH330)</f>
        <v>1.9260896150305247E-2</v>
      </c>
      <c r="AM330" s="2536">
        <f>AM305+AM328</f>
        <v>1449627</v>
      </c>
      <c r="AN330" s="2536">
        <f>AN305+AN328</f>
        <v>1449627</v>
      </c>
      <c r="AP330" s="2537"/>
      <c r="AR330" s="2536">
        <f>AR305+AR328</f>
        <v>1449627</v>
      </c>
      <c r="AS330" s="2536">
        <f>AS305+AS328</f>
        <v>1336865.8900000001</v>
      </c>
      <c r="AT330" s="2536"/>
      <c r="AU330" s="2536">
        <f>AU305+AU328</f>
        <v>1563401</v>
      </c>
      <c r="AV330" s="2536">
        <f>AV305+AV328</f>
        <v>1312274.67</v>
      </c>
      <c r="AX330" s="2536">
        <f>AX305+AX328</f>
        <v>1563401</v>
      </c>
      <c r="AY330" s="2536">
        <f>AY328+AY305</f>
        <v>-4899</v>
      </c>
      <c r="AZ330" s="2536">
        <f>AZ328+AZ305</f>
        <v>1558502</v>
      </c>
      <c r="BA330" s="2484">
        <f>IF(AX330=0," ",(AZ330-AX330)/AX330)</f>
        <v>-3.1335530679588923E-3</v>
      </c>
      <c r="BC330" s="2536">
        <f>BC305+BC328</f>
        <v>1558502</v>
      </c>
      <c r="BD330" s="2536">
        <f>BD305+BD328</f>
        <v>1560170</v>
      </c>
      <c r="BF330" s="2537"/>
      <c r="BH330" s="2536">
        <f>BH305+BH328</f>
        <v>1560170</v>
      </c>
      <c r="BI330" s="2536">
        <f>BI305+BI328</f>
        <v>1358950.3700000003</v>
      </c>
      <c r="BJ330" s="2536"/>
      <c r="BK330" s="2536"/>
      <c r="BM330" s="2536">
        <f>BM305+BM328</f>
        <v>1560170</v>
      </c>
      <c r="BN330" s="2539">
        <f>BN328+BN305</f>
        <v>-12543</v>
      </c>
      <c r="BO330" s="2540">
        <f>BO328+BO305</f>
        <v>1547627</v>
      </c>
      <c r="BP330" s="2490">
        <f>IF(BM330=0," ",(BO330-BM330)/BM330)</f>
        <v>-8.0395085150977135E-3</v>
      </c>
      <c r="BQ330" s="2491"/>
      <c r="BR330" s="2540">
        <f>BR305+BR328</f>
        <v>1547627</v>
      </c>
      <c r="BS330" s="2540">
        <f>BS305+BS328</f>
        <v>1544642</v>
      </c>
      <c r="BT330" s="2491"/>
      <c r="BU330" s="2541"/>
      <c r="BV330" s="2491"/>
      <c r="BW330" s="2540">
        <f>BW305+BW328</f>
        <v>1544642</v>
      </c>
      <c r="BX330" s="2536">
        <f>BX305+BX328</f>
        <v>674817.85000000009</v>
      </c>
      <c r="BZ330" s="2540">
        <f>BZ305+BZ328</f>
        <v>1544642</v>
      </c>
      <c r="CA330" s="2540">
        <f>CA305+CA328</f>
        <v>28516</v>
      </c>
      <c r="CB330" s="2540">
        <f>CB305+CB328</f>
        <v>1573158</v>
      </c>
      <c r="CC330" s="2490">
        <f>IF(BZ330=0," ",(CB330-BZ330)/BZ330)</f>
        <v>1.8461235677911126E-2</v>
      </c>
      <c r="CD330" s="2491"/>
      <c r="CE330" s="2540">
        <f>CE305+CE328</f>
        <v>1577257</v>
      </c>
      <c r="CF330" s="2490">
        <f>IF(CB330=0," ",(CE330-CB330)/CB330)</f>
        <v>2.6055869785488808E-3</v>
      </c>
      <c r="CG330" s="2540">
        <f>CG305+CG328</f>
        <v>1547257</v>
      </c>
      <c r="CH330" s="2449" t="s">
        <v>1220</v>
      </c>
      <c r="CI330" s="2449"/>
      <c r="CJ330" s="2450"/>
      <c r="CK330" s="2450"/>
      <c r="CL330" s="2451"/>
      <c r="CM330" s="2451"/>
      <c r="CN330" s="2451"/>
      <c r="CO330" s="2477">
        <v>-0.12897288756994407</v>
      </c>
      <c r="CP330" s="2478">
        <f t="shared" si="186"/>
        <v>-201219.62999999966</v>
      </c>
      <c r="CQ330" s="2478"/>
      <c r="CR330" s="2478"/>
      <c r="CS330" s="2478"/>
      <c r="CT330" s="2478"/>
    </row>
    <row r="331" spans="1:98" s="2485" customFormat="1" hidden="1" x14ac:dyDescent="0.2">
      <c r="A331" s="2328"/>
      <c r="C331" s="2329"/>
      <c r="D331" s="2329"/>
      <c r="E331" s="2330"/>
      <c r="H331" s="2549"/>
      <c r="I331" s="2549"/>
      <c r="J331" s="2549"/>
      <c r="K331" s="2550"/>
      <c r="M331" s="2549"/>
      <c r="N331" s="2549"/>
      <c r="P331" s="2551"/>
      <c r="R331" s="2549"/>
      <c r="S331" s="2549"/>
      <c r="U331" s="2549"/>
      <c r="V331" s="2549"/>
      <c r="W331" s="2549"/>
      <c r="X331" s="2550"/>
      <c r="Z331" s="2549"/>
      <c r="AA331" s="2549"/>
      <c r="AC331" s="2551"/>
      <c r="AE331" s="2549"/>
      <c r="AF331" s="2552"/>
      <c r="AH331" s="2549"/>
      <c r="AI331" s="2549"/>
      <c r="AJ331" s="2549"/>
      <c r="AK331" s="2550"/>
      <c r="AM331" s="2549"/>
      <c r="AN331" s="2549"/>
      <c r="AP331" s="2551"/>
      <c r="AR331" s="2549"/>
      <c r="AS331" s="2549"/>
      <c r="AT331" s="2549"/>
      <c r="AU331" s="2549"/>
      <c r="AV331" s="2549"/>
      <c r="AX331" s="2549"/>
      <c r="AY331" s="2549"/>
      <c r="AZ331" s="2549"/>
      <c r="BA331" s="2550"/>
      <c r="BC331" s="2549"/>
      <c r="BD331" s="2549"/>
      <c r="BF331" s="2551"/>
      <c r="BH331" s="2549"/>
      <c r="BI331" s="2549"/>
      <c r="BJ331" s="2549"/>
      <c r="BK331" s="2549"/>
      <c r="BM331" s="2549"/>
      <c r="BN331" s="2466"/>
      <c r="BO331" s="2553"/>
      <c r="BP331" s="2554"/>
      <c r="BQ331" s="2491"/>
      <c r="BR331" s="2553"/>
      <c r="BS331" s="2553"/>
      <c r="BT331" s="2491"/>
      <c r="BU331" s="2555"/>
      <c r="BV331" s="2491"/>
      <c r="BW331" s="2553"/>
      <c r="BX331" s="2549"/>
      <c r="BZ331" s="2553"/>
      <c r="CA331" s="2466"/>
      <c r="CB331" s="2553"/>
      <c r="CC331" s="2554"/>
      <c r="CD331" s="2491"/>
      <c r="CE331" s="2553"/>
      <c r="CF331" s="2554"/>
      <c r="CG331" s="2553"/>
      <c r="CH331" s="2449" t="s">
        <v>1091</v>
      </c>
      <c r="CI331" s="2449"/>
      <c r="CJ331" s="2450"/>
      <c r="CK331" s="2450"/>
      <c r="CL331" s="2451"/>
      <c r="CM331" s="2451"/>
      <c r="CN331" s="2451"/>
      <c r="CO331" s="2477"/>
      <c r="CP331" s="2478">
        <f t="shared" si="186"/>
        <v>0</v>
      </c>
      <c r="CQ331" s="2478"/>
      <c r="CR331" s="2478"/>
      <c r="CS331" s="2478"/>
      <c r="CT331" s="2478"/>
    </row>
    <row r="332" spans="1:98" hidden="1" x14ac:dyDescent="0.2">
      <c r="A332" s="2395">
        <v>210</v>
      </c>
      <c r="B332" s="2440" t="s">
        <v>1214</v>
      </c>
      <c r="C332" s="2396">
        <v>21005</v>
      </c>
      <c r="D332" s="2396">
        <v>52100</v>
      </c>
      <c r="E332" s="2397" t="s">
        <v>1268</v>
      </c>
      <c r="F332" s="2440" t="s">
        <v>1214</v>
      </c>
      <c r="G332" s="2440" t="s">
        <v>1674</v>
      </c>
      <c r="H332" s="2466">
        <v>15500</v>
      </c>
      <c r="I332" s="2470"/>
      <c r="J332" s="2466">
        <f t="shared" ref="J332:J366" si="187">H332+I332</f>
        <v>15500</v>
      </c>
      <c r="K332" s="2468">
        <f t="shared" ref="K332:K366" si="188">IF(H332=0," ",(J332-H332)/H332)</f>
        <v>0</v>
      </c>
      <c r="M332" s="2467">
        <v>15500</v>
      </c>
      <c r="N332" s="2467">
        <v>15500</v>
      </c>
      <c r="P332" s="2469" t="s">
        <v>1675</v>
      </c>
      <c r="R332" s="2466">
        <v>15500</v>
      </c>
      <c r="S332" s="2466">
        <v>8200.4</v>
      </c>
      <c r="U332" s="2466">
        <v>15500</v>
      </c>
      <c r="V332" s="2470">
        <v>-2000</v>
      </c>
      <c r="W332" s="2466">
        <f t="shared" ref="W332:W366" si="189">U332+V332</f>
        <v>13500</v>
      </c>
      <c r="X332" s="2468">
        <f t="shared" ref="X332:X366" si="190">IF(U332=0," ",(W332-U332)/U332)</f>
        <v>-0.12903225806451613</v>
      </c>
      <c r="Z332" s="2467">
        <v>13500</v>
      </c>
      <c r="AA332" s="2467">
        <v>13500</v>
      </c>
      <c r="AC332" s="2469"/>
      <c r="AE332" s="2466">
        <v>13500</v>
      </c>
      <c r="AF332" s="2471">
        <v>7431.51</v>
      </c>
      <c r="AH332" s="2466">
        <v>13500</v>
      </c>
      <c r="AI332" s="2470"/>
      <c r="AJ332" s="2466">
        <f t="shared" ref="AJ332:AJ366" si="191">AH332+AI332</f>
        <v>13500</v>
      </c>
      <c r="AK332" s="2468">
        <f t="shared" ref="AK332:AK366" si="192">IF(AH332=0," ",(AJ332-AH332)/AH332)</f>
        <v>0</v>
      </c>
      <c r="AM332" s="2467">
        <v>13500</v>
      </c>
      <c r="AN332" s="2467">
        <v>13500</v>
      </c>
      <c r="AP332" s="2469"/>
      <c r="AR332" s="2466">
        <v>13500</v>
      </c>
      <c r="AS332" s="2466">
        <v>8276.57</v>
      </c>
      <c r="AT332" s="2466"/>
      <c r="AU332" s="2466">
        <v>13500</v>
      </c>
      <c r="AV332" s="2466">
        <v>10252.799999999999</v>
      </c>
      <c r="AX332" s="2466">
        <v>13500</v>
      </c>
      <c r="AY332" s="2628">
        <v>-4370</v>
      </c>
      <c r="AZ332" s="2466">
        <f t="shared" ref="AZ332:AZ356" si="193">AX332+AY332</f>
        <v>9130</v>
      </c>
      <c r="BA332" s="2468">
        <f t="shared" ref="BA332:BA356" si="194">IF(AX332=0," ",(AZ332-AX332)/AX332)</f>
        <v>-0.32370370370370372</v>
      </c>
      <c r="BC332" s="2467">
        <v>9130</v>
      </c>
      <c r="BD332" s="2467">
        <v>9130</v>
      </c>
      <c r="BF332" s="2469"/>
      <c r="BH332" s="2467">
        <v>9130</v>
      </c>
      <c r="BI332" s="2466">
        <v>12909.73</v>
      </c>
      <c r="BM332" s="2466">
        <v>9130</v>
      </c>
      <c r="BN332" s="2636"/>
      <c r="BO332" s="2472">
        <f t="shared" ref="BO332:BO356" si="195">BM332+BN332</f>
        <v>9130</v>
      </c>
      <c r="BP332" s="2473">
        <f t="shared" ref="BP332:BP356" si="196">IF(BM332=0," ",(BO332-BM332)/BM332)</f>
        <v>0</v>
      </c>
      <c r="BR332" s="2474">
        <v>9130</v>
      </c>
      <c r="BS332" s="2474">
        <v>9130</v>
      </c>
      <c r="BU332" s="2475"/>
      <c r="BW332" s="2474">
        <v>9130</v>
      </c>
      <c r="BX332" s="2466">
        <v>7581.08</v>
      </c>
      <c r="BZ332" s="2474">
        <v>9130</v>
      </c>
      <c r="CA332" s="2636">
        <v>913</v>
      </c>
      <c r="CB332" s="2472">
        <f t="shared" ref="CB332:CB356" si="197">BZ332+CA332</f>
        <v>10043</v>
      </c>
      <c r="CC332" s="2473">
        <f t="shared" ref="CC332:CC356" si="198">IF(BZ332=0," ",(CB332-BZ332)/BZ332)</f>
        <v>0.1</v>
      </c>
      <c r="CE332" s="2474">
        <v>10043</v>
      </c>
      <c r="CF332" s="2476">
        <f t="shared" ref="CF332:CF366" si="199">IF(CB332=0," ",(CE332-CB332)/CB332)</f>
        <v>0</v>
      </c>
      <c r="CG332" s="2474">
        <v>10043</v>
      </c>
      <c r="CH332" s="2449" t="s">
        <v>1217</v>
      </c>
      <c r="CI332" s="2449"/>
      <c r="CJ332" s="2450"/>
      <c r="CK332" s="2450"/>
      <c r="CO332" s="2477">
        <v>0.4139901423877328</v>
      </c>
      <c r="CP332" s="2478">
        <f t="shared" si="186"/>
        <v>3779.7299999999996</v>
      </c>
      <c r="CQ332" s="2478"/>
      <c r="CR332" s="2478"/>
      <c r="CS332" s="2478"/>
      <c r="CT332" s="2478"/>
    </row>
    <row r="333" spans="1:98" hidden="1" x14ac:dyDescent="0.2">
      <c r="A333" s="2395">
        <v>210</v>
      </c>
      <c r="B333" s="2440" t="s">
        <v>1214</v>
      </c>
      <c r="C333" s="2396">
        <v>21005</v>
      </c>
      <c r="D333" s="2396">
        <v>52200</v>
      </c>
      <c r="E333" s="2397" t="s">
        <v>1268</v>
      </c>
      <c r="F333" s="2440" t="s">
        <v>1214</v>
      </c>
      <c r="G333" s="2440" t="s">
        <v>1676</v>
      </c>
      <c r="H333" s="2466">
        <v>5712</v>
      </c>
      <c r="I333" s="2470"/>
      <c r="J333" s="2466">
        <f t="shared" si="187"/>
        <v>5712</v>
      </c>
      <c r="K333" s="2468">
        <f t="shared" si="188"/>
        <v>0</v>
      </c>
      <c r="M333" s="2467">
        <v>5712</v>
      </c>
      <c r="N333" s="2467">
        <v>5712</v>
      </c>
      <c r="P333" s="2469"/>
      <c r="R333" s="2466">
        <v>5712</v>
      </c>
      <c r="S333" s="2466">
        <v>5804.45</v>
      </c>
      <c r="U333" s="2466">
        <v>5712</v>
      </c>
      <c r="V333" s="2470">
        <v>0</v>
      </c>
      <c r="W333" s="2466">
        <f t="shared" si="189"/>
        <v>5712</v>
      </c>
      <c r="X333" s="2468">
        <f t="shared" si="190"/>
        <v>0</v>
      </c>
      <c r="Z333" s="2467">
        <v>5712</v>
      </c>
      <c r="AA333" s="2467">
        <v>5712</v>
      </c>
      <c r="AC333" s="2469"/>
      <c r="AE333" s="2466">
        <v>5712</v>
      </c>
      <c r="AF333" s="2471">
        <v>5678.84</v>
      </c>
      <c r="AH333" s="2466">
        <v>5712</v>
      </c>
      <c r="AI333" s="2470"/>
      <c r="AJ333" s="2466">
        <f t="shared" si="191"/>
        <v>5712</v>
      </c>
      <c r="AK333" s="2468">
        <f t="shared" si="192"/>
        <v>0</v>
      </c>
      <c r="AM333" s="2467">
        <v>5712</v>
      </c>
      <c r="AN333" s="2467">
        <v>5712</v>
      </c>
      <c r="AP333" s="2469"/>
      <c r="AR333" s="2466">
        <v>5712</v>
      </c>
      <c r="AS333" s="2466">
        <v>4746.55</v>
      </c>
      <c r="AT333" s="2466"/>
      <c r="AU333" s="2466">
        <v>5712</v>
      </c>
      <c r="AV333" s="2466">
        <v>4291.5</v>
      </c>
      <c r="AX333" s="2466">
        <v>5712</v>
      </c>
      <c r="AY333" s="2628">
        <v>571</v>
      </c>
      <c r="AZ333" s="2466">
        <f t="shared" si="193"/>
        <v>6283</v>
      </c>
      <c r="BA333" s="2468">
        <f t="shared" si="194"/>
        <v>9.9964985994397765E-2</v>
      </c>
      <c r="BC333" s="2467">
        <v>6283</v>
      </c>
      <c r="BD333" s="2467">
        <v>6283</v>
      </c>
      <c r="BF333" s="2469"/>
      <c r="BH333" s="2467">
        <v>6283</v>
      </c>
      <c r="BI333" s="2466">
        <v>4343.55</v>
      </c>
      <c r="BM333" s="2466">
        <v>6283</v>
      </c>
      <c r="BN333" s="2636"/>
      <c r="BO333" s="2472">
        <f t="shared" si="195"/>
        <v>6283</v>
      </c>
      <c r="BP333" s="2473">
        <f t="shared" si="196"/>
        <v>0</v>
      </c>
      <c r="BR333" s="2474">
        <v>6283</v>
      </c>
      <c r="BS333" s="2474">
        <v>6283</v>
      </c>
      <c r="BU333" s="2475"/>
      <c r="BW333" s="2474">
        <v>6283</v>
      </c>
      <c r="BX333" s="2466">
        <v>674.85</v>
      </c>
      <c r="BZ333" s="2474">
        <v>6283</v>
      </c>
      <c r="CA333" s="2636">
        <v>628</v>
      </c>
      <c r="CB333" s="2472">
        <f t="shared" si="197"/>
        <v>6911</v>
      </c>
      <c r="CC333" s="2473">
        <f t="shared" si="198"/>
        <v>9.9952252108865186E-2</v>
      </c>
      <c r="CE333" s="2474">
        <v>6911</v>
      </c>
      <c r="CF333" s="2476">
        <f t="shared" si="199"/>
        <v>0</v>
      </c>
      <c r="CG333" s="2474">
        <v>6911</v>
      </c>
      <c r="CH333" s="2449" t="s">
        <v>1217</v>
      </c>
      <c r="CI333" s="2449"/>
      <c r="CJ333" s="2450"/>
      <c r="CK333" s="2450"/>
      <c r="CO333" s="2477">
        <v>-0.30868215820467926</v>
      </c>
      <c r="CP333" s="2478">
        <f t="shared" si="186"/>
        <v>-1939.4499999999998</v>
      </c>
      <c r="CQ333" s="2478"/>
      <c r="CR333" s="2478"/>
      <c r="CS333" s="2478"/>
      <c r="CT333" s="2478"/>
    </row>
    <row r="334" spans="1:98" hidden="1" x14ac:dyDescent="0.2">
      <c r="A334" s="2395">
        <v>210</v>
      </c>
      <c r="B334" s="2440" t="s">
        <v>1214</v>
      </c>
      <c r="C334" s="2396">
        <v>21005</v>
      </c>
      <c r="D334" s="2396">
        <v>52300</v>
      </c>
      <c r="E334" s="2397" t="s">
        <v>1268</v>
      </c>
      <c r="F334" s="2440" t="s">
        <v>1214</v>
      </c>
      <c r="G334" s="2440" t="s">
        <v>1677</v>
      </c>
      <c r="H334" s="2466">
        <v>640</v>
      </c>
      <c r="I334" s="2470">
        <v>100</v>
      </c>
      <c r="J334" s="2466">
        <f t="shared" si="187"/>
        <v>740</v>
      </c>
      <c r="K334" s="2468">
        <f t="shared" si="188"/>
        <v>0.15625</v>
      </c>
      <c r="M334" s="2467">
        <v>740</v>
      </c>
      <c r="N334" s="2467">
        <v>740</v>
      </c>
      <c r="P334" s="2469" t="s">
        <v>1678</v>
      </c>
      <c r="R334" s="2466">
        <v>740</v>
      </c>
      <c r="S334" s="2466">
        <v>722.44</v>
      </c>
      <c r="U334" s="2466">
        <v>740</v>
      </c>
      <c r="V334" s="2470">
        <v>260</v>
      </c>
      <c r="W334" s="2466">
        <f t="shared" si="189"/>
        <v>1000</v>
      </c>
      <c r="X334" s="2468">
        <f t="shared" si="190"/>
        <v>0.35135135135135137</v>
      </c>
      <c r="Z334" s="2467">
        <v>1000</v>
      </c>
      <c r="AA334" s="2467">
        <v>1000</v>
      </c>
      <c r="AC334" s="2469"/>
      <c r="AE334" s="2466">
        <v>1000</v>
      </c>
      <c r="AF334" s="2471">
        <v>563.17999999999995</v>
      </c>
      <c r="AH334" s="2466">
        <v>1000</v>
      </c>
      <c r="AI334" s="2470"/>
      <c r="AJ334" s="2466">
        <f t="shared" si="191"/>
        <v>1000</v>
      </c>
      <c r="AK334" s="2468">
        <f t="shared" si="192"/>
        <v>0</v>
      </c>
      <c r="AM334" s="2467">
        <v>1000</v>
      </c>
      <c r="AN334" s="2467">
        <v>1000</v>
      </c>
      <c r="AP334" s="2469"/>
      <c r="AR334" s="2466">
        <v>1000</v>
      </c>
      <c r="AS334" s="2466">
        <v>590.82000000000005</v>
      </c>
      <c r="AT334" s="2466"/>
      <c r="AU334" s="2466">
        <v>1000</v>
      </c>
      <c r="AV334" s="2466">
        <v>560.20000000000005</v>
      </c>
      <c r="AX334" s="2466">
        <v>1000</v>
      </c>
      <c r="AY334" s="2628">
        <v>-312</v>
      </c>
      <c r="AZ334" s="2466">
        <f t="shared" si="193"/>
        <v>688</v>
      </c>
      <c r="BA334" s="2468">
        <f t="shared" si="194"/>
        <v>-0.312</v>
      </c>
      <c r="BC334" s="2467">
        <v>688</v>
      </c>
      <c r="BD334" s="2467">
        <v>688</v>
      </c>
      <c r="BF334" s="2469"/>
      <c r="BH334" s="2467">
        <v>688</v>
      </c>
      <c r="BI334" s="2466">
        <v>1218.29</v>
      </c>
      <c r="BM334" s="2466">
        <v>688</v>
      </c>
      <c r="BN334" s="2636"/>
      <c r="BO334" s="2472">
        <f t="shared" si="195"/>
        <v>688</v>
      </c>
      <c r="BP334" s="2473">
        <f t="shared" si="196"/>
        <v>0</v>
      </c>
      <c r="BR334" s="2474">
        <v>688</v>
      </c>
      <c r="BS334" s="2474">
        <v>688</v>
      </c>
      <c r="BU334" s="2475"/>
      <c r="BW334" s="2474">
        <v>688</v>
      </c>
      <c r="BX334" s="2466">
        <v>267.68</v>
      </c>
      <c r="BZ334" s="2474">
        <v>688</v>
      </c>
      <c r="CA334" s="2636"/>
      <c r="CB334" s="2472">
        <f t="shared" si="197"/>
        <v>688</v>
      </c>
      <c r="CC334" s="2473">
        <f t="shared" si="198"/>
        <v>0</v>
      </c>
      <c r="CE334" s="2474">
        <v>688</v>
      </c>
      <c r="CF334" s="2476">
        <f t="shared" si="199"/>
        <v>0</v>
      </c>
      <c r="CG334" s="2474">
        <v>688</v>
      </c>
      <c r="CH334" s="2449" t="s">
        <v>1217</v>
      </c>
      <c r="CI334" s="2449"/>
      <c r="CJ334" s="2450"/>
      <c r="CK334" s="2450"/>
      <c r="CO334" s="2477">
        <v>0.7707703488372093</v>
      </c>
      <c r="CP334" s="2478">
        <f t="shared" si="186"/>
        <v>530.29</v>
      </c>
      <c r="CQ334" s="2478"/>
      <c r="CR334" s="2478"/>
      <c r="CS334" s="2478"/>
      <c r="CT334" s="2478"/>
    </row>
    <row r="335" spans="1:98" hidden="1" x14ac:dyDescent="0.2">
      <c r="A335" s="2395">
        <v>210</v>
      </c>
      <c r="B335" s="2440" t="s">
        <v>1214</v>
      </c>
      <c r="C335" s="2396">
        <v>21005</v>
      </c>
      <c r="D335" s="2396">
        <v>52400</v>
      </c>
      <c r="E335" s="2397" t="s">
        <v>1268</v>
      </c>
      <c r="F335" s="2440" t="s">
        <v>1214</v>
      </c>
      <c r="G335" s="2440" t="s">
        <v>1679</v>
      </c>
      <c r="H335" s="2466">
        <v>15100</v>
      </c>
      <c r="I335" s="2470"/>
      <c r="J335" s="2466">
        <f t="shared" si="187"/>
        <v>15100</v>
      </c>
      <c r="K335" s="2468">
        <f t="shared" si="188"/>
        <v>0</v>
      </c>
      <c r="M335" s="2467">
        <v>15100</v>
      </c>
      <c r="N335" s="2467">
        <v>15100</v>
      </c>
      <c r="P335" s="2469"/>
      <c r="R335" s="2466">
        <v>15100</v>
      </c>
      <c r="S335" s="2466">
        <v>19512.650000000001</v>
      </c>
      <c r="U335" s="2466">
        <v>15100</v>
      </c>
      <c r="V335" s="2470">
        <v>0</v>
      </c>
      <c r="W335" s="2466">
        <f t="shared" si="189"/>
        <v>15100</v>
      </c>
      <c r="X335" s="2468">
        <f t="shared" si="190"/>
        <v>0</v>
      </c>
      <c r="Z335" s="2467">
        <v>15100</v>
      </c>
      <c r="AA335" s="2467">
        <v>15100</v>
      </c>
      <c r="AC335" s="2469"/>
      <c r="AE335" s="2466">
        <v>15100</v>
      </c>
      <c r="AF335" s="2471">
        <v>19600.169999999998</v>
      </c>
      <c r="AH335" s="2466">
        <v>15100</v>
      </c>
      <c r="AI335" s="2470"/>
      <c r="AJ335" s="2466">
        <f t="shared" si="191"/>
        <v>15100</v>
      </c>
      <c r="AK335" s="2468">
        <f t="shared" si="192"/>
        <v>0</v>
      </c>
      <c r="AM335" s="2467">
        <v>15100</v>
      </c>
      <c r="AN335" s="2467">
        <v>15100</v>
      </c>
      <c r="AP335" s="2469"/>
      <c r="AR335" s="2466">
        <v>15100</v>
      </c>
      <c r="AS335" s="2466">
        <v>16657.990000000002</v>
      </c>
      <c r="AT335" s="2466"/>
      <c r="AU335" s="2466">
        <f>15100+1238</f>
        <v>16338</v>
      </c>
      <c r="AV335" s="2466">
        <v>17967.14</v>
      </c>
      <c r="AX335" s="2466">
        <f>15100+1238</f>
        <v>16338</v>
      </c>
      <c r="AY335" s="2628">
        <v>2855</v>
      </c>
      <c r="AZ335" s="2466">
        <f t="shared" si="193"/>
        <v>19193</v>
      </c>
      <c r="BA335" s="2468">
        <f t="shared" si="194"/>
        <v>0.1747459909413637</v>
      </c>
      <c r="BC335" s="2467">
        <v>19193</v>
      </c>
      <c r="BD335" s="2467">
        <v>19193</v>
      </c>
      <c r="BF335" s="2469"/>
      <c r="BH335" s="2467">
        <v>19193</v>
      </c>
      <c r="BI335" s="2466">
        <v>18324.650000000001</v>
      </c>
      <c r="BM335" s="2466">
        <v>19193</v>
      </c>
      <c r="BN335" s="2636"/>
      <c r="BO335" s="2472">
        <f t="shared" si="195"/>
        <v>19193</v>
      </c>
      <c r="BP335" s="2473">
        <f t="shared" si="196"/>
        <v>0</v>
      </c>
      <c r="BR335" s="2474">
        <v>19193</v>
      </c>
      <c r="BS335" s="2474">
        <v>19193</v>
      </c>
      <c r="BU335" s="2475"/>
      <c r="BW335" s="2474">
        <v>19193</v>
      </c>
      <c r="BX335" s="2466">
        <v>4736.22</v>
      </c>
      <c r="BZ335" s="2474">
        <v>19193</v>
      </c>
      <c r="CA335" s="2636"/>
      <c r="CB335" s="2472">
        <f t="shared" si="197"/>
        <v>19193</v>
      </c>
      <c r="CC335" s="2473">
        <f t="shared" si="198"/>
        <v>0</v>
      </c>
      <c r="CE335" s="2474">
        <v>19193</v>
      </c>
      <c r="CF335" s="2476">
        <f t="shared" si="199"/>
        <v>0</v>
      </c>
      <c r="CG335" s="2474">
        <v>19193</v>
      </c>
      <c r="CH335" s="2449" t="s">
        <v>1217</v>
      </c>
      <c r="CI335" s="2449"/>
      <c r="CJ335" s="2450"/>
      <c r="CK335" s="2450"/>
      <c r="CO335" s="2477">
        <v>-4.5243057364664163E-2</v>
      </c>
      <c r="CP335" s="2478">
        <f t="shared" si="186"/>
        <v>-868.34999999999854</v>
      </c>
      <c r="CQ335" s="2478"/>
      <c r="CR335" s="2478"/>
      <c r="CS335" s="2478"/>
      <c r="CT335" s="2478"/>
    </row>
    <row r="336" spans="1:98" hidden="1" x14ac:dyDescent="0.2">
      <c r="A336" s="2395">
        <v>210</v>
      </c>
      <c r="B336" s="2440" t="s">
        <v>1214</v>
      </c>
      <c r="C336" s="2396">
        <v>21005</v>
      </c>
      <c r="D336" s="2396">
        <v>52410</v>
      </c>
      <c r="E336" s="2397" t="s">
        <v>1268</v>
      </c>
      <c r="F336" s="2440" t="s">
        <v>1214</v>
      </c>
      <c r="G336" s="2440" t="s">
        <v>1680</v>
      </c>
      <c r="H336" s="2466">
        <v>2000</v>
      </c>
      <c r="I336" s="2470"/>
      <c r="J336" s="2466">
        <f t="shared" si="187"/>
        <v>2000</v>
      </c>
      <c r="K336" s="2468">
        <f t="shared" si="188"/>
        <v>0</v>
      </c>
      <c r="M336" s="2467">
        <v>2000</v>
      </c>
      <c r="N336" s="2467">
        <v>2000</v>
      </c>
      <c r="P336" s="2469"/>
      <c r="R336" s="2466">
        <v>2000</v>
      </c>
      <c r="S336" s="2466">
        <v>0</v>
      </c>
      <c r="U336" s="2466">
        <v>2000</v>
      </c>
      <c r="V336" s="2470">
        <v>0</v>
      </c>
      <c r="W336" s="2466">
        <f t="shared" si="189"/>
        <v>2000</v>
      </c>
      <c r="X336" s="2468">
        <f t="shared" si="190"/>
        <v>0</v>
      </c>
      <c r="Z336" s="2467">
        <v>2000</v>
      </c>
      <c r="AA336" s="2467">
        <v>2000</v>
      </c>
      <c r="AC336" s="2469"/>
      <c r="AE336" s="2466">
        <v>2000</v>
      </c>
      <c r="AF336" s="2471">
        <v>0</v>
      </c>
      <c r="AH336" s="2466">
        <v>2000</v>
      </c>
      <c r="AI336" s="2470"/>
      <c r="AJ336" s="2466">
        <f t="shared" si="191"/>
        <v>2000</v>
      </c>
      <c r="AK336" s="2468">
        <f t="shared" si="192"/>
        <v>0</v>
      </c>
      <c r="AM336" s="2467">
        <v>2000</v>
      </c>
      <c r="AN336" s="2467">
        <v>2000</v>
      </c>
      <c r="AP336" s="2469"/>
      <c r="AR336" s="2466">
        <v>2000</v>
      </c>
      <c r="AS336" s="2466">
        <v>2830.08</v>
      </c>
      <c r="AT336" s="2466"/>
      <c r="AU336" s="2466">
        <v>2000</v>
      </c>
      <c r="AX336" s="2466">
        <v>2000</v>
      </c>
      <c r="AY336" s="2628">
        <v>-2000</v>
      </c>
      <c r="AZ336" s="2466">
        <f t="shared" si="193"/>
        <v>0</v>
      </c>
      <c r="BA336" s="2468">
        <f t="shared" si="194"/>
        <v>-1</v>
      </c>
      <c r="BC336" s="2467">
        <v>0</v>
      </c>
      <c r="BD336" s="2467">
        <v>0</v>
      </c>
      <c r="BF336" s="2469"/>
      <c r="BH336" s="2467">
        <v>0</v>
      </c>
      <c r="BM336" s="2466">
        <v>0</v>
      </c>
      <c r="BN336" s="2636"/>
      <c r="BO336" s="2472">
        <f t="shared" si="195"/>
        <v>0</v>
      </c>
      <c r="BP336" s="2473" t="str">
        <f t="shared" si="196"/>
        <v xml:space="preserve"> </v>
      </c>
      <c r="BR336" s="2474">
        <v>0</v>
      </c>
      <c r="BS336" s="2474">
        <v>0</v>
      </c>
      <c r="BU336" s="2475"/>
      <c r="BW336" s="2474">
        <v>0</v>
      </c>
      <c r="BZ336" s="2474">
        <v>0</v>
      </c>
      <c r="CA336" s="2636"/>
      <c r="CB336" s="2472">
        <f t="shared" si="197"/>
        <v>0</v>
      </c>
      <c r="CC336" s="2473" t="str">
        <f t="shared" si="198"/>
        <v xml:space="preserve"> </v>
      </c>
      <c r="CE336" s="2474">
        <v>0</v>
      </c>
      <c r="CF336" s="2476" t="str">
        <f t="shared" si="199"/>
        <v xml:space="preserve"> </v>
      </c>
      <c r="CG336" s="2474">
        <v>0</v>
      </c>
      <c r="CH336" s="2449" t="s">
        <v>1217</v>
      </c>
      <c r="CI336" s="2449"/>
      <c r="CJ336" s="2450"/>
      <c r="CK336" s="2450"/>
      <c r="CP336" s="2478">
        <f t="shared" si="186"/>
        <v>0</v>
      </c>
      <c r="CQ336" s="2478"/>
      <c r="CR336" s="2478"/>
      <c r="CS336" s="2478"/>
      <c r="CT336" s="2478"/>
    </row>
    <row r="337" spans="1:98" hidden="1" x14ac:dyDescent="0.2">
      <c r="A337" s="2395">
        <v>210</v>
      </c>
      <c r="B337" s="2440" t="s">
        <v>1214</v>
      </c>
      <c r="C337" s="2396">
        <v>21005</v>
      </c>
      <c r="D337" s="2396">
        <v>52450</v>
      </c>
      <c r="E337" s="2397" t="s">
        <v>1268</v>
      </c>
      <c r="F337" s="2440" t="s">
        <v>1214</v>
      </c>
      <c r="G337" s="2440" t="s">
        <v>1681</v>
      </c>
      <c r="H337" s="2466">
        <v>14500</v>
      </c>
      <c r="I337" s="2470"/>
      <c r="J337" s="2466">
        <f t="shared" si="187"/>
        <v>14500</v>
      </c>
      <c r="K337" s="2468">
        <f t="shared" si="188"/>
        <v>0</v>
      </c>
      <c r="M337" s="2467">
        <v>14500</v>
      </c>
      <c r="N337" s="2467">
        <v>14500</v>
      </c>
      <c r="P337" s="2469"/>
      <c r="R337" s="2466">
        <v>14500</v>
      </c>
      <c r="S337" s="2466">
        <v>6569.82</v>
      </c>
      <c r="U337" s="2466">
        <v>14500</v>
      </c>
      <c r="V337" s="2470">
        <v>0</v>
      </c>
      <c r="W337" s="2466">
        <f t="shared" si="189"/>
        <v>14500</v>
      </c>
      <c r="X337" s="2468">
        <f t="shared" si="190"/>
        <v>0</v>
      </c>
      <c r="Z337" s="2467">
        <v>14500</v>
      </c>
      <c r="AA337" s="2467">
        <v>14500</v>
      </c>
      <c r="AC337" s="2469"/>
      <c r="AE337" s="2466">
        <v>14500</v>
      </c>
      <c r="AF337" s="2471">
        <v>9056.76</v>
      </c>
      <c r="AH337" s="2466">
        <v>14500</v>
      </c>
      <c r="AI337" s="2470"/>
      <c r="AJ337" s="2466">
        <f t="shared" si="191"/>
        <v>14500</v>
      </c>
      <c r="AK337" s="2468">
        <f t="shared" si="192"/>
        <v>0</v>
      </c>
      <c r="AM337" s="2467">
        <v>14500</v>
      </c>
      <c r="AN337" s="2467">
        <v>14500</v>
      </c>
      <c r="AP337" s="2469"/>
      <c r="AR337" s="2466">
        <v>14500</v>
      </c>
      <c r="AS337" s="2466">
        <v>14192.63</v>
      </c>
      <c r="AT337" s="2466"/>
      <c r="AU337" s="2466">
        <v>14500</v>
      </c>
      <c r="AV337" s="2466">
        <v>13257.67</v>
      </c>
      <c r="AX337" s="2466">
        <v>14500</v>
      </c>
      <c r="AY337" s="2628">
        <v>-1380</v>
      </c>
      <c r="AZ337" s="2466">
        <f t="shared" si="193"/>
        <v>13120</v>
      </c>
      <c r="BA337" s="2468">
        <f t="shared" si="194"/>
        <v>-9.5172413793103441E-2</v>
      </c>
      <c r="BC337" s="2467">
        <v>13120</v>
      </c>
      <c r="BD337" s="2467">
        <v>13120</v>
      </c>
      <c r="BF337" s="2469"/>
      <c r="BH337" s="2467">
        <v>13120</v>
      </c>
      <c r="BI337" s="2466">
        <v>16738.34</v>
      </c>
      <c r="BM337" s="2466">
        <v>13120</v>
      </c>
      <c r="BN337" s="2636"/>
      <c r="BO337" s="2472">
        <f t="shared" si="195"/>
        <v>13120</v>
      </c>
      <c r="BP337" s="2473">
        <f t="shared" si="196"/>
        <v>0</v>
      </c>
      <c r="BR337" s="2474">
        <v>13120</v>
      </c>
      <c r="BS337" s="2474">
        <v>13120</v>
      </c>
      <c r="BU337" s="2475"/>
      <c r="BW337" s="2474">
        <v>13120</v>
      </c>
      <c r="BX337" s="2466">
        <v>11866.46</v>
      </c>
      <c r="BZ337" s="2474">
        <v>13120</v>
      </c>
      <c r="CA337" s="2636"/>
      <c r="CB337" s="2472">
        <f t="shared" si="197"/>
        <v>13120</v>
      </c>
      <c r="CC337" s="2473">
        <f t="shared" si="198"/>
        <v>0</v>
      </c>
      <c r="CE337" s="2474">
        <v>13120</v>
      </c>
      <c r="CF337" s="2476">
        <f t="shared" si="199"/>
        <v>0</v>
      </c>
      <c r="CG337" s="2474">
        <v>13120</v>
      </c>
      <c r="CH337" s="2449" t="s">
        <v>1217</v>
      </c>
      <c r="CI337" s="2449"/>
      <c r="CJ337" s="2450"/>
      <c r="CK337" s="2450"/>
      <c r="CO337" s="2477">
        <v>0.27578810975609747</v>
      </c>
      <c r="CP337" s="2478">
        <f t="shared" si="186"/>
        <v>3618.34</v>
      </c>
      <c r="CQ337" s="2478"/>
      <c r="CR337" s="2478"/>
      <c r="CS337" s="2478"/>
      <c r="CT337" s="2478"/>
    </row>
    <row r="338" spans="1:98" hidden="1" x14ac:dyDescent="0.2">
      <c r="A338" s="2395">
        <v>210</v>
      </c>
      <c r="B338" s="2440" t="s">
        <v>1214</v>
      </c>
      <c r="C338" s="2396">
        <v>21005</v>
      </c>
      <c r="D338" s="2396">
        <v>52500</v>
      </c>
      <c r="E338" s="2397" t="s">
        <v>1268</v>
      </c>
      <c r="F338" s="2440" t="s">
        <v>1214</v>
      </c>
      <c r="G338" s="2440" t="s">
        <v>1682</v>
      </c>
      <c r="H338" s="2466">
        <v>2060</v>
      </c>
      <c r="I338" s="2470"/>
      <c r="J338" s="2466">
        <f t="shared" si="187"/>
        <v>2060</v>
      </c>
      <c r="K338" s="2468">
        <f t="shared" si="188"/>
        <v>0</v>
      </c>
      <c r="M338" s="2467">
        <v>2060</v>
      </c>
      <c r="N338" s="2467">
        <v>2060</v>
      </c>
      <c r="P338" s="2469" t="s">
        <v>1678</v>
      </c>
      <c r="R338" s="2466">
        <v>2060</v>
      </c>
      <c r="S338" s="2466">
        <v>2027.2</v>
      </c>
      <c r="U338" s="2466">
        <v>2060</v>
      </c>
      <c r="V338" s="2470">
        <v>0</v>
      </c>
      <c r="W338" s="2466">
        <f t="shared" si="189"/>
        <v>2060</v>
      </c>
      <c r="X338" s="2468">
        <f t="shared" si="190"/>
        <v>0</v>
      </c>
      <c r="Z338" s="2467">
        <v>2060</v>
      </c>
      <c r="AA338" s="2467">
        <v>2060</v>
      </c>
      <c r="AC338" s="2469"/>
      <c r="AE338" s="2466">
        <v>2060</v>
      </c>
      <c r="AF338" s="2471">
        <v>838.95</v>
      </c>
      <c r="AH338" s="2466">
        <v>2060</v>
      </c>
      <c r="AI338" s="2470"/>
      <c r="AJ338" s="2466">
        <f t="shared" si="191"/>
        <v>2060</v>
      </c>
      <c r="AK338" s="2468">
        <f t="shared" si="192"/>
        <v>0</v>
      </c>
      <c r="AM338" s="2467">
        <v>2060</v>
      </c>
      <c r="AN338" s="2467">
        <v>2060</v>
      </c>
      <c r="AP338" s="2530"/>
      <c r="AR338" s="2466">
        <v>2060</v>
      </c>
      <c r="AS338" s="2466">
        <v>1601.25</v>
      </c>
      <c r="AT338" s="2466"/>
      <c r="AU338" s="2466">
        <v>2060</v>
      </c>
      <c r="AX338" s="2466">
        <v>2060</v>
      </c>
      <c r="AY338" s="2628">
        <v>-2060</v>
      </c>
      <c r="AZ338" s="2466">
        <f t="shared" si="193"/>
        <v>0</v>
      </c>
      <c r="BA338" s="2468">
        <f t="shared" si="194"/>
        <v>-1</v>
      </c>
      <c r="BC338" s="2467">
        <v>0</v>
      </c>
      <c r="BD338" s="2467">
        <v>0</v>
      </c>
      <c r="BF338" s="2469"/>
      <c r="BH338" s="2467">
        <v>0</v>
      </c>
      <c r="BM338" s="2466">
        <v>0</v>
      </c>
      <c r="BN338" s="2636"/>
      <c r="BO338" s="2472">
        <f t="shared" si="195"/>
        <v>0</v>
      </c>
      <c r="BP338" s="2473" t="str">
        <f t="shared" si="196"/>
        <v xml:space="preserve"> </v>
      </c>
      <c r="BR338" s="2474">
        <v>0</v>
      </c>
      <c r="BS338" s="2474">
        <v>0</v>
      </c>
      <c r="BU338" s="2475"/>
      <c r="BW338" s="2474">
        <v>0</v>
      </c>
      <c r="BZ338" s="2474">
        <v>0</v>
      </c>
      <c r="CA338" s="2636"/>
      <c r="CB338" s="2472">
        <f t="shared" si="197"/>
        <v>0</v>
      </c>
      <c r="CC338" s="2473" t="str">
        <f t="shared" si="198"/>
        <v xml:space="preserve"> </v>
      </c>
      <c r="CE338" s="2474">
        <v>0</v>
      </c>
      <c r="CF338" s="2476" t="str">
        <f t="shared" si="199"/>
        <v xml:space="preserve"> </v>
      </c>
      <c r="CG338" s="2474">
        <v>0</v>
      </c>
      <c r="CH338" s="2449" t="s">
        <v>1217</v>
      </c>
      <c r="CI338" s="2449"/>
      <c r="CJ338" s="2450"/>
      <c r="CK338" s="2450"/>
      <c r="CP338" s="2478">
        <f t="shared" si="186"/>
        <v>0</v>
      </c>
      <c r="CQ338" s="2478"/>
      <c r="CR338" s="2478"/>
      <c r="CS338" s="2478"/>
      <c r="CT338" s="2478"/>
    </row>
    <row r="339" spans="1:98" hidden="1" x14ac:dyDescent="0.2">
      <c r="A339" s="2395">
        <v>210</v>
      </c>
      <c r="B339" s="2440" t="s">
        <v>1214</v>
      </c>
      <c r="C339" s="2396">
        <v>21005</v>
      </c>
      <c r="D339" s="2396">
        <v>52520</v>
      </c>
      <c r="E339" s="2397" t="s">
        <v>1268</v>
      </c>
      <c r="F339" s="2440" t="s">
        <v>1214</v>
      </c>
      <c r="G339" s="2440" t="s">
        <v>1683</v>
      </c>
      <c r="H339" s="2466">
        <v>1800</v>
      </c>
      <c r="I339" s="2470"/>
      <c r="J339" s="2466">
        <f t="shared" si="187"/>
        <v>1800</v>
      </c>
      <c r="K339" s="2468">
        <f t="shared" si="188"/>
        <v>0</v>
      </c>
      <c r="M339" s="2467">
        <v>1800</v>
      </c>
      <c r="N339" s="2467">
        <v>1800</v>
      </c>
      <c r="P339" s="2469"/>
      <c r="R339" s="2466">
        <v>1800</v>
      </c>
      <c r="S339" s="2466">
        <v>1778</v>
      </c>
      <c r="U339" s="2466">
        <v>1800</v>
      </c>
      <c r="V339" s="2470">
        <v>0</v>
      </c>
      <c r="W339" s="2466">
        <f t="shared" si="189"/>
        <v>1800</v>
      </c>
      <c r="X339" s="2468">
        <f t="shared" si="190"/>
        <v>0</v>
      </c>
      <c r="Z339" s="2467">
        <v>1800</v>
      </c>
      <c r="AA339" s="2467">
        <v>1800</v>
      </c>
      <c r="AC339" s="2469"/>
      <c r="AE339" s="2466">
        <v>1800</v>
      </c>
      <c r="AF339" s="2471">
        <v>455</v>
      </c>
      <c r="AH339" s="2466">
        <v>1800</v>
      </c>
      <c r="AI339" s="2470"/>
      <c r="AJ339" s="2466">
        <f t="shared" si="191"/>
        <v>1800</v>
      </c>
      <c r="AK339" s="2468">
        <f t="shared" si="192"/>
        <v>0</v>
      </c>
      <c r="AM339" s="2467">
        <v>1800</v>
      </c>
      <c r="AN339" s="2467">
        <v>1800</v>
      </c>
      <c r="AP339" s="2469"/>
      <c r="AR339" s="2466">
        <v>1800</v>
      </c>
      <c r="AS339" s="2466">
        <v>908.04</v>
      </c>
      <c r="AT339" s="2466"/>
      <c r="AU339" s="2466">
        <v>1800</v>
      </c>
      <c r="AV339" s="2466">
        <v>327.92</v>
      </c>
      <c r="AX339" s="2466">
        <v>1800</v>
      </c>
      <c r="AY339" s="2628">
        <v>-1800</v>
      </c>
      <c r="AZ339" s="2466">
        <f t="shared" si="193"/>
        <v>0</v>
      </c>
      <c r="BA339" s="2468">
        <f t="shared" si="194"/>
        <v>-1</v>
      </c>
      <c r="BC339" s="2467">
        <v>0</v>
      </c>
      <c r="BD339" s="2467">
        <v>0</v>
      </c>
      <c r="BF339" s="2469"/>
      <c r="BH339" s="2467">
        <v>0</v>
      </c>
      <c r="BM339" s="2466">
        <v>0</v>
      </c>
      <c r="BN339" s="2636"/>
      <c r="BO339" s="2472">
        <f t="shared" si="195"/>
        <v>0</v>
      </c>
      <c r="BP339" s="2473" t="str">
        <f t="shared" si="196"/>
        <v xml:space="preserve"> </v>
      </c>
      <c r="BR339" s="2474">
        <v>0</v>
      </c>
      <c r="BS339" s="2474">
        <v>0</v>
      </c>
      <c r="BU339" s="2475"/>
      <c r="BW339" s="2474">
        <v>0</v>
      </c>
      <c r="BZ339" s="2474">
        <v>0</v>
      </c>
      <c r="CA339" s="2636"/>
      <c r="CB339" s="2472">
        <f t="shared" si="197"/>
        <v>0</v>
      </c>
      <c r="CC339" s="2473" t="str">
        <f t="shared" si="198"/>
        <v xml:space="preserve"> </v>
      </c>
      <c r="CE339" s="2474">
        <v>0</v>
      </c>
      <c r="CF339" s="2476" t="str">
        <f t="shared" si="199"/>
        <v xml:space="preserve"> </v>
      </c>
      <c r="CG339" s="2474">
        <v>0</v>
      </c>
      <c r="CH339" s="2449" t="s">
        <v>1217</v>
      </c>
      <c r="CI339" s="2449"/>
      <c r="CJ339" s="2450"/>
      <c r="CK339" s="2450"/>
      <c r="CP339" s="2478">
        <f t="shared" si="186"/>
        <v>0</v>
      </c>
      <c r="CQ339" s="2478"/>
      <c r="CR339" s="2478"/>
      <c r="CS339" s="2478"/>
      <c r="CT339" s="2478"/>
    </row>
    <row r="340" spans="1:98" hidden="1" x14ac:dyDescent="0.2">
      <c r="A340" s="2395">
        <v>210</v>
      </c>
      <c r="B340" s="2440" t="s">
        <v>1214</v>
      </c>
      <c r="C340" s="2396">
        <v>21005</v>
      </c>
      <c r="D340" s="2396">
        <v>52530</v>
      </c>
      <c r="E340" s="2397" t="s">
        <v>1268</v>
      </c>
      <c r="F340" s="2440" t="s">
        <v>1214</v>
      </c>
      <c r="G340" s="2440" t="s">
        <v>1684</v>
      </c>
      <c r="H340" s="2466">
        <v>1000</v>
      </c>
      <c r="I340" s="2470"/>
      <c r="J340" s="2466">
        <f t="shared" si="187"/>
        <v>1000</v>
      </c>
      <c r="K340" s="2468">
        <f t="shared" si="188"/>
        <v>0</v>
      </c>
      <c r="M340" s="2467">
        <v>1000</v>
      </c>
      <c r="N340" s="2467">
        <v>1000</v>
      </c>
      <c r="P340" s="2469"/>
      <c r="R340" s="2466">
        <v>1000</v>
      </c>
      <c r="S340" s="2466">
        <v>0</v>
      </c>
      <c r="U340" s="2466">
        <v>1000</v>
      </c>
      <c r="V340" s="2470">
        <v>0</v>
      </c>
      <c r="W340" s="2466">
        <f t="shared" si="189"/>
        <v>1000</v>
      </c>
      <c r="X340" s="2468">
        <f t="shared" si="190"/>
        <v>0</v>
      </c>
      <c r="Z340" s="2467">
        <v>1000</v>
      </c>
      <c r="AA340" s="2467">
        <v>1000</v>
      </c>
      <c r="AC340" s="2469"/>
      <c r="AE340" s="2466">
        <v>1000</v>
      </c>
      <c r="AF340" s="2471">
        <v>816</v>
      </c>
      <c r="AH340" s="2466">
        <v>1000</v>
      </c>
      <c r="AI340" s="2470"/>
      <c r="AJ340" s="2466">
        <f t="shared" si="191"/>
        <v>1000</v>
      </c>
      <c r="AK340" s="2468">
        <f t="shared" si="192"/>
        <v>0</v>
      </c>
      <c r="AM340" s="2467">
        <v>1000</v>
      </c>
      <c r="AN340" s="2467">
        <v>1000</v>
      </c>
      <c r="AP340" s="2469"/>
      <c r="AR340" s="2466">
        <v>1000</v>
      </c>
      <c r="AS340" s="2466">
        <v>0</v>
      </c>
      <c r="AT340" s="2466"/>
      <c r="AU340" s="2466">
        <v>1000</v>
      </c>
      <c r="AV340" s="2466">
        <v>626.5</v>
      </c>
      <c r="AX340" s="2466">
        <v>1000</v>
      </c>
      <c r="AY340" s="2628">
        <v>-1000</v>
      </c>
      <c r="AZ340" s="2466">
        <f t="shared" si="193"/>
        <v>0</v>
      </c>
      <c r="BA340" s="2468">
        <f t="shared" si="194"/>
        <v>-1</v>
      </c>
      <c r="BC340" s="2467">
        <v>0</v>
      </c>
      <c r="BD340" s="2467">
        <v>0</v>
      </c>
      <c r="BF340" s="2469"/>
      <c r="BH340" s="2467">
        <v>0</v>
      </c>
      <c r="BM340" s="2466">
        <v>0</v>
      </c>
      <c r="BN340" s="2636"/>
      <c r="BO340" s="2472">
        <f t="shared" si="195"/>
        <v>0</v>
      </c>
      <c r="BP340" s="2473" t="str">
        <f t="shared" si="196"/>
        <v xml:space="preserve"> </v>
      </c>
      <c r="BR340" s="2474">
        <v>0</v>
      </c>
      <c r="BS340" s="2474">
        <v>0</v>
      </c>
      <c r="BU340" s="2475"/>
      <c r="BW340" s="2474">
        <v>0</v>
      </c>
      <c r="BZ340" s="2474">
        <v>0</v>
      </c>
      <c r="CA340" s="2636"/>
      <c r="CB340" s="2472">
        <f t="shared" si="197"/>
        <v>0</v>
      </c>
      <c r="CC340" s="2473" t="str">
        <f t="shared" si="198"/>
        <v xml:space="preserve"> </v>
      </c>
      <c r="CE340" s="2474">
        <v>0</v>
      </c>
      <c r="CF340" s="2476" t="str">
        <f t="shared" si="199"/>
        <v xml:space="preserve"> </v>
      </c>
      <c r="CG340" s="2474">
        <v>0</v>
      </c>
      <c r="CH340" s="2449" t="s">
        <v>1217</v>
      </c>
      <c r="CI340" s="2449"/>
      <c r="CJ340" s="2450"/>
      <c r="CK340" s="2450"/>
      <c r="CP340" s="2478">
        <f t="shared" si="186"/>
        <v>0</v>
      </c>
      <c r="CQ340" s="2478"/>
      <c r="CR340" s="2478"/>
      <c r="CS340" s="2478"/>
      <c r="CT340" s="2478"/>
    </row>
    <row r="341" spans="1:98" hidden="1" x14ac:dyDescent="0.2">
      <c r="A341" s="2395">
        <v>210</v>
      </c>
      <c r="B341" s="2440" t="s">
        <v>1214</v>
      </c>
      <c r="C341" s="2396">
        <v>21005</v>
      </c>
      <c r="D341" s="2396">
        <v>53000</v>
      </c>
      <c r="E341" s="2397" t="s">
        <v>1268</v>
      </c>
      <c r="F341" s="2440" t="s">
        <v>1214</v>
      </c>
      <c r="G341" s="2440" t="s">
        <v>1685</v>
      </c>
      <c r="H341" s="2466">
        <v>555</v>
      </c>
      <c r="I341" s="2470"/>
      <c r="J341" s="2466">
        <f t="shared" si="187"/>
        <v>555</v>
      </c>
      <c r="K341" s="2468">
        <f t="shared" si="188"/>
        <v>0</v>
      </c>
      <c r="M341" s="2467">
        <v>555</v>
      </c>
      <c r="N341" s="2467">
        <v>555</v>
      </c>
      <c r="P341" s="2469"/>
      <c r="R341" s="2466">
        <v>555</v>
      </c>
      <c r="S341" s="2466">
        <v>0</v>
      </c>
      <c r="U341" s="2466">
        <v>555</v>
      </c>
      <c r="V341" s="2470">
        <v>-555</v>
      </c>
      <c r="W341" s="2466">
        <f t="shared" si="189"/>
        <v>0</v>
      </c>
      <c r="X341" s="2468">
        <f t="shared" si="190"/>
        <v>-1</v>
      </c>
      <c r="Z341" s="2467">
        <v>0</v>
      </c>
      <c r="AA341" s="2467">
        <v>0</v>
      </c>
      <c r="AC341" s="2469"/>
      <c r="AE341" s="2466">
        <v>0</v>
      </c>
      <c r="AF341" s="2471">
        <v>4146</v>
      </c>
      <c r="AH341" s="2466">
        <v>0</v>
      </c>
      <c r="AI341" s="2470"/>
      <c r="AJ341" s="2466">
        <f t="shared" si="191"/>
        <v>0</v>
      </c>
      <c r="AK341" s="2468" t="str">
        <f t="shared" si="192"/>
        <v xml:space="preserve"> </v>
      </c>
      <c r="AM341" s="2467">
        <v>0</v>
      </c>
      <c r="AN341" s="2467">
        <v>0</v>
      </c>
      <c r="AP341" s="2469"/>
      <c r="AR341" s="2466">
        <v>0</v>
      </c>
      <c r="AS341" s="2466">
        <v>0</v>
      </c>
      <c r="AT341" s="2466"/>
      <c r="AU341" s="2466">
        <v>0</v>
      </c>
      <c r="AX341" s="2466">
        <v>0</v>
      </c>
      <c r="AY341" s="2628">
        <v>1000</v>
      </c>
      <c r="AZ341" s="2466">
        <f t="shared" si="193"/>
        <v>1000</v>
      </c>
      <c r="BA341" s="2468" t="str">
        <f t="shared" si="194"/>
        <v xml:space="preserve"> </v>
      </c>
      <c r="BC341" s="2467">
        <v>1000</v>
      </c>
      <c r="BD341" s="2467">
        <v>1000</v>
      </c>
      <c r="BF341" s="2469"/>
      <c r="BH341" s="2467">
        <v>1000</v>
      </c>
      <c r="BI341" s="2466">
        <v>255</v>
      </c>
      <c r="BM341" s="2466">
        <v>1000</v>
      </c>
      <c r="BN341" s="2636"/>
      <c r="BO341" s="2472">
        <f t="shared" si="195"/>
        <v>1000</v>
      </c>
      <c r="BP341" s="2473">
        <f t="shared" si="196"/>
        <v>0</v>
      </c>
      <c r="BR341" s="2474">
        <v>1000</v>
      </c>
      <c r="BS341" s="2474">
        <f>1000-300</f>
        <v>700</v>
      </c>
      <c r="BU341" s="2598" t="s">
        <v>1686</v>
      </c>
      <c r="BW341" s="2474">
        <v>700</v>
      </c>
      <c r="BX341" s="2466">
        <v>255</v>
      </c>
      <c r="BZ341" s="2474">
        <v>700</v>
      </c>
      <c r="CA341" s="2636"/>
      <c r="CB341" s="2472">
        <f t="shared" si="197"/>
        <v>700</v>
      </c>
      <c r="CC341" s="2473">
        <f t="shared" si="198"/>
        <v>0</v>
      </c>
      <c r="CE341" s="2474">
        <v>700</v>
      </c>
      <c r="CF341" s="2476">
        <f t="shared" si="199"/>
        <v>0</v>
      </c>
      <c r="CG341" s="2474">
        <v>700</v>
      </c>
      <c r="CH341" s="2449" t="s">
        <v>1217</v>
      </c>
      <c r="CI341" s="2449"/>
      <c r="CJ341" s="2450"/>
      <c r="CK341" s="2450"/>
      <c r="CO341" s="2477">
        <v>-0.745</v>
      </c>
      <c r="CP341" s="2478">
        <f t="shared" si="186"/>
        <v>-745</v>
      </c>
      <c r="CQ341" s="2478"/>
      <c r="CR341" s="2478"/>
      <c r="CS341" s="2478"/>
      <c r="CT341" s="2478"/>
    </row>
    <row r="342" spans="1:98" hidden="1" x14ac:dyDescent="0.2">
      <c r="A342" s="2395">
        <v>210</v>
      </c>
      <c r="B342" s="2440" t="s">
        <v>1214</v>
      </c>
      <c r="C342" s="2396">
        <v>21005</v>
      </c>
      <c r="D342" s="2396">
        <v>53040</v>
      </c>
      <c r="E342" s="2397" t="s">
        <v>1268</v>
      </c>
      <c r="G342" s="2440" t="s">
        <v>1687</v>
      </c>
      <c r="I342" s="2470"/>
      <c r="M342" s="2467"/>
      <c r="N342" s="2467"/>
      <c r="P342" s="2469"/>
      <c r="V342" s="2470"/>
      <c r="Z342" s="2467"/>
      <c r="AA342" s="2467"/>
      <c r="AC342" s="2469"/>
      <c r="AI342" s="2470"/>
      <c r="AM342" s="2467"/>
      <c r="AN342" s="2467"/>
      <c r="AP342" s="2469"/>
      <c r="AS342" s="2466"/>
      <c r="AT342" s="2466"/>
      <c r="AY342" s="2628"/>
      <c r="BC342" s="2467"/>
      <c r="BD342" s="2467"/>
      <c r="BF342" s="2469"/>
      <c r="BH342" s="2467"/>
      <c r="BN342" s="2636"/>
      <c r="BO342" s="2472">
        <f t="shared" si="195"/>
        <v>0</v>
      </c>
      <c r="BP342" s="2473" t="str">
        <f t="shared" si="196"/>
        <v xml:space="preserve"> </v>
      </c>
      <c r="BR342" s="2474">
        <v>0</v>
      </c>
      <c r="BS342" s="2474">
        <v>0</v>
      </c>
      <c r="BU342" s="2585" t="s">
        <v>1688</v>
      </c>
      <c r="BW342" s="2474">
        <v>0</v>
      </c>
      <c r="BX342" s="2466">
        <v>6154.06</v>
      </c>
      <c r="BZ342" s="2474">
        <v>0</v>
      </c>
      <c r="CA342" s="2636"/>
      <c r="CB342" s="2472">
        <f t="shared" si="197"/>
        <v>0</v>
      </c>
      <c r="CC342" s="2473" t="str">
        <f t="shared" si="198"/>
        <v xml:space="preserve"> </v>
      </c>
      <c r="CE342" s="2474">
        <v>0</v>
      </c>
      <c r="CF342" s="2476" t="str">
        <f t="shared" si="199"/>
        <v xml:space="preserve"> </v>
      </c>
      <c r="CG342" s="2474">
        <v>0</v>
      </c>
      <c r="CH342" s="2449" t="s">
        <v>1217</v>
      </c>
      <c r="CI342" s="2449"/>
      <c r="CJ342" s="2450"/>
      <c r="CK342" s="2450"/>
      <c r="CP342" s="2478">
        <f t="shared" si="186"/>
        <v>0</v>
      </c>
      <c r="CQ342" s="2478"/>
      <c r="CR342" s="2478"/>
      <c r="CS342" s="2478"/>
      <c r="CT342" s="2478"/>
    </row>
    <row r="343" spans="1:98" hidden="1" x14ac:dyDescent="0.2">
      <c r="A343" s="2395">
        <v>210</v>
      </c>
      <c r="B343" s="2440" t="s">
        <v>1214</v>
      </c>
      <c r="C343" s="2396">
        <v>21005</v>
      </c>
      <c r="D343" s="2396">
        <v>53200</v>
      </c>
      <c r="E343" s="2397" t="s">
        <v>1268</v>
      </c>
      <c r="F343" s="2440" t="s">
        <v>1214</v>
      </c>
      <c r="G343" s="2440" t="s">
        <v>1689</v>
      </c>
      <c r="H343" s="2466">
        <v>3500</v>
      </c>
      <c r="I343" s="2470"/>
      <c r="J343" s="2466">
        <f t="shared" si="187"/>
        <v>3500</v>
      </c>
      <c r="K343" s="2468">
        <f t="shared" si="188"/>
        <v>0</v>
      </c>
      <c r="M343" s="2467">
        <v>3500</v>
      </c>
      <c r="N343" s="2467">
        <v>3500</v>
      </c>
      <c r="P343" s="2469"/>
      <c r="R343" s="2466">
        <v>3500</v>
      </c>
      <c r="S343" s="2466">
        <v>3176.36</v>
      </c>
      <c r="U343" s="2466">
        <v>3500</v>
      </c>
      <c r="V343" s="2470">
        <v>-500</v>
      </c>
      <c r="W343" s="2466">
        <f t="shared" si="189"/>
        <v>3000</v>
      </c>
      <c r="X343" s="2468">
        <f t="shared" si="190"/>
        <v>-0.14285714285714285</v>
      </c>
      <c r="Z343" s="2467">
        <v>3000</v>
      </c>
      <c r="AA343" s="2467">
        <v>3000</v>
      </c>
      <c r="AC343" s="2469"/>
      <c r="AE343" s="2466">
        <v>3000</v>
      </c>
      <c r="AF343" s="2471">
        <v>0</v>
      </c>
      <c r="AH343" s="2466">
        <v>3000</v>
      </c>
      <c r="AI343" s="2470"/>
      <c r="AJ343" s="2466">
        <f t="shared" si="191"/>
        <v>3000</v>
      </c>
      <c r="AK343" s="2468">
        <f t="shared" si="192"/>
        <v>0</v>
      </c>
      <c r="AM343" s="2467">
        <v>3000</v>
      </c>
      <c r="AN343" s="2467">
        <v>3000</v>
      </c>
      <c r="AP343" s="2469"/>
      <c r="AR343" s="2466">
        <v>3000</v>
      </c>
      <c r="AS343" s="2466">
        <v>3045.56</v>
      </c>
      <c r="AT343" s="2466"/>
      <c r="AU343" s="2466">
        <v>3000</v>
      </c>
      <c r="AV343" s="2466">
        <v>3914</v>
      </c>
      <c r="AX343" s="2466">
        <v>3000</v>
      </c>
      <c r="AY343" s="2628">
        <v>559</v>
      </c>
      <c r="AZ343" s="2466">
        <f t="shared" si="193"/>
        <v>3559</v>
      </c>
      <c r="BA343" s="2468">
        <f t="shared" si="194"/>
        <v>0.18633333333333332</v>
      </c>
      <c r="BC343" s="2467">
        <v>3559</v>
      </c>
      <c r="BD343" s="2467">
        <v>3559</v>
      </c>
      <c r="BF343" s="2469"/>
      <c r="BH343" s="2467">
        <v>3559</v>
      </c>
      <c r="BI343" s="2466">
        <v>3735.64</v>
      </c>
      <c r="BM343" s="2466">
        <v>3559</v>
      </c>
      <c r="BN343" s="2636"/>
      <c r="BO343" s="2472">
        <f t="shared" si="195"/>
        <v>3559</v>
      </c>
      <c r="BP343" s="2473">
        <f t="shared" si="196"/>
        <v>0</v>
      </c>
      <c r="BR343" s="2474">
        <v>3559</v>
      </c>
      <c r="BS343" s="2474">
        <v>3559</v>
      </c>
      <c r="BU343" s="2475"/>
      <c r="BW343" s="2474">
        <v>3559</v>
      </c>
      <c r="BX343" s="2466">
        <v>370</v>
      </c>
      <c r="BZ343" s="2474">
        <v>3559</v>
      </c>
      <c r="CA343" s="2636"/>
      <c r="CB343" s="2472">
        <f t="shared" si="197"/>
        <v>3559</v>
      </c>
      <c r="CC343" s="2473">
        <f t="shared" si="198"/>
        <v>0</v>
      </c>
      <c r="CE343" s="2474">
        <v>3559</v>
      </c>
      <c r="CF343" s="2476">
        <f t="shared" si="199"/>
        <v>0</v>
      </c>
      <c r="CG343" s="2474">
        <v>3559</v>
      </c>
      <c r="CH343" s="2449" t="s">
        <v>1217</v>
      </c>
      <c r="CI343" s="2449"/>
      <c r="CJ343" s="2450"/>
      <c r="CK343" s="2450"/>
      <c r="CO343" s="2477">
        <v>4.9631919078392706E-2</v>
      </c>
      <c r="CP343" s="2478">
        <f t="shared" si="186"/>
        <v>176.63999999999987</v>
      </c>
      <c r="CQ343" s="2478"/>
      <c r="CR343" s="2478"/>
      <c r="CS343" s="2478"/>
      <c r="CT343" s="2478"/>
    </row>
    <row r="344" spans="1:98" hidden="1" x14ac:dyDescent="0.2">
      <c r="A344" s="2395">
        <v>210</v>
      </c>
      <c r="B344" s="2440" t="s">
        <v>1214</v>
      </c>
      <c r="C344" s="2396">
        <v>21005</v>
      </c>
      <c r="D344" s="2396">
        <v>53210</v>
      </c>
      <c r="E344" s="2397" t="s">
        <v>1268</v>
      </c>
      <c r="F344" s="2440" t="s">
        <v>1214</v>
      </c>
      <c r="G344" s="2440" t="s">
        <v>1690</v>
      </c>
      <c r="H344" s="2466">
        <v>3000</v>
      </c>
      <c r="I344" s="2470"/>
      <c r="J344" s="2466">
        <f t="shared" si="187"/>
        <v>3000</v>
      </c>
      <c r="K344" s="2468">
        <f t="shared" si="188"/>
        <v>0</v>
      </c>
      <c r="M344" s="2467">
        <v>3000</v>
      </c>
      <c r="N344" s="2467">
        <v>3000</v>
      </c>
      <c r="P344" s="2469"/>
      <c r="R344" s="2466">
        <v>3000</v>
      </c>
      <c r="S344" s="2466">
        <v>3572</v>
      </c>
      <c r="U344" s="2466">
        <v>3000</v>
      </c>
      <c r="V344" s="2470">
        <v>555</v>
      </c>
      <c r="W344" s="2466">
        <f t="shared" si="189"/>
        <v>3555</v>
      </c>
      <c r="X344" s="2468">
        <f t="shared" si="190"/>
        <v>0.185</v>
      </c>
      <c r="Z344" s="2467">
        <v>3555</v>
      </c>
      <c r="AA344" s="2467">
        <v>3555</v>
      </c>
      <c r="AC344" s="2469"/>
      <c r="AE344" s="2466">
        <v>3555</v>
      </c>
      <c r="AF344" s="2471">
        <v>1050</v>
      </c>
      <c r="AH344" s="2466">
        <v>3555</v>
      </c>
      <c r="AI344" s="2470"/>
      <c r="AJ344" s="2466">
        <f t="shared" si="191"/>
        <v>3555</v>
      </c>
      <c r="AK344" s="2468">
        <f t="shared" si="192"/>
        <v>0</v>
      </c>
      <c r="AM344" s="2467">
        <v>3555</v>
      </c>
      <c r="AN344" s="2467">
        <v>3555</v>
      </c>
      <c r="AP344" s="2469"/>
      <c r="AR344" s="2466">
        <v>3555</v>
      </c>
      <c r="AS344" s="2466">
        <v>350</v>
      </c>
      <c r="AT344" s="2466"/>
      <c r="AU344" s="2466">
        <v>3555</v>
      </c>
      <c r="AV344" s="2466">
        <v>3830</v>
      </c>
      <c r="AX344" s="2466">
        <v>3555</v>
      </c>
      <c r="AY344" s="2628">
        <v>-555</v>
      </c>
      <c r="AZ344" s="2466">
        <f t="shared" si="193"/>
        <v>3000</v>
      </c>
      <c r="BA344" s="2468">
        <f t="shared" si="194"/>
        <v>-0.15611814345991562</v>
      </c>
      <c r="BC344" s="2467">
        <v>3000</v>
      </c>
      <c r="BD344" s="2467">
        <v>3000</v>
      </c>
      <c r="BF344" s="2469"/>
      <c r="BH344" s="2467">
        <v>3000</v>
      </c>
      <c r="BM344" s="2466">
        <v>3000</v>
      </c>
      <c r="BN344" s="2636"/>
      <c r="BO344" s="2472">
        <f t="shared" si="195"/>
        <v>3000</v>
      </c>
      <c r="BP344" s="2473">
        <f t="shared" si="196"/>
        <v>0</v>
      </c>
      <c r="BR344" s="2474">
        <v>3000</v>
      </c>
      <c r="BS344" s="2474">
        <f>3000-3000</f>
        <v>0</v>
      </c>
      <c r="BU344" s="2475" t="s">
        <v>1691</v>
      </c>
      <c r="BW344" s="2474">
        <v>0</v>
      </c>
      <c r="BZ344" s="2474">
        <v>0</v>
      </c>
      <c r="CA344" s="2636"/>
      <c r="CB344" s="2472">
        <f t="shared" si="197"/>
        <v>0</v>
      </c>
      <c r="CC344" s="2473" t="str">
        <f t="shared" si="198"/>
        <v xml:space="preserve"> </v>
      </c>
      <c r="CE344" s="2474">
        <v>0</v>
      </c>
      <c r="CF344" s="2476" t="str">
        <f t="shared" si="199"/>
        <v xml:space="preserve"> </v>
      </c>
      <c r="CG344" s="2474">
        <v>0</v>
      </c>
      <c r="CH344" s="2449" t="s">
        <v>1217</v>
      </c>
      <c r="CI344" s="2449"/>
      <c r="CJ344" s="2450"/>
      <c r="CK344" s="2450"/>
      <c r="CO344" s="2477" t="s">
        <v>1218</v>
      </c>
      <c r="CP344" s="2478">
        <f t="shared" si="186"/>
        <v>-3000</v>
      </c>
      <c r="CQ344" s="2478"/>
      <c r="CR344" s="2478"/>
      <c r="CS344" s="2478"/>
      <c r="CT344" s="2478"/>
    </row>
    <row r="345" spans="1:98" hidden="1" x14ac:dyDescent="0.2">
      <c r="A345" s="2395">
        <v>210</v>
      </c>
      <c r="B345" s="2440" t="s">
        <v>1214</v>
      </c>
      <c r="C345" s="2396">
        <v>21005</v>
      </c>
      <c r="D345" s="2396">
        <v>53400</v>
      </c>
      <c r="E345" s="2397" t="s">
        <v>1268</v>
      </c>
      <c r="F345" s="2440" t="s">
        <v>1214</v>
      </c>
      <c r="G345" s="2440" t="s">
        <v>1692</v>
      </c>
      <c r="H345" s="2466">
        <v>12000</v>
      </c>
      <c r="I345" s="2470"/>
      <c r="J345" s="2466">
        <f t="shared" si="187"/>
        <v>12000</v>
      </c>
      <c r="K345" s="2468">
        <f t="shared" si="188"/>
        <v>0</v>
      </c>
      <c r="M345" s="2467">
        <v>12000</v>
      </c>
      <c r="N345" s="2467">
        <v>12000</v>
      </c>
      <c r="P345" s="2469"/>
      <c r="R345" s="2466">
        <v>12000</v>
      </c>
      <c r="S345" s="2466">
        <v>12843.12</v>
      </c>
      <c r="U345" s="2466">
        <v>12000</v>
      </c>
      <c r="V345" s="2470">
        <v>2000</v>
      </c>
      <c r="W345" s="2466">
        <f t="shared" si="189"/>
        <v>14000</v>
      </c>
      <c r="X345" s="2468">
        <f t="shared" si="190"/>
        <v>0.16666666666666666</v>
      </c>
      <c r="Z345" s="2467">
        <v>14000</v>
      </c>
      <c r="AA345" s="2467">
        <v>14000</v>
      </c>
      <c r="AC345" s="2469"/>
      <c r="AE345" s="2466">
        <v>14000</v>
      </c>
      <c r="AF345" s="2471">
        <v>22381.78</v>
      </c>
      <c r="AH345" s="2466">
        <v>14000</v>
      </c>
      <c r="AI345" s="2470"/>
      <c r="AJ345" s="2466">
        <f t="shared" si="191"/>
        <v>14000</v>
      </c>
      <c r="AK345" s="2468">
        <f t="shared" si="192"/>
        <v>0</v>
      </c>
      <c r="AM345" s="2467">
        <f>14000+5250</f>
        <v>19250</v>
      </c>
      <c r="AN345" s="2467">
        <f>14000+5250</f>
        <v>19250</v>
      </c>
      <c r="AP345" s="2530" t="s">
        <v>1693</v>
      </c>
      <c r="AR345" s="2466">
        <f>14000+5250</f>
        <v>19250</v>
      </c>
      <c r="AS345" s="2466">
        <v>12612.5</v>
      </c>
      <c r="AT345" s="2466"/>
      <c r="AU345" s="2466">
        <v>19250</v>
      </c>
      <c r="AV345" s="2466">
        <v>19511.73</v>
      </c>
      <c r="AX345" s="2466">
        <v>19250</v>
      </c>
      <c r="AY345" s="2628">
        <v>2603</v>
      </c>
      <c r="AZ345" s="2466">
        <f t="shared" si="193"/>
        <v>21853</v>
      </c>
      <c r="BA345" s="2468">
        <f t="shared" si="194"/>
        <v>0.13522077922077921</v>
      </c>
      <c r="BC345" s="2467">
        <v>21853</v>
      </c>
      <c r="BD345" s="2467">
        <v>21853</v>
      </c>
      <c r="BF345" s="2469"/>
      <c r="BH345" s="2467">
        <v>21853</v>
      </c>
      <c r="BI345" s="2466">
        <v>16428.72</v>
      </c>
      <c r="BM345" s="2466">
        <v>21853</v>
      </c>
      <c r="BN345" s="2636"/>
      <c r="BO345" s="2472">
        <f t="shared" si="195"/>
        <v>21853</v>
      </c>
      <c r="BP345" s="2473">
        <f t="shared" si="196"/>
        <v>0</v>
      </c>
      <c r="BR345" s="2474">
        <v>21853</v>
      </c>
      <c r="BS345" s="2474">
        <v>21853</v>
      </c>
      <c r="BU345" s="2475"/>
      <c r="BW345" s="2474">
        <v>21853</v>
      </c>
      <c r="BX345" s="2466">
        <v>3199.88</v>
      </c>
      <c r="BZ345" s="2474">
        <v>21853</v>
      </c>
      <c r="CA345" s="2636"/>
      <c r="CB345" s="2472">
        <f t="shared" si="197"/>
        <v>21853</v>
      </c>
      <c r="CC345" s="2473">
        <f t="shared" si="198"/>
        <v>0</v>
      </c>
      <c r="CE345" s="2474">
        <v>21853</v>
      </c>
      <c r="CF345" s="2476">
        <f t="shared" si="199"/>
        <v>0</v>
      </c>
      <c r="CG345" s="2474">
        <v>21853</v>
      </c>
      <c r="CH345" s="2449" t="s">
        <v>1217</v>
      </c>
      <c r="CI345" s="2449"/>
      <c r="CJ345" s="2450"/>
      <c r="CK345" s="2450"/>
      <c r="CO345" s="2477">
        <v>-0.24821672081636381</v>
      </c>
      <c r="CP345" s="2478">
        <f t="shared" si="186"/>
        <v>-5424.2799999999988</v>
      </c>
      <c r="CQ345" s="2478"/>
      <c r="CR345" s="2478"/>
      <c r="CS345" s="2478"/>
      <c r="CT345" s="2478"/>
    </row>
    <row r="346" spans="1:98" hidden="1" x14ac:dyDescent="0.2">
      <c r="A346" s="2395">
        <v>210</v>
      </c>
      <c r="B346" s="2440" t="s">
        <v>1214</v>
      </c>
      <c r="C346" s="2396">
        <v>21005</v>
      </c>
      <c r="D346" s="2396">
        <v>53420</v>
      </c>
      <c r="E346" s="2397" t="s">
        <v>1268</v>
      </c>
      <c r="F346" s="2440" t="s">
        <v>1214</v>
      </c>
      <c r="G346" s="2440" t="s">
        <v>1694</v>
      </c>
      <c r="H346" s="2466">
        <v>850</v>
      </c>
      <c r="I346" s="2470"/>
      <c r="J346" s="2466">
        <f t="shared" si="187"/>
        <v>850</v>
      </c>
      <c r="K346" s="2468">
        <f t="shared" si="188"/>
        <v>0</v>
      </c>
      <c r="M346" s="2467">
        <v>850</v>
      </c>
      <c r="N346" s="2467">
        <v>850</v>
      </c>
      <c r="P346" s="2469"/>
      <c r="R346" s="2466">
        <v>850</v>
      </c>
      <c r="S346" s="2466">
        <v>695</v>
      </c>
      <c r="U346" s="2466">
        <v>850</v>
      </c>
      <c r="V346" s="2470">
        <v>0</v>
      </c>
      <c r="W346" s="2466">
        <f t="shared" si="189"/>
        <v>850</v>
      </c>
      <c r="X346" s="2468">
        <f t="shared" si="190"/>
        <v>0</v>
      </c>
      <c r="Z346" s="2467">
        <v>850</v>
      </c>
      <c r="AA346" s="2467">
        <v>850</v>
      </c>
      <c r="AC346" s="2469"/>
      <c r="AE346" s="2466">
        <v>850</v>
      </c>
      <c r="AF346" s="2471">
        <v>807</v>
      </c>
      <c r="AH346" s="2466">
        <v>850</v>
      </c>
      <c r="AI346" s="2470"/>
      <c r="AJ346" s="2466">
        <f t="shared" si="191"/>
        <v>850</v>
      </c>
      <c r="AK346" s="2468">
        <f t="shared" si="192"/>
        <v>0</v>
      </c>
      <c r="AM346" s="2467">
        <v>850</v>
      </c>
      <c r="AN346" s="2467">
        <v>850</v>
      </c>
      <c r="AP346" s="2469"/>
      <c r="AR346" s="2466">
        <v>850</v>
      </c>
      <c r="AS346" s="2466">
        <v>988</v>
      </c>
      <c r="AT346" s="2466"/>
      <c r="AU346" s="2466">
        <v>850</v>
      </c>
      <c r="AV346" s="2466">
        <v>1342.42</v>
      </c>
      <c r="AX346" s="2466">
        <v>850</v>
      </c>
      <c r="AY346" s="2628">
        <v>63</v>
      </c>
      <c r="AZ346" s="2466">
        <f t="shared" si="193"/>
        <v>913</v>
      </c>
      <c r="BA346" s="2468">
        <f t="shared" si="194"/>
        <v>7.4117647058823524E-2</v>
      </c>
      <c r="BC346" s="2467">
        <v>913</v>
      </c>
      <c r="BD346" s="2467">
        <v>913</v>
      </c>
      <c r="BF346" s="2469"/>
      <c r="BH346" s="2467">
        <v>913</v>
      </c>
      <c r="BM346" s="2466">
        <v>913</v>
      </c>
      <c r="BN346" s="2636"/>
      <c r="BO346" s="2472">
        <f t="shared" si="195"/>
        <v>913</v>
      </c>
      <c r="BP346" s="2473">
        <f t="shared" si="196"/>
        <v>0</v>
      </c>
      <c r="BR346" s="2474">
        <v>913</v>
      </c>
      <c r="BS346" s="2474">
        <v>913</v>
      </c>
      <c r="BU346" s="2475"/>
      <c r="BW346" s="2474">
        <v>913</v>
      </c>
      <c r="BX346" s="2466">
        <v>404</v>
      </c>
      <c r="BZ346" s="2474">
        <v>913</v>
      </c>
      <c r="CA346" s="2636"/>
      <c r="CB346" s="2472">
        <f t="shared" si="197"/>
        <v>913</v>
      </c>
      <c r="CC346" s="2473">
        <f t="shared" si="198"/>
        <v>0</v>
      </c>
      <c r="CE346" s="2474">
        <v>913</v>
      </c>
      <c r="CF346" s="2476">
        <f t="shared" si="199"/>
        <v>0</v>
      </c>
      <c r="CG346" s="2474">
        <v>913</v>
      </c>
      <c r="CH346" s="2449" t="s">
        <v>1217</v>
      </c>
      <c r="CI346" s="2449"/>
      <c r="CJ346" s="2450"/>
      <c r="CK346" s="2450"/>
      <c r="CO346" s="2477" t="s">
        <v>1218</v>
      </c>
      <c r="CP346" s="2478">
        <f t="shared" si="186"/>
        <v>-913</v>
      </c>
      <c r="CQ346" s="2478"/>
      <c r="CR346" s="2478"/>
      <c r="CS346" s="2478"/>
      <c r="CT346" s="2478"/>
    </row>
    <row r="347" spans="1:98" hidden="1" x14ac:dyDescent="0.2">
      <c r="A347" s="2395">
        <v>210</v>
      </c>
      <c r="B347" s="2440" t="s">
        <v>1214</v>
      </c>
      <c r="C347" s="2396">
        <v>21005</v>
      </c>
      <c r="D347" s="2396">
        <v>53430</v>
      </c>
      <c r="E347" s="2397" t="s">
        <v>1268</v>
      </c>
      <c r="F347" s="2440" t="s">
        <v>1214</v>
      </c>
      <c r="G347" s="2440" t="s">
        <v>1695</v>
      </c>
      <c r="H347" s="2466">
        <v>550</v>
      </c>
      <c r="I347" s="2470"/>
      <c r="J347" s="2466">
        <f t="shared" si="187"/>
        <v>550</v>
      </c>
      <c r="K347" s="2468">
        <f t="shared" si="188"/>
        <v>0</v>
      </c>
      <c r="M347" s="2467">
        <v>550</v>
      </c>
      <c r="N347" s="2467">
        <v>550</v>
      </c>
      <c r="P347" s="2469"/>
      <c r="R347" s="2466">
        <v>550</v>
      </c>
      <c r="S347" s="2466">
        <v>609.45000000000005</v>
      </c>
      <c r="U347" s="2466">
        <v>550</v>
      </c>
      <c r="V347" s="2470">
        <v>0</v>
      </c>
      <c r="W347" s="2466">
        <f t="shared" si="189"/>
        <v>550</v>
      </c>
      <c r="X347" s="2468">
        <f t="shared" si="190"/>
        <v>0</v>
      </c>
      <c r="Z347" s="2467">
        <v>550</v>
      </c>
      <c r="AA347" s="2467">
        <v>550</v>
      </c>
      <c r="AC347" s="2469"/>
      <c r="AE347" s="2466">
        <v>550</v>
      </c>
      <c r="AF347" s="2471">
        <v>24</v>
      </c>
      <c r="AH347" s="2466">
        <v>550</v>
      </c>
      <c r="AI347" s="2470"/>
      <c r="AJ347" s="2466">
        <f t="shared" si="191"/>
        <v>550</v>
      </c>
      <c r="AK347" s="2468">
        <f t="shared" si="192"/>
        <v>0</v>
      </c>
      <c r="AM347" s="2467">
        <v>550</v>
      </c>
      <c r="AN347" s="2467">
        <v>550</v>
      </c>
      <c r="AP347" s="2469"/>
      <c r="AR347" s="2466">
        <v>550</v>
      </c>
      <c r="AS347" s="2466">
        <v>205.37</v>
      </c>
      <c r="AT347" s="2466"/>
      <c r="AU347" s="2466">
        <v>550</v>
      </c>
      <c r="AV347" s="2466">
        <v>337.9</v>
      </c>
      <c r="AX347" s="2466">
        <v>550</v>
      </c>
      <c r="AY347" s="2628">
        <v>-219</v>
      </c>
      <c r="AZ347" s="2466">
        <f t="shared" si="193"/>
        <v>331</v>
      </c>
      <c r="BA347" s="2468">
        <f t="shared" si="194"/>
        <v>-0.39818181818181819</v>
      </c>
      <c r="BC347" s="2467">
        <v>331</v>
      </c>
      <c r="BD347" s="2467">
        <v>331</v>
      </c>
      <c r="BF347" s="2469"/>
      <c r="BH347" s="2467">
        <v>331</v>
      </c>
      <c r="BI347" s="2466">
        <v>168.09</v>
      </c>
      <c r="BM347" s="2466">
        <v>331</v>
      </c>
      <c r="BN347" s="2636"/>
      <c r="BO347" s="2472">
        <f t="shared" si="195"/>
        <v>331</v>
      </c>
      <c r="BP347" s="2473">
        <f t="shared" si="196"/>
        <v>0</v>
      </c>
      <c r="BR347" s="2474">
        <v>331</v>
      </c>
      <c r="BS347" s="2474">
        <v>331</v>
      </c>
      <c r="BU347" s="2475"/>
      <c r="BW347" s="2474">
        <v>331</v>
      </c>
      <c r="BX347" s="2466">
        <v>108.34</v>
      </c>
      <c r="BZ347" s="2474">
        <v>331</v>
      </c>
      <c r="CA347" s="2636"/>
      <c r="CB347" s="2472">
        <f t="shared" si="197"/>
        <v>331</v>
      </c>
      <c r="CC347" s="2473">
        <f t="shared" si="198"/>
        <v>0</v>
      </c>
      <c r="CE347" s="2474">
        <v>331</v>
      </c>
      <c r="CF347" s="2476">
        <f t="shared" si="199"/>
        <v>0</v>
      </c>
      <c r="CG347" s="2474">
        <v>331</v>
      </c>
      <c r="CH347" s="2449" t="s">
        <v>1217</v>
      </c>
      <c r="CI347" s="2449"/>
      <c r="CJ347" s="2450"/>
      <c r="CK347" s="2450"/>
      <c r="CO347" s="2477">
        <v>-0.49217522658610269</v>
      </c>
      <c r="CP347" s="2478">
        <f t="shared" si="186"/>
        <v>-162.91</v>
      </c>
      <c r="CQ347" s="2478"/>
      <c r="CR347" s="2478"/>
      <c r="CS347" s="2478"/>
      <c r="CT347" s="2478"/>
    </row>
    <row r="348" spans="1:98" hidden="1" x14ac:dyDescent="0.2">
      <c r="A348" s="2395">
        <v>210</v>
      </c>
      <c r="B348" s="2440" t="s">
        <v>1214</v>
      </c>
      <c r="C348" s="2396">
        <v>21005</v>
      </c>
      <c r="D348" s="2396">
        <v>53450</v>
      </c>
      <c r="E348" s="2397" t="s">
        <v>1268</v>
      </c>
      <c r="F348" s="2440" t="s">
        <v>1214</v>
      </c>
      <c r="G348" s="2440" t="s">
        <v>1696</v>
      </c>
      <c r="H348" s="2466">
        <v>0</v>
      </c>
      <c r="I348" s="2470"/>
      <c r="J348" s="2466">
        <f t="shared" si="187"/>
        <v>0</v>
      </c>
      <c r="K348" s="2468" t="str">
        <f t="shared" si="188"/>
        <v xml:space="preserve"> </v>
      </c>
      <c r="M348" s="2467">
        <v>0</v>
      </c>
      <c r="N348" s="2467">
        <v>0</v>
      </c>
      <c r="P348" s="2469"/>
      <c r="R348" s="2466">
        <v>0</v>
      </c>
      <c r="S348" s="2466">
        <v>88</v>
      </c>
      <c r="U348" s="2466">
        <v>0</v>
      </c>
      <c r="V348" s="2470">
        <v>0</v>
      </c>
      <c r="W348" s="2466">
        <f t="shared" si="189"/>
        <v>0</v>
      </c>
      <c r="X348" s="2468" t="str">
        <f t="shared" si="190"/>
        <v xml:space="preserve"> </v>
      </c>
      <c r="Z348" s="2467">
        <v>0</v>
      </c>
      <c r="AA348" s="2467">
        <v>0</v>
      </c>
      <c r="AC348" s="2469"/>
      <c r="AE348" s="2466">
        <v>0</v>
      </c>
      <c r="AF348" s="2471">
        <v>0</v>
      </c>
      <c r="AH348" s="2466">
        <v>0</v>
      </c>
      <c r="AI348" s="2470"/>
      <c r="AJ348" s="2466">
        <f t="shared" si="191"/>
        <v>0</v>
      </c>
      <c r="AK348" s="2468" t="str">
        <f t="shared" si="192"/>
        <v xml:space="preserve"> </v>
      </c>
      <c r="AM348" s="2467">
        <v>0</v>
      </c>
      <c r="AN348" s="2467">
        <v>0</v>
      </c>
      <c r="AP348" s="2469"/>
      <c r="AR348" s="2466">
        <v>0</v>
      </c>
      <c r="AS348" s="2466">
        <v>0</v>
      </c>
      <c r="AT348" s="2466"/>
      <c r="AU348" s="2466">
        <v>0</v>
      </c>
      <c r="AV348" s="2466">
        <v>15.98</v>
      </c>
      <c r="AX348" s="2466">
        <v>0</v>
      </c>
      <c r="AY348" s="2628">
        <v>1150</v>
      </c>
      <c r="AZ348" s="2466">
        <f t="shared" si="193"/>
        <v>1150</v>
      </c>
      <c r="BA348" s="2468" t="str">
        <f t="shared" si="194"/>
        <v xml:space="preserve"> </v>
      </c>
      <c r="BC348" s="2467">
        <v>1150</v>
      </c>
      <c r="BD348" s="2467">
        <v>1150</v>
      </c>
      <c r="BF348" s="2469"/>
      <c r="BH348" s="2467">
        <v>1150</v>
      </c>
      <c r="BM348" s="2466">
        <v>1150</v>
      </c>
      <c r="BN348" s="2637">
        <v>-1150</v>
      </c>
      <c r="BO348" s="2472">
        <f t="shared" si="195"/>
        <v>0</v>
      </c>
      <c r="BP348" s="2473">
        <f t="shared" si="196"/>
        <v>-1</v>
      </c>
      <c r="BR348" s="2474">
        <v>0</v>
      </c>
      <c r="BS348" s="2474">
        <v>0</v>
      </c>
      <c r="BU348" s="2475"/>
      <c r="BW348" s="2474">
        <v>0</v>
      </c>
      <c r="BZ348" s="2474">
        <v>0</v>
      </c>
      <c r="CA348" s="2636"/>
      <c r="CB348" s="2472">
        <f t="shared" si="197"/>
        <v>0</v>
      </c>
      <c r="CC348" s="2473" t="str">
        <f t="shared" si="198"/>
        <v xml:space="preserve"> </v>
      </c>
      <c r="CE348" s="2474">
        <v>0</v>
      </c>
      <c r="CF348" s="2476" t="str">
        <f t="shared" si="199"/>
        <v xml:space="preserve"> </v>
      </c>
      <c r="CG348" s="2474">
        <v>0</v>
      </c>
      <c r="CH348" s="2449" t="s">
        <v>1217</v>
      </c>
      <c r="CI348" s="2449"/>
      <c r="CJ348" s="2450"/>
      <c r="CK348" s="2450"/>
      <c r="CO348" s="2477" t="s">
        <v>1218</v>
      </c>
      <c r="CP348" s="2478">
        <f t="shared" si="186"/>
        <v>-1150</v>
      </c>
      <c r="CQ348" s="2478"/>
      <c r="CR348" s="2478"/>
      <c r="CS348" s="2478"/>
      <c r="CT348" s="2478"/>
    </row>
    <row r="349" spans="1:98" hidden="1" x14ac:dyDescent="0.2">
      <c r="A349" s="2395">
        <v>210</v>
      </c>
      <c r="B349" s="2440" t="s">
        <v>1214</v>
      </c>
      <c r="C349" s="2396">
        <v>21005</v>
      </c>
      <c r="D349" s="2396">
        <v>54200</v>
      </c>
      <c r="E349" s="2397" t="s">
        <v>1268</v>
      </c>
      <c r="F349" s="2440" t="s">
        <v>1214</v>
      </c>
      <c r="G349" s="2440" t="s">
        <v>1697</v>
      </c>
      <c r="H349" s="2466">
        <v>4400</v>
      </c>
      <c r="I349" s="2470">
        <v>1000</v>
      </c>
      <c r="J349" s="2466">
        <f t="shared" si="187"/>
        <v>5400</v>
      </c>
      <c r="K349" s="2468">
        <f t="shared" si="188"/>
        <v>0.22727272727272727</v>
      </c>
      <c r="M349" s="2467">
        <v>5400</v>
      </c>
      <c r="N349" s="2467">
        <v>5400</v>
      </c>
      <c r="P349" s="2469" t="s">
        <v>1698</v>
      </c>
      <c r="R349" s="2466">
        <v>5400</v>
      </c>
      <c r="S349" s="2466">
        <v>5682.7</v>
      </c>
      <c r="U349" s="2466">
        <v>5400</v>
      </c>
      <c r="V349" s="2470">
        <v>1000</v>
      </c>
      <c r="W349" s="2466">
        <f t="shared" si="189"/>
        <v>6400</v>
      </c>
      <c r="X349" s="2468">
        <f t="shared" si="190"/>
        <v>0.18518518518518517</v>
      </c>
      <c r="Z349" s="2467">
        <v>6400</v>
      </c>
      <c r="AA349" s="2467">
        <v>6400</v>
      </c>
      <c r="AC349" s="2469"/>
      <c r="AE349" s="2466">
        <v>6400</v>
      </c>
      <c r="AF349" s="2471">
        <v>3938.66</v>
      </c>
      <c r="AH349" s="2466">
        <v>6400</v>
      </c>
      <c r="AI349" s="2470"/>
      <c r="AJ349" s="2466">
        <f t="shared" si="191"/>
        <v>6400</v>
      </c>
      <c r="AK349" s="2468">
        <f t="shared" si="192"/>
        <v>0</v>
      </c>
      <c r="AM349" s="2467">
        <v>6400</v>
      </c>
      <c r="AN349" s="2467">
        <v>6400</v>
      </c>
      <c r="AP349" s="2469"/>
      <c r="AR349" s="2466">
        <v>6400</v>
      </c>
      <c r="AS349" s="2466">
        <v>2848.96</v>
      </c>
      <c r="AT349" s="2466"/>
      <c r="AU349" s="2466">
        <v>6400</v>
      </c>
      <c r="AV349" s="2466">
        <v>3476.36</v>
      </c>
      <c r="AX349" s="2466">
        <v>6400</v>
      </c>
      <c r="AY349" s="2628">
        <v>-2118</v>
      </c>
      <c r="AZ349" s="2466">
        <f t="shared" si="193"/>
        <v>4282</v>
      </c>
      <c r="BA349" s="2468">
        <f t="shared" si="194"/>
        <v>-0.3309375</v>
      </c>
      <c r="BC349" s="2467">
        <v>4282</v>
      </c>
      <c r="BD349" s="2467">
        <v>4282</v>
      </c>
      <c r="BF349" s="2469"/>
      <c r="BH349" s="2467">
        <v>4282</v>
      </c>
      <c r="BI349" s="2466">
        <v>4762.54</v>
      </c>
      <c r="BM349" s="2466">
        <v>4282</v>
      </c>
      <c r="BN349" s="2637">
        <v>1150</v>
      </c>
      <c r="BO349" s="2472">
        <f t="shared" si="195"/>
        <v>5432</v>
      </c>
      <c r="BP349" s="2473">
        <f t="shared" si="196"/>
        <v>0.26856609061186359</v>
      </c>
      <c r="BR349" s="2474">
        <v>5432</v>
      </c>
      <c r="BS349" s="2474">
        <v>5432</v>
      </c>
      <c r="BU349" s="2475"/>
      <c r="BW349" s="2474">
        <v>5432</v>
      </c>
      <c r="BX349" s="2466">
        <v>1742.05</v>
      </c>
      <c r="BZ349" s="2474">
        <v>5432</v>
      </c>
      <c r="CA349" s="2636"/>
      <c r="CB349" s="2472">
        <f t="shared" si="197"/>
        <v>5432</v>
      </c>
      <c r="CC349" s="2473">
        <f t="shared" si="198"/>
        <v>0</v>
      </c>
      <c r="CE349" s="2474">
        <v>5432</v>
      </c>
      <c r="CF349" s="2476">
        <f t="shared" si="199"/>
        <v>0</v>
      </c>
      <c r="CG349" s="2474">
        <v>5432</v>
      </c>
      <c r="CH349" s="2449" t="s">
        <v>1217</v>
      </c>
      <c r="CI349" s="2449"/>
      <c r="CJ349" s="2450"/>
      <c r="CK349" s="2450"/>
      <c r="CO349" s="2477">
        <v>0.11222326015880424</v>
      </c>
      <c r="CP349" s="2478">
        <f t="shared" si="186"/>
        <v>480.53999999999996</v>
      </c>
      <c r="CQ349" s="2478"/>
      <c r="CR349" s="2478"/>
      <c r="CS349" s="2478"/>
      <c r="CT349" s="2478"/>
    </row>
    <row r="350" spans="1:98" hidden="1" x14ac:dyDescent="0.2">
      <c r="A350" s="2395">
        <v>210</v>
      </c>
      <c r="B350" s="2440" t="s">
        <v>1214</v>
      </c>
      <c r="C350" s="2396">
        <v>21005</v>
      </c>
      <c r="D350" s="2396">
        <v>54226</v>
      </c>
      <c r="E350" s="2397" t="s">
        <v>1268</v>
      </c>
      <c r="F350" s="2440" t="s">
        <v>1214</v>
      </c>
      <c r="G350" s="2440" t="s">
        <v>1699</v>
      </c>
      <c r="I350" s="2470"/>
      <c r="J350" s="2466">
        <f t="shared" si="187"/>
        <v>0</v>
      </c>
      <c r="K350" s="2468" t="str">
        <f t="shared" si="188"/>
        <v xml:space="preserve"> </v>
      </c>
      <c r="M350" s="2467"/>
      <c r="N350" s="2467"/>
      <c r="P350" s="2469"/>
      <c r="S350" s="2466">
        <v>0</v>
      </c>
      <c r="V350" s="2470">
        <v>0</v>
      </c>
      <c r="W350" s="2466">
        <f t="shared" si="189"/>
        <v>0</v>
      </c>
      <c r="X350" s="2468" t="str">
        <f t="shared" si="190"/>
        <v xml:space="preserve"> </v>
      </c>
      <c r="Z350" s="2467"/>
      <c r="AA350" s="2467"/>
      <c r="AC350" s="2469"/>
      <c r="AF350" s="2471">
        <v>0</v>
      </c>
      <c r="AI350" s="2470"/>
      <c r="AJ350" s="2466">
        <f t="shared" si="191"/>
        <v>0</v>
      </c>
      <c r="AK350" s="2468" t="str">
        <f t="shared" si="192"/>
        <v xml:space="preserve"> </v>
      </c>
      <c r="AM350" s="2467"/>
      <c r="AN350" s="2467"/>
      <c r="AP350" s="2469"/>
      <c r="AS350" s="2466">
        <v>0</v>
      </c>
      <c r="AT350" s="2466"/>
      <c r="AV350" s="2466">
        <v>1766.06</v>
      </c>
      <c r="AY350" s="2628"/>
      <c r="AZ350" s="2466">
        <f t="shared" si="193"/>
        <v>0</v>
      </c>
      <c r="BA350" s="2468" t="str">
        <f t="shared" si="194"/>
        <v xml:space="preserve"> </v>
      </c>
      <c r="BC350" s="2467">
        <v>0</v>
      </c>
      <c r="BD350" s="2467">
        <v>0</v>
      </c>
      <c r="BF350" s="2469"/>
      <c r="BH350" s="2467">
        <v>0</v>
      </c>
      <c r="BI350" s="2466">
        <v>3625.04</v>
      </c>
      <c r="BM350" s="2466">
        <v>0</v>
      </c>
      <c r="BN350" s="2636">
        <v>2903</v>
      </c>
      <c r="BO350" s="2472">
        <f t="shared" si="195"/>
        <v>2903</v>
      </c>
      <c r="BP350" s="2473" t="str">
        <f t="shared" si="196"/>
        <v xml:space="preserve"> </v>
      </c>
      <c r="BR350" s="2474">
        <v>2903</v>
      </c>
      <c r="BS350" s="2474">
        <v>2903</v>
      </c>
      <c r="BU350" s="2475" t="s">
        <v>1700</v>
      </c>
      <c r="BW350" s="2474">
        <v>2903</v>
      </c>
      <c r="BX350" s="2466">
        <v>2219.13</v>
      </c>
      <c r="BZ350" s="2474">
        <v>2903</v>
      </c>
      <c r="CA350" s="2636"/>
      <c r="CB350" s="2472">
        <f t="shared" si="197"/>
        <v>2903</v>
      </c>
      <c r="CC350" s="2473">
        <f t="shared" si="198"/>
        <v>0</v>
      </c>
      <c r="CE350" s="2474">
        <v>2903</v>
      </c>
      <c r="CF350" s="2476">
        <f t="shared" si="199"/>
        <v>0</v>
      </c>
      <c r="CG350" s="2474">
        <v>2903</v>
      </c>
      <c r="CH350" s="2449" t="s">
        <v>1217</v>
      </c>
      <c r="CI350" s="2449"/>
      <c r="CJ350" s="2450"/>
      <c r="CK350" s="2450"/>
      <c r="CO350" s="2477" t="s">
        <v>1257</v>
      </c>
      <c r="CP350" s="2478">
        <f t="shared" si="186"/>
        <v>3625.04</v>
      </c>
      <c r="CQ350" s="2478"/>
      <c r="CR350" s="2478"/>
      <c r="CS350" s="2478"/>
      <c r="CT350" s="2478"/>
    </row>
    <row r="351" spans="1:98" hidden="1" x14ac:dyDescent="0.2">
      <c r="A351" s="2395">
        <v>210</v>
      </c>
      <c r="B351" s="2440" t="s">
        <v>1214</v>
      </c>
      <c r="C351" s="2396">
        <v>21005</v>
      </c>
      <c r="D351" s="2396">
        <v>54240</v>
      </c>
      <c r="E351" s="2397" t="s">
        <v>1268</v>
      </c>
      <c r="F351" s="2440" t="s">
        <v>1214</v>
      </c>
      <c r="G351" s="2440" t="s">
        <v>1701</v>
      </c>
      <c r="H351" s="2466">
        <v>400</v>
      </c>
      <c r="I351" s="2470"/>
      <c r="J351" s="2466">
        <f t="shared" si="187"/>
        <v>400</v>
      </c>
      <c r="K351" s="2468">
        <f t="shared" si="188"/>
        <v>0</v>
      </c>
      <c r="M351" s="2467">
        <v>400</v>
      </c>
      <c r="N351" s="2467">
        <v>400</v>
      </c>
      <c r="P351" s="2469"/>
      <c r="R351" s="2466">
        <v>400</v>
      </c>
      <c r="S351" s="2466">
        <v>0</v>
      </c>
      <c r="U351" s="2466">
        <v>400</v>
      </c>
      <c r="V351" s="2470">
        <v>0</v>
      </c>
      <c r="W351" s="2466">
        <f t="shared" si="189"/>
        <v>400</v>
      </c>
      <c r="X351" s="2468">
        <f t="shared" si="190"/>
        <v>0</v>
      </c>
      <c r="Z351" s="2467">
        <v>400</v>
      </c>
      <c r="AA351" s="2467">
        <v>400</v>
      </c>
      <c r="AC351" s="2469"/>
      <c r="AE351" s="2466">
        <v>400</v>
      </c>
      <c r="AF351" s="2471">
        <v>0</v>
      </c>
      <c r="AH351" s="2466">
        <v>400</v>
      </c>
      <c r="AI351" s="2470"/>
      <c r="AJ351" s="2466">
        <f t="shared" si="191"/>
        <v>400</v>
      </c>
      <c r="AK351" s="2468">
        <f t="shared" si="192"/>
        <v>0</v>
      </c>
      <c r="AM351" s="2467">
        <v>400</v>
      </c>
      <c r="AN351" s="2467">
        <v>400</v>
      </c>
      <c r="AP351" s="2469"/>
      <c r="AR351" s="2466">
        <v>400</v>
      </c>
      <c r="AS351" s="2466">
        <v>0</v>
      </c>
      <c r="AT351" s="2466"/>
      <c r="AU351" s="2466">
        <v>400</v>
      </c>
      <c r="AV351" s="2466">
        <v>0</v>
      </c>
      <c r="AX351" s="2466">
        <v>400</v>
      </c>
      <c r="AY351" s="2628">
        <v>-400</v>
      </c>
      <c r="AZ351" s="2466">
        <f t="shared" si="193"/>
        <v>0</v>
      </c>
      <c r="BA351" s="2468">
        <f t="shared" si="194"/>
        <v>-1</v>
      </c>
      <c r="BC351" s="2467">
        <v>0</v>
      </c>
      <c r="BD351" s="2467">
        <v>0</v>
      </c>
      <c r="BF351" s="2469"/>
      <c r="BH351" s="2467">
        <v>0</v>
      </c>
      <c r="BM351" s="2466">
        <v>0</v>
      </c>
      <c r="BN351" s="2636"/>
      <c r="BO351" s="2472">
        <f t="shared" si="195"/>
        <v>0</v>
      </c>
      <c r="BP351" s="2473" t="str">
        <f t="shared" si="196"/>
        <v xml:space="preserve"> </v>
      </c>
      <c r="BR351" s="2474">
        <v>0</v>
      </c>
      <c r="BS351" s="2474">
        <v>0</v>
      </c>
      <c r="BU351" s="2475"/>
      <c r="BW351" s="2474">
        <v>0</v>
      </c>
      <c r="BZ351" s="2474">
        <v>0</v>
      </c>
      <c r="CA351" s="2636"/>
      <c r="CB351" s="2472">
        <f t="shared" si="197"/>
        <v>0</v>
      </c>
      <c r="CC351" s="2473" t="str">
        <f t="shared" si="198"/>
        <v xml:space="preserve"> </v>
      </c>
      <c r="CE351" s="2474">
        <v>0</v>
      </c>
      <c r="CF351" s="2476" t="str">
        <f t="shared" si="199"/>
        <v xml:space="preserve"> </v>
      </c>
      <c r="CG351" s="2474">
        <v>0</v>
      </c>
      <c r="CH351" s="2449" t="s">
        <v>1217</v>
      </c>
      <c r="CI351" s="2449"/>
      <c r="CJ351" s="2450"/>
      <c r="CK351" s="2450"/>
      <c r="CP351" s="2478">
        <f t="shared" si="186"/>
        <v>0</v>
      </c>
      <c r="CQ351" s="2478"/>
      <c r="CR351" s="2478"/>
      <c r="CS351" s="2478"/>
      <c r="CT351" s="2478"/>
    </row>
    <row r="352" spans="1:98" hidden="1" x14ac:dyDescent="0.2">
      <c r="A352" s="2395">
        <v>210</v>
      </c>
      <c r="B352" s="2440" t="s">
        <v>1214</v>
      </c>
      <c r="C352" s="2396">
        <v>21005</v>
      </c>
      <c r="D352" s="2396">
        <v>54500</v>
      </c>
      <c r="E352" s="2397" t="s">
        <v>1268</v>
      </c>
      <c r="F352" s="2440" t="s">
        <v>1214</v>
      </c>
      <c r="G352" s="2440" t="s">
        <v>1702</v>
      </c>
      <c r="H352" s="2466">
        <v>1600</v>
      </c>
      <c r="I352" s="2470"/>
      <c r="J352" s="2466">
        <f t="shared" si="187"/>
        <v>1600</v>
      </c>
      <c r="K352" s="2468">
        <f t="shared" si="188"/>
        <v>0</v>
      </c>
      <c r="M352" s="2467">
        <v>1600</v>
      </c>
      <c r="N352" s="2467">
        <v>1600</v>
      </c>
      <c r="P352" s="2469"/>
      <c r="R352" s="2466">
        <v>1600</v>
      </c>
      <c r="S352" s="2466">
        <v>1370.13</v>
      </c>
      <c r="U352" s="2466">
        <v>1600</v>
      </c>
      <c r="V352" s="2470">
        <v>0</v>
      </c>
      <c r="W352" s="2466">
        <f t="shared" si="189"/>
        <v>1600</v>
      </c>
      <c r="X352" s="2468">
        <f t="shared" si="190"/>
        <v>0</v>
      </c>
      <c r="Z352" s="2467">
        <v>1600</v>
      </c>
      <c r="AA352" s="2467">
        <v>1600</v>
      </c>
      <c r="AC352" s="2469"/>
      <c r="AE352" s="2466">
        <v>1600</v>
      </c>
      <c r="AF352" s="2471">
        <v>350.36</v>
      </c>
      <c r="AH352" s="2466">
        <v>1600</v>
      </c>
      <c r="AI352" s="2470"/>
      <c r="AJ352" s="2466">
        <f t="shared" si="191"/>
        <v>1600</v>
      </c>
      <c r="AK352" s="2468">
        <f t="shared" si="192"/>
        <v>0</v>
      </c>
      <c r="AM352" s="2467">
        <v>1600</v>
      </c>
      <c r="AN352" s="2467">
        <v>1600</v>
      </c>
      <c r="AP352" s="2469"/>
      <c r="AR352" s="2466">
        <v>1600</v>
      </c>
      <c r="AS352" s="2466">
        <v>1205.3900000000001</v>
      </c>
      <c r="AT352" s="2466"/>
      <c r="AU352" s="2466">
        <v>1600</v>
      </c>
      <c r="AV352" s="2466">
        <v>1377.27</v>
      </c>
      <c r="AX352" s="2466">
        <v>1600</v>
      </c>
      <c r="AY352" s="2628">
        <v>-595</v>
      </c>
      <c r="AZ352" s="2466">
        <f t="shared" si="193"/>
        <v>1005</v>
      </c>
      <c r="BA352" s="2468">
        <f t="shared" si="194"/>
        <v>-0.37187500000000001</v>
      </c>
      <c r="BC352" s="2467">
        <v>1005</v>
      </c>
      <c r="BD352" s="2467">
        <v>1005</v>
      </c>
      <c r="BF352" s="2469"/>
      <c r="BH352" s="2467">
        <v>1005</v>
      </c>
      <c r="BI352" s="2466">
        <v>1341.71</v>
      </c>
      <c r="BM352" s="2466">
        <v>1005</v>
      </c>
      <c r="BN352" s="2636"/>
      <c r="BO352" s="2472">
        <f t="shared" si="195"/>
        <v>1005</v>
      </c>
      <c r="BP352" s="2473">
        <f t="shared" si="196"/>
        <v>0</v>
      </c>
      <c r="BR352" s="2474">
        <v>1005</v>
      </c>
      <c r="BS352" s="2474">
        <v>1005</v>
      </c>
      <c r="BU352" s="2547" t="s">
        <v>1703</v>
      </c>
      <c r="BW352" s="2474">
        <v>1005</v>
      </c>
      <c r="BX352" s="2466">
        <v>644.5</v>
      </c>
      <c r="BZ352" s="2474">
        <v>1005</v>
      </c>
      <c r="CA352" s="2636"/>
      <c r="CB352" s="2472">
        <f t="shared" si="197"/>
        <v>1005</v>
      </c>
      <c r="CC352" s="2473">
        <f t="shared" si="198"/>
        <v>0</v>
      </c>
      <c r="CE352" s="2474">
        <v>1005</v>
      </c>
      <c r="CF352" s="2476">
        <f t="shared" si="199"/>
        <v>0</v>
      </c>
      <c r="CG352" s="2474">
        <v>1005</v>
      </c>
      <c r="CH352" s="2449" t="s">
        <v>1217</v>
      </c>
      <c r="CI352" s="2449"/>
      <c r="CJ352" s="2450"/>
      <c r="CK352" s="2450"/>
      <c r="CO352" s="2477">
        <v>0.33503482587064681</v>
      </c>
      <c r="CP352" s="2478">
        <f t="shared" si="186"/>
        <v>336.71000000000004</v>
      </c>
      <c r="CQ352" s="2478"/>
      <c r="CR352" s="2478"/>
      <c r="CS352" s="2478"/>
      <c r="CT352" s="2478"/>
    </row>
    <row r="353" spans="1:98" hidden="1" x14ac:dyDescent="0.2">
      <c r="A353" s="2395">
        <v>210</v>
      </c>
      <c r="B353" s="2440" t="s">
        <v>1214</v>
      </c>
      <c r="C353" s="2396">
        <v>21005</v>
      </c>
      <c r="D353" s="2396">
        <v>54800</v>
      </c>
      <c r="E353" s="2397" t="s">
        <v>1268</v>
      </c>
      <c r="F353" s="2440" t="s">
        <v>1214</v>
      </c>
      <c r="G353" s="2440" t="s">
        <v>1704</v>
      </c>
      <c r="H353" s="2466">
        <v>4500</v>
      </c>
      <c r="I353" s="2470"/>
      <c r="J353" s="2466">
        <f t="shared" si="187"/>
        <v>4500</v>
      </c>
      <c r="K353" s="2468">
        <f t="shared" si="188"/>
        <v>0</v>
      </c>
      <c r="M353" s="2467">
        <v>4500</v>
      </c>
      <c r="N353" s="2467">
        <v>4500</v>
      </c>
      <c r="P353" s="2469"/>
      <c r="R353" s="2466">
        <v>4500</v>
      </c>
      <c r="S353" s="2466">
        <v>1841.59</v>
      </c>
      <c r="U353" s="2466">
        <v>4500</v>
      </c>
      <c r="V353" s="2470">
        <v>0</v>
      </c>
      <c r="W353" s="2466">
        <f t="shared" si="189"/>
        <v>4500</v>
      </c>
      <c r="X353" s="2468">
        <f t="shared" si="190"/>
        <v>0</v>
      </c>
      <c r="Z353" s="2467">
        <v>4500</v>
      </c>
      <c r="AA353" s="2467">
        <v>4500</v>
      </c>
      <c r="AC353" s="2469"/>
      <c r="AE353" s="2466">
        <v>4500</v>
      </c>
      <c r="AF353" s="2471">
        <v>4305.09</v>
      </c>
      <c r="AH353" s="2466">
        <v>4500</v>
      </c>
      <c r="AI353" s="2470">
        <v>-1000</v>
      </c>
      <c r="AJ353" s="2466">
        <f t="shared" si="191"/>
        <v>3500</v>
      </c>
      <c r="AK353" s="2468">
        <f t="shared" si="192"/>
        <v>-0.22222222222222221</v>
      </c>
      <c r="AM353" s="2467">
        <v>3500</v>
      </c>
      <c r="AN353" s="2467">
        <v>3500</v>
      </c>
      <c r="AP353" s="2469"/>
      <c r="AR353" s="2466">
        <v>3500</v>
      </c>
      <c r="AS353" s="2466">
        <v>2246.71</v>
      </c>
      <c r="AT353" s="2466"/>
      <c r="AU353" s="2466">
        <v>3500</v>
      </c>
      <c r="AV353" s="2466">
        <v>69.239999999999995</v>
      </c>
      <c r="AX353" s="2466">
        <v>3500</v>
      </c>
      <c r="AY353" s="2628">
        <v>-3500</v>
      </c>
      <c r="AZ353" s="2466">
        <f t="shared" si="193"/>
        <v>0</v>
      </c>
      <c r="BA353" s="2468">
        <f t="shared" si="194"/>
        <v>-1</v>
      </c>
      <c r="BC353" s="2467">
        <v>0</v>
      </c>
      <c r="BD353" s="2467">
        <v>0</v>
      </c>
      <c r="BF353" s="2469"/>
      <c r="BH353" s="2467">
        <v>0</v>
      </c>
      <c r="BI353" s="2466">
        <v>37.26</v>
      </c>
      <c r="BM353" s="2466">
        <v>0</v>
      </c>
      <c r="BN353" s="2636"/>
      <c r="BO353" s="2472">
        <f t="shared" si="195"/>
        <v>0</v>
      </c>
      <c r="BP353" s="2473" t="str">
        <f t="shared" si="196"/>
        <v xml:space="preserve"> </v>
      </c>
      <c r="BR353" s="2474">
        <v>0</v>
      </c>
      <c r="BS353" s="2474">
        <v>0</v>
      </c>
      <c r="BU353" s="2475"/>
      <c r="BW353" s="2474">
        <v>0</v>
      </c>
      <c r="BZ353" s="2474">
        <v>0</v>
      </c>
      <c r="CA353" s="2636"/>
      <c r="CB353" s="2472">
        <f t="shared" si="197"/>
        <v>0</v>
      </c>
      <c r="CC353" s="2473" t="str">
        <f t="shared" si="198"/>
        <v xml:space="preserve"> </v>
      </c>
      <c r="CE353" s="2474">
        <v>0</v>
      </c>
      <c r="CF353" s="2476" t="str">
        <f t="shared" si="199"/>
        <v xml:space="preserve"> </v>
      </c>
      <c r="CG353" s="2474">
        <v>0</v>
      </c>
      <c r="CH353" s="2449" t="s">
        <v>1217</v>
      </c>
      <c r="CI353" s="2449"/>
      <c r="CJ353" s="2450"/>
      <c r="CK353" s="2450"/>
      <c r="CO353" s="2477" t="s">
        <v>1257</v>
      </c>
      <c r="CP353" s="2478">
        <f t="shared" si="186"/>
        <v>37.26</v>
      </c>
      <c r="CQ353" s="2478"/>
      <c r="CR353" s="2478"/>
      <c r="CS353" s="2478"/>
      <c r="CT353" s="2478"/>
    </row>
    <row r="354" spans="1:98" hidden="1" x14ac:dyDescent="0.2">
      <c r="A354" s="2395">
        <v>210</v>
      </c>
      <c r="B354" s="2440" t="s">
        <v>1214</v>
      </c>
      <c r="C354" s="2396">
        <v>21005</v>
      </c>
      <c r="D354" s="2396">
        <v>55100</v>
      </c>
      <c r="E354" s="2397" t="s">
        <v>1268</v>
      </c>
      <c r="F354" s="2440" t="s">
        <v>1214</v>
      </c>
      <c r="G354" s="2440" t="s">
        <v>1705</v>
      </c>
      <c r="H354" s="2466">
        <v>8500</v>
      </c>
      <c r="I354" s="2470"/>
      <c r="J354" s="2466">
        <f t="shared" si="187"/>
        <v>8500</v>
      </c>
      <c r="K354" s="2468">
        <f t="shared" si="188"/>
        <v>0</v>
      </c>
      <c r="M354" s="2467">
        <v>8500</v>
      </c>
      <c r="N354" s="2467">
        <v>8500</v>
      </c>
      <c r="P354" s="2469"/>
      <c r="R354" s="2466">
        <v>8500</v>
      </c>
      <c r="S354" s="2466">
        <v>15196.81</v>
      </c>
      <c r="U354" s="2466">
        <v>8500</v>
      </c>
      <c r="V354" s="2470">
        <v>740</v>
      </c>
      <c r="W354" s="2466">
        <f t="shared" si="189"/>
        <v>9240</v>
      </c>
      <c r="X354" s="2468">
        <f t="shared" si="190"/>
        <v>8.7058823529411758E-2</v>
      </c>
      <c r="Z354" s="2467">
        <v>9240</v>
      </c>
      <c r="AA354" s="2467">
        <v>9240</v>
      </c>
      <c r="AC354" s="2469"/>
      <c r="AE354" s="2466">
        <v>9240</v>
      </c>
      <c r="AF354" s="2471">
        <v>3894.31</v>
      </c>
      <c r="AH354" s="2466">
        <v>9240</v>
      </c>
      <c r="AI354" s="2470">
        <v>-5240</v>
      </c>
      <c r="AJ354" s="2466">
        <f t="shared" si="191"/>
        <v>4000</v>
      </c>
      <c r="AK354" s="2468">
        <f t="shared" si="192"/>
        <v>-0.5670995670995671</v>
      </c>
      <c r="AM354" s="2467">
        <v>4000</v>
      </c>
      <c r="AN354" s="2467">
        <v>4000</v>
      </c>
      <c r="AP354" s="2469"/>
      <c r="AR354" s="2466">
        <v>4000</v>
      </c>
      <c r="AS354" s="2466">
        <v>1413.95</v>
      </c>
      <c r="AT354" s="2466"/>
      <c r="AU354" s="2466">
        <v>4000</v>
      </c>
      <c r="AV354" s="2466">
        <v>6270.94</v>
      </c>
      <c r="AX354" s="2466">
        <v>4000</v>
      </c>
      <c r="AY354" s="2628">
        <v>3039</v>
      </c>
      <c r="AZ354" s="2466">
        <f t="shared" si="193"/>
        <v>7039</v>
      </c>
      <c r="BA354" s="2468">
        <f t="shared" si="194"/>
        <v>0.75975000000000004</v>
      </c>
      <c r="BC354" s="2467">
        <v>7039</v>
      </c>
      <c r="BD354" s="2467">
        <v>7039</v>
      </c>
      <c r="BF354" s="2469"/>
      <c r="BH354" s="2467">
        <v>7039</v>
      </c>
      <c r="BI354" s="2466">
        <v>10088.02</v>
      </c>
      <c r="BM354" s="2466">
        <v>7039</v>
      </c>
      <c r="BN354" s="2636"/>
      <c r="BO354" s="2472">
        <f t="shared" si="195"/>
        <v>7039</v>
      </c>
      <c r="BP354" s="2473">
        <f t="shared" si="196"/>
        <v>0</v>
      </c>
      <c r="BR354" s="2474">
        <v>7039</v>
      </c>
      <c r="BS354" s="2474">
        <v>7039</v>
      </c>
      <c r="BU354" s="2475"/>
      <c r="BW354" s="2474">
        <v>7039</v>
      </c>
      <c r="BX354" s="2466">
        <v>2253</v>
      </c>
      <c r="BZ354" s="2474">
        <v>7039</v>
      </c>
      <c r="CA354" s="2636"/>
      <c r="CB354" s="2472">
        <f t="shared" si="197"/>
        <v>7039</v>
      </c>
      <c r="CC354" s="2473">
        <f t="shared" si="198"/>
        <v>0</v>
      </c>
      <c r="CE354" s="2474">
        <v>7039</v>
      </c>
      <c r="CF354" s="2476">
        <f t="shared" si="199"/>
        <v>0</v>
      </c>
      <c r="CG354" s="2474">
        <v>7039</v>
      </c>
      <c r="CH354" s="2449" t="s">
        <v>1217</v>
      </c>
      <c r="CI354" s="2449"/>
      <c r="CJ354" s="2450"/>
      <c r="CK354" s="2450"/>
      <c r="CO354" s="2477">
        <v>0.43316096036368812</v>
      </c>
      <c r="CP354" s="2478">
        <f t="shared" si="186"/>
        <v>3049.0200000000004</v>
      </c>
      <c r="CQ354" s="2478"/>
      <c r="CR354" s="2478"/>
      <c r="CS354" s="2478"/>
      <c r="CT354" s="2478"/>
    </row>
    <row r="355" spans="1:98" hidden="1" x14ac:dyDescent="0.2">
      <c r="A355" s="2395">
        <v>210</v>
      </c>
      <c r="B355" s="2440" t="s">
        <v>1214</v>
      </c>
      <c r="C355" s="2396">
        <v>21005</v>
      </c>
      <c r="D355" s="2396">
        <v>55340</v>
      </c>
      <c r="E355" s="2397" t="s">
        <v>1268</v>
      </c>
      <c r="F355" s="2440" t="s">
        <v>1214</v>
      </c>
      <c r="G355" s="2440" t="s">
        <v>1706</v>
      </c>
      <c r="H355" s="2466">
        <v>2000</v>
      </c>
      <c r="I355" s="2470"/>
      <c r="J355" s="2466">
        <f t="shared" si="187"/>
        <v>2000</v>
      </c>
      <c r="K355" s="2468">
        <f t="shared" si="188"/>
        <v>0</v>
      </c>
      <c r="M355" s="2467">
        <v>2000</v>
      </c>
      <c r="N355" s="2467">
        <v>2000</v>
      </c>
      <c r="P355" s="2469"/>
      <c r="R355" s="2466">
        <v>2000</v>
      </c>
      <c r="S355" s="2466">
        <v>2775.5</v>
      </c>
      <c r="U355" s="2466">
        <v>2000</v>
      </c>
      <c r="V355" s="2470">
        <v>0</v>
      </c>
      <c r="W355" s="2466">
        <f t="shared" si="189"/>
        <v>2000</v>
      </c>
      <c r="X355" s="2468">
        <f t="shared" si="190"/>
        <v>0</v>
      </c>
      <c r="Z355" s="2467">
        <v>2000</v>
      </c>
      <c r="AA355" s="2467">
        <v>2000</v>
      </c>
      <c r="AC355" s="2469"/>
      <c r="AE355" s="2466">
        <v>2000</v>
      </c>
      <c r="AF355" s="2471">
        <v>730.8</v>
      </c>
      <c r="AH355" s="2466">
        <v>2000</v>
      </c>
      <c r="AI355" s="2470"/>
      <c r="AJ355" s="2466">
        <f t="shared" si="191"/>
        <v>2000</v>
      </c>
      <c r="AK355" s="2468">
        <f t="shared" si="192"/>
        <v>0</v>
      </c>
      <c r="AM355" s="2467">
        <v>2000</v>
      </c>
      <c r="AN355" s="2467">
        <v>2000</v>
      </c>
      <c r="AP355" s="2469"/>
      <c r="AR355" s="2466">
        <v>2000</v>
      </c>
      <c r="AS355" s="2466">
        <v>700.17</v>
      </c>
      <c r="AT355" s="2466"/>
      <c r="AU355" s="2466">
        <v>2000</v>
      </c>
      <c r="AV355" s="2466">
        <v>2233.42</v>
      </c>
      <c r="AX355" s="2466">
        <v>2000</v>
      </c>
      <c r="AY355" s="2628"/>
      <c r="AZ355" s="2466">
        <f t="shared" si="193"/>
        <v>2000</v>
      </c>
      <c r="BA355" s="2468">
        <f t="shared" si="194"/>
        <v>0</v>
      </c>
      <c r="BC355" s="2467">
        <v>2000</v>
      </c>
      <c r="BD355" s="2467">
        <v>2000</v>
      </c>
      <c r="BF355" s="2469"/>
      <c r="BH355" s="2467">
        <v>2000</v>
      </c>
      <c r="BI355" s="2466">
        <v>1996.98</v>
      </c>
      <c r="BM355" s="2466">
        <v>2000</v>
      </c>
      <c r="BN355" s="2636"/>
      <c r="BO355" s="2472">
        <f t="shared" si="195"/>
        <v>2000</v>
      </c>
      <c r="BP355" s="2473">
        <f t="shared" si="196"/>
        <v>0</v>
      </c>
      <c r="BR355" s="2474">
        <v>2000</v>
      </c>
      <c r="BS355" s="2474">
        <v>2000</v>
      </c>
      <c r="BU355" s="2475"/>
      <c r="BW355" s="2474">
        <v>2000</v>
      </c>
      <c r="BX355" s="2466">
        <v>1225.3</v>
      </c>
      <c r="BZ355" s="2474">
        <v>2000</v>
      </c>
      <c r="CA355" s="2636"/>
      <c r="CB355" s="2472">
        <f t="shared" si="197"/>
        <v>2000</v>
      </c>
      <c r="CC355" s="2473">
        <f t="shared" si="198"/>
        <v>0</v>
      </c>
      <c r="CE355" s="2474">
        <v>2000</v>
      </c>
      <c r="CF355" s="2476">
        <f t="shared" si="199"/>
        <v>0</v>
      </c>
      <c r="CG355" s="2474">
        <v>2000</v>
      </c>
      <c r="CH355" s="2449" t="s">
        <v>1217</v>
      </c>
      <c r="CI355" s="2449"/>
      <c r="CJ355" s="2450"/>
      <c r="CK355" s="2450"/>
      <c r="CO355" s="2477">
        <v>-1.5100000000000113E-3</v>
      </c>
      <c r="CP355" s="2478">
        <f t="shared" si="186"/>
        <v>-3.0199999999999818</v>
      </c>
      <c r="CQ355" s="2478"/>
      <c r="CR355" s="2478"/>
      <c r="CS355" s="2478"/>
      <c r="CT355" s="2478"/>
    </row>
    <row r="356" spans="1:98" hidden="1" x14ac:dyDescent="0.2">
      <c r="A356" s="2395">
        <v>210</v>
      </c>
      <c r="B356" s="2440" t="s">
        <v>1214</v>
      </c>
      <c r="C356" s="2396">
        <v>21005</v>
      </c>
      <c r="D356" s="2396">
        <v>55800</v>
      </c>
      <c r="E356" s="2397" t="s">
        <v>1268</v>
      </c>
      <c r="F356" s="2440" t="s">
        <v>1214</v>
      </c>
      <c r="G356" s="2440" t="s">
        <v>1707</v>
      </c>
      <c r="H356" s="2466">
        <v>3713</v>
      </c>
      <c r="I356" s="2470"/>
      <c r="J356" s="2466">
        <f t="shared" si="187"/>
        <v>3713</v>
      </c>
      <c r="K356" s="2468">
        <f t="shared" si="188"/>
        <v>0</v>
      </c>
      <c r="M356" s="2467">
        <v>3713</v>
      </c>
      <c r="N356" s="2467">
        <v>3713</v>
      </c>
      <c r="P356" s="2469"/>
      <c r="R356" s="2466">
        <v>3713</v>
      </c>
      <c r="S356" s="2466">
        <v>3021.78</v>
      </c>
      <c r="U356" s="2466">
        <v>3713</v>
      </c>
      <c r="V356" s="2470">
        <v>0</v>
      </c>
      <c r="W356" s="2466">
        <f t="shared" si="189"/>
        <v>3713</v>
      </c>
      <c r="X356" s="2468">
        <f t="shared" si="190"/>
        <v>0</v>
      </c>
      <c r="Z356" s="2467">
        <v>3713</v>
      </c>
      <c r="AA356" s="2467">
        <v>3713</v>
      </c>
      <c r="AC356" s="2469"/>
      <c r="AE356" s="2466">
        <v>3713</v>
      </c>
      <c r="AF356" s="2471">
        <v>3579.43</v>
      </c>
      <c r="AH356" s="2466">
        <v>3713</v>
      </c>
      <c r="AI356" s="2470"/>
      <c r="AJ356" s="2466">
        <f t="shared" si="191"/>
        <v>3713</v>
      </c>
      <c r="AK356" s="2468">
        <f t="shared" si="192"/>
        <v>0</v>
      </c>
      <c r="AM356" s="2467">
        <v>3713</v>
      </c>
      <c r="AN356" s="2467">
        <v>3713</v>
      </c>
      <c r="AP356" s="2469"/>
      <c r="AR356" s="2466">
        <v>3713</v>
      </c>
      <c r="AS356" s="2466">
        <v>936.56</v>
      </c>
      <c r="AT356" s="2466"/>
      <c r="AU356" s="2466">
        <v>3713</v>
      </c>
      <c r="AV356" s="2466">
        <v>0</v>
      </c>
      <c r="AX356" s="2466">
        <v>3713</v>
      </c>
      <c r="AY356" s="2628">
        <v>-3713</v>
      </c>
      <c r="AZ356" s="2466">
        <f t="shared" si="193"/>
        <v>0</v>
      </c>
      <c r="BA356" s="2468">
        <f t="shared" si="194"/>
        <v>-1</v>
      </c>
      <c r="BC356" s="2467">
        <v>0</v>
      </c>
      <c r="BD356" s="2467">
        <v>0</v>
      </c>
      <c r="BF356" s="2469"/>
      <c r="BH356" s="2467">
        <v>0</v>
      </c>
      <c r="BM356" s="2466">
        <v>0</v>
      </c>
      <c r="BN356" s="2636"/>
      <c r="BO356" s="2472">
        <f t="shared" si="195"/>
        <v>0</v>
      </c>
      <c r="BP356" s="2473" t="str">
        <f t="shared" si="196"/>
        <v xml:space="preserve"> </v>
      </c>
      <c r="BR356" s="2474">
        <v>0</v>
      </c>
      <c r="BS356" s="2474">
        <v>0</v>
      </c>
      <c r="BU356" s="2475"/>
      <c r="BW356" s="2474">
        <v>0</v>
      </c>
      <c r="BZ356" s="2474">
        <v>0</v>
      </c>
      <c r="CA356" s="2636"/>
      <c r="CB356" s="2472">
        <f t="shared" si="197"/>
        <v>0</v>
      </c>
      <c r="CC356" s="2473" t="str">
        <f t="shared" si="198"/>
        <v xml:space="preserve"> </v>
      </c>
      <c r="CE356" s="2474">
        <v>0</v>
      </c>
      <c r="CF356" s="2476" t="str">
        <f t="shared" si="199"/>
        <v xml:space="preserve"> </v>
      </c>
      <c r="CG356" s="2474">
        <v>0</v>
      </c>
      <c r="CH356" s="2449" t="s">
        <v>1217</v>
      </c>
      <c r="CI356" s="2449"/>
      <c r="CJ356" s="2450"/>
      <c r="CK356" s="2450"/>
      <c r="CP356" s="2478">
        <f t="shared" si="186"/>
        <v>0</v>
      </c>
      <c r="CQ356" s="2478"/>
      <c r="CR356" s="2478"/>
      <c r="CS356" s="2478"/>
      <c r="CT356" s="2478"/>
    </row>
    <row r="357" spans="1:98" hidden="1" x14ac:dyDescent="0.2">
      <c r="A357" s="2395">
        <v>210</v>
      </c>
      <c r="B357" s="2440" t="s">
        <v>1214</v>
      </c>
      <c r="C357" s="2396">
        <v>21005</v>
      </c>
      <c r="D357" s="2396">
        <v>55820</v>
      </c>
      <c r="E357" s="2397" t="s">
        <v>1268</v>
      </c>
      <c r="F357" s="2440" t="s">
        <v>1214</v>
      </c>
      <c r="G357" s="2440" t="s">
        <v>1708</v>
      </c>
      <c r="H357" s="2466">
        <v>24500</v>
      </c>
      <c r="I357" s="2470"/>
      <c r="J357" s="2466">
        <f>H357+I357</f>
        <v>24500</v>
      </c>
      <c r="K357" s="2468">
        <f>IF(H357=0," ",(J357-H357)/H357)</f>
        <v>0</v>
      </c>
      <c r="M357" s="2467">
        <v>24500</v>
      </c>
      <c r="N357" s="2467">
        <v>24500</v>
      </c>
      <c r="P357" s="2469"/>
      <c r="R357" s="2466">
        <v>24500</v>
      </c>
      <c r="S357" s="2466">
        <v>25018.69</v>
      </c>
      <c r="U357" s="2466">
        <v>24500</v>
      </c>
      <c r="V357" s="2470">
        <v>-15000</v>
      </c>
      <c r="W357" s="2466">
        <f>U357+V357</f>
        <v>9500</v>
      </c>
      <c r="X357" s="2468">
        <f>IF(U357=0," ",(W357-U357)/U357)</f>
        <v>-0.61224489795918369</v>
      </c>
      <c r="Z357" s="2467">
        <v>9500</v>
      </c>
      <c r="AA357" s="2467">
        <v>9500</v>
      </c>
      <c r="AC357" s="2626" t="s">
        <v>1670</v>
      </c>
      <c r="AE357" s="2466">
        <v>9500</v>
      </c>
      <c r="AF357" s="2471">
        <v>7256.72</v>
      </c>
      <c r="AH357" s="2466">
        <v>9500</v>
      </c>
      <c r="AI357" s="2470">
        <v>-7000</v>
      </c>
      <c r="AJ357" s="2466">
        <f>AH357+AI357</f>
        <v>2500</v>
      </c>
      <c r="AK357" s="2468">
        <f>IF(AH357=0," ",(AJ357-AH357)/AH357)</f>
        <v>-0.73684210526315785</v>
      </c>
      <c r="AM357" s="2467">
        <v>2500</v>
      </c>
      <c r="AN357" s="2467">
        <v>2500</v>
      </c>
      <c r="AP357" s="2626" t="s">
        <v>1709</v>
      </c>
      <c r="AR357" s="2466">
        <v>2500</v>
      </c>
      <c r="AS357" s="2466">
        <v>4951.49</v>
      </c>
      <c r="AT357" s="2466"/>
      <c r="AU357" s="2466">
        <v>2500</v>
      </c>
      <c r="AV357" s="2466">
        <v>6469.21</v>
      </c>
      <c r="AX357" s="2466">
        <v>2500</v>
      </c>
      <c r="AY357" s="2628">
        <v>-2332</v>
      </c>
      <c r="AZ357" s="2466">
        <f>AX357+AY357</f>
        <v>168</v>
      </c>
      <c r="BA357" s="2468">
        <f>IF(AX357=0," ",(AZ357-AX357)/AX357)</f>
        <v>-0.93279999999999996</v>
      </c>
      <c r="BC357" s="2467">
        <v>168</v>
      </c>
      <c r="BD357" s="2467">
        <v>168</v>
      </c>
      <c r="BF357" s="2626"/>
      <c r="BH357" s="2467">
        <v>168</v>
      </c>
      <c r="BI357" s="2466">
        <v>2749.45</v>
      </c>
      <c r="BM357" s="2466">
        <v>168</v>
      </c>
      <c r="BN357" s="2636"/>
      <c r="BO357" s="2472">
        <f>BM357+BN357</f>
        <v>168</v>
      </c>
      <c r="BP357" s="2473">
        <f>IF(BM357=0," ",(BO357-BM357)/BM357)</f>
        <v>0</v>
      </c>
      <c r="BR357" s="2474">
        <v>168</v>
      </c>
      <c r="BS357" s="2474">
        <v>168</v>
      </c>
      <c r="BU357" s="2547" t="s">
        <v>1710</v>
      </c>
      <c r="BW357" s="2474">
        <v>168</v>
      </c>
      <c r="BX357" s="2466">
        <v>831.95</v>
      </c>
      <c r="BZ357" s="2474">
        <v>168</v>
      </c>
      <c r="CA357" s="2636"/>
      <c r="CB357" s="2472">
        <f>BZ357+CA357</f>
        <v>168</v>
      </c>
      <c r="CC357" s="2473">
        <f>IF(BZ357=0," ",(CB357-BZ357)/BZ357)</f>
        <v>0</v>
      </c>
      <c r="CE357" s="2474">
        <v>168</v>
      </c>
      <c r="CF357" s="2476">
        <f t="shared" si="199"/>
        <v>0</v>
      </c>
      <c r="CG357" s="2474">
        <v>168</v>
      </c>
      <c r="CH357" s="2449" t="s">
        <v>1217</v>
      </c>
      <c r="CI357" s="2449"/>
      <c r="CJ357" s="2450"/>
      <c r="CK357" s="2450"/>
      <c r="CO357" s="2477">
        <v>15.365773809523809</v>
      </c>
      <c r="CP357" s="2478">
        <f t="shared" si="186"/>
        <v>2581.4499999999998</v>
      </c>
      <c r="CQ357" s="2478"/>
      <c r="CR357" s="2478"/>
      <c r="CS357" s="2478"/>
      <c r="CT357" s="2478"/>
    </row>
    <row r="358" spans="1:98" hidden="1" x14ac:dyDescent="0.2">
      <c r="A358" s="2395">
        <v>210</v>
      </c>
      <c r="B358" s="2440" t="s">
        <v>1214</v>
      </c>
      <c r="C358" s="2396">
        <v>21005</v>
      </c>
      <c r="D358" s="2396">
        <v>55850</v>
      </c>
      <c r="E358" s="2397" t="s">
        <v>1268</v>
      </c>
      <c r="F358" s="2440" t="s">
        <v>1214</v>
      </c>
      <c r="G358" s="2440" t="s">
        <v>1711</v>
      </c>
      <c r="H358" s="2466">
        <v>1200</v>
      </c>
      <c r="I358" s="2470">
        <v>2500</v>
      </c>
      <c r="J358" s="2466">
        <f t="shared" si="187"/>
        <v>3700</v>
      </c>
      <c r="K358" s="2468">
        <f t="shared" si="188"/>
        <v>2.0833333333333335</v>
      </c>
      <c r="M358" s="2467">
        <v>3700</v>
      </c>
      <c r="N358" s="2467">
        <v>3700</v>
      </c>
      <c r="P358" s="2469" t="s">
        <v>1712</v>
      </c>
      <c r="R358" s="2466">
        <v>3700</v>
      </c>
      <c r="S358" s="2466">
        <v>2785</v>
      </c>
      <c r="U358" s="2466">
        <v>3700</v>
      </c>
      <c r="V358" s="2470">
        <v>0</v>
      </c>
      <c r="W358" s="2466">
        <f t="shared" si="189"/>
        <v>3700</v>
      </c>
      <c r="X358" s="2468">
        <f t="shared" si="190"/>
        <v>0</v>
      </c>
      <c r="Z358" s="2467">
        <v>3700</v>
      </c>
      <c r="AA358" s="2467">
        <v>3700</v>
      </c>
      <c r="AC358" s="2469"/>
      <c r="AE358" s="2466">
        <v>3700</v>
      </c>
      <c r="AF358" s="2471">
        <v>800.85</v>
      </c>
      <c r="AH358" s="2466">
        <v>3700</v>
      </c>
      <c r="AI358" s="2470"/>
      <c r="AJ358" s="2466">
        <f t="shared" si="191"/>
        <v>3700</v>
      </c>
      <c r="AK358" s="2468">
        <f t="shared" si="192"/>
        <v>0</v>
      </c>
      <c r="AM358" s="2467">
        <v>3700</v>
      </c>
      <c r="AN358" s="2467">
        <v>3700</v>
      </c>
      <c r="AP358" s="2469"/>
      <c r="AR358" s="2466">
        <v>3700</v>
      </c>
      <c r="AS358" s="2466">
        <v>0</v>
      </c>
      <c r="AT358" s="2466"/>
      <c r="AU358" s="2466">
        <v>3700</v>
      </c>
      <c r="AV358" s="2466">
        <v>0</v>
      </c>
      <c r="AX358" s="2466">
        <v>3700</v>
      </c>
      <c r="AY358" s="2628">
        <v>-3700</v>
      </c>
      <c r="AZ358" s="2466">
        <f t="shared" ref="AZ358:AZ366" si="200">AX358+AY358</f>
        <v>0</v>
      </c>
      <c r="BA358" s="2468">
        <f t="shared" ref="BA358:BA366" si="201">IF(AX358=0," ",(AZ358-AX358)/AX358)</f>
        <v>-1</v>
      </c>
      <c r="BC358" s="2467">
        <v>0</v>
      </c>
      <c r="BD358" s="2467">
        <v>0</v>
      </c>
      <c r="BF358" s="2469"/>
      <c r="BH358" s="2467">
        <v>0</v>
      </c>
      <c r="BM358" s="2466">
        <v>0</v>
      </c>
      <c r="BN358" s="2636"/>
      <c r="BO358" s="2472">
        <f t="shared" ref="BO358:BO368" si="202">BM358+BN358</f>
        <v>0</v>
      </c>
      <c r="BP358" s="2473" t="str">
        <f t="shared" ref="BP358:BP366" si="203">IF(BM358=0," ",(BO358-BM358)/BM358)</f>
        <v xml:space="preserve"> </v>
      </c>
      <c r="BR358" s="2474">
        <v>0</v>
      </c>
      <c r="BS358" s="2474">
        <v>0</v>
      </c>
      <c r="BU358" s="2475"/>
      <c r="BW358" s="2474">
        <v>0</v>
      </c>
      <c r="BZ358" s="2474">
        <v>0</v>
      </c>
      <c r="CA358" s="2636"/>
      <c r="CB358" s="2472">
        <f t="shared" ref="CB358:CB368" si="204">BZ358+CA358</f>
        <v>0</v>
      </c>
      <c r="CC358" s="2473" t="str">
        <f t="shared" ref="CC358:CC366" si="205">IF(BZ358=0," ",(CB358-BZ358)/BZ358)</f>
        <v xml:space="preserve"> </v>
      </c>
      <c r="CE358" s="2474">
        <v>0</v>
      </c>
      <c r="CF358" s="2476" t="str">
        <f t="shared" si="199"/>
        <v xml:space="preserve"> </v>
      </c>
      <c r="CG358" s="2474">
        <v>0</v>
      </c>
      <c r="CH358" s="2449" t="s">
        <v>1217</v>
      </c>
      <c r="CI358" s="2449"/>
      <c r="CJ358" s="2450"/>
      <c r="CK358" s="2450"/>
      <c r="CP358" s="2478">
        <f t="shared" si="186"/>
        <v>0</v>
      </c>
      <c r="CQ358" s="2478"/>
      <c r="CR358" s="2478"/>
      <c r="CS358" s="2478"/>
      <c r="CT358" s="2478"/>
    </row>
    <row r="359" spans="1:98" hidden="1" x14ac:dyDescent="0.2">
      <c r="A359" s="2395">
        <v>210</v>
      </c>
      <c r="B359" s="2440" t="s">
        <v>1214</v>
      </c>
      <c r="C359" s="2396">
        <v>21005</v>
      </c>
      <c r="D359" s="2396">
        <v>55880</v>
      </c>
      <c r="E359" s="2397" t="s">
        <v>1268</v>
      </c>
      <c r="F359" s="2440" t="s">
        <v>1214</v>
      </c>
      <c r="G359" s="2440" t="s">
        <v>1713</v>
      </c>
      <c r="I359" s="2470"/>
      <c r="J359" s="2466">
        <f>H359+I359</f>
        <v>0</v>
      </c>
      <c r="K359" s="2468" t="str">
        <f>IF(H359=0," ",(J359-H359)/H359)</f>
        <v xml:space="preserve"> </v>
      </c>
      <c r="M359" s="2467"/>
      <c r="N359" s="2467">
        <v>0</v>
      </c>
      <c r="P359" s="2469"/>
      <c r="S359" s="2466">
        <v>3265.25</v>
      </c>
      <c r="V359" s="2470">
        <v>0</v>
      </c>
      <c r="W359" s="2466">
        <f>U359+V359</f>
        <v>0</v>
      </c>
      <c r="X359" s="2468" t="str">
        <f>IF(U359=0," ",(W359-U359)/U359)</f>
        <v xml:space="preserve"> </v>
      </c>
      <c r="Z359" s="2467">
        <v>0</v>
      </c>
      <c r="AA359" s="2467">
        <v>0</v>
      </c>
      <c r="AC359" s="2469"/>
      <c r="AE359" s="2466">
        <v>0</v>
      </c>
      <c r="AF359" s="2471">
        <v>175.98</v>
      </c>
      <c r="AH359" s="2466">
        <v>0</v>
      </c>
      <c r="AI359" s="2470">
        <v>1000</v>
      </c>
      <c r="AJ359" s="2466">
        <f t="shared" si="191"/>
        <v>1000</v>
      </c>
      <c r="AK359" s="2468" t="str">
        <f t="shared" si="192"/>
        <v xml:space="preserve"> </v>
      </c>
      <c r="AM359" s="2467">
        <v>1000</v>
      </c>
      <c r="AN359" s="2467">
        <v>1000</v>
      </c>
      <c r="AP359" s="2530"/>
      <c r="AR359" s="2466">
        <v>1000</v>
      </c>
      <c r="AS359" s="2466">
        <v>537.83000000000004</v>
      </c>
      <c r="AT359" s="2466"/>
      <c r="AU359" s="2466">
        <v>1000</v>
      </c>
      <c r="AV359" s="2466">
        <v>1404.28</v>
      </c>
      <c r="AX359" s="2466">
        <v>1000</v>
      </c>
      <c r="AY359" s="2628">
        <v>8070</v>
      </c>
      <c r="AZ359" s="2466">
        <f t="shared" si="200"/>
        <v>9070</v>
      </c>
      <c r="BA359" s="2468">
        <f t="shared" si="201"/>
        <v>8.07</v>
      </c>
      <c r="BC359" s="2467">
        <v>9070</v>
      </c>
      <c r="BD359" s="2467">
        <f>9070-4900</f>
        <v>4170</v>
      </c>
      <c r="BF359" s="2469"/>
      <c r="BH359" s="2467">
        <f>9070-4900</f>
        <v>4170</v>
      </c>
      <c r="BI359" s="2466">
        <v>5124.9799999999996</v>
      </c>
      <c r="BM359" s="2466">
        <f>9070-4900</f>
        <v>4170</v>
      </c>
      <c r="BN359" s="2636"/>
      <c r="BO359" s="2472">
        <f t="shared" si="202"/>
        <v>4170</v>
      </c>
      <c r="BP359" s="2473">
        <f t="shared" si="203"/>
        <v>0</v>
      </c>
      <c r="BR359" s="2474">
        <v>4170</v>
      </c>
      <c r="BS359" s="2474">
        <v>4170</v>
      </c>
      <c r="BU359" s="2475"/>
      <c r="BW359" s="2474">
        <v>4170</v>
      </c>
      <c r="BX359" s="2466">
        <v>203.46</v>
      </c>
      <c r="BZ359" s="2474">
        <v>4170</v>
      </c>
      <c r="CA359" s="2636"/>
      <c r="CB359" s="2472">
        <f t="shared" si="204"/>
        <v>4170</v>
      </c>
      <c r="CC359" s="2473">
        <f t="shared" si="205"/>
        <v>0</v>
      </c>
      <c r="CE359" s="2474">
        <v>4170</v>
      </c>
      <c r="CF359" s="2476">
        <f t="shared" si="199"/>
        <v>0</v>
      </c>
      <c r="CG359" s="2474">
        <v>4170</v>
      </c>
      <c r="CH359" s="2449" t="s">
        <v>1217</v>
      </c>
      <c r="CI359" s="2449"/>
      <c r="CJ359" s="2450"/>
      <c r="CK359" s="2450"/>
      <c r="CO359" s="2477">
        <v>0.22901199040767373</v>
      </c>
      <c r="CP359" s="2478">
        <f t="shared" si="186"/>
        <v>954.97999999999956</v>
      </c>
      <c r="CQ359" s="2478"/>
      <c r="CR359" s="2478"/>
      <c r="CS359" s="2478"/>
      <c r="CT359" s="2478"/>
    </row>
    <row r="360" spans="1:98" hidden="1" x14ac:dyDescent="0.2">
      <c r="A360" s="2395">
        <v>210</v>
      </c>
      <c r="B360" s="2440" t="s">
        <v>1214</v>
      </c>
      <c r="C360" s="2396">
        <v>21005</v>
      </c>
      <c r="D360" s="2396">
        <v>57100</v>
      </c>
      <c r="E360" s="2397" t="s">
        <v>1268</v>
      </c>
      <c r="F360" s="2440" t="s">
        <v>1214</v>
      </c>
      <c r="G360" s="2440" t="s">
        <v>1714</v>
      </c>
      <c r="H360" s="2466">
        <v>1000</v>
      </c>
      <c r="I360" s="2470"/>
      <c r="J360" s="2466">
        <f t="shared" si="187"/>
        <v>1000</v>
      </c>
      <c r="K360" s="2468">
        <f t="shared" si="188"/>
        <v>0</v>
      </c>
      <c r="M360" s="2467">
        <v>1000</v>
      </c>
      <c r="N360" s="2467">
        <v>1000</v>
      </c>
      <c r="P360" s="2469"/>
      <c r="R360" s="2466">
        <v>1000</v>
      </c>
      <c r="S360" s="2466">
        <v>591.85</v>
      </c>
      <c r="U360" s="2466">
        <v>1000</v>
      </c>
      <c r="V360" s="2470">
        <v>0</v>
      </c>
      <c r="W360" s="2466">
        <f t="shared" si="189"/>
        <v>1000</v>
      </c>
      <c r="X360" s="2468">
        <f t="shared" si="190"/>
        <v>0</v>
      </c>
      <c r="Z360" s="2467">
        <v>1000</v>
      </c>
      <c r="AA360" s="2467">
        <v>1000</v>
      </c>
      <c r="AC360" s="2469"/>
      <c r="AE360" s="2466">
        <v>1000</v>
      </c>
      <c r="AF360" s="2471">
        <v>301.3</v>
      </c>
      <c r="AH360" s="2466">
        <v>1000</v>
      </c>
      <c r="AI360" s="2470"/>
      <c r="AJ360" s="2466">
        <f t="shared" si="191"/>
        <v>1000</v>
      </c>
      <c r="AK360" s="2468">
        <f t="shared" si="192"/>
        <v>0</v>
      </c>
      <c r="AM360" s="2467">
        <v>1000</v>
      </c>
      <c r="AN360" s="2467">
        <v>1000</v>
      </c>
      <c r="AP360" s="2469"/>
      <c r="AR360" s="2466">
        <v>1000</v>
      </c>
      <c r="AS360" s="2466">
        <v>1463.27</v>
      </c>
      <c r="AT360" s="2466"/>
      <c r="AU360" s="2466">
        <v>1000</v>
      </c>
      <c r="AV360" s="2466">
        <v>45.25</v>
      </c>
      <c r="AX360" s="2466">
        <v>1000</v>
      </c>
      <c r="AY360" s="2628">
        <v>465</v>
      </c>
      <c r="AZ360" s="2466">
        <f t="shared" si="200"/>
        <v>1465</v>
      </c>
      <c r="BA360" s="2468">
        <f t="shared" si="201"/>
        <v>0.46500000000000002</v>
      </c>
      <c r="BC360" s="2467">
        <v>1465</v>
      </c>
      <c r="BD360" s="2467">
        <v>1465</v>
      </c>
      <c r="BF360" s="2469"/>
      <c r="BH360" s="2467">
        <v>1465</v>
      </c>
      <c r="BI360" s="2466">
        <v>806.03</v>
      </c>
      <c r="BM360" s="2466">
        <v>1465</v>
      </c>
      <c r="BN360" s="2636"/>
      <c r="BO360" s="2472">
        <f t="shared" si="202"/>
        <v>1465</v>
      </c>
      <c r="BP360" s="2473">
        <f t="shared" si="203"/>
        <v>0</v>
      </c>
      <c r="BR360" s="2474">
        <v>1465</v>
      </c>
      <c r="BS360" s="2474">
        <v>1465</v>
      </c>
      <c r="BU360" s="2475"/>
      <c r="BW360" s="2474">
        <v>1465</v>
      </c>
      <c r="BX360" s="2466">
        <v>2842.17</v>
      </c>
      <c r="BZ360" s="2474">
        <v>1465</v>
      </c>
      <c r="CA360" s="2636"/>
      <c r="CB360" s="2472">
        <f t="shared" si="204"/>
        <v>1465</v>
      </c>
      <c r="CC360" s="2473">
        <f t="shared" si="205"/>
        <v>0</v>
      </c>
      <c r="CE360" s="2474">
        <v>1465</v>
      </c>
      <c r="CF360" s="2476">
        <f t="shared" si="199"/>
        <v>0</v>
      </c>
      <c r="CG360" s="2474">
        <v>1465</v>
      </c>
      <c r="CH360" s="2449" t="s">
        <v>1217</v>
      </c>
      <c r="CI360" s="2449"/>
      <c r="CJ360" s="2450"/>
      <c r="CK360" s="2450"/>
      <c r="CO360" s="2477">
        <v>-0.44980887372013656</v>
      </c>
      <c r="CP360" s="2478">
        <f t="shared" si="186"/>
        <v>-658.97</v>
      </c>
      <c r="CQ360" s="2478"/>
      <c r="CR360" s="2478"/>
      <c r="CS360" s="2478"/>
      <c r="CT360" s="2478"/>
    </row>
    <row r="361" spans="1:98" hidden="1" x14ac:dyDescent="0.2">
      <c r="A361" s="2395">
        <v>210</v>
      </c>
      <c r="B361" s="2440" t="s">
        <v>1214</v>
      </c>
      <c r="C361" s="2396">
        <v>21005</v>
      </c>
      <c r="D361" s="2396">
        <v>57103</v>
      </c>
      <c r="E361" s="2397" t="s">
        <v>1268</v>
      </c>
      <c r="F361" s="2440" t="s">
        <v>1214</v>
      </c>
      <c r="G361" s="2440" t="s">
        <v>1715</v>
      </c>
      <c r="H361" s="2466">
        <v>2000</v>
      </c>
      <c r="I361" s="2470"/>
      <c r="J361" s="2466">
        <f t="shared" si="187"/>
        <v>2000</v>
      </c>
      <c r="K361" s="2468">
        <f t="shared" si="188"/>
        <v>0</v>
      </c>
      <c r="M361" s="2467">
        <v>2000</v>
      </c>
      <c r="N361" s="2467">
        <v>2000</v>
      </c>
      <c r="P361" s="2469"/>
      <c r="R361" s="2466">
        <v>2000</v>
      </c>
      <c r="S361" s="2466">
        <v>1985.91</v>
      </c>
      <c r="U361" s="2466">
        <v>2000</v>
      </c>
      <c r="V361" s="2470">
        <v>0</v>
      </c>
      <c r="W361" s="2466">
        <f t="shared" si="189"/>
        <v>2000</v>
      </c>
      <c r="X361" s="2468">
        <f t="shared" si="190"/>
        <v>0</v>
      </c>
      <c r="Z361" s="2467">
        <v>2000</v>
      </c>
      <c r="AA361" s="2467">
        <v>2000</v>
      </c>
      <c r="AC361" s="2469"/>
      <c r="AE361" s="2466">
        <v>2000</v>
      </c>
      <c r="AF361" s="2471">
        <v>620</v>
      </c>
      <c r="AH361" s="2466">
        <v>2000</v>
      </c>
      <c r="AI361" s="2470"/>
      <c r="AJ361" s="2466">
        <f t="shared" si="191"/>
        <v>2000</v>
      </c>
      <c r="AK361" s="2468">
        <f t="shared" si="192"/>
        <v>0</v>
      </c>
      <c r="AM361" s="2467">
        <v>2000</v>
      </c>
      <c r="AN361" s="2467">
        <v>2000</v>
      </c>
      <c r="AP361" s="2469"/>
      <c r="AR361" s="2466">
        <v>2000</v>
      </c>
      <c r="AS361" s="2466">
        <v>977.76</v>
      </c>
      <c r="AT361" s="2466"/>
      <c r="AU361" s="2466">
        <v>2000</v>
      </c>
      <c r="AV361" s="2466">
        <v>200</v>
      </c>
      <c r="AX361" s="2466">
        <v>2000</v>
      </c>
      <c r="AY361" s="2628"/>
      <c r="AZ361" s="2466">
        <f t="shared" si="200"/>
        <v>2000</v>
      </c>
      <c r="BA361" s="2468">
        <f t="shared" si="201"/>
        <v>0</v>
      </c>
      <c r="BC361" s="2467">
        <v>2000</v>
      </c>
      <c r="BD361" s="2467">
        <v>2000</v>
      </c>
      <c r="BF361" s="2469"/>
      <c r="BH361" s="2467">
        <v>2000</v>
      </c>
      <c r="BI361" s="2466">
        <v>1251.32</v>
      </c>
      <c r="BM361" s="2466">
        <v>2000</v>
      </c>
      <c r="BN361" s="2636"/>
      <c r="BO361" s="2472">
        <f t="shared" si="202"/>
        <v>2000</v>
      </c>
      <c r="BP361" s="2473">
        <f t="shared" si="203"/>
        <v>0</v>
      </c>
      <c r="BR361" s="2474">
        <v>2000</v>
      </c>
      <c r="BS361" s="2474">
        <v>2000</v>
      </c>
      <c r="BU361" s="2475"/>
      <c r="BW361" s="2474">
        <v>2000</v>
      </c>
      <c r="BX361" s="2466">
        <v>800</v>
      </c>
      <c r="BZ361" s="2474">
        <v>2000</v>
      </c>
      <c r="CA361" s="2636"/>
      <c r="CB361" s="2472">
        <f t="shared" si="204"/>
        <v>2000</v>
      </c>
      <c r="CC361" s="2473">
        <f t="shared" si="205"/>
        <v>0</v>
      </c>
      <c r="CE361" s="2474">
        <v>2000</v>
      </c>
      <c r="CF361" s="2476">
        <f t="shared" si="199"/>
        <v>0</v>
      </c>
      <c r="CG361" s="2474">
        <v>2000</v>
      </c>
      <c r="CH361" s="2449" t="s">
        <v>1217</v>
      </c>
      <c r="CI361" s="2449"/>
      <c r="CJ361" s="2450"/>
      <c r="CK361" s="2450"/>
      <c r="CO361" s="2477">
        <v>-0.37434000000000001</v>
      </c>
      <c r="CP361" s="2478">
        <f t="shared" si="186"/>
        <v>-748.68000000000006</v>
      </c>
      <c r="CQ361" s="2478"/>
      <c r="CR361" s="2478"/>
      <c r="CS361" s="2478"/>
      <c r="CT361" s="2478"/>
    </row>
    <row r="362" spans="1:98" hidden="1" x14ac:dyDescent="0.2">
      <c r="A362" s="2395">
        <v>210</v>
      </c>
      <c r="B362" s="2440" t="s">
        <v>1214</v>
      </c>
      <c r="C362" s="2396">
        <v>21005</v>
      </c>
      <c r="D362" s="2396">
        <v>57300</v>
      </c>
      <c r="E362" s="2397" t="s">
        <v>1268</v>
      </c>
      <c r="F362" s="2440" t="s">
        <v>1214</v>
      </c>
      <c r="G362" s="2440" t="s">
        <v>1716</v>
      </c>
      <c r="H362" s="2466">
        <v>5120</v>
      </c>
      <c r="I362" s="2470"/>
      <c r="J362" s="2466">
        <f t="shared" si="187"/>
        <v>5120</v>
      </c>
      <c r="K362" s="2468">
        <f t="shared" si="188"/>
        <v>0</v>
      </c>
      <c r="M362" s="2467">
        <v>5120</v>
      </c>
      <c r="N362" s="2467">
        <v>5120</v>
      </c>
      <c r="P362" s="2469"/>
      <c r="R362" s="2466">
        <v>5120</v>
      </c>
      <c r="S362" s="2466">
        <v>6508.82</v>
      </c>
      <c r="U362" s="2466">
        <v>5120</v>
      </c>
      <c r="V362" s="2470">
        <v>0</v>
      </c>
      <c r="W362" s="2466">
        <f t="shared" si="189"/>
        <v>5120</v>
      </c>
      <c r="X362" s="2468">
        <f t="shared" si="190"/>
        <v>0</v>
      </c>
      <c r="Z362" s="2467">
        <v>5120</v>
      </c>
      <c r="AA362" s="2467">
        <v>5120</v>
      </c>
      <c r="AC362" s="2469"/>
      <c r="AE362" s="2466">
        <v>5120</v>
      </c>
      <c r="AF362" s="2471">
        <v>5102.84</v>
      </c>
      <c r="AH362" s="2466">
        <v>5120</v>
      </c>
      <c r="AI362" s="2470"/>
      <c r="AJ362" s="2466">
        <f t="shared" si="191"/>
        <v>5120</v>
      </c>
      <c r="AK362" s="2468">
        <f t="shared" si="192"/>
        <v>0</v>
      </c>
      <c r="AM362" s="2467">
        <v>5120</v>
      </c>
      <c r="AN362" s="2467">
        <v>5120</v>
      </c>
      <c r="AP362" s="2469"/>
      <c r="AR362" s="2466">
        <v>5120</v>
      </c>
      <c r="AS362" s="2466">
        <v>4699</v>
      </c>
      <c r="AT362" s="2466"/>
      <c r="AU362" s="2466">
        <v>5120</v>
      </c>
      <c r="AV362" s="2466">
        <v>6307</v>
      </c>
      <c r="AX362" s="2466">
        <v>5120</v>
      </c>
      <c r="AY362" s="2628">
        <v>480</v>
      </c>
      <c r="AZ362" s="2466">
        <f t="shared" si="200"/>
        <v>5600</v>
      </c>
      <c r="BA362" s="2468">
        <f t="shared" si="201"/>
        <v>9.375E-2</v>
      </c>
      <c r="BC362" s="2467">
        <v>5600</v>
      </c>
      <c r="BD362" s="2467">
        <v>5600</v>
      </c>
      <c r="BF362" s="2469"/>
      <c r="BH362" s="2467">
        <v>5600</v>
      </c>
      <c r="BI362" s="2466">
        <v>7400.95</v>
      </c>
      <c r="BM362" s="2466">
        <v>5600</v>
      </c>
      <c r="BN362" s="2636"/>
      <c r="BO362" s="2472">
        <f t="shared" si="202"/>
        <v>5600</v>
      </c>
      <c r="BP362" s="2473">
        <f t="shared" si="203"/>
        <v>0</v>
      </c>
      <c r="BR362" s="2474">
        <v>5600</v>
      </c>
      <c r="BS362" s="2474">
        <v>5600</v>
      </c>
      <c r="BU362" s="2475"/>
      <c r="BW362" s="2474">
        <v>5600</v>
      </c>
      <c r="BX362" s="2466">
        <v>4721.6400000000003</v>
      </c>
      <c r="BZ362" s="2474">
        <v>5600</v>
      </c>
      <c r="CA362" s="2636"/>
      <c r="CB362" s="2472">
        <f t="shared" si="204"/>
        <v>5600</v>
      </c>
      <c r="CC362" s="2473">
        <f t="shared" si="205"/>
        <v>0</v>
      </c>
      <c r="CE362" s="2474">
        <v>5600</v>
      </c>
      <c r="CF362" s="2476">
        <f t="shared" si="199"/>
        <v>0</v>
      </c>
      <c r="CG362" s="2474">
        <v>5600</v>
      </c>
      <c r="CH362" s="2449" t="s">
        <v>1217</v>
      </c>
      <c r="CI362" s="2449"/>
      <c r="CJ362" s="2450"/>
      <c r="CK362" s="2450"/>
      <c r="CO362" s="2477">
        <v>0.32159821428571433</v>
      </c>
      <c r="CP362" s="2478">
        <f t="shared" si="186"/>
        <v>1800.9499999999998</v>
      </c>
      <c r="CQ362" s="2478"/>
      <c r="CR362" s="2478"/>
      <c r="CS362" s="2478"/>
      <c r="CT362" s="2478"/>
    </row>
    <row r="363" spans="1:98" hidden="1" x14ac:dyDescent="0.2">
      <c r="A363" s="2395">
        <v>210</v>
      </c>
      <c r="B363" s="2440" t="s">
        <v>1214</v>
      </c>
      <c r="C363" s="2396">
        <v>21005</v>
      </c>
      <c r="D363" s="2396">
        <v>57800</v>
      </c>
      <c r="E363" s="2397" t="s">
        <v>1268</v>
      </c>
      <c r="F363" s="2440" t="s">
        <v>1214</v>
      </c>
      <c r="G363" s="2440" t="s">
        <v>1717</v>
      </c>
      <c r="H363" s="2466">
        <v>3000</v>
      </c>
      <c r="I363" s="2470"/>
      <c r="J363" s="2466">
        <f t="shared" si="187"/>
        <v>3000</v>
      </c>
      <c r="K363" s="2468">
        <f t="shared" si="188"/>
        <v>0</v>
      </c>
      <c r="M363" s="2467">
        <v>3000</v>
      </c>
      <c r="N363" s="2467">
        <v>3000</v>
      </c>
      <c r="P363" s="2469"/>
      <c r="R363" s="2466">
        <v>3000</v>
      </c>
      <c r="S363" s="2466">
        <v>6213.88</v>
      </c>
      <c r="U363" s="2466">
        <v>3000</v>
      </c>
      <c r="V363" s="2470">
        <v>-1500</v>
      </c>
      <c r="W363" s="2466">
        <f t="shared" si="189"/>
        <v>1500</v>
      </c>
      <c r="X363" s="2468">
        <f t="shared" si="190"/>
        <v>-0.5</v>
      </c>
      <c r="Z363" s="2467">
        <v>1500</v>
      </c>
      <c r="AA363" s="2467">
        <v>1500</v>
      </c>
      <c r="AC363" s="2469"/>
      <c r="AE363" s="2466">
        <v>1500</v>
      </c>
      <c r="AF363" s="2471">
        <v>9783.0300000000007</v>
      </c>
      <c r="AH363" s="2466">
        <v>1500</v>
      </c>
      <c r="AI363" s="2470">
        <v>5240</v>
      </c>
      <c r="AJ363" s="2466">
        <f t="shared" si="191"/>
        <v>6740</v>
      </c>
      <c r="AK363" s="2468">
        <f t="shared" si="192"/>
        <v>3.4933333333333332</v>
      </c>
      <c r="AM363" s="2467">
        <v>6740</v>
      </c>
      <c r="AN363" s="2467">
        <v>6740</v>
      </c>
      <c r="AP363" s="2469"/>
      <c r="AR363" s="2466">
        <v>6740</v>
      </c>
      <c r="AS363" s="2466">
        <v>4368.3500000000004</v>
      </c>
      <c r="AT363" s="2466"/>
      <c r="AU363" s="2466">
        <v>6740</v>
      </c>
      <c r="AV363" s="2466">
        <v>6604</v>
      </c>
      <c r="AX363" s="2466">
        <v>6740</v>
      </c>
      <c r="AY363" s="2628">
        <v>252</v>
      </c>
      <c r="AZ363" s="2466">
        <f t="shared" si="200"/>
        <v>6992</v>
      </c>
      <c r="BA363" s="2468">
        <f t="shared" si="201"/>
        <v>3.7388724035608306E-2</v>
      </c>
      <c r="BC363" s="2467">
        <v>6992</v>
      </c>
      <c r="BD363" s="2467">
        <v>6992</v>
      </c>
      <c r="BF363" s="2469"/>
      <c r="BH363" s="2467">
        <v>6992</v>
      </c>
      <c r="BI363" s="2466">
        <v>7414.65</v>
      </c>
      <c r="BM363" s="2466">
        <v>6992</v>
      </c>
      <c r="BN363" s="2636"/>
      <c r="BO363" s="2472">
        <f t="shared" si="202"/>
        <v>6992</v>
      </c>
      <c r="BP363" s="2473">
        <f t="shared" si="203"/>
        <v>0</v>
      </c>
      <c r="BR363" s="2474">
        <v>6992</v>
      </c>
      <c r="BS363" s="2474">
        <v>6992</v>
      </c>
      <c r="BU363" s="2475"/>
      <c r="BW363" s="2474">
        <v>6992</v>
      </c>
      <c r="BX363" s="2466">
        <v>3053.05</v>
      </c>
      <c r="BZ363" s="2474">
        <v>6992</v>
      </c>
      <c r="CA363" s="2636"/>
      <c r="CB363" s="2472">
        <f t="shared" si="204"/>
        <v>6992</v>
      </c>
      <c r="CC363" s="2473">
        <f t="shared" si="205"/>
        <v>0</v>
      </c>
      <c r="CE363" s="2474">
        <v>6992</v>
      </c>
      <c r="CF363" s="2476">
        <f t="shared" si="199"/>
        <v>0</v>
      </c>
      <c r="CG363" s="2474">
        <v>6992</v>
      </c>
      <c r="CH363" s="2449" t="s">
        <v>1217</v>
      </c>
      <c r="CI363" s="2449"/>
      <c r="CJ363" s="2450"/>
      <c r="CK363" s="2450"/>
      <c r="CO363" s="2477">
        <v>6.0447654462242539E-2</v>
      </c>
      <c r="CP363" s="2478">
        <f t="shared" si="186"/>
        <v>422.64999999999964</v>
      </c>
      <c r="CQ363" s="2478"/>
      <c r="CR363" s="2478"/>
      <c r="CS363" s="2478"/>
      <c r="CT363" s="2478"/>
    </row>
    <row r="364" spans="1:98" hidden="1" x14ac:dyDescent="0.2">
      <c r="A364" s="2395">
        <v>210</v>
      </c>
      <c r="B364" s="2440" t="s">
        <v>1214</v>
      </c>
      <c r="C364" s="2396">
        <v>21005</v>
      </c>
      <c r="D364" s="2396">
        <v>57850</v>
      </c>
      <c r="E364" s="2397" t="s">
        <v>1268</v>
      </c>
      <c r="F364" s="2440" t="s">
        <v>1214</v>
      </c>
      <c r="G364" s="2440" t="s">
        <v>1718</v>
      </c>
      <c r="H364" s="2466">
        <v>700</v>
      </c>
      <c r="I364" s="2470"/>
      <c r="J364" s="2466">
        <f t="shared" si="187"/>
        <v>700</v>
      </c>
      <c r="K364" s="2468">
        <f t="shared" si="188"/>
        <v>0</v>
      </c>
      <c r="M364" s="2467">
        <v>700</v>
      </c>
      <c r="N364" s="2467">
        <v>700</v>
      </c>
      <c r="P364" s="2469"/>
      <c r="R364" s="2466">
        <v>700</v>
      </c>
      <c r="S364" s="2466">
        <v>1073.6300000000001</v>
      </c>
      <c r="U364" s="2466">
        <v>700</v>
      </c>
      <c r="V364" s="2470">
        <v>0</v>
      </c>
      <c r="W364" s="2466">
        <f t="shared" si="189"/>
        <v>700</v>
      </c>
      <c r="X364" s="2468">
        <f t="shared" si="190"/>
        <v>0</v>
      </c>
      <c r="Z364" s="2467">
        <v>700</v>
      </c>
      <c r="AA364" s="2467">
        <v>700</v>
      </c>
      <c r="AC364" s="2469"/>
      <c r="AE364" s="2466">
        <v>700</v>
      </c>
      <c r="AF364" s="2471">
        <v>0</v>
      </c>
      <c r="AH364" s="2466">
        <v>700</v>
      </c>
      <c r="AI364" s="2470"/>
      <c r="AJ364" s="2466">
        <f t="shared" si="191"/>
        <v>700</v>
      </c>
      <c r="AK364" s="2468">
        <f t="shared" si="192"/>
        <v>0</v>
      </c>
      <c r="AM364" s="2467">
        <v>700</v>
      </c>
      <c r="AN364" s="2467">
        <v>700</v>
      </c>
      <c r="AP364" s="2469"/>
      <c r="AR364" s="2466">
        <v>700</v>
      </c>
      <c r="AS364" s="2466">
        <v>0</v>
      </c>
      <c r="AT364" s="2466"/>
      <c r="AU364" s="2466">
        <v>700</v>
      </c>
      <c r="AV364" s="2466">
        <v>24.61</v>
      </c>
      <c r="AX364" s="2466">
        <v>700</v>
      </c>
      <c r="AY364" s="2628">
        <v>-600</v>
      </c>
      <c r="AZ364" s="2466">
        <f t="shared" si="200"/>
        <v>100</v>
      </c>
      <c r="BA364" s="2468">
        <f t="shared" si="201"/>
        <v>-0.8571428571428571</v>
      </c>
      <c r="BC364" s="2467">
        <v>100</v>
      </c>
      <c r="BD364" s="2467">
        <v>100</v>
      </c>
      <c r="BF364" s="2469"/>
      <c r="BH364" s="2467">
        <v>100</v>
      </c>
      <c r="BM364" s="2466">
        <v>100</v>
      </c>
      <c r="BN364" s="2636"/>
      <c r="BO364" s="2472">
        <f t="shared" si="202"/>
        <v>100</v>
      </c>
      <c r="BP364" s="2473">
        <f t="shared" si="203"/>
        <v>0</v>
      </c>
      <c r="BR364" s="2474">
        <v>100</v>
      </c>
      <c r="BS364" s="2474">
        <v>100</v>
      </c>
      <c r="BU364" s="2475"/>
      <c r="BW364" s="2474">
        <v>100</v>
      </c>
      <c r="BX364" s="2466">
        <v>6.72</v>
      </c>
      <c r="BZ364" s="2474">
        <v>100</v>
      </c>
      <c r="CA364" s="2636"/>
      <c r="CB364" s="2472">
        <f t="shared" si="204"/>
        <v>100</v>
      </c>
      <c r="CC364" s="2473">
        <f t="shared" si="205"/>
        <v>0</v>
      </c>
      <c r="CE364" s="2474">
        <v>100</v>
      </c>
      <c r="CF364" s="2476">
        <f t="shared" si="199"/>
        <v>0</v>
      </c>
      <c r="CG364" s="2474">
        <v>100</v>
      </c>
      <c r="CH364" s="2449" t="s">
        <v>1217</v>
      </c>
      <c r="CI364" s="2449"/>
      <c r="CJ364" s="2450"/>
      <c r="CK364" s="2450"/>
      <c r="CO364" s="2477" t="s">
        <v>1218</v>
      </c>
      <c r="CP364" s="2478">
        <f t="shared" si="186"/>
        <v>-100</v>
      </c>
      <c r="CQ364" s="2478"/>
      <c r="CR364" s="2478"/>
      <c r="CS364" s="2478"/>
      <c r="CT364" s="2478"/>
    </row>
    <row r="365" spans="1:98" hidden="1" x14ac:dyDescent="0.2">
      <c r="A365" s="2395">
        <v>210</v>
      </c>
      <c r="B365" s="2440" t="s">
        <v>1214</v>
      </c>
      <c r="C365" s="2396">
        <v>21005</v>
      </c>
      <c r="D365" s="2396">
        <v>58510</v>
      </c>
      <c r="E365" s="2397" t="s">
        <v>1268</v>
      </c>
      <c r="F365" s="2440" t="s">
        <v>1214</v>
      </c>
      <c r="G365" s="2440" t="s">
        <v>1719</v>
      </c>
      <c r="H365" s="2466">
        <v>900</v>
      </c>
      <c r="I365" s="2470"/>
      <c r="J365" s="2466">
        <f t="shared" si="187"/>
        <v>900</v>
      </c>
      <c r="K365" s="2468">
        <f t="shared" si="188"/>
        <v>0</v>
      </c>
      <c r="M365" s="2467">
        <v>900</v>
      </c>
      <c r="N365" s="2467">
        <v>900</v>
      </c>
      <c r="P365" s="2469"/>
      <c r="R365" s="2466">
        <v>900</v>
      </c>
      <c r="S365" s="2466">
        <v>5207.2</v>
      </c>
      <c r="U365" s="2466">
        <v>900</v>
      </c>
      <c r="V365" s="2470">
        <v>0</v>
      </c>
      <c r="W365" s="2466">
        <f t="shared" si="189"/>
        <v>900</v>
      </c>
      <c r="X365" s="2468">
        <f t="shared" si="190"/>
        <v>0</v>
      </c>
      <c r="Z365" s="2467">
        <v>900</v>
      </c>
      <c r="AA365" s="2467">
        <v>900</v>
      </c>
      <c r="AC365" s="2469"/>
      <c r="AE365" s="2466">
        <v>900</v>
      </c>
      <c r="AF365" s="2471">
        <v>14544.8</v>
      </c>
      <c r="AH365" s="2466">
        <v>900</v>
      </c>
      <c r="AI365" s="2470"/>
      <c r="AJ365" s="2466">
        <f t="shared" si="191"/>
        <v>900</v>
      </c>
      <c r="AK365" s="2468">
        <f t="shared" si="192"/>
        <v>0</v>
      </c>
      <c r="AM365" s="2467">
        <v>900</v>
      </c>
      <c r="AN365" s="2467">
        <v>900</v>
      </c>
      <c r="AP365" s="2469"/>
      <c r="AR365" s="2466">
        <v>900</v>
      </c>
      <c r="AS365" s="2466">
        <v>2461.59</v>
      </c>
      <c r="AT365" s="2466"/>
      <c r="AU365" s="2466">
        <v>900</v>
      </c>
      <c r="AV365" s="2466">
        <v>0</v>
      </c>
      <c r="AX365" s="2466">
        <v>900</v>
      </c>
      <c r="AY365" s="2628">
        <v>3492</v>
      </c>
      <c r="AZ365" s="2466">
        <f t="shared" si="200"/>
        <v>4392</v>
      </c>
      <c r="BA365" s="2468">
        <f t="shared" si="201"/>
        <v>3.88</v>
      </c>
      <c r="BC365" s="2467">
        <v>4392</v>
      </c>
      <c r="BD365" s="2467">
        <v>4392</v>
      </c>
      <c r="BF365" s="2469"/>
      <c r="BH365" s="2467">
        <v>4392</v>
      </c>
      <c r="BI365" s="2466">
        <v>2922.94</v>
      </c>
      <c r="BM365" s="2466">
        <v>4392</v>
      </c>
      <c r="BN365" s="2636">
        <v>-2903</v>
      </c>
      <c r="BO365" s="2472">
        <f t="shared" si="202"/>
        <v>1489</v>
      </c>
      <c r="BP365" s="2473">
        <f t="shared" si="203"/>
        <v>-0.66097449908925321</v>
      </c>
      <c r="BR365" s="2474">
        <v>1489</v>
      </c>
      <c r="BS365" s="2474">
        <v>1489</v>
      </c>
      <c r="BU365" s="2475" t="s">
        <v>1720</v>
      </c>
      <c r="BW365" s="2474">
        <v>1489</v>
      </c>
      <c r="BZ365" s="2474">
        <v>1489</v>
      </c>
      <c r="CA365" s="2636"/>
      <c r="CB365" s="2472">
        <f t="shared" si="204"/>
        <v>1489</v>
      </c>
      <c r="CC365" s="2473">
        <f t="shared" si="205"/>
        <v>0</v>
      </c>
      <c r="CE365" s="2474">
        <v>1489</v>
      </c>
      <c r="CF365" s="2476">
        <f t="shared" si="199"/>
        <v>0</v>
      </c>
      <c r="CG365" s="2474">
        <v>1489</v>
      </c>
      <c r="CH365" s="2449" t="s">
        <v>1217</v>
      </c>
      <c r="CI365" s="2449"/>
      <c r="CJ365" s="2450"/>
      <c r="CK365" s="2450"/>
      <c r="CO365" s="2477">
        <v>-0.33448542805100179</v>
      </c>
      <c r="CP365" s="2478">
        <f t="shared" si="186"/>
        <v>-1469.06</v>
      </c>
      <c r="CQ365" s="2478"/>
      <c r="CR365" s="2478"/>
      <c r="CS365" s="2478"/>
      <c r="CT365" s="2478"/>
    </row>
    <row r="366" spans="1:98" hidden="1" x14ac:dyDescent="0.2">
      <c r="A366" s="2395">
        <v>210</v>
      </c>
      <c r="B366" s="2440" t="s">
        <v>1214</v>
      </c>
      <c r="C366" s="2396">
        <v>21005</v>
      </c>
      <c r="D366" s="2396">
        <v>58520</v>
      </c>
      <c r="E366" s="2397" t="s">
        <v>1268</v>
      </c>
      <c r="F366" s="2440" t="s">
        <v>1214</v>
      </c>
      <c r="G366" s="2440" t="s">
        <v>1721</v>
      </c>
      <c r="H366" s="2466">
        <v>5000</v>
      </c>
      <c r="I366" s="2470"/>
      <c r="J366" s="2466">
        <f t="shared" si="187"/>
        <v>5000</v>
      </c>
      <c r="K366" s="2468">
        <f t="shared" si="188"/>
        <v>0</v>
      </c>
      <c r="M366" s="2467">
        <v>5000</v>
      </c>
      <c r="N366" s="2467">
        <v>5000</v>
      </c>
      <c r="P366" s="2469"/>
      <c r="R366" s="2466">
        <v>5000</v>
      </c>
      <c r="S366" s="2466">
        <v>1815.58</v>
      </c>
      <c r="U366" s="2466">
        <v>5000</v>
      </c>
      <c r="V366" s="2470">
        <v>0</v>
      </c>
      <c r="W366" s="2466">
        <f t="shared" si="189"/>
        <v>5000</v>
      </c>
      <c r="X366" s="2468">
        <f t="shared" si="190"/>
        <v>0</v>
      </c>
      <c r="Z366" s="2467">
        <v>5000</v>
      </c>
      <c r="AA366" s="2467">
        <v>5000</v>
      </c>
      <c r="AC366" s="2469"/>
      <c r="AE366" s="2466">
        <v>5000</v>
      </c>
      <c r="AF366" s="2471">
        <v>4751.4799999999996</v>
      </c>
      <c r="AH366" s="2466">
        <v>5000</v>
      </c>
      <c r="AI366" s="2470"/>
      <c r="AJ366" s="2466">
        <f t="shared" si="191"/>
        <v>5000</v>
      </c>
      <c r="AK366" s="2468">
        <f t="shared" si="192"/>
        <v>0</v>
      </c>
      <c r="AM366" s="2467">
        <v>5000</v>
      </c>
      <c r="AN366" s="2467">
        <v>5000</v>
      </c>
      <c r="AP366" s="2469"/>
      <c r="AR366" s="2466">
        <v>5000</v>
      </c>
      <c r="AS366" s="2466">
        <v>2547.48</v>
      </c>
      <c r="AT366" s="2466"/>
      <c r="AU366" s="2466">
        <v>5000</v>
      </c>
      <c r="AV366" s="2466">
        <v>8229</v>
      </c>
      <c r="AX366" s="2466">
        <v>5000</v>
      </c>
      <c r="AY366" s="2628">
        <v>6055</v>
      </c>
      <c r="AZ366" s="2466">
        <f t="shared" si="200"/>
        <v>11055</v>
      </c>
      <c r="BA366" s="2468">
        <f t="shared" si="201"/>
        <v>1.2110000000000001</v>
      </c>
      <c r="BC366" s="2467">
        <v>11055</v>
      </c>
      <c r="BD366" s="2467">
        <f>11055-5000</f>
        <v>6055</v>
      </c>
      <c r="BF366" s="2469" t="s">
        <v>1722</v>
      </c>
      <c r="BH366" s="2467">
        <f>11055-5000</f>
        <v>6055</v>
      </c>
      <c r="BI366" s="2466">
        <v>1665.68</v>
      </c>
      <c r="BM366" s="2466">
        <f>11055-5000</f>
        <v>6055</v>
      </c>
      <c r="BN366" s="2636"/>
      <c r="BO366" s="2472">
        <f t="shared" si="202"/>
        <v>6055</v>
      </c>
      <c r="BP366" s="2473">
        <f t="shared" si="203"/>
        <v>0</v>
      </c>
      <c r="BR366" s="2474">
        <v>6055</v>
      </c>
      <c r="BS366" s="2474">
        <v>6055</v>
      </c>
      <c r="BU366" s="2475"/>
      <c r="BW366" s="2474">
        <v>6055</v>
      </c>
      <c r="BZ366" s="2474">
        <v>6055</v>
      </c>
      <c r="CA366" s="2636"/>
      <c r="CB366" s="2472">
        <f t="shared" si="204"/>
        <v>6055</v>
      </c>
      <c r="CC366" s="2473">
        <f t="shared" si="205"/>
        <v>0</v>
      </c>
      <c r="CE366" s="2474">
        <v>6055</v>
      </c>
      <c r="CF366" s="2476">
        <f t="shared" si="199"/>
        <v>0</v>
      </c>
      <c r="CG366" s="2474">
        <v>6055</v>
      </c>
      <c r="CH366" s="2449" t="s">
        <v>1217</v>
      </c>
      <c r="CI366" s="2449"/>
      <c r="CJ366" s="2450"/>
      <c r="CK366" s="2450"/>
      <c r="CO366" s="2477">
        <v>-0.72490834021469852</v>
      </c>
      <c r="CP366" s="2478">
        <f t="shared" si="186"/>
        <v>-4389.32</v>
      </c>
      <c r="CQ366" s="2478"/>
      <c r="CR366" s="2478"/>
      <c r="CS366" s="2478"/>
      <c r="CT366" s="2478"/>
    </row>
    <row r="367" spans="1:98" hidden="1" x14ac:dyDescent="0.2">
      <c r="A367" s="2395">
        <v>210</v>
      </c>
      <c r="C367" s="2396">
        <v>21005</v>
      </c>
      <c r="D367" s="2396">
        <v>58540</v>
      </c>
      <c r="E367" s="2397" t="s">
        <v>1268</v>
      </c>
      <c r="G367" s="2440" t="s">
        <v>1723</v>
      </c>
      <c r="I367" s="2470"/>
      <c r="M367" s="2467"/>
      <c r="N367" s="2467"/>
      <c r="P367" s="2469"/>
      <c r="V367" s="2470"/>
      <c r="Z367" s="2467"/>
      <c r="AA367" s="2467"/>
      <c r="AC367" s="2469"/>
      <c r="AI367" s="2470"/>
      <c r="AM367" s="2467"/>
      <c r="AN367" s="2467"/>
      <c r="AP367" s="2469"/>
      <c r="AS367" s="2466">
        <v>235</v>
      </c>
      <c r="AT367" s="2466"/>
      <c r="AY367" s="2628"/>
      <c r="BC367" s="2467"/>
      <c r="BD367" s="2467"/>
      <c r="BF367" s="2469"/>
      <c r="BH367" s="2467"/>
      <c r="BN367" s="2636"/>
      <c r="BO367" s="2472">
        <f t="shared" si="202"/>
        <v>0</v>
      </c>
      <c r="BR367" s="2474">
        <v>0</v>
      </c>
      <c r="BS367" s="2474">
        <v>0</v>
      </c>
      <c r="BU367" s="2475"/>
      <c r="BW367" s="2474">
        <v>0</v>
      </c>
      <c r="BZ367" s="2474">
        <v>0</v>
      </c>
      <c r="CA367" s="2636"/>
      <c r="CB367" s="2472">
        <f t="shared" si="204"/>
        <v>0</v>
      </c>
      <c r="CE367" s="2474">
        <v>0</v>
      </c>
      <c r="CG367" s="2474"/>
      <c r="CH367" s="2449" t="s">
        <v>1217</v>
      </c>
      <c r="CI367" s="2449"/>
      <c r="CJ367" s="2450"/>
      <c r="CK367" s="2450"/>
      <c r="CP367" s="2478">
        <f t="shared" si="186"/>
        <v>0</v>
      </c>
      <c r="CQ367" s="2478"/>
      <c r="CR367" s="2478"/>
      <c r="CS367" s="2478"/>
      <c r="CT367" s="2478"/>
    </row>
    <row r="368" spans="1:98" hidden="1" x14ac:dyDescent="0.2">
      <c r="A368" s="2395">
        <v>210</v>
      </c>
      <c r="B368" s="2440" t="s">
        <v>1214</v>
      </c>
      <c r="C368" s="2396">
        <v>21005</v>
      </c>
      <c r="D368" s="2396">
        <v>58542</v>
      </c>
      <c r="E368" s="2397" t="s">
        <v>1268</v>
      </c>
      <c r="F368" s="2440" t="s">
        <v>1214</v>
      </c>
      <c r="G368" s="2440" t="s">
        <v>1724</v>
      </c>
      <c r="I368" s="2470"/>
      <c r="M368" s="2467"/>
      <c r="N368" s="2467"/>
      <c r="P368" s="2469"/>
      <c r="V368" s="2470"/>
      <c r="Z368" s="2467"/>
      <c r="AA368" s="2467"/>
      <c r="AC368" s="2469"/>
      <c r="AF368" s="2471">
        <v>19945.79</v>
      </c>
      <c r="AI368" s="2470"/>
      <c r="AM368" s="2467"/>
      <c r="AN368" s="2467"/>
      <c r="AP368" s="2469"/>
      <c r="AS368" s="2466"/>
      <c r="AT368" s="2466"/>
      <c r="AY368" s="2628"/>
      <c r="BC368" s="2467"/>
      <c r="BD368" s="2467"/>
      <c r="BF368" s="2469"/>
      <c r="BH368" s="2467"/>
      <c r="BN368" s="2636"/>
      <c r="BO368" s="2472">
        <f t="shared" si="202"/>
        <v>0</v>
      </c>
      <c r="BR368" s="2474">
        <v>0</v>
      </c>
      <c r="BS368" s="2474">
        <v>0</v>
      </c>
      <c r="BU368" s="2475"/>
      <c r="BW368" s="2474">
        <v>0</v>
      </c>
      <c r="BZ368" s="2474">
        <v>0</v>
      </c>
      <c r="CA368" s="2636"/>
      <c r="CB368" s="2472">
        <f t="shared" si="204"/>
        <v>0</v>
      </c>
      <c r="CE368" s="2474">
        <v>0</v>
      </c>
      <c r="CG368" s="2474"/>
      <c r="CH368" s="2449" t="s">
        <v>1217</v>
      </c>
      <c r="CI368" s="2449"/>
      <c r="CJ368" s="2450"/>
      <c r="CK368" s="2450"/>
      <c r="CP368" s="2478">
        <f t="shared" si="186"/>
        <v>0</v>
      </c>
      <c r="CQ368" s="2478"/>
      <c r="CR368" s="2478"/>
      <c r="CS368" s="2478"/>
      <c r="CT368" s="2478"/>
    </row>
    <row r="369" spans="1:99" s="2485" customFormat="1" hidden="1" x14ac:dyDescent="0.2">
      <c r="A369" s="2532"/>
      <c r="B369" s="2533"/>
      <c r="C369" s="2534"/>
      <c r="D369" s="2534"/>
      <c r="E369" s="2535"/>
      <c r="F369" s="2533"/>
      <c r="G369" s="2533" t="s">
        <v>1725</v>
      </c>
      <c r="H369" s="2536">
        <f>SUM(H332:H366)</f>
        <v>147300</v>
      </c>
      <c r="I369" s="2536">
        <f>SUM(I332:I366)</f>
        <v>3600</v>
      </c>
      <c r="J369" s="2536">
        <f>SUM(J332:J366)</f>
        <v>150900</v>
      </c>
      <c r="K369" s="2484">
        <f>IF(H369=0," ",(J369-H369)/H369)</f>
        <v>2.4439918533604887E-2</v>
      </c>
      <c r="M369" s="2536">
        <f>SUM(M332:M366)</f>
        <v>150900</v>
      </c>
      <c r="N369" s="2536">
        <f>SUM(N332:N366)</f>
        <v>150900</v>
      </c>
      <c r="P369" s="2537">
        <f>SUM(P332:P366)</f>
        <v>0</v>
      </c>
      <c r="R369" s="2536">
        <f>SUM(R332:R366)</f>
        <v>150900</v>
      </c>
      <c r="S369" s="2536">
        <f>SUM(S332:S366)</f>
        <v>149953.21000000002</v>
      </c>
      <c r="U369" s="2536">
        <f>SUM(U332:U366)</f>
        <v>150900</v>
      </c>
      <c r="V369" s="2536">
        <f>SUM(V332:V366)</f>
        <v>-15000</v>
      </c>
      <c r="W369" s="2536">
        <f>SUM(W332:W366)</f>
        <v>135900</v>
      </c>
      <c r="X369" s="2484">
        <f>IF(U369=0," ",(W369-U369)/U369)</f>
        <v>-9.9403578528827044E-2</v>
      </c>
      <c r="Z369" s="2536">
        <f>SUM(Z332:Z366)</f>
        <v>135900</v>
      </c>
      <c r="AA369" s="2536">
        <f>SUM(AA332:AA366)</f>
        <v>135900</v>
      </c>
      <c r="AC369" s="2537"/>
      <c r="AE369" s="2536">
        <f>SUM(AE332:AE366)</f>
        <v>135900</v>
      </c>
      <c r="AF369" s="2538">
        <f>SUM(AF332:AF368)</f>
        <v>152930.63</v>
      </c>
      <c r="AH369" s="2536">
        <f>SUM(AH332:AH366)</f>
        <v>135900</v>
      </c>
      <c r="AI369" s="2536">
        <f>SUM(AI332:AI366)</f>
        <v>-7000</v>
      </c>
      <c r="AJ369" s="2536">
        <f>SUM(AJ332:AJ366)</f>
        <v>128900</v>
      </c>
      <c r="AK369" s="2484">
        <f>IF(AH369=0," ",(AJ369-AH369)/AH369)</f>
        <v>-5.1508462104488596E-2</v>
      </c>
      <c r="AM369" s="2536">
        <f>SUM(AM332:AM366)</f>
        <v>134150</v>
      </c>
      <c r="AN369" s="2536">
        <f>SUM(AN332:AN366)</f>
        <v>134150</v>
      </c>
      <c r="AP369" s="2537"/>
      <c r="AR369" s="2536">
        <f>SUM(AR332:AR366)</f>
        <v>134150</v>
      </c>
      <c r="AS369" s="2536">
        <f>SUM(AS332:AS368)</f>
        <v>98598.87</v>
      </c>
      <c r="AT369" s="2536"/>
      <c r="AU369" s="2536">
        <f>SUM(AU332:AU366)</f>
        <v>135388</v>
      </c>
      <c r="AV369" s="2536">
        <f>SUM(AV332:AV368)</f>
        <v>120712.4</v>
      </c>
      <c r="AX369" s="2536">
        <f>SUM(AX332:AX366)</f>
        <v>135388</v>
      </c>
      <c r="AY369" s="2536">
        <f>SUM(AY332:AY366)</f>
        <v>0</v>
      </c>
      <c r="AZ369" s="2536">
        <f>SUM(AZ332:AZ366)</f>
        <v>135388</v>
      </c>
      <c r="BA369" s="2484">
        <f>IF(AX369=0," ",(AZ369-AX369)/AX369)</f>
        <v>0</v>
      </c>
      <c r="BC369" s="2536">
        <f>SUM(BC332:BC366)</f>
        <v>135388</v>
      </c>
      <c r="BD369" s="2536">
        <f>SUM(BD332:BD366)</f>
        <v>125488</v>
      </c>
      <c r="BF369" s="2537"/>
      <c r="BH369" s="2536">
        <f>SUM(BH332:BH366)</f>
        <v>125488</v>
      </c>
      <c r="BI369" s="2536">
        <f>SUM(BI332:BI366)</f>
        <v>125309.55999999997</v>
      </c>
      <c r="BJ369" s="2536"/>
      <c r="BK369" s="2536"/>
      <c r="BM369" s="2536">
        <f>SUM(BM332:BM366)</f>
        <v>125488</v>
      </c>
      <c r="BN369" s="2539">
        <f>SUM(BN332:BN366)</f>
        <v>0</v>
      </c>
      <c r="BO369" s="2540">
        <f>SUM(BO332:BO366)</f>
        <v>125488</v>
      </c>
      <c r="BP369" s="2490">
        <f>IF(BM369=0," ",(BO369-BM369)/BM369)</f>
        <v>0</v>
      </c>
      <c r="BQ369" s="2491"/>
      <c r="BR369" s="2540">
        <f>SUM(BR332:BR366)</f>
        <v>125488</v>
      </c>
      <c r="BS369" s="2540">
        <f>SUM(BS332:BS366)</f>
        <v>122188</v>
      </c>
      <c r="BT369" s="2491"/>
      <c r="BU369" s="2541"/>
      <c r="BV369" s="2491"/>
      <c r="BW369" s="2540">
        <f>SUM(BW332:BW366)</f>
        <v>122188</v>
      </c>
      <c r="BX369" s="2536">
        <f>SUM(BX332:BX366)</f>
        <v>56160.54</v>
      </c>
      <c r="BZ369" s="2540">
        <f>SUM(BZ332:BZ366)</f>
        <v>122188</v>
      </c>
      <c r="CA369" s="2540">
        <f>SUM(CA332:CA366)</f>
        <v>1541</v>
      </c>
      <c r="CB369" s="2540">
        <f>SUM(CB332:CB366)</f>
        <v>123729</v>
      </c>
      <c r="CC369" s="2490">
        <f>IF(BZ369=0," ",(CB369-BZ369)/BZ369)</f>
        <v>1.2611713097849217E-2</v>
      </c>
      <c r="CD369" s="2491"/>
      <c r="CE369" s="2540">
        <f>SUM(CE332:CE366)</f>
        <v>123729</v>
      </c>
      <c r="CF369" s="2490">
        <f>IF(CB369=0," ",(CE369-CB369)/CB369)</f>
        <v>0</v>
      </c>
      <c r="CG369" s="2540">
        <f>SUM(CG332:CG366)</f>
        <v>123729</v>
      </c>
      <c r="CH369" s="2449" t="s">
        <v>1220</v>
      </c>
      <c r="CI369" s="2449"/>
      <c r="CJ369" s="2450"/>
      <c r="CK369" s="2450"/>
      <c r="CL369" s="2451"/>
      <c r="CM369" s="2451"/>
      <c r="CN369" s="2451"/>
      <c r="CO369" s="2477">
        <v>-1.4219686344513205E-3</v>
      </c>
      <c r="CP369" s="2478">
        <f t="shared" si="186"/>
        <v>-178.44000000003143</v>
      </c>
      <c r="CQ369" s="2478"/>
      <c r="CR369" s="2478"/>
      <c r="CS369" s="2478"/>
      <c r="CT369" s="2478"/>
    </row>
    <row r="370" spans="1:99" ht="9.9499999999999993" hidden="1" customHeight="1" x14ac:dyDescent="0.2">
      <c r="AS370" s="2466"/>
      <c r="AT370" s="2466"/>
      <c r="BZ370" s="2472"/>
      <c r="CH370" s="2449" t="s">
        <v>1091</v>
      </c>
      <c r="CI370" s="2449"/>
      <c r="CJ370" s="2450"/>
      <c r="CK370" s="2450"/>
      <c r="CP370" s="2478">
        <f t="shared" si="186"/>
        <v>0</v>
      </c>
      <c r="CQ370" s="2478"/>
      <c r="CR370" s="2478"/>
      <c r="CS370" s="2478"/>
      <c r="CT370" s="2478"/>
    </row>
    <row r="371" spans="1:99" x14ac:dyDescent="0.2">
      <c r="A371" s="2495"/>
      <c r="B371" s="2496"/>
      <c r="C371" s="2497"/>
      <c r="D371" s="2497"/>
      <c r="E371" s="2498"/>
      <c r="F371" s="2496"/>
      <c r="G371" s="2499" t="s">
        <v>1726</v>
      </c>
      <c r="H371" s="2500">
        <f>H330+H369</f>
        <v>1539402</v>
      </c>
      <c r="I371" s="2500">
        <f>I330+I369</f>
        <v>-8909</v>
      </c>
      <c r="J371" s="2500">
        <f>J330+J369</f>
        <v>1530493</v>
      </c>
      <c r="K371" s="2501">
        <f>IF(H371=0," ",(J371-H371)/H371)</f>
        <v>-5.7873122160423335E-3</v>
      </c>
      <c r="M371" s="2500">
        <f>M330+M369</f>
        <v>1530494</v>
      </c>
      <c r="N371" s="2500">
        <f>N330+N369</f>
        <v>1541752</v>
      </c>
      <c r="P371" s="2502">
        <f>P330+P369</f>
        <v>0</v>
      </c>
      <c r="R371" s="2500">
        <f>R330+R369</f>
        <v>1541752</v>
      </c>
      <c r="S371" s="2500">
        <f>S330+S369</f>
        <v>1513492.1700000002</v>
      </c>
      <c r="U371" s="2500">
        <f>U330+U369</f>
        <v>1541752</v>
      </c>
      <c r="V371" s="2500">
        <f>V330+V369</f>
        <v>43141</v>
      </c>
      <c r="W371" s="2500">
        <f>W330+W369</f>
        <v>1569893</v>
      </c>
      <c r="X371" s="2501">
        <f>IF(U371=0," ",(W371-U371)/U371)</f>
        <v>1.8252611314919651E-2</v>
      </c>
      <c r="Z371" s="2500">
        <f>Z330+Z369</f>
        <v>1584893</v>
      </c>
      <c r="AA371" s="2500">
        <f>AA330+AA369</f>
        <v>1584898</v>
      </c>
      <c r="AC371" s="2502"/>
      <c r="AE371" s="2500">
        <f>AE330+AE369</f>
        <v>1584898</v>
      </c>
      <c r="AF371" s="2503">
        <f>AF330+AF369</f>
        <v>1592058.85</v>
      </c>
      <c r="AH371" s="2500">
        <f>AH369+AH330</f>
        <v>1584898</v>
      </c>
      <c r="AI371" s="2500">
        <f>AI369+AI330</f>
        <v>20911</v>
      </c>
      <c r="AJ371" s="2500">
        <f>AJ369+AJ330</f>
        <v>1605807</v>
      </c>
      <c r="AK371" s="2501">
        <f>IF(AH371=0," ",(AJ371-AH371)/AH371)</f>
        <v>1.3192647097794306E-2</v>
      </c>
      <c r="AM371" s="2500">
        <f>AM330+AM369</f>
        <v>1583777</v>
      </c>
      <c r="AN371" s="2500">
        <f>AN330+AN369</f>
        <v>1583777</v>
      </c>
      <c r="AP371" s="2502"/>
      <c r="AR371" s="2500">
        <f>AR330+AR369</f>
        <v>1583777</v>
      </c>
      <c r="AS371" s="2500">
        <f>AS330+AS369</f>
        <v>1435464.7600000002</v>
      </c>
      <c r="AT371" s="2500"/>
      <c r="AU371" s="2500">
        <f>AU330+AU369</f>
        <v>1698789</v>
      </c>
      <c r="AV371" s="2500">
        <f>AV330+AV369</f>
        <v>1432987.0699999998</v>
      </c>
      <c r="AX371" s="2500">
        <f>AX330+AX369</f>
        <v>1698789</v>
      </c>
      <c r="AY371" s="2500">
        <f>AY369+AY330</f>
        <v>-4899</v>
      </c>
      <c r="AZ371" s="2500">
        <f>AZ369+AZ330</f>
        <v>1693890</v>
      </c>
      <c r="BA371" s="2501">
        <f>IF(AX371=0," ",(AZ371-AX371)/AX371)</f>
        <v>-2.8838190028308403E-3</v>
      </c>
      <c r="BC371" s="2500">
        <f>BC330+BC369</f>
        <v>1693890</v>
      </c>
      <c r="BD371" s="2500">
        <f>BD330+BD369</f>
        <v>1685658</v>
      </c>
      <c r="BF371" s="2502"/>
      <c r="BH371" s="2500">
        <f>BH330+BH369</f>
        <v>1685658</v>
      </c>
      <c r="BI371" s="2500">
        <f>BI330+BI369</f>
        <v>1484259.9300000004</v>
      </c>
      <c r="BJ371" s="2500"/>
      <c r="BK371" s="2500"/>
      <c r="BM371" s="2500">
        <f>BM330+BM369</f>
        <v>1685658</v>
      </c>
      <c r="BN371" s="2504">
        <f>BN369+BN330</f>
        <v>-12543</v>
      </c>
      <c r="BO371" s="2505">
        <f>BO369+BO330</f>
        <v>1673115</v>
      </c>
      <c r="BP371" s="2506">
        <f>IF(BM371=0," ",(BO371-BM371)/BM371)</f>
        <v>-7.4410111659660499E-3</v>
      </c>
      <c r="BR371" s="2505">
        <f>BR330+BR369</f>
        <v>1673115</v>
      </c>
      <c r="BS371" s="2505">
        <f>BS330+BS369</f>
        <v>1666830</v>
      </c>
      <c r="BU371" s="2507"/>
      <c r="BW371" s="2505">
        <f>BW330+BW369</f>
        <v>1666830</v>
      </c>
      <c r="BX371" s="2500">
        <f>BX330+BX369</f>
        <v>730978.39000000013</v>
      </c>
      <c r="BZ371" s="2505">
        <f>BZ330+BZ369</f>
        <v>1666830</v>
      </c>
      <c r="CA371" s="2505">
        <f>CA330+CA369</f>
        <v>30057</v>
      </c>
      <c r="CB371" s="2505">
        <f>CB330+CB369</f>
        <v>1696887</v>
      </c>
      <c r="CC371" s="2506">
        <f>IF(BZ371=0," ",(CB371-BZ371)/BZ371)</f>
        <v>1.8032432821583486E-2</v>
      </c>
      <c r="CE371" s="2505">
        <f>CE330+CE369</f>
        <v>1700986</v>
      </c>
      <c r="CF371" s="2506">
        <f>IF(CB371=0," ",(CE371-CB371)/CB371)</f>
        <v>2.4155998602146166E-3</v>
      </c>
      <c r="CG371" s="2505">
        <f>CG330+CG369</f>
        <v>1670986</v>
      </c>
      <c r="CH371" s="2449" t="s">
        <v>1222</v>
      </c>
      <c r="CI371" s="2508">
        <f>IF(CG371-CE371=0,"",CG371-CE371)</f>
        <v>-30000</v>
      </c>
      <c r="CJ371" s="2509"/>
      <c r="CK371" s="2509"/>
      <c r="CL371" s="2451" t="str">
        <f>IF(CO371&lt;-1*CM$2,"examine","ignore")</f>
        <v>examine</v>
      </c>
      <c r="CM371" s="2545">
        <f>IF(CL371="examine",CP371+CM$2*CP371/CO371,"")</f>
        <v>-133971.74999999959</v>
      </c>
      <c r="CN371" s="2545">
        <f>IF(CI371="",CM371,CM371-CI371)</f>
        <v>-103971.74999999959</v>
      </c>
      <c r="CO371" s="2477">
        <v>-0.11947742068675826</v>
      </c>
      <c r="CP371" s="2510">
        <f t="shared" si="186"/>
        <v>-201398.0699999996</v>
      </c>
      <c r="CQ371" s="2510">
        <f>AV371-AU371</f>
        <v>-265801.93000000017</v>
      </c>
      <c r="CR371" s="2510">
        <f>AS371-AR371</f>
        <v>-148312.23999999976</v>
      </c>
      <c r="CS371" s="2510">
        <f>AF371-AE371</f>
        <v>7160.8500000000931</v>
      </c>
    </row>
    <row r="372" spans="1:99" ht="20.100000000000001" hidden="1" customHeight="1" x14ac:dyDescent="0.2">
      <c r="AS372" s="2466"/>
      <c r="AT372" s="2466"/>
      <c r="BZ372" s="2472"/>
      <c r="CH372" s="2449" t="s">
        <v>1091</v>
      </c>
      <c r="CI372" s="2449"/>
      <c r="CJ372" s="2450"/>
      <c r="CK372" s="2450"/>
      <c r="CP372" s="2478">
        <f t="shared" si="186"/>
        <v>0</v>
      </c>
      <c r="CQ372" s="2478"/>
      <c r="CR372" s="2478"/>
      <c r="CS372" s="2478"/>
      <c r="CT372" s="2478"/>
    </row>
    <row r="373" spans="1:99" ht="15.75" hidden="1" x14ac:dyDescent="0.2">
      <c r="A373" s="2453" t="s">
        <v>833</v>
      </c>
      <c r="B373" s="2454"/>
      <c r="C373" s="2455"/>
      <c r="D373" s="2455"/>
      <c r="E373" s="2456"/>
      <c r="F373" s="2454"/>
      <c r="G373" s="2454"/>
      <c r="H373" s="2457"/>
      <c r="I373" s="2457"/>
      <c r="J373" s="2457"/>
      <c r="K373" s="2458"/>
      <c r="M373" s="2457"/>
      <c r="N373" s="2457"/>
      <c r="P373" s="2459"/>
      <c r="R373" s="2457"/>
      <c r="S373" s="2457"/>
      <c r="U373" s="2457"/>
      <c r="V373" s="2457"/>
      <c r="W373" s="2457"/>
      <c r="X373" s="2458"/>
      <c r="Z373" s="2457"/>
      <c r="AA373" s="2457"/>
      <c r="AC373" s="2459"/>
      <c r="AE373" s="2457"/>
      <c r="AF373" s="2460"/>
      <c r="AH373" s="2457"/>
      <c r="AI373" s="2457"/>
      <c r="AJ373" s="2457"/>
      <c r="AK373" s="2458"/>
      <c r="AM373" s="2457"/>
      <c r="AN373" s="2457"/>
      <c r="AP373" s="2459"/>
      <c r="AR373" s="2457"/>
      <c r="AS373" s="2457"/>
      <c r="AT373" s="2457"/>
      <c r="AU373" s="2457"/>
      <c r="AV373" s="2457"/>
      <c r="AX373" s="2457"/>
      <c r="AY373" s="2457"/>
      <c r="AZ373" s="2457"/>
      <c r="BA373" s="2458"/>
      <c r="BC373" s="2457"/>
      <c r="BD373" s="2457"/>
      <c r="BF373" s="2461"/>
      <c r="BH373" s="2457"/>
      <c r="BI373" s="2457"/>
      <c r="BJ373" s="2457"/>
      <c r="BK373" s="2457"/>
      <c r="BM373" s="2457"/>
      <c r="BN373" s="2462"/>
      <c r="BO373" s="2463"/>
      <c r="BP373" s="2464"/>
      <c r="BR373" s="2463"/>
      <c r="BS373" s="2463"/>
      <c r="BU373" s="2465"/>
      <c r="BW373" s="2463"/>
      <c r="BX373" s="2457"/>
      <c r="BZ373" s="2463"/>
      <c r="CA373" s="2462"/>
      <c r="CB373" s="2463"/>
      <c r="CC373" s="2464"/>
      <c r="CE373" s="2463"/>
      <c r="CF373" s="2464"/>
      <c r="CG373" s="2463"/>
      <c r="CH373" s="2449" t="s">
        <v>1212</v>
      </c>
      <c r="CI373" s="2449"/>
      <c r="CJ373" s="2450"/>
      <c r="CK373" s="2450"/>
      <c r="CP373" s="2478">
        <f t="shared" si="186"/>
        <v>0</v>
      </c>
      <c r="CQ373" s="2478"/>
      <c r="CR373" s="2478"/>
      <c r="CS373" s="2478"/>
      <c r="CT373" s="2478"/>
    </row>
    <row r="374" spans="1:99" hidden="1" x14ac:dyDescent="0.2">
      <c r="A374" s="2395">
        <v>220</v>
      </c>
      <c r="B374" s="2440" t="s">
        <v>1214</v>
      </c>
      <c r="C374" s="2396">
        <v>22001</v>
      </c>
      <c r="D374" s="2396">
        <v>51120</v>
      </c>
      <c r="E374" s="2397" t="s">
        <v>59</v>
      </c>
      <c r="F374" s="2440" t="s">
        <v>1214</v>
      </c>
      <c r="G374" s="2440" t="s">
        <v>1727</v>
      </c>
      <c r="H374" s="2466">
        <v>117692</v>
      </c>
      <c r="I374" s="2470"/>
      <c r="J374" s="2466">
        <f>H374+I374</f>
        <v>117692</v>
      </c>
      <c r="K374" s="2468">
        <f>IF(H374=0," ",(J374-H374)/H374)</f>
        <v>0</v>
      </c>
      <c r="M374" s="2467">
        <v>117692</v>
      </c>
      <c r="N374" s="2467">
        <v>117692</v>
      </c>
      <c r="P374" s="2469"/>
      <c r="R374" s="2466">
        <v>117692</v>
      </c>
      <c r="S374" s="2466">
        <v>99558.46</v>
      </c>
      <c r="U374" s="2466">
        <v>117692</v>
      </c>
      <c r="V374" s="2470">
        <v>2360</v>
      </c>
      <c r="W374" s="2466">
        <f>U374+V374</f>
        <v>120052</v>
      </c>
      <c r="X374" s="2468">
        <f>IF(U374=0," ",(W374-U374)/U374)</f>
        <v>2.0052340006117664E-2</v>
      </c>
      <c r="Z374" s="2467">
        <v>120052</v>
      </c>
      <c r="AA374" s="2467">
        <v>120052</v>
      </c>
      <c r="AC374" s="2469" t="s">
        <v>1604</v>
      </c>
      <c r="AE374" s="2466">
        <v>120052</v>
      </c>
      <c r="AF374" s="2471">
        <v>120363.28</v>
      </c>
      <c r="AH374" s="2466">
        <v>120052</v>
      </c>
      <c r="AI374" s="2470">
        <v>2716</v>
      </c>
      <c r="AJ374" s="2466">
        <f>AH374+AI374</f>
        <v>122768</v>
      </c>
      <c r="AK374" s="2468">
        <f>IF(AH374=0," ",(AJ374-AH374)/AH374)</f>
        <v>2.2623529803751707E-2</v>
      </c>
      <c r="AM374" s="2467">
        <v>122768</v>
      </c>
      <c r="AN374" s="2467">
        <v>122768</v>
      </c>
      <c r="AP374" s="2469" t="s">
        <v>1728</v>
      </c>
      <c r="AR374" s="2466">
        <v>122768</v>
      </c>
      <c r="AS374" s="2466">
        <v>122766.34</v>
      </c>
      <c r="AT374" s="2466"/>
      <c r="AU374" s="2466">
        <v>125224</v>
      </c>
      <c r="AV374" s="2466">
        <v>125224</v>
      </c>
      <c r="AX374" s="2466">
        <v>125224</v>
      </c>
      <c r="AY374" s="2470">
        <v>2531</v>
      </c>
      <c r="AZ374" s="2466">
        <f>AX374+AY374</f>
        <v>127755</v>
      </c>
      <c r="BA374" s="2468">
        <f>IF(AX374=0," ",(AZ374-AX374)/AX374)</f>
        <v>2.0211780489363063E-2</v>
      </c>
      <c r="BC374" s="2467">
        <v>127755</v>
      </c>
      <c r="BD374" s="2467">
        <v>127755</v>
      </c>
      <c r="BF374" s="2469" t="s">
        <v>1729</v>
      </c>
      <c r="BH374" s="2467">
        <v>127755</v>
      </c>
      <c r="BI374" s="2466">
        <v>127755</v>
      </c>
      <c r="BM374" s="2466">
        <v>127755</v>
      </c>
      <c r="BN374" s="2470">
        <v>2550</v>
      </c>
      <c r="BO374" s="2472">
        <f>BM374+BN374</f>
        <v>130305</v>
      </c>
      <c r="BP374" s="2473">
        <f>IF(BM374=0," ",(BO374-BM374)/BM374)</f>
        <v>1.9960079840319361E-2</v>
      </c>
      <c r="BR374" s="2474">
        <v>130305</v>
      </c>
      <c r="BS374" s="2474">
        <v>130305</v>
      </c>
      <c r="BU374" s="2475" t="s">
        <v>1729</v>
      </c>
      <c r="BW374" s="2474">
        <v>130305</v>
      </c>
      <c r="BX374" s="2466">
        <v>62908.27</v>
      </c>
      <c r="BZ374" s="2474">
        <v>130305</v>
      </c>
      <c r="CA374" s="2470"/>
      <c r="CB374" s="2472">
        <f>BZ374+CA374</f>
        <v>130305</v>
      </c>
      <c r="CC374" s="2473">
        <f>IF(BZ374=0," ",(CB374-BZ374)/BZ374)</f>
        <v>0</v>
      </c>
      <c r="CE374" s="2474">
        <v>130305</v>
      </c>
      <c r="CF374" s="2476">
        <f>IF(CB374=0," ",(CE374-CB374)/CB374)</f>
        <v>0</v>
      </c>
      <c r="CG374" s="2474">
        <v>130305</v>
      </c>
      <c r="CH374" s="2449" t="s">
        <v>1217</v>
      </c>
      <c r="CI374" s="2449"/>
      <c r="CJ374" s="2450"/>
      <c r="CK374" s="2450"/>
      <c r="CO374" s="2477">
        <v>0</v>
      </c>
      <c r="CP374" s="2478">
        <f t="shared" si="186"/>
        <v>0</v>
      </c>
      <c r="CQ374" s="2478"/>
      <c r="CR374" s="2478"/>
      <c r="CS374" s="2478"/>
      <c r="CT374" s="2478"/>
    </row>
    <row r="375" spans="1:99" hidden="1" x14ac:dyDescent="0.2">
      <c r="A375" s="2395">
        <v>220</v>
      </c>
      <c r="C375" s="2396">
        <v>22001</v>
      </c>
      <c r="D375" s="2396">
        <v>51500</v>
      </c>
      <c r="E375" s="2397" t="s">
        <v>59</v>
      </c>
      <c r="G375" s="2440" t="s">
        <v>1730</v>
      </c>
      <c r="I375" s="2470"/>
      <c r="M375" s="2467"/>
      <c r="N375" s="2467">
        <v>0</v>
      </c>
      <c r="P375" s="2469"/>
      <c r="S375" s="2466">
        <v>120</v>
      </c>
      <c r="V375" s="2470"/>
      <c r="Z375" s="2467"/>
      <c r="AA375" s="2467"/>
      <c r="AC375" s="2469"/>
      <c r="AE375" s="2466">
        <v>0</v>
      </c>
      <c r="AF375" s="2471">
        <v>0</v>
      </c>
      <c r="AH375" s="2466">
        <v>0</v>
      </c>
      <c r="AI375" s="2470"/>
      <c r="AJ375" s="2466">
        <f>AH375+AI375</f>
        <v>0</v>
      </c>
      <c r="AM375" s="2467">
        <v>0</v>
      </c>
      <c r="AN375" s="2467">
        <v>0</v>
      </c>
      <c r="AP375" s="2469"/>
      <c r="AR375" s="2466">
        <v>0</v>
      </c>
      <c r="AS375" s="2466"/>
      <c r="AT375" s="2466"/>
      <c r="AY375" s="2470"/>
      <c r="AZ375" s="2466">
        <f>AX375+AY375</f>
        <v>0</v>
      </c>
      <c r="BA375" s="2468" t="str">
        <f>IF(AX375=0," ",(AZ375-AX375)/AX375)</f>
        <v xml:space="preserve"> </v>
      </c>
      <c r="BC375" s="2467"/>
      <c r="BD375" s="2467"/>
      <c r="BF375" s="2469"/>
      <c r="BH375" s="2467"/>
      <c r="BN375" s="2470"/>
      <c r="BO375" s="2472">
        <f>BM375+BN375</f>
        <v>0</v>
      </c>
      <c r="BP375" s="2473" t="str">
        <f>IF(BM375=0," ",(BO375-BM375)/BM375)</f>
        <v xml:space="preserve"> </v>
      </c>
      <c r="BR375" s="2474">
        <v>0</v>
      </c>
      <c r="BS375" s="2474">
        <v>0</v>
      </c>
      <c r="BU375" s="2475"/>
      <c r="BW375" s="2474">
        <v>0</v>
      </c>
      <c r="BZ375" s="2474">
        <v>0</v>
      </c>
      <c r="CA375" s="2470"/>
      <c r="CB375" s="2472">
        <f>BZ375+CA375</f>
        <v>0</v>
      </c>
      <c r="CC375" s="2473" t="str">
        <f>IF(BZ375=0," ",(CB375-BZ375)/BZ375)</f>
        <v xml:space="preserve"> </v>
      </c>
      <c r="CE375" s="2474">
        <v>0</v>
      </c>
      <c r="CF375" s="2476" t="str">
        <f>IF(CB375=0," ",(CE375-CB375)/CB375)</f>
        <v xml:space="preserve"> </v>
      </c>
      <c r="CG375" s="2474">
        <v>0</v>
      </c>
      <c r="CH375" s="2449" t="s">
        <v>1217</v>
      </c>
      <c r="CI375" s="2449"/>
      <c r="CJ375" s="2450"/>
      <c r="CK375" s="2450"/>
      <c r="CP375" s="2478">
        <f t="shared" si="186"/>
        <v>0</v>
      </c>
      <c r="CQ375" s="2478"/>
      <c r="CR375" s="2478"/>
      <c r="CS375" s="2478"/>
      <c r="CT375" s="2478"/>
    </row>
    <row r="376" spans="1:99" hidden="1" x14ac:dyDescent="0.2">
      <c r="H376" s="2560">
        <f>SUM(H374:H374)</f>
        <v>117692</v>
      </c>
      <c r="I376" s="2560">
        <f>SUM(I374:I374)</f>
        <v>0</v>
      </c>
      <c r="J376" s="2560">
        <f>SUM(J374:J374)</f>
        <v>117692</v>
      </c>
      <c r="K376" s="2561">
        <f>IF(H376=0," ",(J376-H376)/H376)</f>
        <v>0</v>
      </c>
      <c r="M376" s="2560">
        <f>SUM(M374:M374)</f>
        <v>117692</v>
      </c>
      <c r="N376" s="2560">
        <f>SUM(N374:N375)</f>
        <v>117692</v>
      </c>
      <c r="P376" s="2562">
        <f>SUM(P374:P374)</f>
        <v>0</v>
      </c>
      <c r="R376" s="2560">
        <f>SUM(R374:R374)</f>
        <v>117692</v>
      </c>
      <c r="S376" s="2560">
        <f>SUM(S374:S375)</f>
        <v>99678.46</v>
      </c>
      <c r="U376" s="2560">
        <f>SUM(U374:U374)</f>
        <v>117692</v>
      </c>
      <c r="V376" s="2560">
        <f>SUM(V374:V374)</f>
        <v>2360</v>
      </c>
      <c r="W376" s="2560">
        <f>SUM(W374:W374)</f>
        <v>120052</v>
      </c>
      <c r="X376" s="2561">
        <f>IF(U376=0," ",(W376-U376)/U376)</f>
        <v>2.0052340006117664E-2</v>
      </c>
      <c r="Z376" s="2560">
        <f>SUM(Z374:Z374)</f>
        <v>120052</v>
      </c>
      <c r="AA376" s="2560">
        <f>SUM(AA374:AA374)</f>
        <v>120052</v>
      </c>
      <c r="AC376" s="2562"/>
      <c r="AE376" s="2560">
        <f>SUM(AE374:AE375)</f>
        <v>120052</v>
      </c>
      <c r="AF376" s="2563">
        <f>SUM(AF374:AF375)</f>
        <v>120363.28</v>
      </c>
      <c r="AH376" s="2560">
        <v>120052</v>
      </c>
      <c r="AI376" s="2560">
        <f>SUM(AI374:AI374)</f>
        <v>2716</v>
      </c>
      <c r="AJ376" s="2560">
        <f>SUM(AJ374:AJ374)</f>
        <v>122768</v>
      </c>
      <c r="AK376" s="2561">
        <f>IF(AH376=0," ",(AJ376-AH376)/AH376)</f>
        <v>2.2623529803751707E-2</v>
      </c>
      <c r="AM376" s="2560">
        <f>SUM(AM374:AM375)</f>
        <v>122768</v>
      </c>
      <c r="AN376" s="2560">
        <f>SUM(AN374:AN375)</f>
        <v>122768</v>
      </c>
      <c r="AP376" s="2562"/>
      <c r="AR376" s="2560">
        <f>SUM(AR374:AR375)</f>
        <v>122768</v>
      </c>
      <c r="AS376" s="2560">
        <f>SUM(AS374:AS375)</f>
        <v>122766.34</v>
      </c>
      <c r="AT376" s="2560"/>
      <c r="AU376" s="2560">
        <f>SUM(AU374:AU375)</f>
        <v>125224</v>
      </c>
      <c r="AV376" s="2560">
        <f>SUM(AV374:AV375)</f>
        <v>125224</v>
      </c>
      <c r="AX376" s="2560">
        <f>SUM(AX374:AX375)</f>
        <v>125224</v>
      </c>
      <c r="AY376" s="2560">
        <f>SUM(AY374:AY374)</f>
        <v>2531</v>
      </c>
      <c r="AZ376" s="2560">
        <f>SUM(AZ374:AZ374)</f>
        <v>127755</v>
      </c>
      <c r="BA376" s="2561">
        <f>IF(AX376=0," ",(AZ376-AX376)/AX376)</f>
        <v>2.0211780489363063E-2</v>
      </c>
      <c r="BC376" s="2560">
        <f>SUM(BC374:BC375)</f>
        <v>127755</v>
      </c>
      <c r="BD376" s="2560">
        <f>SUM(BD374:BD375)</f>
        <v>127755</v>
      </c>
      <c r="BF376" s="2562"/>
      <c r="BH376" s="2560">
        <f>SUM(BH374:BH375)</f>
        <v>127755</v>
      </c>
      <c r="BI376" s="2560">
        <f>SUM(BI374:BI375)</f>
        <v>127755</v>
      </c>
      <c r="BM376" s="2560">
        <f>SUM(BM374:BM375)</f>
        <v>127755</v>
      </c>
      <c r="BN376" s="2560">
        <f>SUM(BN374:BN374)</f>
        <v>2550</v>
      </c>
      <c r="BO376" s="2564">
        <f>SUM(BO374:BO374)</f>
        <v>130305</v>
      </c>
      <c r="BP376" s="2565">
        <f>IF(BM376=0," ",(BO376-BM376)/BM376)</f>
        <v>1.9960079840319361E-2</v>
      </c>
      <c r="BR376" s="2564">
        <f>SUM(BR374:BR375)</f>
        <v>130305</v>
      </c>
      <c r="BS376" s="2564">
        <f>SUM(BS374:BS375)</f>
        <v>130305</v>
      </c>
      <c r="BU376" s="2566"/>
      <c r="BW376" s="2564">
        <f>SUM(BW374:BW375)</f>
        <v>130305</v>
      </c>
      <c r="BX376" s="2560">
        <f>SUM(BX374:BX375)</f>
        <v>62908.27</v>
      </c>
      <c r="BZ376" s="2564">
        <f>SUM(BZ374:BZ375)</f>
        <v>130305</v>
      </c>
      <c r="CA376" s="2564">
        <f>SUM(CA374:CA375)</f>
        <v>0</v>
      </c>
      <c r="CB376" s="2564">
        <f>SUM(CB374:CB375)</f>
        <v>130305</v>
      </c>
      <c r="CC376" s="2565">
        <f>IF(BZ376=0," ",(CB376-BZ376)/BZ376)</f>
        <v>0</v>
      </c>
      <c r="CE376" s="2564">
        <f>SUM(CE374:CE375)</f>
        <v>130305</v>
      </c>
      <c r="CF376" s="2565">
        <f>IF(CB376=0," ",(CE376-CB376)/CB376)</f>
        <v>0</v>
      </c>
      <c r="CG376" s="2564">
        <f>SUM(CG374:CG375)</f>
        <v>130305</v>
      </c>
      <c r="CH376" s="2449" t="s">
        <v>1243</v>
      </c>
      <c r="CI376" s="2449"/>
      <c r="CJ376" s="2450"/>
      <c r="CK376" s="2450"/>
      <c r="CO376" s="2477">
        <v>0</v>
      </c>
      <c r="CP376" s="2478">
        <f t="shared" si="186"/>
        <v>0</v>
      </c>
      <c r="CQ376" s="2478"/>
      <c r="CR376" s="2478"/>
      <c r="CS376" s="2478"/>
      <c r="CT376" s="2478"/>
    </row>
    <row r="377" spans="1:99" hidden="1" x14ac:dyDescent="0.2">
      <c r="AS377" s="2466"/>
      <c r="AT377" s="2466"/>
      <c r="BZ377" s="2472"/>
      <c r="CH377" s="2449" t="s">
        <v>1091</v>
      </c>
      <c r="CI377" s="2449"/>
      <c r="CJ377" s="2450"/>
      <c r="CK377" s="2450"/>
      <c r="CP377" s="2478">
        <f t="shared" si="186"/>
        <v>0</v>
      </c>
      <c r="CQ377" s="2478"/>
      <c r="CR377" s="2478"/>
      <c r="CS377" s="2478"/>
      <c r="CT377" s="2478"/>
    </row>
    <row r="378" spans="1:99" hidden="1" x14ac:dyDescent="0.2">
      <c r="A378" s="2395">
        <v>220</v>
      </c>
      <c r="B378" s="2440" t="s">
        <v>1214</v>
      </c>
      <c r="C378" s="2396">
        <v>22002</v>
      </c>
      <c r="D378" s="2396">
        <v>51130</v>
      </c>
      <c r="E378" s="2397" t="s">
        <v>319</v>
      </c>
      <c r="F378" s="2440" t="s">
        <v>1214</v>
      </c>
      <c r="G378" s="2440" t="s">
        <v>1731</v>
      </c>
      <c r="H378" s="2466">
        <v>258413</v>
      </c>
      <c r="I378" s="2470"/>
      <c r="J378" s="2466">
        <f t="shared" ref="J378:J389" si="206">H378+I378</f>
        <v>258413</v>
      </c>
      <c r="K378" s="2468">
        <f t="shared" ref="K378:K385" si="207">IF(H378=0," ",(J378-H378)/H378)</f>
        <v>0</v>
      </c>
      <c r="M378" s="2467">
        <v>258413</v>
      </c>
      <c r="N378" s="2573">
        <f>258413+10165</f>
        <v>268578</v>
      </c>
      <c r="P378" s="2469"/>
      <c r="R378" s="2549">
        <f>258413+10165</f>
        <v>268578</v>
      </c>
      <c r="S378" s="2549">
        <v>247320.76</v>
      </c>
      <c r="U378" s="2549">
        <f>258413+10165</f>
        <v>268578</v>
      </c>
      <c r="V378" s="2470">
        <v>0</v>
      </c>
      <c r="W378" s="2466">
        <f t="shared" ref="W378:W389" si="208">U378+V378</f>
        <v>268578</v>
      </c>
      <c r="X378" s="2468">
        <f t="shared" ref="X378:X385" si="209">IF(U378=0," ",(W378-U378)/U378)</f>
        <v>0</v>
      </c>
      <c r="Z378" s="2467">
        <v>268578</v>
      </c>
      <c r="AA378" s="2467">
        <v>256000</v>
      </c>
      <c r="AC378" s="2469" t="s">
        <v>1732</v>
      </c>
      <c r="AE378" s="2466">
        <v>256000</v>
      </c>
      <c r="AF378" s="2471">
        <v>245544.64</v>
      </c>
      <c r="AH378" s="2466">
        <v>256000</v>
      </c>
      <c r="AI378" s="2470">
        <v>6000</v>
      </c>
      <c r="AJ378" s="2466">
        <f t="shared" ref="AJ378:AJ389" si="210">AH378+AI378</f>
        <v>262000</v>
      </c>
      <c r="AK378" s="2468">
        <f t="shared" ref="AK378:AK385" si="211">IF(AH378=0," ",(AJ378-AH378)/AH378)</f>
        <v>2.34375E-2</v>
      </c>
      <c r="AM378" s="2467">
        <v>262000</v>
      </c>
      <c r="AN378" s="2467">
        <v>262000</v>
      </c>
      <c r="AP378" s="2583" t="s">
        <v>1733</v>
      </c>
      <c r="AR378" s="2466">
        <v>262000</v>
      </c>
      <c r="AS378" s="2466">
        <v>256873.45</v>
      </c>
      <c r="AT378" s="2466"/>
      <c r="AU378" s="2466">
        <v>262800</v>
      </c>
      <c r="AV378" s="2466">
        <v>250117.95</v>
      </c>
      <c r="AX378" s="2466">
        <v>262800</v>
      </c>
      <c r="AY378" s="2470">
        <v>7367</v>
      </c>
      <c r="AZ378" s="2466">
        <f t="shared" ref="AZ378:AZ388" si="212">AX378+AY378</f>
        <v>270167</v>
      </c>
      <c r="BA378" s="2468">
        <f t="shared" ref="BA378:BA382" si="213">IF(AX378=0," ",(AZ378-AX378)/AX378)</f>
        <v>2.8032724505327244E-2</v>
      </c>
      <c r="BC378" s="2467">
        <v>270167</v>
      </c>
      <c r="BD378" s="2467">
        <v>270167</v>
      </c>
      <c r="BF378" s="2469" t="s">
        <v>1734</v>
      </c>
      <c r="BH378" s="2467">
        <v>270167</v>
      </c>
      <c r="BI378" s="2466">
        <v>270229.27</v>
      </c>
      <c r="BM378" s="2466">
        <v>270167</v>
      </c>
      <c r="BN378" s="2470">
        <v>15557</v>
      </c>
      <c r="BO378" s="2472">
        <f t="shared" ref="BO378:BO388" si="214">BM378+BN378</f>
        <v>285724</v>
      </c>
      <c r="BP378" s="2473">
        <f>IF(BM378=0," ",(BO378-BM378)/BM378)</f>
        <v>5.7582902427017364E-2</v>
      </c>
      <c r="BR378" s="2474">
        <v>285724</v>
      </c>
      <c r="BS378" s="2474">
        <f>285724+135547</f>
        <v>421271</v>
      </c>
      <c r="BU378" s="2475" t="s">
        <v>1735</v>
      </c>
      <c r="BW378" s="2474">
        <f>285724+135547</f>
        <v>421271</v>
      </c>
      <c r="BX378" s="2466">
        <v>147312.82999999999</v>
      </c>
      <c r="BZ378" s="2474">
        <f>285724+135547</f>
        <v>421271</v>
      </c>
      <c r="CA378" s="2470">
        <v>137829</v>
      </c>
      <c r="CB378" s="2472">
        <f t="shared" ref="CB378:CB388" si="215">BZ378+CA378</f>
        <v>559100</v>
      </c>
      <c r="CC378" s="2473">
        <f>IF(BZ378=0," ",(CB378-BZ378)/BZ378)</f>
        <v>0.32717419428348971</v>
      </c>
      <c r="CE378" s="2474">
        <v>559100</v>
      </c>
      <c r="CF378" s="2476">
        <f t="shared" ref="CF378:CF390" si="216">IF(CB378=0," ",(CE378-CB378)/CB378)</f>
        <v>0</v>
      </c>
      <c r="CG378" s="2474">
        <v>559100</v>
      </c>
      <c r="CH378" s="2449" t="s">
        <v>1217</v>
      </c>
      <c r="CI378" s="2449"/>
      <c r="CJ378" s="2450" t="s">
        <v>1736</v>
      </c>
      <c r="CK378" s="2510">
        <v>-140000</v>
      </c>
      <c r="CL378" s="2510"/>
      <c r="CM378" s="2510"/>
      <c r="CN378" s="2510"/>
      <c r="CO378" s="2477">
        <v>2.3048706910921979E-4</v>
      </c>
      <c r="CP378" s="2478">
        <f t="shared" si="186"/>
        <v>62.270000000018626</v>
      </c>
      <c r="CQ378" s="2478"/>
      <c r="CR378" s="2478"/>
      <c r="CS378" s="2478"/>
      <c r="CT378" s="2478"/>
      <c r="CU378" s="2466"/>
    </row>
    <row r="379" spans="1:99" hidden="1" x14ac:dyDescent="0.2">
      <c r="A379" s="2395">
        <v>220</v>
      </c>
      <c r="B379" s="2440" t="s">
        <v>1214</v>
      </c>
      <c r="C379" s="2396">
        <v>22002</v>
      </c>
      <c r="D379" s="2396">
        <v>51140</v>
      </c>
      <c r="E379" s="2397" t="s">
        <v>319</v>
      </c>
      <c r="F379" s="2440" t="s">
        <v>1214</v>
      </c>
      <c r="G379" s="2440" t="s">
        <v>1737</v>
      </c>
      <c r="H379" s="2466">
        <v>17579</v>
      </c>
      <c r="I379" s="2470">
        <v>712</v>
      </c>
      <c r="J379" s="2466">
        <f t="shared" si="206"/>
        <v>18291</v>
      </c>
      <c r="K379" s="2468">
        <f t="shared" si="207"/>
        <v>4.0502872745889984E-2</v>
      </c>
      <c r="M379" s="2467">
        <v>18291</v>
      </c>
      <c r="N379" s="2467">
        <v>18291</v>
      </c>
      <c r="P379" s="2469"/>
      <c r="R379" s="2466">
        <v>18291</v>
      </c>
      <c r="S379" s="2466">
        <v>13026.56</v>
      </c>
      <c r="U379" s="2466">
        <v>18291</v>
      </c>
      <c r="V379" s="2470">
        <v>874</v>
      </c>
      <c r="W379" s="2466">
        <f t="shared" si="208"/>
        <v>19165</v>
      </c>
      <c r="X379" s="2468">
        <f t="shared" si="209"/>
        <v>4.7783062708435846E-2</v>
      </c>
      <c r="Z379" s="2467">
        <v>19165</v>
      </c>
      <c r="AA379" s="2467">
        <v>19165</v>
      </c>
      <c r="AC379" s="2469" t="s">
        <v>1738</v>
      </c>
      <c r="AE379" s="2466">
        <v>19165</v>
      </c>
      <c r="AF379" s="2471">
        <v>17632.29</v>
      </c>
      <c r="AH379" s="2466">
        <v>19165</v>
      </c>
      <c r="AI379" s="2470">
        <v>446</v>
      </c>
      <c r="AJ379" s="2466">
        <f t="shared" si="210"/>
        <v>19611</v>
      </c>
      <c r="AK379" s="2468">
        <f t="shared" si="211"/>
        <v>2.3271588833811637E-2</v>
      </c>
      <c r="AM379" s="2467">
        <v>19611</v>
      </c>
      <c r="AN379" s="2467">
        <v>19611</v>
      </c>
      <c r="AP379" s="2469"/>
      <c r="AR379" s="2466">
        <v>19611</v>
      </c>
      <c r="AS379" s="2466">
        <v>18460.689999999999</v>
      </c>
      <c r="AT379" s="2466"/>
      <c r="AU379" s="2466">
        <f>8532+12119</f>
        <v>20651</v>
      </c>
      <c r="AV379" s="2466">
        <v>12276.53</v>
      </c>
      <c r="AX379" s="2466">
        <f>8532+12119</f>
        <v>20651</v>
      </c>
      <c r="AY379" s="2470">
        <v>286</v>
      </c>
      <c r="AZ379" s="2466">
        <f t="shared" si="212"/>
        <v>20937</v>
      </c>
      <c r="BA379" s="2468">
        <f t="shared" si="213"/>
        <v>1.3849208270785918E-2</v>
      </c>
      <c r="BC379" s="2467">
        <v>20937</v>
      </c>
      <c r="BD379" s="2467">
        <v>20937</v>
      </c>
      <c r="BF379" s="2511" t="s">
        <v>1739</v>
      </c>
      <c r="BH379" s="2467">
        <v>20937</v>
      </c>
      <c r="BI379" s="2466">
        <v>19862.23</v>
      </c>
      <c r="BM379" s="2466">
        <v>20937</v>
      </c>
      <c r="BN379" s="2470">
        <v>-64</v>
      </c>
      <c r="BO379" s="2472">
        <f t="shared" si="214"/>
        <v>20873</v>
      </c>
      <c r="BP379" s="2473">
        <f>IF(BM379=0," ",(BO379-BM379)/BM379)</f>
        <v>-3.0567894158666474E-3</v>
      </c>
      <c r="BR379" s="2474">
        <v>20873</v>
      </c>
      <c r="BS379" s="2474">
        <v>20873</v>
      </c>
      <c r="BU379" s="2512" t="s">
        <v>1740</v>
      </c>
      <c r="BW379" s="2474">
        <v>20873</v>
      </c>
      <c r="BX379" s="2466">
        <v>6462.81</v>
      </c>
      <c r="BZ379" s="2474">
        <v>20873</v>
      </c>
      <c r="CA379" s="2470">
        <v>-554</v>
      </c>
      <c r="CB379" s="2472">
        <f t="shared" si="215"/>
        <v>20319</v>
      </c>
      <c r="CC379" s="2473">
        <f>IF(BZ379=0," ",(CB379-BZ379)/BZ379)</f>
        <v>-2.6541465050543764E-2</v>
      </c>
      <c r="CE379" s="2474">
        <v>20725</v>
      </c>
      <c r="CF379" s="2476">
        <f t="shared" si="216"/>
        <v>1.998129829223879E-2</v>
      </c>
      <c r="CG379" s="2474">
        <v>20725</v>
      </c>
      <c r="CH379" s="2449" t="s">
        <v>1217</v>
      </c>
      <c r="CI379" s="2449"/>
      <c r="CJ379" s="2450"/>
      <c r="CK379" s="2450"/>
      <c r="CO379" s="2477">
        <v>-5.1333524382671802E-2</v>
      </c>
      <c r="CP379" s="2478">
        <f t="shared" si="186"/>
        <v>-1074.7700000000004</v>
      </c>
      <c r="CQ379" s="2478"/>
      <c r="CR379" s="2478"/>
      <c r="CS379" s="2478"/>
      <c r="CT379" s="2478"/>
    </row>
    <row r="380" spans="1:99" hidden="1" x14ac:dyDescent="0.2">
      <c r="A380" s="2395">
        <v>220</v>
      </c>
      <c r="B380" s="2440" t="s">
        <v>1214</v>
      </c>
      <c r="C380" s="2396">
        <v>22002</v>
      </c>
      <c r="D380" s="2396">
        <v>51150</v>
      </c>
      <c r="E380" s="2397" t="s">
        <v>319</v>
      </c>
      <c r="F380" s="2440" t="s">
        <v>1214</v>
      </c>
      <c r="G380" s="2440" t="s">
        <v>1741</v>
      </c>
      <c r="H380" s="2466">
        <v>71938</v>
      </c>
      <c r="I380" s="2470"/>
      <c r="J380" s="2466">
        <f t="shared" si="206"/>
        <v>71938</v>
      </c>
      <c r="K380" s="2468">
        <f t="shared" si="207"/>
        <v>0</v>
      </c>
      <c r="M380" s="2467">
        <v>71938</v>
      </c>
      <c r="N380" s="2467">
        <v>71938</v>
      </c>
      <c r="P380" s="2469"/>
      <c r="R380" s="2466">
        <v>71938</v>
      </c>
      <c r="S380" s="2466">
        <v>73442.009999999995</v>
      </c>
      <c r="U380" s="2466">
        <v>71938</v>
      </c>
      <c r="V380" s="2470">
        <v>0</v>
      </c>
      <c r="W380" s="2466">
        <f t="shared" si="208"/>
        <v>71938</v>
      </c>
      <c r="X380" s="2468">
        <f t="shared" si="209"/>
        <v>0</v>
      </c>
      <c r="Z380" s="2467">
        <v>71938</v>
      </c>
      <c r="AA380" s="2467">
        <v>82000</v>
      </c>
      <c r="AC380" s="2469" t="s">
        <v>1742</v>
      </c>
      <c r="AE380" s="2466">
        <v>82000</v>
      </c>
      <c r="AF380" s="2471">
        <v>81796.87</v>
      </c>
      <c r="AH380" s="2466">
        <v>82000</v>
      </c>
      <c r="AI380" s="2470">
        <v>3500</v>
      </c>
      <c r="AJ380" s="2466">
        <f t="shared" si="210"/>
        <v>85500</v>
      </c>
      <c r="AK380" s="2468">
        <f t="shared" si="211"/>
        <v>4.2682926829268296E-2</v>
      </c>
      <c r="AM380" s="2467">
        <v>85500</v>
      </c>
      <c r="AN380" s="2467">
        <v>85500</v>
      </c>
      <c r="AP380" s="2469" t="s">
        <v>1743</v>
      </c>
      <c r="AR380" s="2466">
        <v>85500</v>
      </c>
      <c r="AS380" s="2466">
        <v>74500.710000000006</v>
      </c>
      <c r="AT380" s="2466"/>
      <c r="AU380" s="2466">
        <f>85500+65000-3000</f>
        <v>147500</v>
      </c>
      <c r="AV380" s="2466">
        <v>95677.14</v>
      </c>
      <c r="AX380" s="2466">
        <f>85500+65000-3000</f>
        <v>147500</v>
      </c>
      <c r="AY380" s="2542">
        <v>102250</v>
      </c>
      <c r="AZ380" s="2466">
        <f t="shared" si="212"/>
        <v>249750</v>
      </c>
      <c r="BA380" s="2468">
        <f t="shared" si="213"/>
        <v>0.6932203389830508</v>
      </c>
      <c r="BC380" s="2467">
        <v>249750</v>
      </c>
      <c r="BD380" s="2467">
        <f>249750+10000</f>
        <v>259750</v>
      </c>
      <c r="BF380" s="2638" t="s">
        <v>1744</v>
      </c>
      <c r="BH380" s="2467">
        <f>249750+10000</f>
        <v>259750</v>
      </c>
      <c r="BI380" s="2466">
        <v>89947.89</v>
      </c>
      <c r="BM380" s="2466">
        <f>249750+10000</f>
        <v>259750</v>
      </c>
      <c r="BN380" s="2542">
        <v>15195</v>
      </c>
      <c r="BO380" s="2472">
        <f t="shared" si="214"/>
        <v>274945</v>
      </c>
      <c r="BP380" s="2473">
        <f>IF(BM380=0," ",(BO380-BM380)/BM380)</f>
        <v>5.8498556304138596E-2</v>
      </c>
      <c r="BR380" s="2474">
        <v>274945</v>
      </c>
      <c r="BS380" s="2474">
        <f>274945-15000</f>
        <v>259945</v>
      </c>
      <c r="BU380" s="2639" t="s">
        <v>1745</v>
      </c>
      <c r="BW380" s="2474">
        <f>274945-15000</f>
        <v>259945</v>
      </c>
      <c r="BX380" s="2466">
        <v>37827.54</v>
      </c>
      <c r="BZ380" s="2474">
        <f>274945-15000</f>
        <v>259945</v>
      </c>
      <c r="CA380" s="2470">
        <f>-137829</f>
        <v>-137829</v>
      </c>
      <c r="CB380" s="2472">
        <f t="shared" si="215"/>
        <v>122116</v>
      </c>
      <c r="CC380" s="2473">
        <f>IF(BZ380=0," ",(CB380-BZ380)/BZ380)</f>
        <v>-0.53022370116755468</v>
      </c>
      <c r="CE380" s="2474">
        <v>122116</v>
      </c>
      <c r="CF380" s="2476">
        <f t="shared" si="216"/>
        <v>0</v>
      </c>
      <c r="CG380" s="2474">
        <v>122116</v>
      </c>
      <c r="CH380" s="2449" t="s">
        <v>1217</v>
      </c>
      <c r="CI380" s="2449"/>
      <c r="CJ380" s="2450"/>
      <c r="CK380" s="2450"/>
      <c r="CO380" s="2477">
        <v>-0.65371360923965349</v>
      </c>
      <c r="CP380" s="2478">
        <f t="shared" si="186"/>
        <v>-169802.11</v>
      </c>
      <c r="CQ380" s="2478"/>
      <c r="CR380" s="2478"/>
      <c r="CS380" s="2478"/>
      <c r="CT380" s="2478"/>
    </row>
    <row r="381" spans="1:99" hidden="1" x14ac:dyDescent="0.2">
      <c r="A381" s="2395">
        <v>220</v>
      </c>
      <c r="B381" s="2440" t="s">
        <v>1214</v>
      </c>
      <c r="C381" s="2396">
        <v>22002</v>
      </c>
      <c r="D381" s="2396">
        <v>51152</v>
      </c>
      <c r="E381" s="2397" t="s">
        <v>319</v>
      </c>
      <c r="F381" s="2440" t="s">
        <v>1214</v>
      </c>
      <c r="G381" s="2440" t="s">
        <v>1746</v>
      </c>
      <c r="H381" s="2466">
        <v>19561</v>
      </c>
      <c r="I381" s="2470"/>
      <c r="J381" s="2466">
        <f t="shared" si="206"/>
        <v>19561</v>
      </c>
      <c r="K381" s="2468">
        <f t="shared" si="207"/>
        <v>0</v>
      </c>
      <c r="M381" s="2467">
        <v>19561</v>
      </c>
      <c r="N381" s="2467">
        <v>19561</v>
      </c>
      <c r="P381" s="2469"/>
      <c r="R381" s="2466">
        <v>19561</v>
      </c>
      <c r="S381" s="2466">
        <v>22970.55</v>
      </c>
      <c r="U381" s="2466">
        <v>19561</v>
      </c>
      <c r="V381" s="2470">
        <v>0</v>
      </c>
      <c r="W381" s="2466">
        <f t="shared" si="208"/>
        <v>19561</v>
      </c>
      <c r="X381" s="2468">
        <f t="shared" si="209"/>
        <v>0</v>
      </c>
      <c r="Z381" s="2467">
        <v>19561</v>
      </c>
      <c r="AA381" s="2467">
        <v>19500</v>
      </c>
      <c r="AC381" s="2469"/>
      <c r="AE381" s="2466">
        <v>19500</v>
      </c>
      <c r="AF381" s="2471">
        <v>20045.2</v>
      </c>
      <c r="AH381" s="2466">
        <v>19500</v>
      </c>
      <c r="AI381" s="2470">
        <v>54750</v>
      </c>
      <c r="AJ381" s="2466">
        <f t="shared" si="210"/>
        <v>74250</v>
      </c>
      <c r="AK381" s="2468">
        <f t="shared" si="211"/>
        <v>2.8076923076923075</v>
      </c>
      <c r="AM381" s="2467">
        <f>74250+28000</f>
        <v>102250</v>
      </c>
      <c r="AN381" s="2467">
        <f>74250+28000</f>
        <v>102250</v>
      </c>
      <c r="AP381" s="2582" t="s">
        <v>1747</v>
      </c>
      <c r="AR381" s="2466">
        <f>74250+28000</f>
        <v>102250</v>
      </c>
      <c r="AS381" s="2466">
        <v>117010.3</v>
      </c>
      <c r="AT381" s="2466"/>
      <c r="AU381" s="2466">
        <v>102250</v>
      </c>
      <c r="AV381" s="2466">
        <v>176840.56</v>
      </c>
      <c r="AX381" s="2466">
        <v>102250</v>
      </c>
      <c r="AY381" s="2542">
        <v>-102250</v>
      </c>
      <c r="AZ381" s="2466">
        <f t="shared" si="212"/>
        <v>0</v>
      </c>
      <c r="BA381" s="2468">
        <f t="shared" si="213"/>
        <v>-1</v>
      </c>
      <c r="BC381" s="2467">
        <v>0</v>
      </c>
      <c r="BD381" s="2467">
        <v>0</v>
      </c>
      <c r="BF381" s="2640" t="s">
        <v>1748</v>
      </c>
      <c r="BH381" s="2467">
        <v>0</v>
      </c>
      <c r="BI381" s="2466">
        <v>193646.66</v>
      </c>
      <c r="BM381" s="2466">
        <v>0</v>
      </c>
      <c r="BN381" s="2470"/>
      <c r="BO381" s="2472">
        <f t="shared" si="214"/>
        <v>0</v>
      </c>
      <c r="BP381" s="2473" t="str">
        <f t="shared" ref="BP381:BP390" si="217">IF(BM381=0," ",(BO381-BM381)/BM381)</f>
        <v xml:space="preserve"> </v>
      </c>
      <c r="BR381" s="2474">
        <v>0</v>
      </c>
      <c r="BS381" s="2474">
        <v>0</v>
      </c>
      <c r="BU381" s="2475"/>
      <c r="BW381" s="2474">
        <v>0</v>
      </c>
      <c r="BX381" s="2466">
        <v>105299.18</v>
      </c>
      <c r="BZ381" s="2474">
        <v>0</v>
      </c>
      <c r="CA381" s="2470"/>
      <c r="CB381" s="2472">
        <f t="shared" si="215"/>
        <v>0</v>
      </c>
      <c r="CC381" s="2473" t="str">
        <f t="shared" ref="CC381:CC390" si="218">IF(BZ381=0," ",(CB381-BZ381)/BZ381)</f>
        <v xml:space="preserve"> </v>
      </c>
      <c r="CE381" s="2474">
        <v>0</v>
      </c>
      <c r="CF381" s="2476" t="str">
        <f t="shared" si="216"/>
        <v xml:space="preserve"> </v>
      </c>
      <c r="CG381" s="2474">
        <v>0</v>
      </c>
      <c r="CH381" s="2449" t="s">
        <v>1217</v>
      </c>
      <c r="CI381" s="2449"/>
      <c r="CJ381" s="2450"/>
      <c r="CK381" s="2450"/>
      <c r="CO381" s="2477" t="s">
        <v>1257</v>
      </c>
      <c r="CP381" s="2478">
        <f t="shared" si="186"/>
        <v>193646.66</v>
      </c>
      <c r="CQ381" s="2478"/>
      <c r="CR381" s="2478"/>
      <c r="CS381" s="2478"/>
      <c r="CT381" s="2478"/>
    </row>
    <row r="382" spans="1:99" hidden="1" x14ac:dyDescent="0.2">
      <c r="A382" s="2395">
        <v>220</v>
      </c>
      <c r="B382" s="2440" t="s">
        <v>1214</v>
      </c>
      <c r="C382" s="2396">
        <v>22002</v>
      </c>
      <c r="D382" s="2396">
        <v>51160</v>
      </c>
      <c r="E382" s="2397" t="s">
        <v>319</v>
      </c>
      <c r="G382" s="2440" t="s">
        <v>1749</v>
      </c>
      <c r="I382" s="2470"/>
      <c r="M382" s="2467"/>
      <c r="N382" s="2467"/>
      <c r="P382" s="2469"/>
      <c r="S382" s="2466">
        <v>5850</v>
      </c>
      <c r="V382" s="2470"/>
      <c r="Z382" s="2467"/>
      <c r="AA382" s="2467">
        <v>54750</v>
      </c>
      <c r="AC382" s="2469" t="s">
        <v>1750</v>
      </c>
      <c r="AE382" s="2466">
        <v>54750</v>
      </c>
      <c r="AF382" s="2471">
        <v>10150</v>
      </c>
      <c r="AH382" s="2466">
        <v>54750</v>
      </c>
      <c r="AI382" s="2470">
        <v>-54750</v>
      </c>
      <c r="AJ382" s="2466">
        <f t="shared" si="210"/>
        <v>0</v>
      </c>
      <c r="AK382" s="2468">
        <f t="shared" si="211"/>
        <v>-1</v>
      </c>
      <c r="AM382" s="2467">
        <v>0</v>
      </c>
      <c r="AN382" s="2467">
        <v>0</v>
      </c>
      <c r="AP382" s="2619" t="s">
        <v>1751</v>
      </c>
      <c r="AR382" s="2466">
        <v>0</v>
      </c>
      <c r="AS382" s="2466">
        <v>0</v>
      </c>
      <c r="AT382" s="2466"/>
      <c r="AU382" s="2466">
        <v>0</v>
      </c>
      <c r="AX382" s="2466">
        <v>0</v>
      </c>
      <c r="AY382" s="2470"/>
      <c r="AZ382" s="2466">
        <f t="shared" si="212"/>
        <v>0</v>
      </c>
      <c r="BA382" s="2468" t="str">
        <f t="shared" si="213"/>
        <v xml:space="preserve"> </v>
      </c>
      <c r="BC382" s="2467">
        <v>0</v>
      </c>
      <c r="BD382" s="2467">
        <v>0</v>
      </c>
      <c r="BF382" s="2619"/>
      <c r="BH382" s="2467">
        <v>0</v>
      </c>
      <c r="BI382" s="2466">
        <v>0</v>
      </c>
      <c r="BM382" s="2466">
        <v>0</v>
      </c>
      <c r="BN382" s="2470"/>
      <c r="BO382" s="2472">
        <f t="shared" si="214"/>
        <v>0</v>
      </c>
      <c r="BP382" s="2473" t="str">
        <f t="shared" si="217"/>
        <v xml:space="preserve"> </v>
      </c>
      <c r="BR382" s="2474">
        <v>0</v>
      </c>
      <c r="BS382" s="2474">
        <v>0</v>
      </c>
      <c r="BU382" s="2603"/>
      <c r="BW382" s="2474">
        <v>0</v>
      </c>
      <c r="BZ382" s="2474">
        <v>0</v>
      </c>
      <c r="CA382" s="2470"/>
      <c r="CB382" s="2472">
        <f t="shared" si="215"/>
        <v>0</v>
      </c>
      <c r="CC382" s="2473" t="str">
        <f t="shared" si="218"/>
        <v xml:space="preserve"> </v>
      </c>
      <c r="CE382" s="2474">
        <v>0</v>
      </c>
      <c r="CF382" s="2476" t="str">
        <f t="shared" si="216"/>
        <v xml:space="preserve"> </v>
      </c>
      <c r="CG382" s="2474">
        <v>0</v>
      </c>
      <c r="CH382" s="2449" t="s">
        <v>1217</v>
      </c>
      <c r="CI382" s="2449"/>
      <c r="CJ382" s="2450"/>
      <c r="CK382" s="2450"/>
      <c r="CP382" s="2478">
        <f t="shared" si="186"/>
        <v>0</v>
      </c>
      <c r="CQ382" s="2478"/>
      <c r="CR382" s="2478"/>
      <c r="CS382" s="2478"/>
      <c r="CT382" s="2478"/>
    </row>
    <row r="383" spans="1:99" hidden="1" x14ac:dyDescent="0.2">
      <c r="A383" s="2395">
        <v>220</v>
      </c>
      <c r="B383" s="2440" t="s">
        <v>1214</v>
      </c>
      <c r="C383" s="2396">
        <v>22002</v>
      </c>
      <c r="D383" s="2396">
        <v>51310</v>
      </c>
      <c r="E383" s="2397" t="s">
        <v>319</v>
      </c>
      <c r="F383" s="2440" t="s">
        <v>1214</v>
      </c>
      <c r="G383" s="2440" t="s">
        <v>1752</v>
      </c>
      <c r="H383" s="2466">
        <v>77843</v>
      </c>
      <c r="I383" s="2470"/>
      <c r="J383" s="2466">
        <f t="shared" si="206"/>
        <v>77843</v>
      </c>
      <c r="K383" s="2468">
        <f t="shared" si="207"/>
        <v>0</v>
      </c>
      <c r="M383" s="2467">
        <v>77843</v>
      </c>
      <c r="N383" s="2467">
        <v>77843</v>
      </c>
      <c r="P383" s="2469"/>
      <c r="R383" s="2466">
        <v>77843</v>
      </c>
      <c r="S383" s="2466">
        <v>41861.440000000002</v>
      </c>
      <c r="U383" s="2466">
        <v>77843</v>
      </c>
      <c r="V383" s="2470">
        <v>0</v>
      </c>
      <c r="W383" s="2466">
        <f t="shared" si="208"/>
        <v>77843</v>
      </c>
      <c r="X383" s="2468">
        <f t="shared" si="209"/>
        <v>0</v>
      </c>
      <c r="Z383" s="2467">
        <v>77843</v>
      </c>
      <c r="AA383" s="2467">
        <v>81000</v>
      </c>
      <c r="AC383" s="2469" t="s">
        <v>1753</v>
      </c>
      <c r="AE383" s="2466">
        <v>81000</v>
      </c>
      <c r="AF383" s="2471">
        <v>47023.63</v>
      </c>
      <c r="AH383" s="2466">
        <v>81000</v>
      </c>
      <c r="AI383" s="2470">
        <v>4000</v>
      </c>
      <c r="AJ383" s="2466">
        <f t="shared" si="210"/>
        <v>85000</v>
      </c>
      <c r="AK383" s="2468">
        <f t="shared" si="211"/>
        <v>4.9382716049382713E-2</v>
      </c>
      <c r="AM383" s="2467">
        <f>85000+16000</f>
        <v>101000</v>
      </c>
      <c r="AN383" s="2467">
        <f>85000+16000</f>
        <v>101000</v>
      </c>
      <c r="AP383" s="2582" t="s">
        <v>1754</v>
      </c>
      <c r="AR383" s="2466">
        <f>85000+16000</f>
        <v>101000</v>
      </c>
      <c r="AS383" s="2466">
        <v>75001.429999999993</v>
      </c>
      <c r="AT383" s="2466"/>
      <c r="AU383" s="2466">
        <v>101000</v>
      </c>
      <c r="AV383" s="2466">
        <v>90171.17</v>
      </c>
      <c r="AX383" s="2466">
        <v>101000</v>
      </c>
      <c r="AY383" s="2470"/>
      <c r="AZ383" s="2466">
        <f t="shared" si="212"/>
        <v>101000</v>
      </c>
      <c r="BA383" s="2468">
        <f>IF(AX383=0," ",(AZ383-AX383)/AX383)</f>
        <v>0</v>
      </c>
      <c r="BC383" s="2467">
        <v>101000</v>
      </c>
      <c r="BD383" s="2467">
        <v>101000</v>
      </c>
      <c r="BF383" s="2641" t="s">
        <v>1755</v>
      </c>
      <c r="BH383" s="2467">
        <v>101000</v>
      </c>
      <c r="BI383" s="2466">
        <v>91884.59</v>
      </c>
      <c r="BM383" s="2466">
        <v>101000</v>
      </c>
      <c r="BN383" s="2542">
        <v>-10000</v>
      </c>
      <c r="BO383" s="2472">
        <f t="shared" si="214"/>
        <v>91000</v>
      </c>
      <c r="BP383" s="2473">
        <f t="shared" si="217"/>
        <v>-9.9009900990099015E-2</v>
      </c>
      <c r="BR383" s="2474">
        <v>91000</v>
      </c>
      <c r="BS383" s="2474">
        <v>91000</v>
      </c>
      <c r="BU383" s="2639" t="s">
        <v>1756</v>
      </c>
      <c r="BW383" s="2474">
        <v>91000</v>
      </c>
      <c r="BX383" s="2466">
        <v>50957.29</v>
      </c>
      <c r="BZ383" s="2474">
        <v>91000</v>
      </c>
      <c r="CA383" s="2470"/>
      <c r="CB383" s="2472">
        <f t="shared" si="215"/>
        <v>91000</v>
      </c>
      <c r="CC383" s="2473">
        <f t="shared" si="218"/>
        <v>0</v>
      </c>
      <c r="CE383" s="2474">
        <v>91000</v>
      </c>
      <c r="CF383" s="2476">
        <f t="shared" si="216"/>
        <v>0</v>
      </c>
      <c r="CG383" s="2474">
        <v>91000</v>
      </c>
      <c r="CH383" s="2449" t="s">
        <v>1217</v>
      </c>
      <c r="CI383" s="2449"/>
      <c r="CJ383" s="2450"/>
      <c r="CK383" s="2450"/>
      <c r="CO383" s="2477">
        <v>-9.0251584158415832E-2</v>
      </c>
      <c r="CP383" s="2478">
        <f t="shared" si="186"/>
        <v>-9115.4100000000035</v>
      </c>
      <c r="CQ383" s="2478"/>
      <c r="CR383" s="2478"/>
      <c r="CS383" s="2478"/>
      <c r="CT383" s="2478"/>
    </row>
    <row r="384" spans="1:99" hidden="1" x14ac:dyDescent="0.2">
      <c r="A384" s="2395">
        <v>220</v>
      </c>
      <c r="B384" s="2440" t="s">
        <v>1214</v>
      </c>
      <c r="C384" s="2396">
        <v>22002</v>
      </c>
      <c r="D384" s="2396">
        <v>51316</v>
      </c>
      <c r="E384" s="2397" t="s">
        <v>319</v>
      </c>
      <c r="F384" s="2440" t="s">
        <v>1214</v>
      </c>
      <c r="G384" s="2440" t="s">
        <v>1757</v>
      </c>
      <c r="H384" s="2466">
        <v>20681</v>
      </c>
      <c r="I384" s="2470">
        <v>584</v>
      </c>
      <c r="J384" s="2466">
        <f t="shared" si="206"/>
        <v>21265</v>
      </c>
      <c r="K384" s="2468">
        <f t="shared" si="207"/>
        <v>2.8238479764034621E-2</v>
      </c>
      <c r="M384" s="2467">
        <v>21265</v>
      </c>
      <c r="N384" s="2467">
        <v>21265</v>
      </c>
      <c r="P384" s="2469"/>
      <c r="R384" s="2466">
        <v>21265</v>
      </c>
      <c r="S384" s="2466">
        <v>20009.419999999998</v>
      </c>
      <c r="U384" s="2466">
        <v>21265</v>
      </c>
      <c r="V384" s="2470">
        <v>0</v>
      </c>
      <c r="W384" s="2466">
        <f t="shared" si="208"/>
        <v>21265</v>
      </c>
      <c r="X384" s="2468">
        <f t="shared" si="209"/>
        <v>0</v>
      </c>
      <c r="Z384" s="2467">
        <v>21265</v>
      </c>
      <c r="AA384" s="2467">
        <v>21500</v>
      </c>
      <c r="AC384" s="2469"/>
      <c r="AE384" s="2466">
        <v>21500</v>
      </c>
      <c r="AF384" s="2471">
        <v>19640.29</v>
      </c>
      <c r="AH384" s="2466">
        <v>21500</v>
      </c>
      <c r="AI384" s="2470">
        <v>500</v>
      </c>
      <c r="AJ384" s="2466">
        <f t="shared" si="210"/>
        <v>22000</v>
      </c>
      <c r="AK384" s="2468">
        <f t="shared" si="211"/>
        <v>2.3255813953488372E-2</v>
      </c>
      <c r="AM384" s="2467">
        <v>22000</v>
      </c>
      <c r="AN384" s="2467">
        <v>22000</v>
      </c>
      <c r="AP384" s="2469" t="s">
        <v>1743</v>
      </c>
      <c r="AR384" s="2466">
        <v>22000</v>
      </c>
      <c r="AS384" s="2466">
        <v>21218.59</v>
      </c>
      <c r="AT384" s="2466"/>
      <c r="AU384" s="2466">
        <v>22000</v>
      </c>
      <c r="AV384" s="2466">
        <v>39257.449999999997</v>
      </c>
      <c r="AX384" s="2466">
        <v>22000</v>
      </c>
      <c r="AY384" s="2470"/>
      <c r="AZ384" s="2466">
        <f t="shared" si="212"/>
        <v>22000</v>
      </c>
      <c r="BA384" s="2468">
        <f>IF(AX384=0," ",(AZ384-AX384)/AX384)</f>
        <v>0</v>
      </c>
      <c r="BC384" s="2467">
        <v>22000</v>
      </c>
      <c r="BD384" s="2467">
        <f>22000+13500</f>
        <v>35500</v>
      </c>
      <c r="BF384" s="2582" t="s">
        <v>1758</v>
      </c>
      <c r="BH384" s="2467">
        <f>22000+13500</f>
        <v>35500</v>
      </c>
      <c r="BI384" s="2466">
        <v>35522.47</v>
      </c>
      <c r="BM384" s="2466">
        <f>22000+13500</f>
        <v>35500</v>
      </c>
      <c r="BN384" s="2470"/>
      <c r="BO384" s="2472">
        <f t="shared" si="214"/>
        <v>35500</v>
      </c>
      <c r="BP384" s="2473">
        <f t="shared" si="217"/>
        <v>0</v>
      </c>
      <c r="BR384" s="2474">
        <v>35500</v>
      </c>
      <c r="BS384" s="2474">
        <v>35500</v>
      </c>
      <c r="BU384" s="2639"/>
      <c r="BW384" s="2474">
        <v>35500</v>
      </c>
      <c r="BX384" s="2466">
        <v>19573.2</v>
      </c>
      <c r="BZ384" s="2474">
        <v>35500</v>
      </c>
      <c r="CA384" s="2470"/>
      <c r="CB384" s="2472">
        <f t="shared" si="215"/>
        <v>35500</v>
      </c>
      <c r="CC384" s="2473">
        <f t="shared" si="218"/>
        <v>0</v>
      </c>
      <c r="CE384" s="2474">
        <v>35500</v>
      </c>
      <c r="CF384" s="2476">
        <f t="shared" si="216"/>
        <v>0</v>
      </c>
      <c r="CG384" s="2474">
        <v>35500</v>
      </c>
      <c r="CH384" s="2449" t="s">
        <v>1217</v>
      </c>
      <c r="CI384" s="2449"/>
      <c r="CJ384" s="2450"/>
      <c r="CK384" s="2450"/>
      <c r="CO384" s="2477">
        <v>6.3295774647897929E-4</v>
      </c>
      <c r="CP384" s="2478">
        <f t="shared" si="186"/>
        <v>22.470000000001164</v>
      </c>
      <c r="CQ384" s="2478"/>
      <c r="CR384" s="2478"/>
      <c r="CS384" s="2478"/>
      <c r="CT384" s="2478"/>
    </row>
    <row r="385" spans="1:98" ht="14.25" hidden="1" customHeight="1" x14ac:dyDescent="0.2">
      <c r="A385" s="2513">
        <v>220</v>
      </c>
      <c r="B385" s="2514" t="s">
        <v>1214</v>
      </c>
      <c r="C385" s="2515">
        <v>22002</v>
      </c>
      <c r="D385" s="2515">
        <v>51490</v>
      </c>
      <c r="E385" s="2516" t="s">
        <v>319</v>
      </c>
      <c r="F385" s="2514" t="s">
        <v>1214</v>
      </c>
      <c r="G385" s="2514" t="s">
        <v>1759</v>
      </c>
      <c r="H385" s="2466">
        <v>7425</v>
      </c>
      <c r="I385" s="2470">
        <v>-3825</v>
      </c>
      <c r="J385" s="2466">
        <f t="shared" si="206"/>
        <v>3600</v>
      </c>
      <c r="K385" s="2468">
        <f t="shared" si="207"/>
        <v>-0.51515151515151514</v>
      </c>
      <c r="M385" s="2467">
        <v>3600</v>
      </c>
      <c r="N385" s="2467">
        <v>3600</v>
      </c>
      <c r="P385" s="2469"/>
      <c r="R385" s="2466">
        <v>3600</v>
      </c>
      <c r="S385" s="2466">
        <v>7200</v>
      </c>
      <c r="U385" s="2466">
        <v>3600</v>
      </c>
      <c r="V385" s="2470">
        <v>0</v>
      </c>
      <c r="W385" s="2466">
        <f t="shared" si="208"/>
        <v>3600</v>
      </c>
      <c r="X385" s="2468">
        <f t="shared" si="209"/>
        <v>0</v>
      </c>
      <c r="Z385" s="2467">
        <v>3600</v>
      </c>
      <c r="AA385" s="2467">
        <v>3900</v>
      </c>
      <c r="AC385" s="2469" t="s">
        <v>1760</v>
      </c>
      <c r="AE385" s="2466">
        <v>3900</v>
      </c>
      <c r="AF385" s="2471">
        <v>3900</v>
      </c>
      <c r="AH385" s="2466">
        <v>3900</v>
      </c>
      <c r="AI385" s="2470">
        <v>-800</v>
      </c>
      <c r="AJ385" s="2466">
        <f t="shared" si="210"/>
        <v>3100</v>
      </c>
      <c r="AK385" s="2468">
        <f t="shared" si="211"/>
        <v>-0.20512820512820512</v>
      </c>
      <c r="AM385" s="2467">
        <v>3100</v>
      </c>
      <c r="AN385" s="2467">
        <v>3100</v>
      </c>
      <c r="AP385" s="2469" t="s">
        <v>1761</v>
      </c>
      <c r="AR385" s="2466">
        <v>3100</v>
      </c>
      <c r="AS385" s="2466">
        <v>3250</v>
      </c>
      <c r="AT385" s="2466"/>
      <c r="AU385" s="2466">
        <v>3250</v>
      </c>
      <c r="AV385" s="2466">
        <v>2775</v>
      </c>
      <c r="AX385" s="2466">
        <v>3250</v>
      </c>
      <c r="AY385" s="2470">
        <v>425</v>
      </c>
      <c r="AZ385" s="2466">
        <f t="shared" si="212"/>
        <v>3675</v>
      </c>
      <c r="BA385" s="2468">
        <f>IF(AX385=0," ",(AZ385-AX385)/AX385)</f>
        <v>0.13076923076923078</v>
      </c>
      <c r="BC385" s="2467">
        <v>3675</v>
      </c>
      <c r="BD385" s="2467">
        <v>3675</v>
      </c>
      <c r="BF385" s="2469" t="s">
        <v>1734</v>
      </c>
      <c r="BH385" s="2467">
        <v>3675</v>
      </c>
      <c r="BI385" s="2466">
        <v>3675</v>
      </c>
      <c r="BM385" s="2466">
        <v>3675</v>
      </c>
      <c r="BN385" s="2470">
        <v>125</v>
      </c>
      <c r="BO385" s="2472">
        <f t="shared" si="214"/>
        <v>3800</v>
      </c>
      <c r="BP385" s="2473">
        <f t="shared" si="217"/>
        <v>3.4013605442176874E-2</v>
      </c>
      <c r="BR385" s="2474">
        <v>3800</v>
      </c>
      <c r="BS385" s="2474">
        <v>3800</v>
      </c>
      <c r="BU385" s="2475" t="s">
        <v>1734</v>
      </c>
      <c r="BW385" s="2474">
        <v>3800</v>
      </c>
      <c r="BX385" s="2466">
        <v>4050</v>
      </c>
      <c r="BZ385" s="2474">
        <v>3800</v>
      </c>
      <c r="CA385" s="2470"/>
      <c r="CB385" s="2472">
        <f t="shared" si="215"/>
        <v>3800</v>
      </c>
      <c r="CC385" s="2473">
        <f t="shared" si="218"/>
        <v>0</v>
      </c>
      <c r="CE385" s="2474">
        <v>3800</v>
      </c>
      <c r="CF385" s="2476">
        <f t="shared" si="216"/>
        <v>0</v>
      </c>
      <c r="CG385" s="2474">
        <v>3800</v>
      </c>
      <c r="CH385" s="2449" t="s">
        <v>1217</v>
      </c>
      <c r="CI385" s="2449"/>
      <c r="CJ385" s="2450" t="s">
        <v>1239</v>
      </c>
      <c r="CK385" s="2518">
        <f t="shared" ref="CK385" si="219">-CG385</f>
        <v>-3800</v>
      </c>
      <c r="CO385" s="2477">
        <v>0</v>
      </c>
      <c r="CP385" s="2478">
        <f t="shared" si="186"/>
        <v>0</v>
      </c>
      <c r="CQ385" s="2478"/>
      <c r="CR385" s="2478"/>
      <c r="CS385" s="2478"/>
      <c r="CT385" s="2478"/>
    </row>
    <row r="386" spans="1:98" hidden="1" x14ac:dyDescent="0.2">
      <c r="A386" s="2395">
        <v>220</v>
      </c>
      <c r="B386" s="2440" t="s">
        <v>1214</v>
      </c>
      <c r="C386" s="2396">
        <v>22002</v>
      </c>
      <c r="D386" s="2396">
        <v>51910</v>
      </c>
      <c r="E386" s="2397" t="s">
        <v>319</v>
      </c>
      <c r="F386" s="2440" t="s">
        <v>1214</v>
      </c>
      <c r="G386" s="2440" t="s">
        <v>1762</v>
      </c>
      <c r="H386" s="2466">
        <v>56911</v>
      </c>
      <c r="I386" s="2470"/>
      <c r="J386" s="2466">
        <f>H386+I386</f>
        <v>56911</v>
      </c>
      <c r="K386" s="2468">
        <v>0</v>
      </c>
      <c r="M386" s="2467">
        <v>56911</v>
      </c>
      <c r="N386" s="2467">
        <v>56911</v>
      </c>
      <c r="P386" s="2469"/>
      <c r="R386" s="2466">
        <v>56911</v>
      </c>
      <c r="S386" s="2466">
        <v>55133.55</v>
      </c>
      <c r="U386" s="2466">
        <v>56911</v>
      </c>
      <c r="V386" s="2470">
        <v>0</v>
      </c>
      <c r="W386" s="2466">
        <f>U386+V386</f>
        <v>56911</v>
      </c>
      <c r="X386" s="2468">
        <v>0</v>
      </c>
      <c r="Z386" s="2467">
        <v>56911</v>
      </c>
      <c r="AA386" s="2467">
        <v>60000</v>
      </c>
      <c r="AC386" s="2469"/>
      <c r="AE386" s="2466">
        <v>60000</v>
      </c>
      <c r="AF386" s="2471">
        <v>54823.6</v>
      </c>
      <c r="AH386" s="2466">
        <v>60000</v>
      </c>
      <c r="AI386" s="2470"/>
      <c r="AJ386" s="2466">
        <f t="shared" si="210"/>
        <v>60000</v>
      </c>
      <c r="AK386" s="2468">
        <v>0</v>
      </c>
      <c r="AM386" s="2467">
        <v>60000</v>
      </c>
      <c r="AN386" s="2467">
        <v>60000</v>
      </c>
      <c r="AP386" s="2469"/>
      <c r="AR386" s="2466">
        <v>60000</v>
      </c>
      <c r="AS386" s="2466">
        <v>52827.28</v>
      </c>
      <c r="AT386" s="2466"/>
      <c r="AU386" s="2466">
        <v>60000</v>
      </c>
      <c r="AV386" s="2466">
        <v>72996.03</v>
      </c>
      <c r="AX386" s="2466">
        <v>60000</v>
      </c>
      <c r="AY386" s="2470"/>
      <c r="AZ386" s="2466">
        <f t="shared" si="212"/>
        <v>60000</v>
      </c>
      <c r="BA386" s="2468">
        <v>0</v>
      </c>
      <c r="BC386" s="2467">
        <v>60000</v>
      </c>
      <c r="BD386" s="2467">
        <f>60000+5000</f>
        <v>65000</v>
      </c>
      <c r="BF386" s="2642" t="s">
        <v>1333</v>
      </c>
      <c r="BH386" s="2467">
        <f>60000+5000</f>
        <v>65000</v>
      </c>
      <c r="BI386" s="2466">
        <v>56611.360000000001</v>
      </c>
      <c r="BM386" s="2466">
        <f>60000+5000</f>
        <v>65000</v>
      </c>
      <c r="BN386" s="2470">
        <v>1300</v>
      </c>
      <c r="BO386" s="2472">
        <f t="shared" si="214"/>
        <v>66300</v>
      </c>
      <c r="BP386" s="2473">
        <f t="shared" si="217"/>
        <v>0.02</v>
      </c>
      <c r="BR386" s="2474">
        <v>66300</v>
      </c>
      <c r="BS386" s="2474">
        <v>66300</v>
      </c>
      <c r="BU386" s="2639" t="s">
        <v>1763</v>
      </c>
      <c r="BW386" s="2474">
        <v>66300</v>
      </c>
      <c r="BX386" s="2466">
        <v>23438.79</v>
      </c>
      <c r="BZ386" s="2474">
        <v>66300</v>
      </c>
      <c r="CA386" s="2470"/>
      <c r="CB386" s="2472">
        <f t="shared" si="215"/>
        <v>66300</v>
      </c>
      <c r="CC386" s="2473">
        <f t="shared" si="218"/>
        <v>0</v>
      </c>
      <c r="CE386" s="2474">
        <v>66300</v>
      </c>
      <c r="CF386" s="2476">
        <f t="shared" si="216"/>
        <v>0</v>
      </c>
      <c r="CG386" s="2474">
        <v>66300</v>
      </c>
      <c r="CH386" s="2449" t="s">
        <v>1217</v>
      </c>
      <c r="CI386" s="2449"/>
      <c r="CJ386" s="2450"/>
      <c r="CK386" s="2450"/>
      <c r="CO386" s="2477">
        <v>-0.12905599999999995</v>
      </c>
      <c r="CP386" s="2478">
        <f t="shared" si="186"/>
        <v>-8388.64</v>
      </c>
      <c r="CQ386" s="2478"/>
      <c r="CR386" s="2478"/>
      <c r="CS386" s="2478"/>
      <c r="CT386" s="2478"/>
    </row>
    <row r="387" spans="1:98" hidden="1" x14ac:dyDescent="0.2">
      <c r="A387" s="2395">
        <v>220</v>
      </c>
      <c r="B387" s="2440" t="s">
        <v>1214</v>
      </c>
      <c r="C387" s="2396">
        <v>22002</v>
      </c>
      <c r="D387" s="2396">
        <v>51912</v>
      </c>
      <c r="E387" s="2397" t="s">
        <v>319</v>
      </c>
      <c r="F387" s="2440" t="s">
        <v>1214</v>
      </c>
      <c r="G387" s="2440" t="s">
        <v>1764</v>
      </c>
      <c r="I387" s="2470"/>
      <c r="M387" s="2467"/>
      <c r="N387" s="2467"/>
      <c r="P387" s="2469"/>
      <c r="V387" s="2470"/>
      <c r="Z387" s="2467"/>
      <c r="AA387" s="2467">
        <v>3200</v>
      </c>
      <c r="AC387" s="2469" t="s">
        <v>1765</v>
      </c>
      <c r="AE387" s="2466">
        <v>3200</v>
      </c>
      <c r="AF387" s="2471">
        <v>1509.7</v>
      </c>
      <c r="AH387" s="2466">
        <v>3200</v>
      </c>
      <c r="AI387" s="2470"/>
      <c r="AJ387" s="2466">
        <f t="shared" si="210"/>
        <v>3200</v>
      </c>
      <c r="AK387" s="2468">
        <v>0</v>
      </c>
      <c r="AM387" s="2467">
        <v>3200</v>
      </c>
      <c r="AN387" s="2467">
        <v>3200</v>
      </c>
      <c r="AP387" s="2469"/>
      <c r="AR387" s="2466">
        <v>3200</v>
      </c>
      <c r="AS387" s="2466">
        <v>2600</v>
      </c>
      <c r="AT387" s="2466"/>
      <c r="AU387" s="2466">
        <v>3200</v>
      </c>
      <c r="AV387" s="2466">
        <v>3038.51</v>
      </c>
      <c r="AX387" s="2466">
        <v>3200</v>
      </c>
      <c r="AY387" s="2470"/>
      <c r="AZ387" s="2466">
        <f t="shared" si="212"/>
        <v>3200</v>
      </c>
      <c r="BA387" s="2468">
        <v>0</v>
      </c>
      <c r="BC387" s="2467">
        <v>3200</v>
      </c>
      <c r="BD387" s="2467">
        <v>3200</v>
      </c>
      <c r="BF387" s="2469"/>
      <c r="BH387" s="2467">
        <v>3200</v>
      </c>
      <c r="BI387" s="2466">
        <v>3200</v>
      </c>
      <c r="BM387" s="2466">
        <v>3200</v>
      </c>
      <c r="BN387" s="2470"/>
      <c r="BO387" s="2472">
        <f t="shared" si="214"/>
        <v>3200</v>
      </c>
      <c r="BP387" s="2473">
        <f t="shared" si="217"/>
        <v>0</v>
      </c>
      <c r="BR387" s="2474">
        <v>3200</v>
      </c>
      <c r="BS387" s="2474">
        <v>3200</v>
      </c>
      <c r="BU387" s="2475" t="s">
        <v>1734</v>
      </c>
      <c r="BW387" s="2474">
        <v>3200</v>
      </c>
      <c r="BX387" s="2466">
        <v>1600.04</v>
      </c>
      <c r="BZ387" s="2474">
        <v>3200</v>
      </c>
      <c r="CA387" s="2470"/>
      <c r="CB387" s="2472">
        <f t="shared" si="215"/>
        <v>3200</v>
      </c>
      <c r="CC387" s="2473">
        <f t="shared" si="218"/>
        <v>0</v>
      </c>
      <c r="CE387" s="2474">
        <v>3200</v>
      </c>
      <c r="CF387" s="2476">
        <f t="shared" si="216"/>
        <v>0</v>
      </c>
      <c r="CG387" s="2474">
        <v>3200</v>
      </c>
      <c r="CH387" s="2449" t="s">
        <v>1217</v>
      </c>
      <c r="CI387" s="2449"/>
      <c r="CJ387" s="2450"/>
      <c r="CK387" s="2450"/>
      <c r="CO387" s="2477">
        <v>0</v>
      </c>
      <c r="CP387" s="2478">
        <f t="shared" si="186"/>
        <v>0</v>
      </c>
      <c r="CQ387" s="2478"/>
      <c r="CR387" s="2478"/>
      <c r="CS387" s="2478"/>
      <c r="CT387" s="2478"/>
    </row>
    <row r="388" spans="1:98" hidden="1" x14ac:dyDescent="0.2">
      <c r="A388" s="2395">
        <v>220</v>
      </c>
      <c r="B388" s="2440" t="s">
        <v>1214</v>
      </c>
      <c r="C388" s="2396">
        <v>22002</v>
      </c>
      <c r="D388" s="2396">
        <v>51916</v>
      </c>
      <c r="E388" s="2397" t="s">
        <v>319</v>
      </c>
      <c r="G388" s="2440" t="s">
        <v>1766</v>
      </c>
      <c r="I388" s="2470"/>
      <c r="M388" s="2467"/>
      <c r="N388" s="2467"/>
      <c r="P388" s="2469"/>
      <c r="V388" s="2470"/>
      <c r="Z388" s="2467"/>
      <c r="AA388" s="2467">
        <v>3000</v>
      </c>
      <c r="AC388" s="2469" t="s">
        <v>1767</v>
      </c>
      <c r="AE388" s="2466">
        <v>3000</v>
      </c>
      <c r="AF388" s="2471">
        <v>2000</v>
      </c>
      <c r="AH388" s="2466">
        <v>3000</v>
      </c>
      <c r="AI388" s="2470">
        <v>-1000</v>
      </c>
      <c r="AJ388" s="2466">
        <f t="shared" si="210"/>
        <v>2000</v>
      </c>
      <c r="AK388" s="2468">
        <v>0</v>
      </c>
      <c r="AM388" s="2467">
        <v>2000</v>
      </c>
      <c r="AN388" s="2467">
        <v>2000</v>
      </c>
      <c r="AP388" s="2469" t="s">
        <v>1743</v>
      </c>
      <c r="AR388" s="2466">
        <v>2000</v>
      </c>
      <c r="AS388" s="2466">
        <v>1250</v>
      </c>
      <c r="AT388" s="2466"/>
      <c r="AU388" s="2466">
        <v>2000</v>
      </c>
      <c r="AV388" s="2466">
        <v>1500</v>
      </c>
      <c r="AX388" s="2466">
        <v>2000</v>
      </c>
      <c r="AY388" s="2470">
        <v>500</v>
      </c>
      <c r="AZ388" s="2466">
        <f t="shared" si="212"/>
        <v>2500</v>
      </c>
      <c r="BA388" s="2468">
        <v>0</v>
      </c>
      <c r="BC388" s="2467">
        <v>2500</v>
      </c>
      <c r="BD388" s="2467">
        <v>2500</v>
      </c>
      <c r="BF388" s="2469" t="s">
        <v>1734</v>
      </c>
      <c r="BH388" s="2467">
        <v>2500</v>
      </c>
      <c r="BI388" s="2466">
        <v>1250</v>
      </c>
      <c r="BM388" s="2466">
        <v>2500</v>
      </c>
      <c r="BN388" s="2470">
        <v>-1250</v>
      </c>
      <c r="BO388" s="2472">
        <f t="shared" si="214"/>
        <v>1250</v>
      </c>
      <c r="BP388" s="2473">
        <f t="shared" si="217"/>
        <v>-0.5</v>
      </c>
      <c r="BR388" s="2474">
        <v>1250</v>
      </c>
      <c r="BS388" s="2474">
        <v>1250</v>
      </c>
      <c r="BU388" s="2475" t="s">
        <v>1734</v>
      </c>
      <c r="BW388" s="2474">
        <v>1250</v>
      </c>
      <c r="BX388" s="2466">
        <v>1000</v>
      </c>
      <c r="BZ388" s="2474">
        <v>1250</v>
      </c>
      <c r="CA388" s="2470"/>
      <c r="CB388" s="2472">
        <f t="shared" si="215"/>
        <v>1250</v>
      </c>
      <c r="CC388" s="2473">
        <f t="shared" si="218"/>
        <v>0</v>
      </c>
      <c r="CE388" s="2474">
        <v>1250</v>
      </c>
      <c r="CF388" s="2476">
        <f t="shared" si="216"/>
        <v>0</v>
      </c>
      <c r="CG388" s="2474">
        <v>1250</v>
      </c>
      <c r="CH388" s="2449" t="s">
        <v>1217</v>
      </c>
      <c r="CI388" s="2449"/>
      <c r="CJ388" s="2450"/>
      <c r="CK388" s="2450"/>
      <c r="CO388" s="2477">
        <v>-0.5</v>
      </c>
      <c r="CP388" s="2478">
        <f t="shared" si="186"/>
        <v>-1250</v>
      </c>
      <c r="CQ388" s="2478"/>
      <c r="CR388" s="2478"/>
      <c r="CS388" s="2478"/>
      <c r="CT388" s="2478"/>
    </row>
    <row r="389" spans="1:98" hidden="1" x14ac:dyDescent="0.2">
      <c r="A389" s="2395">
        <v>220</v>
      </c>
      <c r="B389" s="2440" t="s">
        <v>1214</v>
      </c>
      <c r="C389" s="2396">
        <v>22002</v>
      </c>
      <c r="D389" s="2396">
        <v>51920</v>
      </c>
      <c r="E389" s="2397" t="s">
        <v>319</v>
      </c>
      <c r="F389" s="2440" t="s">
        <v>1214</v>
      </c>
      <c r="G389" s="2587" t="s">
        <v>1768</v>
      </c>
      <c r="I389" s="2523"/>
      <c r="J389" s="2466">
        <f t="shared" si="206"/>
        <v>0</v>
      </c>
      <c r="K389" s="2468">
        <v>0</v>
      </c>
      <c r="M389" s="2520"/>
      <c r="N389" s="2520"/>
      <c r="P389" s="2522"/>
      <c r="R389" s="2519"/>
      <c r="S389" s="2519"/>
      <c r="U389" s="2519"/>
      <c r="V389" s="2523">
        <v>0</v>
      </c>
      <c r="W389" s="2466">
        <f t="shared" si="208"/>
        <v>0</v>
      </c>
      <c r="X389" s="2468">
        <v>0</v>
      </c>
      <c r="Z389" s="2520"/>
      <c r="AA389" s="2520">
        <v>9130</v>
      </c>
      <c r="AC389" s="2522" t="s">
        <v>1769</v>
      </c>
      <c r="AE389" s="2519">
        <v>9130</v>
      </c>
      <c r="AF389" s="2524">
        <v>5680</v>
      </c>
      <c r="AH389" s="2519">
        <v>9130</v>
      </c>
      <c r="AI389" s="2523">
        <v>-700</v>
      </c>
      <c r="AJ389" s="2466">
        <f t="shared" si="210"/>
        <v>8430</v>
      </c>
      <c r="AK389" s="2468">
        <v>0</v>
      </c>
      <c r="AM389" s="2467">
        <v>8430</v>
      </c>
      <c r="AN389" s="2467">
        <v>8430</v>
      </c>
      <c r="AP389" s="2522" t="s">
        <v>1743</v>
      </c>
      <c r="AR389" s="2466">
        <v>8430</v>
      </c>
      <c r="AS389" s="2466">
        <v>2900</v>
      </c>
      <c r="AT389" s="2466"/>
      <c r="AU389" s="2466">
        <v>9530</v>
      </c>
      <c r="AV389" s="2466">
        <v>10450</v>
      </c>
      <c r="AX389" s="2466">
        <v>9530</v>
      </c>
      <c r="AY389" s="2523">
        <v>2420</v>
      </c>
      <c r="AZ389" s="2466">
        <f>AX389+AY389</f>
        <v>11950</v>
      </c>
      <c r="BA389" s="2468">
        <v>0</v>
      </c>
      <c r="BC389" s="2467">
        <v>11950</v>
      </c>
      <c r="BD389" s="2467">
        <v>11950</v>
      </c>
      <c r="BF389" s="2643" t="s">
        <v>1734</v>
      </c>
      <c r="BH389" s="2467">
        <v>11950</v>
      </c>
      <c r="BI389" s="2519">
        <v>12350</v>
      </c>
      <c r="BM389" s="2466">
        <v>11950</v>
      </c>
      <c r="BN389" s="2470">
        <v>2100</v>
      </c>
      <c r="BO389" s="2472">
        <f>BM389+BN389</f>
        <v>14050</v>
      </c>
      <c r="BP389" s="2473">
        <f t="shared" si="217"/>
        <v>0.17573221757322174</v>
      </c>
      <c r="BR389" s="2474">
        <v>14050</v>
      </c>
      <c r="BS389" s="2474">
        <f>14050+2800</f>
        <v>16850</v>
      </c>
      <c r="BT389" s="2644"/>
      <c r="BU389" s="2528" t="s">
        <v>1770</v>
      </c>
      <c r="BW389" s="2474">
        <v>16850</v>
      </c>
      <c r="BX389" s="2519">
        <v>11750</v>
      </c>
      <c r="BZ389" s="2474">
        <v>16850</v>
      </c>
      <c r="CA389" s="2470"/>
      <c r="CB389" s="2472">
        <f>BZ389+CA389</f>
        <v>16850</v>
      </c>
      <c r="CC389" s="2473">
        <f t="shared" si="218"/>
        <v>0</v>
      </c>
      <c r="CE389" s="2474">
        <v>16850</v>
      </c>
      <c r="CF389" s="2476">
        <f t="shared" si="216"/>
        <v>0</v>
      </c>
      <c r="CG389" s="2474">
        <v>16850</v>
      </c>
      <c r="CH389" s="2449" t="s">
        <v>1217</v>
      </c>
      <c r="CI389" s="2449"/>
      <c r="CJ389" s="2450"/>
      <c r="CK389" s="2450"/>
      <c r="CO389" s="2477">
        <v>3.3472803347280422E-2</v>
      </c>
      <c r="CP389" s="2478">
        <f t="shared" si="186"/>
        <v>400</v>
      </c>
      <c r="CQ389" s="2478"/>
      <c r="CR389" s="2478"/>
      <c r="CS389" s="2478"/>
      <c r="CT389" s="2478"/>
    </row>
    <row r="390" spans="1:98" hidden="1" x14ac:dyDescent="0.2">
      <c r="H390" s="2560">
        <f>SUM(H378:H389)</f>
        <v>530351</v>
      </c>
      <c r="I390" s="2560">
        <f>SUM(I378:I389)</f>
        <v>-2529</v>
      </c>
      <c r="J390" s="2560">
        <f>SUM(J378:J389)</f>
        <v>527822</v>
      </c>
      <c r="K390" s="2561">
        <f>IF(H390=0," ",(J390-H390)/H390)</f>
        <v>-4.7685400800601867E-3</v>
      </c>
      <c r="M390" s="2560">
        <f>SUM(M378:M389)</f>
        <v>527822</v>
      </c>
      <c r="N390" s="2560">
        <f>SUM(N378:N389)</f>
        <v>537987</v>
      </c>
      <c r="P390" s="2562">
        <f>SUM(P378:P389)</f>
        <v>0</v>
      </c>
      <c r="R390" s="2560">
        <f>SUM(R378:R389)</f>
        <v>537987</v>
      </c>
      <c r="S390" s="2560">
        <f>SUM(S378:S389)</f>
        <v>486814.29</v>
      </c>
      <c r="U390" s="2560">
        <f>SUM(U378:U389)</f>
        <v>537987</v>
      </c>
      <c r="V390" s="2560">
        <f>SUM(V378:V389)</f>
        <v>874</v>
      </c>
      <c r="W390" s="2560">
        <f>SUM(W378:W389)</f>
        <v>538861</v>
      </c>
      <c r="X390" s="2561">
        <f>IF(U390=0," ",(W390-U390)/U390)</f>
        <v>1.624574571504516E-3</v>
      </c>
      <c r="Z390" s="2560">
        <f>SUM(Z378:Z389)</f>
        <v>538861</v>
      </c>
      <c r="AA390" s="2560">
        <f>SUM(AA378:AA389)</f>
        <v>613145</v>
      </c>
      <c r="AC390" s="2440"/>
      <c r="AE390" s="2560">
        <f>SUM(AE378:AE389)</f>
        <v>613145</v>
      </c>
      <c r="AF390" s="2563">
        <f>SUM(AF378:AF389)</f>
        <v>509746.22</v>
      </c>
      <c r="AH390" s="2560">
        <v>613145</v>
      </c>
      <c r="AI390" s="2560">
        <f>SUM(AI378:AI389)</f>
        <v>11946</v>
      </c>
      <c r="AJ390" s="2560">
        <f>SUM(AJ378:AJ389)</f>
        <v>625091</v>
      </c>
      <c r="AK390" s="2561">
        <f>IF(AH390=0," ",(AJ390-AH390)/AH390)</f>
        <v>1.9483156512733531E-2</v>
      </c>
      <c r="AM390" s="2560">
        <f>SUM(AM378:AM389)</f>
        <v>669091</v>
      </c>
      <c r="AN390" s="2560">
        <f>SUM(AN378:AN389)</f>
        <v>669091</v>
      </c>
      <c r="AP390" s="2440"/>
      <c r="AR390" s="2560">
        <f>SUM(AR378:AR389)</f>
        <v>669091</v>
      </c>
      <c r="AS390" s="2560">
        <f>SUM(AS378:AS389)</f>
        <v>625892.45000000007</v>
      </c>
      <c r="AT390" s="2560"/>
      <c r="AU390" s="2560">
        <f>SUM(AU378:AU389)</f>
        <v>734181</v>
      </c>
      <c r="AV390" s="2560">
        <f>SUM(AV378:AV389)</f>
        <v>755100.34000000008</v>
      </c>
      <c r="AX390" s="2560">
        <f>SUM(AX378:AX389)</f>
        <v>734181</v>
      </c>
      <c r="AY390" s="2560">
        <f>SUM(AY378:AY389)</f>
        <v>10998</v>
      </c>
      <c r="AZ390" s="2560">
        <f>SUM(AZ378:AZ389)</f>
        <v>745179</v>
      </c>
      <c r="BA390" s="2561">
        <f>IF(AX390=0," ",(AZ390-AX390)/AX390)</f>
        <v>1.4979957258496202E-2</v>
      </c>
      <c r="BC390" s="2560">
        <f>SUM(BC378:BC389)</f>
        <v>745179</v>
      </c>
      <c r="BD390" s="2560">
        <f>SUM(BD378:BD389)</f>
        <v>773679</v>
      </c>
      <c r="BF390" s="2440"/>
      <c r="BH390" s="2560">
        <f>SUM(BH378:BH389)</f>
        <v>773679</v>
      </c>
      <c r="BI390" s="2560">
        <f>SUM(BI378:BI389)</f>
        <v>778179.47</v>
      </c>
      <c r="BM390" s="2560">
        <f>SUM(BM378:BM389)</f>
        <v>773679</v>
      </c>
      <c r="BN390" s="2560">
        <f>SUM(BN378:BN389)</f>
        <v>22963</v>
      </c>
      <c r="BO390" s="2564">
        <f>SUM(BO378:BO389)</f>
        <v>796642</v>
      </c>
      <c r="BP390" s="2565">
        <f t="shared" si="217"/>
        <v>2.9680267914729493E-2</v>
      </c>
      <c r="BR390" s="2564">
        <f>SUM(BR378:BR389)</f>
        <v>796642</v>
      </c>
      <c r="BS390" s="2564">
        <f>SUM(BS378:BS389)</f>
        <v>919989</v>
      </c>
      <c r="BU390" s="2645"/>
      <c r="BW390" s="2564">
        <f>SUM(BW378:BW389)</f>
        <v>919989</v>
      </c>
      <c r="BX390" s="2560">
        <f>SUM(BX378:BX389)</f>
        <v>409271.67999999993</v>
      </c>
      <c r="BZ390" s="2564">
        <f>SUM(BZ378:BZ389)</f>
        <v>919989</v>
      </c>
      <c r="CA390" s="2564">
        <f>SUM(CA378:CA389)</f>
        <v>-554</v>
      </c>
      <c r="CB390" s="2564">
        <f>SUM(CB378:CB389)</f>
        <v>919435</v>
      </c>
      <c r="CC390" s="2565">
        <f t="shared" si="218"/>
        <v>-6.0218111303504717E-4</v>
      </c>
      <c r="CE390" s="2564">
        <f>SUM(CE378:CE389)</f>
        <v>919841</v>
      </c>
      <c r="CF390" s="2565">
        <f t="shared" si="216"/>
        <v>4.4157553280003482E-4</v>
      </c>
      <c r="CG390" s="2564">
        <f>SUM(CG378:CG389)</f>
        <v>919841</v>
      </c>
      <c r="CH390" s="2449" t="s">
        <v>1243</v>
      </c>
      <c r="CI390" s="2449"/>
      <c r="CJ390" s="2450"/>
      <c r="CK390" s="2450"/>
      <c r="CO390" s="2477">
        <v>5.8169731891390963E-3</v>
      </c>
      <c r="CP390" s="2478">
        <f t="shared" ref="CP390:CP453" si="220">IFERROR(BI390-BH390,"")</f>
        <v>4500.4699999999721</v>
      </c>
      <c r="CQ390" s="2478"/>
      <c r="CR390" s="2478"/>
      <c r="CS390" s="2478"/>
      <c r="CT390" s="2478"/>
    </row>
    <row r="391" spans="1:98" hidden="1" x14ac:dyDescent="0.2">
      <c r="AS391" s="2466"/>
      <c r="AT391" s="2466"/>
      <c r="BZ391" s="2472"/>
      <c r="CH391" s="2449" t="s">
        <v>1091</v>
      </c>
      <c r="CI391" s="2449"/>
      <c r="CJ391" s="2450"/>
      <c r="CK391" s="2450"/>
      <c r="CP391" s="2478">
        <f t="shared" si="220"/>
        <v>0</v>
      </c>
      <c r="CQ391" s="2478"/>
      <c r="CR391" s="2478"/>
      <c r="CS391" s="2478"/>
      <c r="CT391" s="2478"/>
    </row>
    <row r="392" spans="1:98" s="2485" customFormat="1" hidden="1" x14ac:dyDescent="0.2">
      <c r="A392" s="2532"/>
      <c r="B392" s="2533"/>
      <c r="C392" s="2534"/>
      <c r="D392" s="2534"/>
      <c r="E392" s="2535"/>
      <c r="F392" s="2533"/>
      <c r="G392" s="2533" t="s">
        <v>1771</v>
      </c>
      <c r="H392" s="2536">
        <f>H376+H390</f>
        <v>648043</v>
      </c>
      <c r="I392" s="2536">
        <f>I376+I390</f>
        <v>-2529</v>
      </c>
      <c r="J392" s="2536">
        <f>J376+J390</f>
        <v>645514</v>
      </c>
      <c r="K392" s="2484">
        <f>IF(H392=0," ",(J392-H392)/H392)</f>
        <v>-3.9025188143379376E-3</v>
      </c>
      <c r="M392" s="2536">
        <f>M376+M390</f>
        <v>645514</v>
      </c>
      <c r="N392" s="2536">
        <f>N376+N390</f>
        <v>655679</v>
      </c>
      <c r="P392" s="2537">
        <f>P376+P390</f>
        <v>0</v>
      </c>
      <c r="R392" s="2536">
        <f>R376+R390</f>
        <v>655679</v>
      </c>
      <c r="S392" s="2536">
        <f>S376+S390</f>
        <v>586492.75</v>
      </c>
      <c r="U392" s="2536">
        <f>U376+U390</f>
        <v>655679</v>
      </c>
      <c r="V392" s="2536">
        <f>V376+V390</f>
        <v>3234</v>
      </c>
      <c r="W392" s="2536">
        <f>W376+W390</f>
        <v>658913</v>
      </c>
      <c r="X392" s="2484">
        <f>IF(U392=0," ",(W392-U392)/U392)</f>
        <v>4.9322915634022139E-3</v>
      </c>
      <c r="Z392" s="2536">
        <f>Z376+Z390</f>
        <v>658913</v>
      </c>
      <c r="AA392" s="2536">
        <f>AA376+AA390</f>
        <v>733197</v>
      </c>
      <c r="AC392" s="2537"/>
      <c r="AE392" s="2536">
        <f>AE376+AE390</f>
        <v>733197</v>
      </c>
      <c r="AF392" s="2538">
        <f>AF376+AF390</f>
        <v>630109.5</v>
      </c>
      <c r="AH392" s="2536">
        <v>733197</v>
      </c>
      <c r="AI392" s="2536">
        <f>AI376+AI390</f>
        <v>14662</v>
      </c>
      <c r="AJ392" s="2536">
        <f>AJ376+AJ390</f>
        <v>747859</v>
      </c>
      <c r="AK392" s="2484">
        <f>IF(AH392=0," ",(AJ392-AH392)/AH392)</f>
        <v>1.9997354053549046E-2</v>
      </c>
      <c r="AM392" s="2536">
        <f>AM376+AM390</f>
        <v>791859</v>
      </c>
      <c r="AN392" s="2536">
        <f>AN376+AN390</f>
        <v>791859</v>
      </c>
      <c r="AP392" s="2537"/>
      <c r="AR392" s="2536">
        <f>AR376+AR390</f>
        <v>791859</v>
      </c>
      <c r="AS392" s="2536">
        <f>AS376+AS390</f>
        <v>748658.79</v>
      </c>
      <c r="AT392" s="2536"/>
      <c r="AU392" s="2536">
        <f>AU376+AU390</f>
        <v>859405</v>
      </c>
      <c r="AV392" s="2536">
        <f>AV376+AV390</f>
        <v>880324.34000000008</v>
      </c>
      <c r="AX392" s="2536">
        <f>AX376+AX390</f>
        <v>859405</v>
      </c>
      <c r="AY392" s="2536">
        <f>AY376+AY390</f>
        <v>13529</v>
      </c>
      <c r="AZ392" s="2536">
        <f>AZ376+AZ390</f>
        <v>872934</v>
      </c>
      <c r="BA392" s="2484">
        <f>IF(AX392=0," ",(AZ392-AX392)/AX392)</f>
        <v>1.5742286814714831E-2</v>
      </c>
      <c r="BC392" s="2536">
        <f>BC376+BC390</f>
        <v>872934</v>
      </c>
      <c r="BD392" s="2536">
        <f>BD376+BD390</f>
        <v>901434</v>
      </c>
      <c r="BF392" s="2537"/>
      <c r="BH392" s="2536">
        <f>BH376+BH390</f>
        <v>901434</v>
      </c>
      <c r="BI392" s="2536">
        <f>BI376+BI390</f>
        <v>905934.47</v>
      </c>
      <c r="BJ392" s="2536"/>
      <c r="BK392" s="2536"/>
      <c r="BM392" s="2536">
        <f>BM376+BM390</f>
        <v>901434</v>
      </c>
      <c r="BN392" s="2539">
        <f>BN376+BN390</f>
        <v>25513</v>
      </c>
      <c r="BO392" s="2540">
        <f>BO376+BO390</f>
        <v>926947</v>
      </c>
      <c r="BP392" s="2490">
        <f>IF(BM392=0," ",(BO392-BM392)/BM392)</f>
        <v>2.830268217085222E-2</v>
      </c>
      <c r="BQ392" s="2491"/>
      <c r="BR392" s="2540">
        <f>BR376+BR390</f>
        <v>926947</v>
      </c>
      <c r="BS392" s="2540">
        <f>BS376+BS390</f>
        <v>1050294</v>
      </c>
      <c r="BT392" s="2491"/>
      <c r="BU392" s="2541"/>
      <c r="BV392" s="2491"/>
      <c r="BW392" s="2540">
        <f>BW376+BW390</f>
        <v>1050294</v>
      </c>
      <c r="BX392" s="2536">
        <f>BX376+BX390</f>
        <v>472179.94999999995</v>
      </c>
      <c r="BZ392" s="2540">
        <f>BZ376+BZ390</f>
        <v>1050294</v>
      </c>
      <c r="CA392" s="2540">
        <f>CA376+CA390</f>
        <v>-554</v>
      </c>
      <c r="CB392" s="2540">
        <f>CB376+CB390</f>
        <v>1049740</v>
      </c>
      <c r="CC392" s="2490">
        <f>IF(BZ392=0," ",(CB392-BZ392)/BZ392)</f>
        <v>-5.2747135563946856E-4</v>
      </c>
      <c r="CD392" s="2491"/>
      <c r="CE392" s="2540">
        <f>CE376+CE390</f>
        <v>1050146</v>
      </c>
      <c r="CF392" s="2490">
        <f>IF(CB392=0," ",(CE392-CB392)/CB392)</f>
        <v>3.8676243641282604E-4</v>
      </c>
      <c r="CG392" s="2540">
        <f>CG376+CG390</f>
        <v>1050146</v>
      </c>
      <c r="CH392" s="2449" t="s">
        <v>1220</v>
      </c>
      <c r="CI392" s="2449"/>
      <c r="CJ392" s="2450"/>
      <c r="CK392" s="2450"/>
      <c r="CL392" s="2451"/>
      <c r="CM392" s="2451"/>
      <c r="CN392" s="2451"/>
      <c r="CO392" s="2477">
        <v>4.9925673981676688E-3</v>
      </c>
      <c r="CP392" s="2478">
        <f t="shared" si="220"/>
        <v>4500.4699999999721</v>
      </c>
      <c r="CQ392" s="2478"/>
      <c r="CR392" s="2478"/>
      <c r="CS392" s="2478"/>
      <c r="CT392" s="2478"/>
    </row>
    <row r="393" spans="1:98" s="2485" customFormat="1" hidden="1" x14ac:dyDescent="0.2">
      <c r="A393" s="2328"/>
      <c r="C393" s="2329"/>
      <c r="D393" s="2329"/>
      <c r="E393" s="2330"/>
      <c r="H393" s="2549"/>
      <c r="I393" s="2549"/>
      <c r="J393" s="2549"/>
      <c r="K393" s="2550"/>
      <c r="M393" s="2549"/>
      <c r="N393" s="2549"/>
      <c r="P393" s="2551"/>
      <c r="R393" s="2549"/>
      <c r="S393" s="2549"/>
      <c r="U393" s="2549"/>
      <c r="V393" s="2549"/>
      <c r="W393" s="2549"/>
      <c r="X393" s="2550"/>
      <c r="Z393" s="2549"/>
      <c r="AA393" s="2549"/>
      <c r="AC393" s="2551"/>
      <c r="AE393" s="2549"/>
      <c r="AF393" s="2552"/>
      <c r="AH393" s="2549"/>
      <c r="AI393" s="2549"/>
      <c r="AJ393" s="2549"/>
      <c r="AK393" s="2550"/>
      <c r="AM393" s="2549"/>
      <c r="AN393" s="2549"/>
      <c r="AP393" s="2551"/>
      <c r="AR393" s="2549"/>
      <c r="AS393" s="2549"/>
      <c r="AT393" s="2549"/>
      <c r="AU393" s="2549"/>
      <c r="AV393" s="2549"/>
      <c r="AX393" s="2549"/>
      <c r="AY393" s="2549"/>
      <c r="AZ393" s="2549"/>
      <c r="BA393" s="2550"/>
      <c r="BC393" s="2549"/>
      <c r="BD393" s="2549"/>
      <c r="BF393" s="2551"/>
      <c r="BH393" s="2549"/>
      <c r="BI393" s="2549"/>
      <c r="BJ393" s="2549"/>
      <c r="BK393" s="2549"/>
      <c r="BM393" s="2549"/>
      <c r="BN393" s="2466"/>
      <c r="BO393" s="2553"/>
      <c r="BP393" s="2554"/>
      <c r="BQ393" s="2491"/>
      <c r="BR393" s="2553"/>
      <c r="BS393" s="2553"/>
      <c r="BT393" s="2491"/>
      <c r="BU393" s="2555"/>
      <c r="BV393" s="2491"/>
      <c r="BW393" s="2553"/>
      <c r="BX393" s="2549"/>
      <c r="BZ393" s="2553"/>
      <c r="CA393" s="2466"/>
      <c r="CB393" s="2553"/>
      <c r="CC393" s="2554"/>
      <c r="CD393" s="2491"/>
      <c r="CE393" s="2553"/>
      <c r="CF393" s="2554"/>
      <c r="CG393" s="2553"/>
      <c r="CH393" s="2449" t="s">
        <v>1091</v>
      </c>
      <c r="CI393" s="2449"/>
      <c r="CJ393" s="2450"/>
      <c r="CK393" s="2450"/>
      <c r="CL393" s="2451"/>
      <c r="CM393" s="2451"/>
      <c r="CN393" s="2451"/>
      <c r="CO393" s="2477"/>
      <c r="CP393" s="2478">
        <f t="shared" si="220"/>
        <v>0</v>
      </c>
      <c r="CQ393" s="2478"/>
      <c r="CR393" s="2478"/>
      <c r="CS393" s="2478"/>
      <c r="CT393" s="2478"/>
    </row>
    <row r="394" spans="1:98" hidden="1" x14ac:dyDescent="0.2">
      <c r="A394" s="2395">
        <v>220</v>
      </c>
      <c r="B394" s="2440" t="s">
        <v>1214</v>
      </c>
      <c r="C394" s="2396">
        <v>22005</v>
      </c>
      <c r="D394" s="2396">
        <v>52100</v>
      </c>
      <c r="E394" s="2397" t="s">
        <v>1268</v>
      </c>
      <c r="F394" s="2440" t="s">
        <v>1214</v>
      </c>
      <c r="G394" s="2440" t="s">
        <v>1772</v>
      </c>
      <c r="H394" s="2466">
        <v>6000</v>
      </c>
      <c r="I394" s="2470"/>
      <c r="J394" s="2466">
        <f t="shared" ref="J394:J429" si="221">H394+I394</f>
        <v>6000</v>
      </c>
      <c r="K394" s="2468">
        <f t="shared" ref="K394:K429" si="222">IF(H394=0," ",(J394-H394)/H394)</f>
        <v>0</v>
      </c>
      <c r="M394" s="2467">
        <v>6000</v>
      </c>
      <c r="N394" s="2467">
        <v>6000</v>
      </c>
      <c r="P394" s="2469"/>
      <c r="R394" s="2466">
        <v>6000</v>
      </c>
      <c r="S394" s="2466">
        <v>4952.12</v>
      </c>
      <c r="U394" s="2466">
        <v>6000</v>
      </c>
      <c r="V394" s="2470">
        <v>0</v>
      </c>
      <c r="W394" s="2466">
        <f t="shared" ref="W394:W429" si="223">U394+V394</f>
        <v>6000</v>
      </c>
      <c r="X394" s="2468">
        <f t="shared" ref="X394:X429" si="224">IF(U394=0," ",(W394-U394)/U394)</f>
        <v>0</v>
      </c>
      <c r="Z394" s="2467">
        <v>6000</v>
      </c>
      <c r="AA394" s="2467">
        <v>6000</v>
      </c>
      <c r="AC394" s="2469"/>
      <c r="AE394" s="2466">
        <v>6000</v>
      </c>
      <c r="AF394" s="2471">
        <v>4753.13</v>
      </c>
      <c r="AH394" s="2466">
        <v>6000</v>
      </c>
      <c r="AI394" s="2470"/>
      <c r="AJ394" s="2466">
        <f t="shared" ref="AJ394:AJ407" si="225">AH394+AI394</f>
        <v>6000</v>
      </c>
      <c r="AK394" s="2468">
        <f t="shared" ref="AK394:AK407" si="226">IF(AH394=0," ",(AJ394-AH394)/AH394)</f>
        <v>0</v>
      </c>
      <c r="AM394" s="2467">
        <v>6000</v>
      </c>
      <c r="AN394" s="2467">
        <v>6000</v>
      </c>
      <c r="AP394" s="2469"/>
      <c r="AR394" s="2466">
        <v>6000</v>
      </c>
      <c r="AS394" s="2466">
        <v>5149.1400000000003</v>
      </c>
      <c r="AT394" s="2466"/>
      <c r="AU394" s="2466">
        <v>6000</v>
      </c>
      <c r="AV394" s="2466">
        <v>6599.84</v>
      </c>
      <c r="AX394" s="2466">
        <v>6000</v>
      </c>
      <c r="AY394" s="2470"/>
      <c r="AZ394" s="2466">
        <f t="shared" ref="AZ394:AZ431" si="227">AX394+AY394</f>
        <v>6000</v>
      </c>
      <c r="BA394" s="2468">
        <f t="shared" ref="BA394:BA407" si="228">IF(AX394=0," ",(AZ394-AX394)/AX394)</f>
        <v>0</v>
      </c>
      <c r="BC394" s="2467">
        <v>6000</v>
      </c>
      <c r="BD394" s="2467">
        <v>6000</v>
      </c>
      <c r="BF394" s="2469"/>
      <c r="BH394" s="2467">
        <v>6000</v>
      </c>
      <c r="BI394" s="2466">
        <v>6041.82</v>
      </c>
      <c r="BM394" s="2466">
        <v>6000</v>
      </c>
      <c r="BN394" s="2470">
        <v>1000</v>
      </c>
      <c r="BO394" s="2472">
        <f t="shared" ref="BO394:BO431" si="229">BM394+BN394</f>
        <v>7000</v>
      </c>
      <c r="BP394" s="2473">
        <f t="shared" ref="BP394:BP407" si="230">IF(BM394=0," ",(BO394-BM394)/BM394)</f>
        <v>0.16666666666666666</v>
      </c>
      <c r="BR394" s="2474">
        <v>7000</v>
      </c>
      <c r="BS394" s="2474">
        <v>7000</v>
      </c>
      <c r="BU394" s="2578" t="s">
        <v>1430</v>
      </c>
      <c r="BW394" s="2474">
        <v>7000</v>
      </c>
      <c r="BX394" s="2466">
        <v>2544.1999999999998</v>
      </c>
      <c r="BZ394" s="2474">
        <v>7000</v>
      </c>
      <c r="CA394" s="2470">
        <v>700</v>
      </c>
      <c r="CB394" s="2472">
        <f t="shared" ref="CB394:CB431" si="231">BZ394+CA394</f>
        <v>7700</v>
      </c>
      <c r="CC394" s="2473">
        <f t="shared" ref="CC394:CC407" si="232">IF(BZ394=0," ",(CB394-BZ394)/BZ394)</f>
        <v>0.1</v>
      </c>
      <c r="CE394" s="2474">
        <v>7700</v>
      </c>
      <c r="CF394" s="2476">
        <f t="shared" ref="CF394:CF407" si="233">IF(CB394=0," ",(CE394-CB394)/CB394)</f>
        <v>0</v>
      </c>
      <c r="CG394" s="2474">
        <v>7700</v>
      </c>
      <c r="CH394" s="2449" t="s">
        <v>1217</v>
      </c>
      <c r="CI394" s="2449"/>
      <c r="CJ394" s="2450"/>
      <c r="CK394" s="2450"/>
      <c r="CO394" s="2477">
        <v>6.9699999999999207E-3</v>
      </c>
      <c r="CP394" s="2478">
        <f t="shared" si="220"/>
        <v>41.819999999999709</v>
      </c>
      <c r="CQ394" s="2478"/>
      <c r="CR394" s="2478"/>
      <c r="CS394" s="2478"/>
      <c r="CT394" s="2478"/>
    </row>
    <row r="395" spans="1:98" hidden="1" x14ac:dyDescent="0.2">
      <c r="A395" s="2395">
        <v>220</v>
      </c>
      <c r="B395" s="2440" t="s">
        <v>1214</v>
      </c>
      <c r="C395" s="2396">
        <v>22005</v>
      </c>
      <c r="D395" s="2396">
        <v>52150</v>
      </c>
      <c r="E395" s="2397" t="s">
        <v>1268</v>
      </c>
      <c r="F395" s="2440" t="s">
        <v>1214</v>
      </c>
      <c r="G395" s="2440" t="s">
        <v>1773</v>
      </c>
      <c r="H395" s="2466">
        <v>7500</v>
      </c>
      <c r="I395" s="2470"/>
      <c r="J395" s="2466">
        <f t="shared" si="221"/>
        <v>7500</v>
      </c>
      <c r="K395" s="2468">
        <f t="shared" si="222"/>
        <v>0</v>
      </c>
      <c r="M395" s="2467">
        <v>7500</v>
      </c>
      <c r="N395" s="2467">
        <v>7500</v>
      </c>
      <c r="P395" s="2469"/>
      <c r="R395" s="2466">
        <v>7500</v>
      </c>
      <c r="S395" s="2466">
        <v>6755.32</v>
      </c>
      <c r="U395" s="2466">
        <v>7500</v>
      </c>
      <c r="V395" s="2470">
        <v>0</v>
      </c>
      <c r="W395" s="2466">
        <f t="shared" si="223"/>
        <v>7500</v>
      </c>
      <c r="X395" s="2468">
        <f t="shared" si="224"/>
        <v>0</v>
      </c>
      <c r="Z395" s="2467">
        <v>7500</v>
      </c>
      <c r="AA395" s="2467">
        <v>7500</v>
      </c>
      <c r="AC395" s="2469"/>
      <c r="AE395" s="2466">
        <v>7500</v>
      </c>
      <c r="AF395" s="2471">
        <v>7223.76</v>
      </c>
      <c r="AH395" s="2466">
        <v>7500</v>
      </c>
      <c r="AI395" s="2470"/>
      <c r="AJ395" s="2466">
        <f t="shared" si="225"/>
        <v>7500</v>
      </c>
      <c r="AK395" s="2468">
        <f t="shared" si="226"/>
        <v>0</v>
      </c>
      <c r="AM395" s="2467">
        <v>7500</v>
      </c>
      <c r="AN395" s="2467">
        <v>7500</v>
      </c>
      <c r="AP395" s="2469"/>
      <c r="AR395" s="2466">
        <v>7500</v>
      </c>
      <c r="AS395" s="2466">
        <v>5602.58</v>
      </c>
      <c r="AT395" s="2466"/>
      <c r="AU395" s="2466">
        <v>7500</v>
      </c>
      <c r="AV395" s="2466">
        <v>5716.16</v>
      </c>
      <c r="AX395" s="2466">
        <v>7500</v>
      </c>
      <c r="AY395" s="2470"/>
      <c r="AZ395" s="2466">
        <f t="shared" si="227"/>
        <v>7500</v>
      </c>
      <c r="BA395" s="2468">
        <f t="shared" si="228"/>
        <v>0</v>
      </c>
      <c r="BC395" s="2467">
        <v>7500</v>
      </c>
      <c r="BD395" s="2467">
        <v>7500</v>
      </c>
      <c r="BF395" s="2469"/>
      <c r="BH395" s="2467">
        <v>7500</v>
      </c>
      <c r="BI395" s="2466">
        <v>7149.96</v>
      </c>
      <c r="BM395" s="2466">
        <v>7500</v>
      </c>
      <c r="BN395" s="2470"/>
      <c r="BO395" s="2472">
        <f t="shared" si="229"/>
        <v>7500</v>
      </c>
      <c r="BP395" s="2473">
        <f t="shared" si="230"/>
        <v>0</v>
      </c>
      <c r="BR395" s="2474">
        <v>7500</v>
      </c>
      <c r="BS395" s="2474">
        <v>7500</v>
      </c>
      <c r="BU395" s="2475"/>
      <c r="BW395" s="2474">
        <v>7500</v>
      </c>
      <c r="BX395" s="2466">
        <v>1367.02</v>
      </c>
      <c r="BZ395" s="2474">
        <v>7500</v>
      </c>
      <c r="CA395" s="2470">
        <v>750</v>
      </c>
      <c r="CB395" s="2472">
        <f t="shared" si="231"/>
        <v>8250</v>
      </c>
      <c r="CC395" s="2473">
        <f t="shared" si="232"/>
        <v>0.1</v>
      </c>
      <c r="CE395" s="2474">
        <v>8250</v>
      </c>
      <c r="CF395" s="2476">
        <f t="shared" si="233"/>
        <v>0</v>
      </c>
      <c r="CG395" s="2474">
        <v>8250</v>
      </c>
      <c r="CH395" s="2449" t="s">
        <v>1217</v>
      </c>
      <c r="CI395" s="2449"/>
      <c r="CJ395" s="2450"/>
      <c r="CK395" s="2450"/>
      <c r="CO395" s="2477">
        <v>-4.6672000000000047E-2</v>
      </c>
      <c r="CP395" s="2478">
        <f t="shared" si="220"/>
        <v>-350.03999999999996</v>
      </c>
      <c r="CQ395" s="2478"/>
      <c r="CR395" s="2478"/>
      <c r="CS395" s="2478"/>
      <c r="CT395" s="2478"/>
    </row>
    <row r="396" spans="1:98" hidden="1" x14ac:dyDescent="0.2">
      <c r="A396" s="2395">
        <v>220</v>
      </c>
      <c r="B396" s="2440" t="s">
        <v>1214</v>
      </c>
      <c r="C396" s="2396">
        <v>22005</v>
      </c>
      <c r="D396" s="2396">
        <v>52300</v>
      </c>
      <c r="E396" s="2397" t="s">
        <v>1268</v>
      </c>
      <c r="F396" s="2440" t="s">
        <v>1214</v>
      </c>
      <c r="G396" s="2440" t="s">
        <v>1774</v>
      </c>
      <c r="H396" s="2466">
        <v>450</v>
      </c>
      <c r="I396" s="2470"/>
      <c r="J396" s="2466">
        <f t="shared" si="221"/>
        <v>450</v>
      </c>
      <c r="K396" s="2468">
        <f t="shared" si="222"/>
        <v>0</v>
      </c>
      <c r="M396" s="2467">
        <v>450</v>
      </c>
      <c r="N396" s="2467">
        <v>450</v>
      </c>
      <c r="P396" s="2469"/>
      <c r="R396" s="2466">
        <v>450</v>
      </c>
      <c r="S396" s="2466">
        <v>534.29999999999995</v>
      </c>
      <c r="U396" s="2466">
        <v>450</v>
      </c>
      <c r="V396" s="2470">
        <v>0</v>
      </c>
      <c r="W396" s="2466">
        <f t="shared" si="223"/>
        <v>450</v>
      </c>
      <c r="X396" s="2468">
        <f t="shared" si="224"/>
        <v>0</v>
      </c>
      <c r="Z396" s="2467">
        <v>450</v>
      </c>
      <c r="AA396" s="2467">
        <v>450</v>
      </c>
      <c r="AC396" s="2469"/>
      <c r="AE396" s="2466">
        <v>450</v>
      </c>
      <c r="AF396" s="2471">
        <v>656.5</v>
      </c>
      <c r="AH396" s="2466">
        <v>450</v>
      </c>
      <c r="AI396" s="2470"/>
      <c r="AJ396" s="2466">
        <f t="shared" si="225"/>
        <v>450</v>
      </c>
      <c r="AK396" s="2468">
        <f t="shared" si="226"/>
        <v>0</v>
      </c>
      <c r="AM396" s="2467">
        <v>450</v>
      </c>
      <c r="AN396" s="2467">
        <v>450</v>
      </c>
      <c r="AP396" s="2469"/>
      <c r="AR396" s="2466">
        <v>450</v>
      </c>
      <c r="AS396" s="2466">
        <v>805.1</v>
      </c>
      <c r="AT396" s="2466"/>
      <c r="AU396" s="2466">
        <f>450+500</f>
        <v>950</v>
      </c>
      <c r="AV396" s="2466">
        <v>770.09</v>
      </c>
      <c r="AX396" s="2466">
        <f>450+500</f>
        <v>950</v>
      </c>
      <c r="AY396" s="2470"/>
      <c r="AZ396" s="2466">
        <f t="shared" si="227"/>
        <v>950</v>
      </c>
      <c r="BA396" s="2468">
        <f t="shared" si="228"/>
        <v>0</v>
      </c>
      <c r="BC396" s="2467">
        <v>950</v>
      </c>
      <c r="BD396" s="2467">
        <v>950</v>
      </c>
      <c r="BF396" s="2469"/>
      <c r="BH396" s="2467">
        <v>950</v>
      </c>
      <c r="BI396" s="2466">
        <v>825.11</v>
      </c>
      <c r="BM396" s="2466">
        <v>950</v>
      </c>
      <c r="BN396" s="2470"/>
      <c r="BO396" s="2472">
        <f t="shared" si="229"/>
        <v>950</v>
      </c>
      <c r="BP396" s="2473">
        <f t="shared" si="230"/>
        <v>0</v>
      </c>
      <c r="BR396" s="2474">
        <v>950</v>
      </c>
      <c r="BS396" s="2474">
        <v>950</v>
      </c>
      <c r="BU396" s="2475"/>
      <c r="BW396" s="2474">
        <v>950</v>
      </c>
      <c r="BX396" s="2466">
        <v>443.68</v>
      </c>
      <c r="BZ396" s="2474">
        <v>950</v>
      </c>
      <c r="CA396" s="2470"/>
      <c r="CB396" s="2472">
        <f t="shared" si="231"/>
        <v>950</v>
      </c>
      <c r="CC396" s="2473">
        <f t="shared" si="232"/>
        <v>0</v>
      </c>
      <c r="CE396" s="2474">
        <v>950</v>
      </c>
      <c r="CF396" s="2476">
        <f t="shared" si="233"/>
        <v>0</v>
      </c>
      <c r="CG396" s="2474">
        <v>950</v>
      </c>
      <c r="CH396" s="2449" t="s">
        <v>1217</v>
      </c>
      <c r="CI396" s="2449"/>
      <c r="CJ396" s="2450"/>
      <c r="CK396" s="2450"/>
      <c r="CO396" s="2477">
        <v>-0.13146315789473684</v>
      </c>
      <c r="CP396" s="2478">
        <f t="shared" si="220"/>
        <v>-124.88999999999999</v>
      </c>
      <c r="CQ396" s="2478"/>
      <c r="CR396" s="2478"/>
      <c r="CS396" s="2478"/>
      <c r="CT396" s="2478"/>
    </row>
    <row r="397" spans="1:98" hidden="1" x14ac:dyDescent="0.2">
      <c r="A397" s="2395">
        <v>220</v>
      </c>
      <c r="B397" s="2440" t="s">
        <v>1214</v>
      </c>
      <c r="C397" s="2396">
        <v>22005</v>
      </c>
      <c r="D397" s="2396">
        <v>52400</v>
      </c>
      <c r="E397" s="2397" t="s">
        <v>1268</v>
      </c>
      <c r="F397" s="2440" t="s">
        <v>1214</v>
      </c>
      <c r="G397" s="2440" t="s">
        <v>1775</v>
      </c>
      <c r="H397" s="2466">
        <v>10000</v>
      </c>
      <c r="I397" s="2470"/>
      <c r="J397" s="2466">
        <f t="shared" si="221"/>
        <v>10000</v>
      </c>
      <c r="K397" s="2468">
        <f t="shared" si="222"/>
        <v>0</v>
      </c>
      <c r="M397" s="2467">
        <v>10000</v>
      </c>
      <c r="N397" s="2467">
        <v>10000</v>
      </c>
      <c r="P397" s="2530"/>
      <c r="R397" s="2466">
        <v>10000</v>
      </c>
      <c r="S397" s="2466">
        <v>3592.55</v>
      </c>
      <c r="U397" s="2466">
        <v>10000</v>
      </c>
      <c r="V397" s="2470">
        <v>0</v>
      </c>
      <c r="W397" s="2466">
        <f t="shared" si="223"/>
        <v>10000</v>
      </c>
      <c r="X397" s="2468">
        <f t="shared" si="224"/>
        <v>0</v>
      </c>
      <c r="Z397" s="2467">
        <v>10000</v>
      </c>
      <c r="AA397" s="2467">
        <v>10000</v>
      </c>
      <c r="AC397" s="2469"/>
      <c r="AE397" s="2466">
        <v>10000</v>
      </c>
      <c r="AF397" s="2471">
        <v>5455.29</v>
      </c>
      <c r="AH397" s="2466">
        <v>10000</v>
      </c>
      <c r="AI397" s="2470"/>
      <c r="AJ397" s="2466">
        <f t="shared" si="225"/>
        <v>10000</v>
      </c>
      <c r="AK397" s="2468">
        <f t="shared" si="226"/>
        <v>0</v>
      </c>
      <c r="AM397" s="2467">
        <f>10000+5650</f>
        <v>15650</v>
      </c>
      <c r="AN397" s="2467">
        <f>10000+5650</f>
        <v>15650</v>
      </c>
      <c r="AP397" s="2530" t="s">
        <v>1776</v>
      </c>
      <c r="AR397" s="2466">
        <f>10000+5650</f>
        <v>15650</v>
      </c>
      <c r="AS397" s="2466">
        <v>7415.3</v>
      </c>
      <c r="AT397" s="2466"/>
      <c r="AU397" s="2466">
        <v>15650</v>
      </c>
      <c r="AV397" s="2466">
        <v>14104.58</v>
      </c>
      <c r="AX397" s="2466">
        <v>15650</v>
      </c>
      <c r="AY397" s="2470"/>
      <c r="AZ397" s="2466">
        <f t="shared" si="227"/>
        <v>15650</v>
      </c>
      <c r="BA397" s="2468">
        <f t="shared" si="228"/>
        <v>0</v>
      </c>
      <c r="BC397" s="2467">
        <v>15650</v>
      </c>
      <c r="BD397" s="2467">
        <v>15650</v>
      </c>
      <c r="BF397" s="2469"/>
      <c r="BH397" s="2467">
        <v>15650</v>
      </c>
      <c r="BI397" s="2466">
        <v>3476.05</v>
      </c>
      <c r="BM397" s="2466">
        <v>15650</v>
      </c>
      <c r="BN397" s="2470"/>
      <c r="BO397" s="2472">
        <f t="shared" si="229"/>
        <v>15650</v>
      </c>
      <c r="BP397" s="2473">
        <f t="shared" si="230"/>
        <v>0</v>
      </c>
      <c r="BR397" s="2474">
        <v>15650</v>
      </c>
      <c r="BS397" s="2474">
        <v>15650</v>
      </c>
      <c r="BU397" s="2475"/>
      <c r="BW397" s="2474">
        <v>15650</v>
      </c>
      <c r="BX397" s="2466">
        <v>675.77</v>
      </c>
      <c r="BZ397" s="2474">
        <v>15650</v>
      </c>
      <c r="CA397" s="2470"/>
      <c r="CB397" s="2472">
        <f t="shared" si="231"/>
        <v>15650</v>
      </c>
      <c r="CC397" s="2473">
        <f t="shared" si="232"/>
        <v>0</v>
      </c>
      <c r="CE397" s="2474">
        <v>15650</v>
      </c>
      <c r="CF397" s="2476">
        <f t="shared" si="233"/>
        <v>0</v>
      </c>
      <c r="CG397" s="2474">
        <v>15650</v>
      </c>
      <c r="CH397" s="2449" t="s">
        <v>1217</v>
      </c>
      <c r="CI397" s="2449"/>
      <c r="CJ397" s="2450"/>
      <c r="CK397" s="2450"/>
      <c r="CO397" s="2477">
        <v>-0.77788817891373796</v>
      </c>
      <c r="CP397" s="2478">
        <f t="shared" si="220"/>
        <v>-12173.95</v>
      </c>
      <c r="CQ397" s="2478"/>
      <c r="CR397" s="2478"/>
      <c r="CS397" s="2478"/>
      <c r="CT397" s="2478"/>
    </row>
    <row r="398" spans="1:98" hidden="1" x14ac:dyDescent="0.2">
      <c r="A398" s="2395">
        <v>220</v>
      </c>
      <c r="B398" s="2440" t="s">
        <v>1214</v>
      </c>
      <c r="C398" s="2396">
        <v>22005</v>
      </c>
      <c r="D398" s="2396">
        <v>52420</v>
      </c>
      <c r="E398" s="2397" t="s">
        <v>1268</v>
      </c>
      <c r="F398" s="2440" t="s">
        <v>1214</v>
      </c>
      <c r="G398" s="2440" t="s">
        <v>1777</v>
      </c>
      <c r="H398" s="2466">
        <v>2300</v>
      </c>
      <c r="I398" s="2470">
        <v>500</v>
      </c>
      <c r="J398" s="2466">
        <f t="shared" si="221"/>
        <v>2800</v>
      </c>
      <c r="K398" s="2468">
        <f t="shared" si="222"/>
        <v>0.21739130434782608</v>
      </c>
      <c r="M398" s="2467">
        <v>2800</v>
      </c>
      <c r="N398" s="2467">
        <v>2800</v>
      </c>
      <c r="P398" s="2469" t="s">
        <v>1778</v>
      </c>
      <c r="R398" s="2466">
        <v>2800</v>
      </c>
      <c r="S398" s="2466">
        <v>630.1</v>
      </c>
      <c r="U398" s="2466">
        <v>2800</v>
      </c>
      <c r="V398" s="2470">
        <v>0</v>
      </c>
      <c r="W398" s="2466">
        <f t="shared" si="223"/>
        <v>2800</v>
      </c>
      <c r="X398" s="2468">
        <f t="shared" si="224"/>
        <v>0</v>
      </c>
      <c r="Z398" s="2467">
        <v>2800</v>
      </c>
      <c r="AA398" s="2467">
        <v>2800</v>
      </c>
      <c r="AC398" s="2469"/>
      <c r="AE398" s="2466">
        <v>2800</v>
      </c>
      <c r="AF398" s="2471">
        <v>701.7</v>
      </c>
      <c r="AH398" s="2466">
        <v>2800</v>
      </c>
      <c r="AI398" s="2470"/>
      <c r="AJ398" s="2466">
        <f t="shared" si="225"/>
        <v>2800</v>
      </c>
      <c r="AK398" s="2468">
        <f t="shared" si="226"/>
        <v>0</v>
      </c>
      <c r="AM398" s="2467">
        <v>2800</v>
      </c>
      <c r="AN398" s="2467">
        <v>2800</v>
      </c>
      <c r="AP398" s="2469"/>
      <c r="AR398" s="2466">
        <v>2800</v>
      </c>
      <c r="AS398" s="2466">
        <v>254.8</v>
      </c>
      <c r="AT398" s="2466"/>
      <c r="AU398" s="2466">
        <v>2800</v>
      </c>
      <c r="AV398" s="2466">
        <v>405.82</v>
      </c>
      <c r="AX398" s="2466">
        <v>2800</v>
      </c>
      <c r="AY398" s="2470"/>
      <c r="AZ398" s="2466">
        <f t="shared" si="227"/>
        <v>2800</v>
      </c>
      <c r="BA398" s="2468">
        <f t="shared" si="228"/>
        <v>0</v>
      </c>
      <c r="BC398" s="2467">
        <v>2800</v>
      </c>
      <c r="BD398" s="2467">
        <v>2800</v>
      </c>
      <c r="BF398" s="2469"/>
      <c r="BH398" s="2467">
        <v>2800</v>
      </c>
      <c r="BI398" s="2466">
        <v>0</v>
      </c>
      <c r="BM398" s="2466">
        <v>2800</v>
      </c>
      <c r="BN398" s="2470"/>
      <c r="BO398" s="2472">
        <f t="shared" si="229"/>
        <v>2800</v>
      </c>
      <c r="BP398" s="2473">
        <f t="shared" si="230"/>
        <v>0</v>
      </c>
      <c r="BR398" s="2474">
        <v>2800</v>
      </c>
      <c r="BS398" s="2474">
        <v>2800</v>
      </c>
      <c r="BU398" s="2475"/>
      <c r="BW398" s="2474">
        <v>2800</v>
      </c>
      <c r="BZ398" s="2474">
        <v>2800</v>
      </c>
      <c r="CA398" s="2470"/>
      <c r="CB398" s="2472">
        <f t="shared" si="231"/>
        <v>2800</v>
      </c>
      <c r="CC398" s="2473">
        <f t="shared" si="232"/>
        <v>0</v>
      </c>
      <c r="CE398" s="2474">
        <v>2800</v>
      </c>
      <c r="CF398" s="2476">
        <f t="shared" si="233"/>
        <v>0</v>
      </c>
      <c r="CG398" s="2474">
        <v>2800</v>
      </c>
      <c r="CH398" s="2449" t="s">
        <v>1217</v>
      </c>
      <c r="CI398" s="2449"/>
      <c r="CJ398" s="2450"/>
      <c r="CK398" s="2450"/>
      <c r="CO398" s="2477" t="s">
        <v>1218</v>
      </c>
      <c r="CP398" s="2478">
        <f t="shared" si="220"/>
        <v>-2800</v>
      </c>
      <c r="CQ398" s="2478"/>
      <c r="CR398" s="2478"/>
      <c r="CS398" s="2478"/>
      <c r="CT398" s="2478"/>
    </row>
    <row r="399" spans="1:98" hidden="1" x14ac:dyDescent="0.2">
      <c r="A399" s="2395">
        <v>220</v>
      </c>
      <c r="B399" s="2440" t="s">
        <v>1214</v>
      </c>
      <c r="C399" s="2396">
        <v>22005</v>
      </c>
      <c r="D399" s="2396">
        <v>52430</v>
      </c>
      <c r="E399" s="2397" t="s">
        <v>1268</v>
      </c>
      <c r="F399" s="2440" t="s">
        <v>1214</v>
      </c>
      <c r="G399" s="2440" t="s">
        <v>1779</v>
      </c>
      <c r="H399" s="2466">
        <v>500</v>
      </c>
      <c r="I399" s="2470">
        <v>500</v>
      </c>
      <c r="J399" s="2466">
        <f t="shared" si="221"/>
        <v>1000</v>
      </c>
      <c r="K399" s="2468">
        <f t="shared" si="222"/>
        <v>1</v>
      </c>
      <c r="M399" s="2467">
        <v>1000</v>
      </c>
      <c r="N399" s="2467">
        <v>1000</v>
      </c>
      <c r="P399" s="2469" t="s">
        <v>1780</v>
      </c>
      <c r="R399" s="2466">
        <v>1000</v>
      </c>
      <c r="S399" s="2466">
        <v>990</v>
      </c>
      <c r="U399" s="2466">
        <v>1000</v>
      </c>
      <c r="V399" s="2470">
        <v>0</v>
      </c>
      <c r="W399" s="2466">
        <f t="shared" si="223"/>
        <v>1000</v>
      </c>
      <c r="X399" s="2468">
        <f t="shared" si="224"/>
        <v>0</v>
      </c>
      <c r="Z399" s="2467">
        <v>1000</v>
      </c>
      <c r="AA399" s="2467">
        <v>1000</v>
      </c>
      <c r="AC399" s="2469"/>
      <c r="AE399" s="2466">
        <v>1000</v>
      </c>
      <c r="AF399" s="2471">
        <v>540</v>
      </c>
      <c r="AH399" s="2466">
        <v>1000</v>
      </c>
      <c r="AI399" s="2470"/>
      <c r="AJ399" s="2466">
        <f t="shared" si="225"/>
        <v>1000</v>
      </c>
      <c r="AK399" s="2468">
        <f t="shared" si="226"/>
        <v>0</v>
      </c>
      <c r="AM399" s="2467">
        <v>1000</v>
      </c>
      <c r="AN399" s="2467">
        <v>1000</v>
      </c>
      <c r="AP399" s="2469"/>
      <c r="AR399" s="2466">
        <v>1000</v>
      </c>
      <c r="AS399" s="2466">
        <v>885</v>
      </c>
      <c r="AT399" s="2466"/>
      <c r="AU399" s="2466">
        <v>1000</v>
      </c>
      <c r="AV399" s="2466">
        <v>740</v>
      </c>
      <c r="AX399" s="2466">
        <v>1000</v>
      </c>
      <c r="AY399" s="2470"/>
      <c r="AZ399" s="2466">
        <f t="shared" si="227"/>
        <v>1000</v>
      </c>
      <c r="BA399" s="2468">
        <f t="shared" si="228"/>
        <v>0</v>
      </c>
      <c r="BC399" s="2467">
        <v>1000</v>
      </c>
      <c r="BD399" s="2467">
        <v>1000</v>
      </c>
      <c r="BF399" s="2469"/>
      <c r="BH399" s="2467">
        <v>1000</v>
      </c>
      <c r="BI399" s="2466">
        <v>815</v>
      </c>
      <c r="BM399" s="2466">
        <v>1000</v>
      </c>
      <c r="BN399" s="2470"/>
      <c r="BO399" s="2472">
        <f t="shared" si="229"/>
        <v>1000</v>
      </c>
      <c r="BP399" s="2473">
        <f t="shared" si="230"/>
        <v>0</v>
      </c>
      <c r="BR399" s="2474">
        <v>1000</v>
      </c>
      <c r="BS399" s="2474">
        <v>1000</v>
      </c>
      <c r="BU399" s="2475"/>
      <c r="BW399" s="2474">
        <v>1000</v>
      </c>
      <c r="BX399" s="2466">
        <v>135</v>
      </c>
      <c r="BZ399" s="2474">
        <v>1000</v>
      </c>
      <c r="CA399" s="2470"/>
      <c r="CB399" s="2472">
        <f t="shared" si="231"/>
        <v>1000</v>
      </c>
      <c r="CC399" s="2473">
        <f t="shared" si="232"/>
        <v>0</v>
      </c>
      <c r="CE399" s="2474">
        <v>1000</v>
      </c>
      <c r="CF399" s="2476">
        <f t="shared" si="233"/>
        <v>0</v>
      </c>
      <c r="CG399" s="2474">
        <v>1000</v>
      </c>
      <c r="CH399" s="2449" t="s">
        <v>1217</v>
      </c>
      <c r="CI399" s="2449"/>
      <c r="CJ399" s="2450"/>
      <c r="CK399" s="2450"/>
      <c r="CO399" s="2477">
        <v>-0.18500000000000005</v>
      </c>
      <c r="CP399" s="2478">
        <f t="shared" si="220"/>
        <v>-185</v>
      </c>
      <c r="CQ399" s="2478"/>
      <c r="CR399" s="2478"/>
      <c r="CS399" s="2478"/>
      <c r="CT399" s="2478"/>
    </row>
    <row r="400" spans="1:98" hidden="1" x14ac:dyDescent="0.2">
      <c r="A400" s="2395">
        <v>220</v>
      </c>
      <c r="B400" s="2440" t="s">
        <v>1214</v>
      </c>
      <c r="C400" s="2396">
        <v>22005</v>
      </c>
      <c r="D400" s="2396">
        <v>52450</v>
      </c>
      <c r="E400" s="2397" t="s">
        <v>1268</v>
      </c>
      <c r="F400" s="2440" t="s">
        <v>1214</v>
      </c>
      <c r="G400" s="2440" t="s">
        <v>1781</v>
      </c>
      <c r="H400" s="2466">
        <v>28000</v>
      </c>
      <c r="I400" s="2470">
        <v>683</v>
      </c>
      <c r="J400" s="2466">
        <f t="shared" si="221"/>
        <v>28683</v>
      </c>
      <c r="K400" s="2468">
        <f t="shared" si="222"/>
        <v>2.4392857142857143E-2</v>
      </c>
      <c r="M400" s="2467">
        <v>28683</v>
      </c>
      <c r="N400" s="2467">
        <v>28683</v>
      </c>
      <c r="P400" s="2469" t="s">
        <v>1782</v>
      </c>
      <c r="R400" s="2466">
        <v>28683</v>
      </c>
      <c r="S400" s="2466">
        <v>24105.360000000001</v>
      </c>
      <c r="U400" s="2466">
        <v>28683</v>
      </c>
      <c r="V400" s="2470">
        <v>0</v>
      </c>
      <c r="W400" s="2466">
        <f t="shared" si="223"/>
        <v>28683</v>
      </c>
      <c r="X400" s="2468">
        <f t="shared" si="224"/>
        <v>0</v>
      </c>
      <c r="Z400" s="2467">
        <v>28683</v>
      </c>
      <c r="AA400" s="2467">
        <v>28683</v>
      </c>
      <c r="AC400" s="2469"/>
      <c r="AE400" s="2466">
        <v>28683</v>
      </c>
      <c r="AF400" s="2471">
        <v>35478.400000000001</v>
      </c>
      <c r="AH400" s="2466">
        <v>28683</v>
      </c>
      <c r="AI400" s="2470"/>
      <c r="AJ400" s="2466">
        <f t="shared" si="225"/>
        <v>28683</v>
      </c>
      <c r="AK400" s="2468">
        <f t="shared" si="226"/>
        <v>0</v>
      </c>
      <c r="AM400" s="2467">
        <v>28683</v>
      </c>
      <c r="AN400" s="2467">
        <v>28683</v>
      </c>
      <c r="AP400" s="2469"/>
      <c r="AR400" s="2466">
        <v>28683</v>
      </c>
      <c r="AS400" s="2466">
        <v>42611.29</v>
      </c>
      <c r="AT400" s="2466"/>
      <c r="AU400" s="2466">
        <v>28683</v>
      </c>
      <c r="AV400" s="2466">
        <v>21912.73</v>
      </c>
      <c r="AX400" s="2466">
        <v>28683</v>
      </c>
      <c r="AY400" s="2542">
        <v>-2500</v>
      </c>
      <c r="AZ400" s="2466">
        <f t="shared" si="227"/>
        <v>26183</v>
      </c>
      <c r="BA400" s="2468">
        <f t="shared" si="228"/>
        <v>-8.7159641599553736E-2</v>
      </c>
      <c r="BC400" s="2467">
        <v>26183</v>
      </c>
      <c r="BD400" s="2467">
        <v>26183</v>
      </c>
      <c r="BF400" s="2543" t="s">
        <v>1273</v>
      </c>
      <c r="BH400" s="2467">
        <v>26183</v>
      </c>
      <c r="BI400" s="2466">
        <v>36070.129999999997</v>
      </c>
      <c r="BM400" s="2466">
        <v>26183</v>
      </c>
      <c r="BN400" s="2470">
        <v>-1000</v>
      </c>
      <c r="BO400" s="2472">
        <f t="shared" si="229"/>
        <v>25183</v>
      </c>
      <c r="BP400" s="2473">
        <f t="shared" si="230"/>
        <v>-3.8192720467478895E-2</v>
      </c>
      <c r="BR400" s="2474">
        <v>25183</v>
      </c>
      <c r="BS400" s="2474">
        <v>25183</v>
      </c>
      <c r="BU400" s="2578" t="s">
        <v>1430</v>
      </c>
      <c r="BW400" s="2474">
        <v>25183</v>
      </c>
      <c r="BX400" s="2466">
        <v>21594.6</v>
      </c>
      <c r="BZ400" s="2474">
        <v>25183</v>
      </c>
      <c r="CA400" s="2470"/>
      <c r="CB400" s="2472">
        <f t="shared" si="231"/>
        <v>25183</v>
      </c>
      <c r="CC400" s="2473">
        <f t="shared" si="232"/>
        <v>0</v>
      </c>
      <c r="CE400" s="2474">
        <v>25183</v>
      </c>
      <c r="CF400" s="2476">
        <f t="shared" si="233"/>
        <v>0</v>
      </c>
      <c r="CG400" s="2474">
        <v>25183</v>
      </c>
      <c r="CH400" s="2449" t="s">
        <v>1217</v>
      </c>
      <c r="CI400" s="2449"/>
      <c r="CJ400" s="2450"/>
      <c r="CK400" s="2450"/>
      <c r="CO400" s="2477">
        <v>0.3776163923156246</v>
      </c>
      <c r="CP400" s="2478">
        <f t="shared" si="220"/>
        <v>9887.1299999999974</v>
      </c>
      <c r="CQ400" s="2478"/>
      <c r="CR400" s="2478"/>
      <c r="CS400" s="2478"/>
      <c r="CT400" s="2478"/>
    </row>
    <row r="401" spans="1:98" hidden="1" x14ac:dyDescent="0.2">
      <c r="A401" s="2395">
        <v>220</v>
      </c>
      <c r="B401" s="2440" t="s">
        <v>1214</v>
      </c>
      <c r="C401" s="2396">
        <v>22005</v>
      </c>
      <c r="D401" s="2396">
        <v>52720</v>
      </c>
      <c r="E401" s="2397" t="s">
        <v>1268</v>
      </c>
      <c r="F401" s="2440" t="s">
        <v>1214</v>
      </c>
      <c r="G401" s="2440" t="s">
        <v>1783</v>
      </c>
      <c r="H401" s="2466">
        <v>1975</v>
      </c>
      <c r="I401" s="2470"/>
      <c r="J401" s="2466">
        <f t="shared" si="221"/>
        <v>1975</v>
      </c>
      <c r="K401" s="2468">
        <f t="shared" si="222"/>
        <v>0</v>
      </c>
      <c r="M401" s="2467">
        <v>1975</v>
      </c>
      <c r="N401" s="2467">
        <v>1975</v>
      </c>
      <c r="P401" s="2469"/>
      <c r="R401" s="2466">
        <v>1975</v>
      </c>
      <c r="S401" s="2466">
        <v>0</v>
      </c>
      <c r="U401" s="2466">
        <v>1975</v>
      </c>
      <c r="V401" s="2470">
        <v>0</v>
      </c>
      <c r="W401" s="2466">
        <f t="shared" si="223"/>
        <v>1975</v>
      </c>
      <c r="X401" s="2468">
        <f t="shared" si="224"/>
        <v>0</v>
      </c>
      <c r="Z401" s="2467">
        <v>1975</v>
      </c>
      <c r="AA401" s="2467">
        <v>1975</v>
      </c>
      <c r="AC401" s="2469"/>
      <c r="AE401" s="2466">
        <v>1975</v>
      </c>
      <c r="AF401" s="2471">
        <v>0</v>
      </c>
      <c r="AH401" s="2466">
        <v>1975</v>
      </c>
      <c r="AI401" s="2470"/>
      <c r="AJ401" s="2466">
        <f t="shared" si="225"/>
        <v>1975</v>
      </c>
      <c r="AK401" s="2468">
        <f t="shared" si="226"/>
        <v>0</v>
      </c>
      <c r="AM401" s="2467">
        <v>1975</v>
      </c>
      <c r="AN401" s="2467">
        <v>1975</v>
      </c>
      <c r="AP401" s="2469"/>
      <c r="AR401" s="2466">
        <v>1975</v>
      </c>
      <c r="AS401" s="2466">
        <v>30</v>
      </c>
      <c r="AT401" s="2466"/>
      <c r="AU401" s="2466">
        <v>1975</v>
      </c>
      <c r="AV401" s="2466">
        <v>150</v>
      </c>
      <c r="AX401" s="2466">
        <v>1975</v>
      </c>
      <c r="AY401" s="2470"/>
      <c r="AZ401" s="2466">
        <f t="shared" si="227"/>
        <v>1975</v>
      </c>
      <c r="BA401" s="2468">
        <f t="shared" si="228"/>
        <v>0</v>
      </c>
      <c r="BC401" s="2467">
        <v>1975</v>
      </c>
      <c r="BD401" s="2467">
        <v>1975</v>
      </c>
      <c r="BF401" s="2469"/>
      <c r="BH401" s="2467">
        <v>1975</v>
      </c>
      <c r="BI401" s="2466">
        <v>1300</v>
      </c>
      <c r="BM401" s="2466">
        <v>1975</v>
      </c>
      <c r="BN401" s="2470"/>
      <c r="BO401" s="2472">
        <f t="shared" si="229"/>
        <v>1975</v>
      </c>
      <c r="BP401" s="2473">
        <f t="shared" si="230"/>
        <v>0</v>
      </c>
      <c r="BR401" s="2474">
        <v>1975</v>
      </c>
      <c r="BS401" s="2474">
        <v>1975</v>
      </c>
      <c r="BU401" s="2475"/>
      <c r="BW401" s="2474">
        <v>1975</v>
      </c>
      <c r="BX401" s="2466">
        <v>10</v>
      </c>
      <c r="BZ401" s="2474">
        <v>1975</v>
      </c>
      <c r="CA401" s="2470"/>
      <c r="CB401" s="2472">
        <f t="shared" si="231"/>
        <v>1975</v>
      </c>
      <c r="CC401" s="2473">
        <f t="shared" si="232"/>
        <v>0</v>
      </c>
      <c r="CE401" s="2474">
        <v>1975</v>
      </c>
      <c r="CF401" s="2476">
        <f t="shared" si="233"/>
        <v>0</v>
      </c>
      <c r="CG401" s="2474">
        <v>1975</v>
      </c>
      <c r="CH401" s="2449" t="s">
        <v>1217</v>
      </c>
      <c r="CI401" s="2449"/>
      <c r="CJ401" s="2450"/>
      <c r="CK401" s="2450"/>
      <c r="CO401" s="2477">
        <v>-0.34177215189873422</v>
      </c>
      <c r="CP401" s="2478">
        <f t="shared" si="220"/>
        <v>-675</v>
      </c>
      <c r="CQ401" s="2478"/>
      <c r="CR401" s="2478"/>
      <c r="CS401" s="2478"/>
      <c r="CT401" s="2478"/>
    </row>
    <row r="402" spans="1:98" hidden="1" x14ac:dyDescent="0.2">
      <c r="A402" s="2395">
        <v>220</v>
      </c>
      <c r="B402" s="2440" t="s">
        <v>1214</v>
      </c>
      <c r="C402" s="2396">
        <v>22005</v>
      </c>
      <c r="D402" s="2396">
        <v>53000</v>
      </c>
      <c r="E402" s="2397" t="s">
        <v>1268</v>
      </c>
      <c r="F402" s="2440" t="s">
        <v>1214</v>
      </c>
      <c r="G402" s="2440" t="s">
        <v>1784</v>
      </c>
      <c r="H402" s="2466">
        <v>3000</v>
      </c>
      <c r="I402" s="2470"/>
      <c r="J402" s="2466">
        <f t="shared" si="221"/>
        <v>3000</v>
      </c>
      <c r="K402" s="2468">
        <f t="shared" si="222"/>
        <v>0</v>
      </c>
      <c r="M402" s="2467">
        <v>3000</v>
      </c>
      <c r="N402" s="2467">
        <v>3000</v>
      </c>
      <c r="P402" s="2469"/>
      <c r="R402" s="2466">
        <v>3000</v>
      </c>
      <c r="S402" s="2466">
        <v>4550</v>
      </c>
      <c r="U402" s="2466">
        <v>3000</v>
      </c>
      <c r="V402" s="2470">
        <v>0</v>
      </c>
      <c r="W402" s="2466">
        <f t="shared" si="223"/>
        <v>3000</v>
      </c>
      <c r="X402" s="2468">
        <f t="shared" si="224"/>
        <v>0</v>
      </c>
      <c r="Z402" s="2467">
        <v>3000</v>
      </c>
      <c r="AA402" s="2467">
        <v>3000</v>
      </c>
      <c r="AC402" s="2469"/>
      <c r="AE402" s="2466">
        <v>3000</v>
      </c>
      <c r="AF402" s="2471">
        <v>7737</v>
      </c>
      <c r="AH402" s="2466">
        <v>3000</v>
      </c>
      <c r="AI402" s="2470"/>
      <c r="AJ402" s="2466">
        <f t="shared" si="225"/>
        <v>3000</v>
      </c>
      <c r="AK402" s="2468">
        <f t="shared" si="226"/>
        <v>0</v>
      </c>
      <c r="AM402" s="2467">
        <f>3000+8050</f>
        <v>11050</v>
      </c>
      <c r="AN402" s="2467">
        <f>3000+8050</f>
        <v>11050</v>
      </c>
      <c r="AP402" s="2530" t="s">
        <v>1785</v>
      </c>
      <c r="AR402" s="2466">
        <f>3000+8050</f>
        <v>11050</v>
      </c>
      <c r="AS402" s="2466">
        <v>1490</v>
      </c>
      <c r="AT402" s="2466"/>
      <c r="AU402" s="2466">
        <v>11050</v>
      </c>
      <c r="AV402" s="2466">
        <v>3717</v>
      </c>
      <c r="AX402" s="2466">
        <v>11050</v>
      </c>
      <c r="AY402" s="2470"/>
      <c r="AZ402" s="2466">
        <f t="shared" si="227"/>
        <v>11050</v>
      </c>
      <c r="BA402" s="2468">
        <f t="shared" si="228"/>
        <v>0</v>
      </c>
      <c r="BC402" s="2467">
        <v>11050</v>
      </c>
      <c r="BD402" s="2467">
        <v>11050</v>
      </c>
      <c r="BF402" s="2469"/>
      <c r="BH402" s="2467">
        <v>11050</v>
      </c>
      <c r="BI402" s="2466">
        <v>1290</v>
      </c>
      <c r="BM402" s="2466">
        <v>11050</v>
      </c>
      <c r="BN402" s="2470"/>
      <c r="BO402" s="2472">
        <f t="shared" si="229"/>
        <v>11050</v>
      </c>
      <c r="BP402" s="2473">
        <f t="shared" si="230"/>
        <v>0</v>
      </c>
      <c r="BR402" s="2474">
        <v>11050</v>
      </c>
      <c r="BS402" s="2474">
        <v>11050</v>
      </c>
      <c r="BU402" s="2475"/>
      <c r="BW402" s="2474">
        <v>11050</v>
      </c>
      <c r="BX402" s="2466">
        <v>465</v>
      </c>
      <c r="BZ402" s="2474">
        <v>11050</v>
      </c>
      <c r="CA402" s="2470">
        <v>-2000</v>
      </c>
      <c r="CB402" s="2472">
        <f t="shared" si="231"/>
        <v>9050</v>
      </c>
      <c r="CC402" s="2473">
        <f t="shared" si="232"/>
        <v>-0.18099547511312217</v>
      </c>
      <c r="CE402" s="2474">
        <v>9050</v>
      </c>
      <c r="CF402" s="2476">
        <f t="shared" si="233"/>
        <v>0</v>
      </c>
      <c r="CG402" s="2474">
        <v>9050</v>
      </c>
      <c r="CH402" s="2449" t="s">
        <v>1217</v>
      </c>
      <c r="CI402" s="2449"/>
      <c r="CJ402" s="2450"/>
      <c r="CK402" s="2450"/>
      <c r="CO402" s="2477">
        <v>-0.88325791855203617</v>
      </c>
      <c r="CP402" s="2478">
        <f t="shared" si="220"/>
        <v>-9760</v>
      </c>
      <c r="CQ402" s="2478"/>
      <c r="CR402" s="2478"/>
      <c r="CS402" s="2478"/>
      <c r="CT402" s="2478"/>
    </row>
    <row r="403" spans="1:98" hidden="1" x14ac:dyDescent="0.2">
      <c r="A403" s="2395">
        <v>220</v>
      </c>
      <c r="B403" s="2440" t="s">
        <v>1214</v>
      </c>
      <c r="C403" s="2396">
        <v>22005</v>
      </c>
      <c r="D403" s="2396">
        <v>53040</v>
      </c>
      <c r="E403" s="2397" t="s">
        <v>1268</v>
      </c>
      <c r="G403" s="2440" t="s">
        <v>1786</v>
      </c>
      <c r="I403" s="2470"/>
      <c r="M403" s="2467"/>
      <c r="N403" s="2467"/>
      <c r="P403" s="2469"/>
      <c r="V403" s="2470"/>
      <c r="Z403" s="2467"/>
      <c r="AA403" s="2467"/>
      <c r="AC403" s="2469"/>
      <c r="AI403" s="2470"/>
      <c r="AM403" s="2467"/>
      <c r="AN403" s="2467"/>
      <c r="AP403" s="2469"/>
      <c r="AS403" s="2466"/>
      <c r="AT403" s="2466"/>
      <c r="AY403" s="2628"/>
      <c r="BC403" s="2467"/>
      <c r="BD403" s="2467"/>
      <c r="BF403" s="2469"/>
      <c r="BH403" s="2467"/>
      <c r="BN403" s="2636"/>
      <c r="BO403" s="2472">
        <f t="shared" si="229"/>
        <v>0</v>
      </c>
      <c r="BP403" s="2473" t="str">
        <f t="shared" si="230"/>
        <v xml:space="preserve"> </v>
      </c>
      <c r="BR403" s="2474">
        <v>0</v>
      </c>
      <c r="BS403" s="2474">
        <v>0</v>
      </c>
      <c r="BU403" s="2585" t="s">
        <v>1688</v>
      </c>
      <c r="BW403" s="2474">
        <v>0</v>
      </c>
      <c r="BZ403" s="2474">
        <v>0</v>
      </c>
      <c r="CA403" s="2470">
        <v>3000</v>
      </c>
      <c r="CB403" s="2472">
        <f t="shared" si="231"/>
        <v>3000</v>
      </c>
      <c r="CC403" s="2473" t="str">
        <f t="shared" si="232"/>
        <v xml:space="preserve"> </v>
      </c>
      <c r="CE403" s="2474">
        <v>3000</v>
      </c>
      <c r="CF403" s="2476">
        <f t="shared" si="233"/>
        <v>0</v>
      </c>
      <c r="CG403" s="2474">
        <v>3000</v>
      </c>
      <c r="CH403" s="2449" t="s">
        <v>1217</v>
      </c>
      <c r="CI403" s="2449"/>
      <c r="CJ403" s="2450"/>
      <c r="CK403" s="2450"/>
      <c r="CP403" s="2478">
        <f t="shared" si="220"/>
        <v>0</v>
      </c>
      <c r="CQ403" s="2478"/>
      <c r="CR403" s="2478"/>
      <c r="CS403" s="2478"/>
      <c r="CT403" s="2478"/>
    </row>
    <row r="404" spans="1:98" hidden="1" x14ac:dyDescent="0.2">
      <c r="A404" s="2395">
        <v>220</v>
      </c>
      <c r="B404" s="2440" t="s">
        <v>1214</v>
      </c>
      <c r="C404" s="2396">
        <v>22005</v>
      </c>
      <c r="D404" s="2396">
        <v>53200</v>
      </c>
      <c r="E404" s="2397" t="s">
        <v>1268</v>
      </c>
      <c r="F404" s="2440" t="s">
        <v>1214</v>
      </c>
      <c r="G404" s="2440" t="s">
        <v>1787</v>
      </c>
      <c r="H404" s="2466">
        <v>6000</v>
      </c>
      <c r="I404" s="2470"/>
      <c r="J404" s="2466">
        <f t="shared" si="221"/>
        <v>6000</v>
      </c>
      <c r="K404" s="2468">
        <f t="shared" si="222"/>
        <v>0</v>
      </c>
      <c r="M404" s="2467">
        <v>6000</v>
      </c>
      <c r="N404" s="2467">
        <v>6000</v>
      </c>
      <c r="P404" s="2469"/>
      <c r="R404" s="2466">
        <v>6000</v>
      </c>
      <c r="S404" s="2466">
        <v>6214</v>
      </c>
      <c r="U404" s="2466">
        <v>6000</v>
      </c>
      <c r="V404" s="2470">
        <v>0</v>
      </c>
      <c r="W404" s="2466">
        <f t="shared" si="223"/>
        <v>6000</v>
      </c>
      <c r="X404" s="2468">
        <f t="shared" si="224"/>
        <v>0</v>
      </c>
      <c r="Z404" s="2467">
        <v>6000</v>
      </c>
      <c r="AA404" s="2467">
        <v>6000</v>
      </c>
      <c r="AC404" s="2469"/>
      <c r="AE404" s="2466">
        <v>6000</v>
      </c>
      <c r="AF404" s="2471">
        <v>7655.75</v>
      </c>
      <c r="AH404" s="2466">
        <v>6000</v>
      </c>
      <c r="AI404" s="2470"/>
      <c r="AJ404" s="2466">
        <f t="shared" si="225"/>
        <v>6000</v>
      </c>
      <c r="AK404" s="2468">
        <f t="shared" si="226"/>
        <v>0</v>
      </c>
      <c r="AM404" s="2467">
        <v>6000</v>
      </c>
      <c r="AN404" s="2467">
        <v>6000</v>
      </c>
      <c r="AP404" s="2469"/>
      <c r="AR404" s="2466">
        <v>6000</v>
      </c>
      <c r="AS404" s="2466">
        <v>4112.71</v>
      </c>
      <c r="AT404" s="2466"/>
      <c r="AU404" s="2466">
        <v>6000</v>
      </c>
      <c r="AV404" s="2466">
        <v>4759.1000000000004</v>
      </c>
      <c r="AX404" s="2466">
        <v>6000</v>
      </c>
      <c r="AY404" s="2470"/>
      <c r="AZ404" s="2466">
        <f t="shared" si="227"/>
        <v>6000</v>
      </c>
      <c r="BA404" s="2468">
        <f t="shared" si="228"/>
        <v>0</v>
      </c>
      <c r="BC404" s="2467">
        <v>6000</v>
      </c>
      <c r="BD404" s="2467">
        <v>6000</v>
      </c>
      <c r="BF404" s="2469"/>
      <c r="BH404" s="2467">
        <v>6000</v>
      </c>
      <c r="BI404" s="2466">
        <v>4470</v>
      </c>
      <c r="BM404" s="2466">
        <v>6000</v>
      </c>
      <c r="BN404" s="2470"/>
      <c r="BO404" s="2472">
        <f t="shared" si="229"/>
        <v>6000</v>
      </c>
      <c r="BP404" s="2473">
        <f t="shared" si="230"/>
        <v>0</v>
      </c>
      <c r="BR404" s="2474">
        <v>6000</v>
      </c>
      <c r="BS404" s="2474">
        <v>6000</v>
      </c>
      <c r="BU404" s="2475"/>
      <c r="BW404" s="2474">
        <v>6000</v>
      </c>
      <c r="BX404" s="2466">
        <v>1992</v>
      </c>
      <c r="BZ404" s="2474">
        <v>6000</v>
      </c>
      <c r="CA404" s="2470"/>
      <c r="CB404" s="2472">
        <f t="shared" si="231"/>
        <v>6000</v>
      </c>
      <c r="CC404" s="2473">
        <f t="shared" si="232"/>
        <v>0</v>
      </c>
      <c r="CE404" s="2474">
        <v>6000</v>
      </c>
      <c r="CF404" s="2476">
        <f t="shared" si="233"/>
        <v>0</v>
      </c>
      <c r="CG404" s="2474">
        <v>6000</v>
      </c>
      <c r="CH404" s="2449" t="s">
        <v>1217</v>
      </c>
      <c r="CI404" s="2449"/>
      <c r="CJ404" s="2450"/>
      <c r="CK404" s="2450"/>
      <c r="CO404" s="2477">
        <v>-0.255</v>
      </c>
      <c r="CP404" s="2478">
        <f t="shared" si="220"/>
        <v>-1530</v>
      </c>
      <c r="CQ404" s="2478"/>
      <c r="CR404" s="2478"/>
      <c r="CS404" s="2478"/>
      <c r="CT404" s="2478"/>
    </row>
    <row r="405" spans="1:98" hidden="1" x14ac:dyDescent="0.2">
      <c r="A405" s="2395">
        <v>220</v>
      </c>
      <c r="B405" s="2440" t="s">
        <v>1214</v>
      </c>
      <c r="C405" s="2396">
        <v>22005</v>
      </c>
      <c r="D405" s="2396">
        <v>53400</v>
      </c>
      <c r="E405" s="2397" t="s">
        <v>1268</v>
      </c>
      <c r="F405" s="2440" t="s">
        <v>1214</v>
      </c>
      <c r="G405" s="2440" t="s">
        <v>1788</v>
      </c>
      <c r="H405" s="2466">
        <v>4700</v>
      </c>
      <c r="I405" s="2470"/>
      <c r="J405" s="2466">
        <f t="shared" si="221"/>
        <v>4700</v>
      </c>
      <c r="K405" s="2468">
        <f t="shared" si="222"/>
        <v>0</v>
      </c>
      <c r="M405" s="2467">
        <v>4700</v>
      </c>
      <c r="N405" s="2467">
        <v>4700</v>
      </c>
      <c r="P405" s="2469"/>
      <c r="R405" s="2466">
        <v>4700</v>
      </c>
      <c r="S405" s="2466">
        <v>3103.84</v>
      </c>
      <c r="U405" s="2466">
        <v>4700</v>
      </c>
      <c r="V405" s="2470">
        <v>0</v>
      </c>
      <c r="W405" s="2466">
        <f t="shared" si="223"/>
        <v>4700</v>
      </c>
      <c r="X405" s="2468">
        <f t="shared" si="224"/>
        <v>0</v>
      </c>
      <c r="Z405" s="2467">
        <v>4700</v>
      </c>
      <c r="AA405" s="2467">
        <v>4700</v>
      </c>
      <c r="AC405" s="2469"/>
      <c r="AE405" s="2466">
        <v>4700</v>
      </c>
      <c r="AF405" s="2471">
        <v>1794.45</v>
      </c>
      <c r="AH405" s="2466">
        <v>4700</v>
      </c>
      <c r="AI405" s="2470"/>
      <c r="AJ405" s="2466">
        <f t="shared" si="225"/>
        <v>4700</v>
      </c>
      <c r="AK405" s="2468">
        <f t="shared" si="226"/>
        <v>0</v>
      </c>
      <c r="AM405" s="2467">
        <v>4700</v>
      </c>
      <c r="AN405" s="2467">
        <v>4700</v>
      </c>
      <c r="AP405" s="2469"/>
      <c r="AR405" s="2466">
        <v>4700</v>
      </c>
      <c r="AS405" s="2466">
        <v>1336.96</v>
      </c>
      <c r="AT405" s="2466"/>
      <c r="AU405" s="2466">
        <v>4700</v>
      </c>
      <c r="AV405" s="2466">
        <v>1236.67</v>
      </c>
      <c r="AX405" s="2466">
        <v>4700</v>
      </c>
      <c r="AY405" s="2470"/>
      <c r="AZ405" s="2466">
        <f t="shared" si="227"/>
        <v>4700</v>
      </c>
      <c r="BA405" s="2468">
        <f t="shared" si="228"/>
        <v>0</v>
      </c>
      <c r="BC405" s="2467">
        <v>4700</v>
      </c>
      <c r="BD405" s="2467">
        <v>4700</v>
      </c>
      <c r="BF405" s="2469"/>
      <c r="BH405" s="2467">
        <v>4700</v>
      </c>
      <c r="BI405" s="2466">
        <v>1027.8900000000001</v>
      </c>
      <c r="BM405" s="2466">
        <v>4700</v>
      </c>
      <c r="BN405" s="2470"/>
      <c r="BO405" s="2472">
        <f t="shared" si="229"/>
        <v>4700</v>
      </c>
      <c r="BP405" s="2473">
        <f t="shared" si="230"/>
        <v>0</v>
      </c>
      <c r="BR405" s="2474">
        <v>4700</v>
      </c>
      <c r="BS405" s="2474">
        <v>4700</v>
      </c>
      <c r="BU405" s="2475"/>
      <c r="BW405" s="2474">
        <v>4700</v>
      </c>
      <c r="BX405" s="2466">
        <v>325.94</v>
      </c>
      <c r="BZ405" s="2474">
        <v>4700</v>
      </c>
      <c r="CA405" s="2470"/>
      <c r="CB405" s="2472">
        <f t="shared" si="231"/>
        <v>4700</v>
      </c>
      <c r="CC405" s="2473">
        <f t="shared" si="232"/>
        <v>0</v>
      </c>
      <c r="CE405" s="2474">
        <v>4700</v>
      </c>
      <c r="CF405" s="2476">
        <f t="shared" si="233"/>
        <v>0</v>
      </c>
      <c r="CG405" s="2474">
        <v>4700</v>
      </c>
      <c r="CH405" s="2449" t="s">
        <v>1217</v>
      </c>
      <c r="CI405" s="2449"/>
      <c r="CJ405" s="2450"/>
      <c r="CK405" s="2450"/>
      <c r="CO405" s="2477">
        <v>-0.78129999999999999</v>
      </c>
      <c r="CP405" s="2478">
        <f t="shared" si="220"/>
        <v>-3672.1099999999997</v>
      </c>
      <c r="CQ405" s="2478"/>
      <c r="CR405" s="2478"/>
      <c r="CS405" s="2478"/>
      <c r="CT405" s="2478"/>
    </row>
    <row r="406" spans="1:98" hidden="1" x14ac:dyDescent="0.2">
      <c r="A406" s="2395">
        <v>220</v>
      </c>
      <c r="B406" s="2440" t="s">
        <v>1214</v>
      </c>
      <c r="C406" s="2396">
        <v>22005</v>
      </c>
      <c r="D406" s="2396">
        <v>53430</v>
      </c>
      <c r="E406" s="2397" t="s">
        <v>1268</v>
      </c>
      <c r="F406" s="2440" t="s">
        <v>1214</v>
      </c>
      <c r="G406" s="2440" t="s">
        <v>1789</v>
      </c>
      <c r="H406" s="2466">
        <v>200</v>
      </c>
      <c r="I406" s="2470"/>
      <c r="J406" s="2466">
        <f t="shared" si="221"/>
        <v>200</v>
      </c>
      <c r="K406" s="2468">
        <f t="shared" si="222"/>
        <v>0</v>
      </c>
      <c r="M406" s="2467">
        <v>200</v>
      </c>
      <c r="N406" s="2467">
        <v>200</v>
      </c>
      <c r="P406" s="2469"/>
      <c r="R406" s="2466">
        <v>200</v>
      </c>
      <c r="S406" s="2466">
        <v>86.37</v>
      </c>
      <c r="U406" s="2466">
        <v>200</v>
      </c>
      <c r="V406" s="2470">
        <v>0</v>
      </c>
      <c r="W406" s="2466">
        <f t="shared" si="223"/>
        <v>200</v>
      </c>
      <c r="X406" s="2468">
        <f t="shared" si="224"/>
        <v>0</v>
      </c>
      <c r="Z406" s="2467">
        <v>200</v>
      </c>
      <c r="AA406" s="2467">
        <v>200</v>
      </c>
      <c r="AC406" s="2469"/>
      <c r="AE406" s="2466">
        <v>200</v>
      </c>
      <c r="AF406" s="2471">
        <v>11.98</v>
      </c>
      <c r="AH406" s="2466">
        <v>200</v>
      </c>
      <c r="AI406" s="2470"/>
      <c r="AJ406" s="2466">
        <f t="shared" si="225"/>
        <v>200</v>
      </c>
      <c r="AK406" s="2468">
        <f t="shared" si="226"/>
        <v>0</v>
      </c>
      <c r="AM406" s="2467">
        <v>200</v>
      </c>
      <c r="AN406" s="2467">
        <v>200</v>
      </c>
      <c r="AP406" s="2469"/>
      <c r="AR406" s="2466">
        <v>200</v>
      </c>
      <c r="AS406" s="2466">
        <v>139.33000000000001</v>
      </c>
      <c r="AT406" s="2466"/>
      <c r="AU406" s="2466">
        <v>200</v>
      </c>
      <c r="AV406" s="2466">
        <v>132.94</v>
      </c>
      <c r="AX406" s="2466">
        <v>200</v>
      </c>
      <c r="AY406" s="2470"/>
      <c r="AZ406" s="2466">
        <f t="shared" si="227"/>
        <v>200</v>
      </c>
      <c r="BA406" s="2468">
        <f t="shared" si="228"/>
        <v>0</v>
      </c>
      <c r="BC406" s="2467">
        <v>200</v>
      </c>
      <c r="BD406" s="2467">
        <v>200</v>
      </c>
      <c r="BF406" s="2469"/>
      <c r="BH406" s="2467">
        <v>200</v>
      </c>
      <c r="BI406" s="2466">
        <v>85.54</v>
      </c>
      <c r="BM406" s="2466">
        <v>200</v>
      </c>
      <c r="BN406" s="2470"/>
      <c r="BO406" s="2472">
        <f t="shared" si="229"/>
        <v>200</v>
      </c>
      <c r="BP406" s="2473">
        <f t="shared" si="230"/>
        <v>0</v>
      </c>
      <c r="BR406" s="2474">
        <v>200</v>
      </c>
      <c r="BS406" s="2474">
        <v>200</v>
      </c>
      <c r="BU406" s="2475"/>
      <c r="BW406" s="2474">
        <v>200</v>
      </c>
      <c r="BX406" s="2466">
        <v>19.82</v>
      </c>
      <c r="BZ406" s="2474">
        <v>200</v>
      </c>
      <c r="CA406" s="2470"/>
      <c r="CB406" s="2472">
        <f t="shared" si="231"/>
        <v>200</v>
      </c>
      <c r="CC406" s="2473">
        <f t="shared" si="232"/>
        <v>0</v>
      </c>
      <c r="CE406" s="2474">
        <v>200</v>
      </c>
      <c r="CF406" s="2476">
        <f t="shared" si="233"/>
        <v>0</v>
      </c>
      <c r="CG406" s="2474">
        <v>200</v>
      </c>
      <c r="CH406" s="2449" t="s">
        <v>1217</v>
      </c>
      <c r="CI406" s="2449"/>
      <c r="CJ406" s="2450"/>
      <c r="CK406" s="2450"/>
      <c r="CO406" s="2477">
        <v>-0.57230000000000003</v>
      </c>
      <c r="CP406" s="2478">
        <f t="shared" si="220"/>
        <v>-114.46</v>
      </c>
      <c r="CQ406" s="2478"/>
      <c r="CR406" s="2478"/>
      <c r="CS406" s="2478"/>
      <c r="CT406" s="2478"/>
    </row>
    <row r="407" spans="1:98" hidden="1" x14ac:dyDescent="0.2">
      <c r="A407" s="2395">
        <v>220</v>
      </c>
      <c r="B407" s="2440" t="s">
        <v>1214</v>
      </c>
      <c r="C407" s="2396">
        <v>22005</v>
      </c>
      <c r="D407" s="2396">
        <v>53440</v>
      </c>
      <c r="E407" s="2397" t="s">
        <v>1268</v>
      </c>
      <c r="F407" s="2440" t="s">
        <v>1214</v>
      </c>
      <c r="G407" s="2440" t="s">
        <v>1790</v>
      </c>
      <c r="H407" s="2466">
        <v>200</v>
      </c>
      <c r="I407" s="2470"/>
      <c r="J407" s="2466">
        <f t="shared" si="221"/>
        <v>200</v>
      </c>
      <c r="K407" s="2468">
        <f t="shared" si="222"/>
        <v>0</v>
      </c>
      <c r="M407" s="2467">
        <v>200</v>
      </c>
      <c r="N407" s="2467">
        <v>200</v>
      </c>
      <c r="P407" s="2469"/>
      <c r="R407" s="2466">
        <v>200</v>
      </c>
      <c r="S407" s="2466">
        <v>336.4</v>
      </c>
      <c r="U407" s="2466">
        <v>200</v>
      </c>
      <c r="V407" s="2470">
        <v>0</v>
      </c>
      <c r="W407" s="2466">
        <f t="shared" si="223"/>
        <v>200</v>
      </c>
      <c r="X407" s="2468">
        <f t="shared" si="224"/>
        <v>0</v>
      </c>
      <c r="Z407" s="2467">
        <v>200</v>
      </c>
      <c r="AA407" s="2467">
        <v>200</v>
      </c>
      <c r="AC407" s="2469"/>
      <c r="AE407" s="2466">
        <v>200</v>
      </c>
      <c r="AF407" s="2471">
        <v>1709.56</v>
      </c>
      <c r="AH407" s="2466">
        <v>200</v>
      </c>
      <c r="AI407" s="2470"/>
      <c r="AJ407" s="2466">
        <f t="shared" si="225"/>
        <v>200</v>
      </c>
      <c r="AK407" s="2468">
        <f t="shared" si="226"/>
        <v>0</v>
      </c>
      <c r="AM407" s="2467">
        <v>200</v>
      </c>
      <c r="AN407" s="2467">
        <v>200</v>
      </c>
      <c r="AP407" s="2469"/>
      <c r="AR407" s="2466">
        <v>200</v>
      </c>
      <c r="AS407" s="2466">
        <v>639.91999999999996</v>
      </c>
      <c r="AT407" s="2466"/>
      <c r="AU407" s="2466">
        <v>200</v>
      </c>
      <c r="AV407" s="2466">
        <v>213.06</v>
      </c>
      <c r="AX407" s="2466">
        <v>200</v>
      </c>
      <c r="AY407" s="2470"/>
      <c r="AZ407" s="2466">
        <f t="shared" si="227"/>
        <v>200</v>
      </c>
      <c r="BA407" s="2468">
        <f t="shared" si="228"/>
        <v>0</v>
      </c>
      <c r="BC407" s="2467">
        <v>200</v>
      </c>
      <c r="BD407" s="2467">
        <v>200</v>
      </c>
      <c r="BF407" s="2469"/>
      <c r="BH407" s="2467">
        <v>200</v>
      </c>
      <c r="BI407" s="2466">
        <v>2176.9499999999998</v>
      </c>
      <c r="BM407" s="2466">
        <v>200</v>
      </c>
      <c r="BN407" s="2470"/>
      <c r="BO407" s="2472">
        <f t="shared" si="229"/>
        <v>200</v>
      </c>
      <c r="BP407" s="2473">
        <f t="shared" si="230"/>
        <v>0</v>
      </c>
      <c r="BR407" s="2474">
        <v>200</v>
      </c>
      <c r="BS407" s="2474">
        <v>200</v>
      </c>
      <c r="BU407" s="2475"/>
      <c r="BW407" s="2474">
        <v>200</v>
      </c>
      <c r="BX407" s="2466">
        <v>182.82</v>
      </c>
      <c r="BZ407" s="2474">
        <v>200</v>
      </c>
      <c r="CA407" s="2470">
        <v>200</v>
      </c>
      <c r="CB407" s="2472">
        <f t="shared" si="231"/>
        <v>400</v>
      </c>
      <c r="CC407" s="2473">
        <f t="shared" si="232"/>
        <v>1</v>
      </c>
      <c r="CE407" s="2474">
        <v>400</v>
      </c>
      <c r="CF407" s="2476">
        <f t="shared" si="233"/>
        <v>0</v>
      </c>
      <c r="CG407" s="2474">
        <v>400</v>
      </c>
      <c r="CH407" s="2449" t="s">
        <v>1217</v>
      </c>
      <c r="CI407" s="2449"/>
      <c r="CJ407" s="2450"/>
      <c r="CK407" s="2450"/>
      <c r="CO407" s="2477">
        <v>9.8847499999999986</v>
      </c>
      <c r="CP407" s="2478">
        <f t="shared" si="220"/>
        <v>1976.9499999999998</v>
      </c>
      <c r="CQ407" s="2478"/>
      <c r="CR407" s="2478"/>
      <c r="CS407" s="2478"/>
      <c r="CT407" s="2478"/>
    </row>
    <row r="408" spans="1:98" hidden="1" x14ac:dyDescent="0.2">
      <c r="A408" s="2395">
        <v>220</v>
      </c>
      <c r="C408" s="2396">
        <v>22005</v>
      </c>
      <c r="D408" s="2396">
        <v>53450</v>
      </c>
      <c r="E408" s="2397" t="s">
        <v>1268</v>
      </c>
      <c r="G408" s="2440" t="s">
        <v>1791</v>
      </c>
      <c r="I408" s="2470"/>
      <c r="M408" s="2467"/>
      <c r="N408" s="2467"/>
      <c r="P408" s="2469"/>
      <c r="S408" s="2466">
        <v>70</v>
      </c>
      <c r="V408" s="2470"/>
      <c r="Z408" s="2467"/>
      <c r="AA408" s="2467"/>
      <c r="AC408" s="2469"/>
      <c r="AI408" s="2470"/>
      <c r="AM408" s="2467">
        <v>0</v>
      </c>
      <c r="AN408" s="2467">
        <v>0</v>
      </c>
      <c r="AP408" s="2469"/>
      <c r="AR408" s="2466">
        <v>0</v>
      </c>
      <c r="AS408" s="2466">
        <v>0</v>
      </c>
      <c r="AT408" s="2466"/>
      <c r="AU408" s="2466">
        <v>0</v>
      </c>
      <c r="AX408" s="2466">
        <v>0</v>
      </c>
      <c r="AY408" s="2470"/>
      <c r="AZ408" s="2466">
        <f t="shared" si="227"/>
        <v>0</v>
      </c>
      <c r="BC408" s="2467">
        <v>0</v>
      </c>
      <c r="BD408" s="2467">
        <v>0</v>
      </c>
      <c r="BF408" s="2469"/>
      <c r="BH408" s="2467">
        <v>0</v>
      </c>
      <c r="BI408" s="2466">
        <v>50</v>
      </c>
      <c r="BM408" s="2466">
        <v>0</v>
      </c>
      <c r="BN408" s="2470"/>
      <c r="BO408" s="2472">
        <f t="shared" si="229"/>
        <v>0</v>
      </c>
      <c r="BR408" s="2474">
        <v>0</v>
      </c>
      <c r="BS408" s="2474">
        <v>0</v>
      </c>
      <c r="BU408" s="2475"/>
      <c r="BW408" s="2474">
        <v>0</v>
      </c>
      <c r="BZ408" s="2474">
        <v>0</v>
      </c>
      <c r="CA408" s="2470"/>
      <c r="CB408" s="2472">
        <f t="shared" si="231"/>
        <v>0</v>
      </c>
      <c r="CE408" s="2474">
        <v>0</v>
      </c>
      <c r="CF408" s="2476"/>
      <c r="CG408" s="2474">
        <v>0</v>
      </c>
      <c r="CH408" s="2449" t="s">
        <v>1217</v>
      </c>
      <c r="CI408" s="2449"/>
      <c r="CJ408" s="2450"/>
      <c r="CK408" s="2450"/>
      <c r="CO408" s="2477" t="s">
        <v>1257</v>
      </c>
      <c r="CP408" s="2478">
        <f t="shared" si="220"/>
        <v>50</v>
      </c>
      <c r="CQ408" s="2478"/>
      <c r="CR408" s="2478"/>
      <c r="CS408" s="2478"/>
      <c r="CT408" s="2478"/>
    </row>
    <row r="409" spans="1:98" hidden="1" x14ac:dyDescent="0.2">
      <c r="A409" s="2395">
        <v>220</v>
      </c>
      <c r="B409" s="2440" t="s">
        <v>1214</v>
      </c>
      <c r="C409" s="2396">
        <v>22005</v>
      </c>
      <c r="D409" s="2396">
        <v>53620</v>
      </c>
      <c r="E409" s="2397" t="s">
        <v>1268</v>
      </c>
      <c r="F409" s="2440" t="s">
        <v>1214</v>
      </c>
      <c r="G409" s="2440" t="s">
        <v>1792</v>
      </c>
      <c r="H409" s="2466">
        <v>200</v>
      </c>
      <c r="I409" s="2470"/>
      <c r="J409" s="2466">
        <f t="shared" si="221"/>
        <v>200</v>
      </c>
      <c r="K409" s="2468">
        <f t="shared" si="222"/>
        <v>0</v>
      </c>
      <c r="M409" s="2467">
        <v>200</v>
      </c>
      <c r="N409" s="2467">
        <v>200</v>
      </c>
      <c r="P409" s="2469"/>
      <c r="R409" s="2466">
        <v>200</v>
      </c>
      <c r="S409" s="2466">
        <v>447.45</v>
      </c>
      <c r="U409" s="2466">
        <v>200</v>
      </c>
      <c r="V409" s="2470">
        <v>0</v>
      </c>
      <c r="W409" s="2466">
        <f t="shared" si="223"/>
        <v>200</v>
      </c>
      <c r="X409" s="2468">
        <f t="shared" si="224"/>
        <v>0</v>
      </c>
      <c r="Z409" s="2467">
        <v>200</v>
      </c>
      <c r="AA409" s="2467">
        <v>200</v>
      </c>
      <c r="AC409" s="2469"/>
      <c r="AE409" s="2466">
        <v>200</v>
      </c>
      <c r="AF409" s="2471">
        <v>303.95</v>
      </c>
      <c r="AH409" s="2466">
        <v>200</v>
      </c>
      <c r="AI409" s="2470"/>
      <c r="AJ409" s="2466">
        <f t="shared" ref="AJ409:AJ426" si="234">AH409+AI409</f>
        <v>200</v>
      </c>
      <c r="AK409" s="2468">
        <f t="shared" ref="AK409:AK426" si="235">IF(AH409=0," ",(AJ409-AH409)/AH409)</f>
        <v>0</v>
      </c>
      <c r="AM409" s="2467">
        <v>200</v>
      </c>
      <c r="AN409" s="2467">
        <v>200</v>
      </c>
      <c r="AP409" s="2469"/>
      <c r="AR409" s="2466">
        <v>200</v>
      </c>
      <c r="AS409" s="2466">
        <v>229.45</v>
      </c>
      <c r="AT409" s="2466"/>
      <c r="AU409" s="2466">
        <v>200</v>
      </c>
      <c r="AV409" s="2466">
        <v>601</v>
      </c>
      <c r="AX409" s="2466">
        <v>200</v>
      </c>
      <c r="AY409" s="2470"/>
      <c r="AZ409" s="2466">
        <f t="shared" si="227"/>
        <v>200</v>
      </c>
      <c r="BA409" s="2468">
        <f t="shared" ref="BA409:BA426" si="236">IF(AX409=0," ",(AZ409-AX409)/AX409)</f>
        <v>0</v>
      </c>
      <c r="BC409" s="2467">
        <v>200</v>
      </c>
      <c r="BD409" s="2467">
        <v>200</v>
      </c>
      <c r="BF409" s="2469"/>
      <c r="BH409" s="2467">
        <v>200</v>
      </c>
      <c r="BI409" s="2466">
        <v>443</v>
      </c>
      <c r="BM409" s="2466">
        <v>200</v>
      </c>
      <c r="BN409" s="2470"/>
      <c r="BO409" s="2472">
        <f t="shared" si="229"/>
        <v>200</v>
      </c>
      <c r="BP409" s="2473">
        <f t="shared" ref="BP409:BP426" si="237">IF(BM409=0," ",(BO409-BM409)/BM409)</f>
        <v>0</v>
      </c>
      <c r="BR409" s="2474">
        <v>200</v>
      </c>
      <c r="BS409" s="2474">
        <v>200</v>
      </c>
      <c r="BU409" s="2475"/>
      <c r="BW409" s="2474">
        <v>200</v>
      </c>
      <c r="BX409" s="2466">
        <v>118</v>
      </c>
      <c r="BZ409" s="2474">
        <v>200</v>
      </c>
      <c r="CA409" s="2470">
        <v>200</v>
      </c>
      <c r="CB409" s="2472">
        <f t="shared" si="231"/>
        <v>400</v>
      </c>
      <c r="CC409" s="2473">
        <f t="shared" ref="CC409:CC426" si="238">IF(BZ409=0," ",(CB409-BZ409)/BZ409)</f>
        <v>1</v>
      </c>
      <c r="CE409" s="2474">
        <v>400</v>
      </c>
      <c r="CF409" s="2476">
        <f t="shared" ref="CF409:CF426" si="239">IF(CB409=0," ",(CE409-CB409)/CB409)</f>
        <v>0</v>
      </c>
      <c r="CG409" s="2474">
        <v>400</v>
      </c>
      <c r="CH409" s="2449" t="s">
        <v>1217</v>
      </c>
      <c r="CI409" s="2449"/>
      <c r="CJ409" s="2450"/>
      <c r="CK409" s="2450"/>
      <c r="CO409" s="2477">
        <v>1.2149999999999999</v>
      </c>
      <c r="CP409" s="2478">
        <f t="shared" si="220"/>
        <v>243</v>
      </c>
      <c r="CQ409" s="2478"/>
      <c r="CR409" s="2478"/>
      <c r="CS409" s="2478"/>
      <c r="CT409" s="2478"/>
    </row>
    <row r="410" spans="1:98" hidden="1" x14ac:dyDescent="0.2">
      <c r="A410" s="2395">
        <v>220</v>
      </c>
      <c r="B410" s="2440" t="s">
        <v>1214</v>
      </c>
      <c r="C410" s="2396">
        <v>22005</v>
      </c>
      <c r="D410" s="2396">
        <v>53800</v>
      </c>
      <c r="E410" s="2397" t="s">
        <v>1268</v>
      </c>
      <c r="F410" s="2440" t="s">
        <v>1214</v>
      </c>
      <c r="G410" s="2440" t="s">
        <v>1793</v>
      </c>
      <c r="H410" s="2466">
        <v>1900</v>
      </c>
      <c r="I410" s="2470"/>
      <c r="J410" s="2466">
        <f t="shared" si="221"/>
        <v>1900</v>
      </c>
      <c r="K410" s="2468">
        <f t="shared" si="222"/>
        <v>0</v>
      </c>
      <c r="M410" s="2467">
        <v>1900</v>
      </c>
      <c r="N410" s="2467">
        <v>1900</v>
      </c>
      <c r="P410" s="2469"/>
      <c r="R410" s="2466">
        <v>1900</v>
      </c>
      <c r="S410" s="2466">
        <v>470</v>
      </c>
      <c r="U410" s="2466">
        <v>1900</v>
      </c>
      <c r="V410" s="2470">
        <v>0</v>
      </c>
      <c r="W410" s="2466">
        <f t="shared" si="223"/>
        <v>1900</v>
      </c>
      <c r="X410" s="2468">
        <f t="shared" si="224"/>
        <v>0</v>
      </c>
      <c r="Z410" s="2467">
        <v>1900</v>
      </c>
      <c r="AA410" s="2467">
        <f>1900+2500</f>
        <v>4400</v>
      </c>
      <c r="AC410" s="2469" t="s">
        <v>1794</v>
      </c>
      <c r="AE410" s="2466">
        <f>1900+2500</f>
        <v>4400</v>
      </c>
      <c r="AF410" s="2471">
        <v>5726.59</v>
      </c>
      <c r="AH410" s="2466">
        <v>4400</v>
      </c>
      <c r="AI410" s="2470"/>
      <c r="AJ410" s="2466">
        <f t="shared" si="234"/>
        <v>4400</v>
      </c>
      <c r="AK410" s="2468">
        <f t="shared" si="235"/>
        <v>0</v>
      </c>
      <c r="AM410" s="2467">
        <v>4400</v>
      </c>
      <c r="AN410" s="2467">
        <v>4400</v>
      </c>
      <c r="AO410" s="2546"/>
      <c r="AP410" s="2646"/>
      <c r="AR410" s="2466">
        <v>4400</v>
      </c>
      <c r="AS410" s="2466">
        <v>11255.18</v>
      </c>
      <c r="AT410" s="2466"/>
      <c r="AU410" s="2466">
        <f>4400+5000</f>
        <v>9400</v>
      </c>
      <c r="AV410" s="2466">
        <v>16358.81</v>
      </c>
      <c r="AX410" s="2466">
        <f>4400+5000</f>
        <v>9400</v>
      </c>
      <c r="AY410" s="2542">
        <v>2500</v>
      </c>
      <c r="AZ410" s="2466">
        <f t="shared" si="227"/>
        <v>11900</v>
      </c>
      <c r="BA410" s="2468">
        <f t="shared" si="236"/>
        <v>0.26595744680851063</v>
      </c>
      <c r="BC410" s="2467">
        <v>11900</v>
      </c>
      <c r="BD410" s="2467">
        <v>11900</v>
      </c>
      <c r="BE410" s="2546"/>
      <c r="BF410" s="2543" t="s">
        <v>1273</v>
      </c>
      <c r="BH410" s="2467">
        <v>11900</v>
      </c>
      <c r="BI410" s="2466">
        <v>18303.150000000001</v>
      </c>
      <c r="BM410" s="2466">
        <v>11900</v>
      </c>
      <c r="BN410" s="2470"/>
      <c r="BO410" s="2472">
        <f t="shared" si="229"/>
        <v>11900</v>
      </c>
      <c r="BP410" s="2473">
        <f t="shared" si="237"/>
        <v>0</v>
      </c>
      <c r="BR410" s="2474">
        <v>11900</v>
      </c>
      <c r="BS410" s="2474">
        <f>11900+8100</f>
        <v>20000</v>
      </c>
      <c r="BU410" s="2647" t="s">
        <v>1795</v>
      </c>
      <c r="BW410" s="2474">
        <f>11900+8100</f>
        <v>20000</v>
      </c>
      <c r="BX410" s="2466">
        <v>11377.92</v>
      </c>
      <c r="BZ410" s="2474">
        <f>11900+8100</f>
        <v>20000</v>
      </c>
      <c r="CA410" s="2470"/>
      <c r="CB410" s="2472">
        <f t="shared" si="231"/>
        <v>20000</v>
      </c>
      <c r="CC410" s="2473">
        <f t="shared" si="238"/>
        <v>0</v>
      </c>
      <c r="CE410" s="2474">
        <v>20000</v>
      </c>
      <c r="CF410" s="2476">
        <f t="shared" si="239"/>
        <v>0</v>
      </c>
      <c r="CG410" s="2474">
        <v>20000</v>
      </c>
      <c r="CH410" s="2449" t="s">
        <v>1217</v>
      </c>
      <c r="CI410" s="2449"/>
      <c r="CJ410" s="2450"/>
      <c r="CK410" s="2450"/>
      <c r="CO410" s="2477">
        <v>0.53807983193277331</v>
      </c>
      <c r="CP410" s="2478">
        <f t="shared" si="220"/>
        <v>6403.1500000000015</v>
      </c>
      <c r="CQ410" s="2478"/>
      <c r="CR410" s="2478"/>
      <c r="CS410" s="2478"/>
      <c r="CT410" s="2478"/>
    </row>
    <row r="411" spans="1:98" hidden="1" x14ac:dyDescent="0.2">
      <c r="A411" s="2395">
        <v>220</v>
      </c>
      <c r="C411" s="2396">
        <v>22005</v>
      </c>
      <c r="D411" s="2396">
        <v>53802</v>
      </c>
      <c r="E411" s="2397" t="s">
        <v>1268</v>
      </c>
      <c r="G411" s="2440" t="s">
        <v>1796</v>
      </c>
      <c r="I411" s="2470"/>
      <c r="M411" s="2467"/>
      <c r="N411" s="2467"/>
      <c r="P411" s="2469"/>
      <c r="V411" s="2470"/>
      <c r="Z411" s="2467"/>
      <c r="AA411" s="2467"/>
      <c r="AC411" s="2469"/>
      <c r="AI411" s="2470"/>
      <c r="AM411" s="2467"/>
      <c r="AN411" s="2467"/>
      <c r="AO411" s="2546"/>
      <c r="AP411" s="2646"/>
      <c r="AS411" s="2466"/>
      <c r="AT411" s="2466"/>
      <c r="AY411" s="2542"/>
      <c r="BC411" s="2467"/>
      <c r="BD411" s="2467">
        <v>2125</v>
      </c>
      <c r="BE411" s="2546"/>
      <c r="BF411" s="2530" t="s">
        <v>1797</v>
      </c>
      <c r="BH411" s="2467">
        <v>2125</v>
      </c>
      <c r="BM411" s="2466">
        <v>2125</v>
      </c>
      <c r="BN411" s="2470"/>
      <c r="BO411" s="2472">
        <f t="shared" si="229"/>
        <v>2125</v>
      </c>
      <c r="BP411" s="2473">
        <f t="shared" si="237"/>
        <v>0</v>
      </c>
      <c r="BR411" s="2474">
        <v>2125</v>
      </c>
      <c r="BS411" s="2474">
        <v>2125</v>
      </c>
      <c r="BU411" s="2475"/>
      <c r="BW411" s="2474">
        <v>2125</v>
      </c>
      <c r="BZ411" s="2474">
        <v>2125</v>
      </c>
      <c r="CA411" s="2470"/>
      <c r="CB411" s="2472">
        <f t="shared" si="231"/>
        <v>2125</v>
      </c>
      <c r="CC411" s="2473">
        <f t="shared" si="238"/>
        <v>0</v>
      </c>
      <c r="CE411" s="2474">
        <v>2125</v>
      </c>
      <c r="CF411" s="2476">
        <f t="shared" si="239"/>
        <v>0</v>
      </c>
      <c r="CG411" s="2474">
        <v>2125</v>
      </c>
      <c r="CH411" s="2449" t="s">
        <v>1217</v>
      </c>
      <c r="CI411" s="2449"/>
      <c r="CJ411" s="2450"/>
      <c r="CK411" s="2450"/>
      <c r="CO411" s="2477" t="s">
        <v>1218</v>
      </c>
      <c r="CP411" s="2478">
        <f t="shared" si="220"/>
        <v>-2125</v>
      </c>
      <c r="CQ411" s="2478"/>
      <c r="CR411" s="2478"/>
      <c r="CS411" s="2478"/>
      <c r="CT411" s="2478"/>
    </row>
    <row r="412" spans="1:98" hidden="1" x14ac:dyDescent="0.2">
      <c r="A412" s="2395">
        <v>220</v>
      </c>
      <c r="B412" s="2440" t="s">
        <v>1214</v>
      </c>
      <c r="C412" s="2396">
        <v>22005</v>
      </c>
      <c r="D412" s="2396">
        <v>53900</v>
      </c>
      <c r="E412" s="2397" t="s">
        <v>1268</v>
      </c>
      <c r="F412" s="2440" t="s">
        <v>1214</v>
      </c>
      <c r="G412" s="2440" t="s">
        <v>1798</v>
      </c>
      <c r="H412" s="2466">
        <v>100</v>
      </c>
      <c r="I412" s="2470"/>
      <c r="J412" s="2466">
        <f t="shared" si="221"/>
        <v>100</v>
      </c>
      <c r="K412" s="2468">
        <f t="shared" si="222"/>
        <v>0</v>
      </c>
      <c r="M412" s="2467">
        <v>100</v>
      </c>
      <c r="N412" s="2467">
        <v>100</v>
      </c>
      <c r="P412" s="2469"/>
      <c r="R412" s="2466">
        <v>100</v>
      </c>
      <c r="S412" s="2466">
        <v>57.92</v>
      </c>
      <c r="U412" s="2466">
        <v>100</v>
      </c>
      <c r="V412" s="2470">
        <v>0</v>
      </c>
      <c r="W412" s="2466">
        <f t="shared" si="223"/>
        <v>100</v>
      </c>
      <c r="X412" s="2468">
        <f t="shared" si="224"/>
        <v>0</v>
      </c>
      <c r="Z412" s="2467">
        <v>100</v>
      </c>
      <c r="AA412" s="2467">
        <v>100</v>
      </c>
      <c r="AC412" s="2469"/>
      <c r="AE412" s="2466">
        <v>100</v>
      </c>
      <c r="AF412" s="2471">
        <v>95.43</v>
      </c>
      <c r="AH412" s="2466">
        <v>100</v>
      </c>
      <c r="AI412" s="2470"/>
      <c r="AJ412" s="2466">
        <f t="shared" si="234"/>
        <v>100</v>
      </c>
      <c r="AK412" s="2468">
        <f t="shared" si="235"/>
        <v>0</v>
      </c>
      <c r="AM412" s="2467">
        <v>100</v>
      </c>
      <c r="AN412" s="2467">
        <v>100</v>
      </c>
      <c r="AP412" s="2469"/>
      <c r="AR412" s="2466">
        <v>100</v>
      </c>
      <c r="AS412" s="2466">
        <v>79.98</v>
      </c>
      <c r="AT412" s="2466"/>
      <c r="AU412" s="2466">
        <v>100</v>
      </c>
      <c r="AV412" s="2466">
        <v>12.38</v>
      </c>
      <c r="AX412" s="2466">
        <v>100</v>
      </c>
      <c r="AY412" s="2470"/>
      <c r="AZ412" s="2466">
        <f t="shared" si="227"/>
        <v>100</v>
      </c>
      <c r="BA412" s="2468">
        <f t="shared" si="236"/>
        <v>0</v>
      </c>
      <c r="BC412" s="2467">
        <v>100</v>
      </c>
      <c r="BD412" s="2467">
        <v>100</v>
      </c>
      <c r="BF412" s="2469"/>
      <c r="BH412" s="2467">
        <v>100</v>
      </c>
      <c r="BI412" s="2466">
        <v>140.59</v>
      </c>
      <c r="BM412" s="2466">
        <v>100</v>
      </c>
      <c r="BN412" s="2470"/>
      <c r="BO412" s="2472">
        <f t="shared" si="229"/>
        <v>100</v>
      </c>
      <c r="BP412" s="2473">
        <f t="shared" si="237"/>
        <v>0</v>
      </c>
      <c r="BR412" s="2474">
        <v>100</v>
      </c>
      <c r="BS412" s="2474">
        <v>100</v>
      </c>
      <c r="BU412" s="2475"/>
      <c r="BW412" s="2474">
        <v>100</v>
      </c>
      <c r="BX412" s="2466">
        <v>111.8</v>
      </c>
      <c r="BZ412" s="2474">
        <v>100</v>
      </c>
      <c r="CA412" s="2470"/>
      <c r="CB412" s="2472">
        <f t="shared" si="231"/>
        <v>100</v>
      </c>
      <c r="CC412" s="2473">
        <f t="shared" si="238"/>
        <v>0</v>
      </c>
      <c r="CE412" s="2474">
        <v>100</v>
      </c>
      <c r="CF412" s="2476">
        <f t="shared" si="239"/>
        <v>0</v>
      </c>
      <c r="CG412" s="2474">
        <v>100</v>
      </c>
      <c r="CH412" s="2449" t="s">
        <v>1217</v>
      </c>
      <c r="CI412" s="2449"/>
      <c r="CJ412" s="2450"/>
      <c r="CK412" s="2450"/>
      <c r="CO412" s="2477">
        <v>0.40589999999999993</v>
      </c>
      <c r="CP412" s="2478">
        <f t="shared" si="220"/>
        <v>40.590000000000003</v>
      </c>
      <c r="CQ412" s="2478"/>
      <c r="CR412" s="2478"/>
      <c r="CS412" s="2478"/>
      <c r="CT412" s="2478"/>
    </row>
    <row r="413" spans="1:98" hidden="1" x14ac:dyDescent="0.2">
      <c r="A413" s="2395">
        <v>220</v>
      </c>
      <c r="B413" s="2440" t="s">
        <v>1214</v>
      </c>
      <c r="C413" s="2396">
        <v>22005</v>
      </c>
      <c r="D413" s="2396">
        <v>54200</v>
      </c>
      <c r="E413" s="2397" t="s">
        <v>1268</v>
      </c>
      <c r="F413" s="2440" t="s">
        <v>1214</v>
      </c>
      <c r="G413" s="2440" t="s">
        <v>1799</v>
      </c>
      <c r="H413" s="2466">
        <v>800</v>
      </c>
      <c r="I413" s="2470"/>
      <c r="J413" s="2466">
        <f t="shared" si="221"/>
        <v>800</v>
      </c>
      <c r="K413" s="2468">
        <f t="shared" si="222"/>
        <v>0</v>
      </c>
      <c r="M413" s="2467">
        <v>800</v>
      </c>
      <c r="N413" s="2467">
        <v>800</v>
      </c>
      <c r="P413" s="2469"/>
      <c r="R413" s="2466">
        <v>800</v>
      </c>
      <c r="S413" s="2466">
        <v>45.76</v>
      </c>
      <c r="U413" s="2466">
        <v>800</v>
      </c>
      <c r="V413" s="2470">
        <v>0</v>
      </c>
      <c r="W413" s="2466">
        <f t="shared" si="223"/>
        <v>800</v>
      </c>
      <c r="X413" s="2468">
        <f t="shared" si="224"/>
        <v>0</v>
      </c>
      <c r="Z413" s="2467">
        <v>800</v>
      </c>
      <c r="AA413" s="2467">
        <v>800</v>
      </c>
      <c r="AC413" s="2469"/>
      <c r="AE413" s="2466">
        <v>800</v>
      </c>
      <c r="AF413" s="2471">
        <v>988.2</v>
      </c>
      <c r="AH413" s="2466">
        <v>800</v>
      </c>
      <c r="AI413" s="2470"/>
      <c r="AJ413" s="2466">
        <f t="shared" si="234"/>
        <v>800</v>
      </c>
      <c r="AK413" s="2468">
        <f t="shared" si="235"/>
        <v>0</v>
      </c>
      <c r="AM413" s="2467">
        <v>800</v>
      </c>
      <c r="AN413" s="2467">
        <v>800</v>
      </c>
      <c r="AP413" s="2469"/>
      <c r="AR413" s="2466">
        <v>800</v>
      </c>
      <c r="AS413" s="2466">
        <v>1686.53</v>
      </c>
      <c r="AT413" s="2466"/>
      <c r="AU413" s="2466">
        <v>1300</v>
      </c>
      <c r="AV413" s="2466">
        <v>3932.96</v>
      </c>
      <c r="AX413" s="2466">
        <v>1300</v>
      </c>
      <c r="AY413" s="2470"/>
      <c r="AZ413" s="2466">
        <f t="shared" si="227"/>
        <v>1300</v>
      </c>
      <c r="BA413" s="2468">
        <f t="shared" si="236"/>
        <v>0</v>
      </c>
      <c r="BC413" s="2467">
        <v>1300</v>
      </c>
      <c r="BD413" s="2467">
        <v>1300</v>
      </c>
      <c r="BF413" s="2469"/>
      <c r="BH413" s="2467">
        <v>1300</v>
      </c>
      <c r="BI413" s="2466">
        <v>1152.17</v>
      </c>
      <c r="BM413" s="2466">
        <v>1300</v>
      </c>
      <c r="BN413" s="2470"/>
      <c r="BO413" s="2472">
        <f t="shared" si="229"/>
        <v>1300</v>
      </c>
      <c r="BP413" s="2473">
        <f t="shared" si="237"/>
        <v>0</v>
      </c>
      <c r="BR413" s="2474">
        <v>1300</v>
      </c>
      <c r="BS413" s="2474">
        <v>1300</v>
      </c>
      <c r="BU413" s="2475"/>
      <c r="BW413" s="2474">
        <v>1300</v>
      </c>
      <c r="BX413" s="2466">
        <v>21.6</v>
      </c>
      <c r="BZ413" s="2474">
        <v>1300</v>
      </c>
      <c r="CA413" s="2470"/>
      <c r="CB413" s="2472">
        <f t="shared" si="231"/>
        <v>1300</v>
      </c>
      <c r="CC413" s="2473">
        <f t="shared" si="238"/>
        <v>0</v>
      </c>
      <c r="CE413" s="2474">
        <v>1300</v>
      </c>
      <c r="CF413" s="2476">
        <f t="shared" si="239"/>
        <v>0</v>
      </c>
      <c r="CG413" s="2474">
        <v>1300</v>
      </c>
      <c r="CH413" s="2449" t="s">
        <v>1217</v>
      </c>
      <c r="CI413" s="2449"/>
      <c r="CJ413" s="2450"/>
      <c r="CK413" s="2450"/>
      <c r="CO413" s="2477">
        <v>-0.11371538461538455</v>
      </c>
      <c r="CP413" s="2478">
        <f t="shared" si="220"/>
        <v>-147.82999999999993</v>
      </c>
      <c r="CQ413" s="2478"/>
      <c r="CR413" s="2478"/>
      <c r="CS413" s="2478"/>
      <c r="CT413" s="2478"/>
    </row>
    <row r="414" spans="1:98" hidden="1" x14ac:dyDescent="0.2">
      <c r="A414" s="2395">
        <v>220</v>
      </c>
      <c r="B414" s="2440" t="s">
        <v>1214</v>
      </c>
      <c r="C414" s="2396">
        <v>22005</v>
      </c>
      <c r="D414" s="2396">
        <v>54202</v>
      </c>
      <c r="E414" s="2397" t="s">
        <v>1268</v>
      </c>
      <c r="F414" s="2440" t="s">
        <v>1214</v>
      </c>
      <c r="G414" s="2440" t="s">
        <v>1800</v>
      </c>
      <c r="H414" s="2466">
        <v>500</v>
      </c>
      <c r="I414" s="2470"/>
      <c r="J414" s="2466">
        <f>H414+I414</f>
        <v>500</v>
      </c>
      <c r="K414" s="2468">
        <f>IF(H414=0," ",(J414-H414)/H414)</f>
        <v>0</v>
      </c>
      <c r="M414" s="2467">
        <v>500</v>
      </c>
      <c r="N414" s="2467">
        <v>500</v>
      </c>
      <c r="P414" s="2469"/>
      <c r="R414" s="2466">
        <v>500</v>
      </c>
      <c r="S414" s="2466">
        <v>749</v>
      </c>
      <c r="U414" s="2466">
        <v>500</v>
      </c>
      <c r="V414" s="2470">
        <v>0</v>
      </c>
      <c r="W414" s="2466">
        <f>U414+V414</f>
        <v>500</v>
      </c>
      <c r="X414" s="2468">
        <f>IF(U414=0," ",(W414-U414)/U414)</f>
        <v>0</v>
      </c>
      <c r="Z414" s="2467">
        <v>500</v>
      </c>
      <c r="AA414" s="2467">
        <v>500</v>
      </c>
      <c r="AC414" s="2469"/>
      <c r="AE414" s="2466">
        <v>500</v>
      </c>
      <c r="AF414" s="2471">
        <v>648.99</v>
      </c>
      <c r="AH414" s="2466">
        <v>500</v>
      </c>
      <c r="AI414" s="2470"/>
      <c r="AJ414" s="2466">
        <f t="shared" si="234"/>
        <v>500</v>
      </c>
      <c r="AK414" s="2468">
        <f t="shared" si="235"/>
        <v>0</v>
      </c>
      <c r="AM414" s="2467">
        <v>500</v>
      </c>
      <c r="AN414" s="2467">
        <v>500</v>
      </c>
      <c r="AP414" s="2469"/>
      <c r="AR414" s="2466">
        <v>500</v>
      </c>
      <c r="AS414" s="2466">
        <v>0</v>
      </c>
      <c r="AT414" s="2466"/>
      <c r="AU414" s="2466">
        <v>0</v>
      </c>
      <c r="AX414" s="2466">
        <v>0</v>
      </c>
      <c r="AY414" s="2470"/>
      <c r="AZ414" s="2466">
        <f t="shared" si="227"/>
        <v>0</v>
      </c>
      <c r="BA414" s="2468" t="str">
        <f t="shared" si="236"/>
        <v xml:space="preserve"> </v>
      </c>
      <c r="BC414" s="2467">
        <v>0</v>
      </c>
      <c r="BD414" s="2467">
        <v>0</v>
      </c>
      <c r="BF414" s="2469"/>
      <c r="BH414" s="2467">
        <v>0</v>
      </c>
      <c r="BM414" s="2466">
        <v>0</v>
      </c>
      <c r="BN414" s="2470"/>
      <c r="BO414" s="2472">
        <f t="shared" si="229"/>
        <v>0</v>
      </c>
      <c r="BP414" s="2473" t="str">
        <f t="shared" si="237"/>
        <v xml:space="preserve"> </v>
      </c>
      <c r="BR414" s="2474">
        <v>0</v>
      </c>
      <c r="BS414" s="2474">
        <v>0</v>
      </c>
      <c r="BU414" s="2475"/>
      <c r="BW414" s="2474">
        <v>0</v>
      </c>
      <c r="BZ414" s="2474">
        <v>0</v>
      </c>
      <c r="CA414" s="2470"/>
      <c r="CB414" s="2472">
        <f t="shared" si="231"/>
        <v>0</v>
      </c>
      <c r="CC414" s="2473" t="str">
        <f t="shared" si="238"/>
        <v xml:space="preserve"> </v>
      </c>
      <c r="CE414" s="2474">
        <v>0</v>
      </c>
      <c r="CF414" s="2476" t="str">
        <f t="shared" si="239"/>
        <v xml:space="preserve"> </v>
      </c>
      <c r="CG414" s="2474">
        <v>0</v>
      </c>
      <c r="CH414" s="2449" t="s">
        <v>1217</v>
      </c>
      <c r="CI414" s="2449"/>
      <c r="CJ414" s="2450"/>
      <c r="CK414" s="2450"/>
      <c r="CP414" s="2478">
        <f t="shared" si="220"/>
        <v>0</v>
      </c>
      <c r="CQ414" s="2478"/>
      <c r="CR414" s="2478"/>
      <c r="CS414" s="2478"/>
      <c r="CT414" s="2478"/>
    </row>
    <row r="415" spans="1:98" hidden="1" x14ac:dyDescent="0.2">
      <c r="A415" s="2395">
        <v>220</v>
      </c>
      <c r="B415" s="2440" t="s">
        <v>1214</v>
      </c>
      <c r="C415" s="2396">
        <v>22005</v>
      </c>
      <c r="D415" s="2396">
        <v>54300</v>
      </c>
      <c r="E415" s="2397" t="s">
        <v>1268</v>
      </c>
      <c r="F415" s="2440" t="s">
        <v>1214</v>
      </c>
      <c r="G415" s="2440" t="s">
        <v>1801</v>
      </c>
      <c r="H415" s="2466">
        <v>2850</v>
      </c>
      <c r="I415" s="2470"/>
      <c r="J415" s="2466">
        <f t="shared" si="221"/>
        <v>2850</v>
      </c>
      <c r="K415" s="2468">
        <f t="shared" si="222"/>
        <v>0</v>
      </c>
      <c r="M415" s="2467">
        <v>2850</v>
      </c>
      <c r="N415" s="2467">
        <v>2850</v>
      </c>
      <c r="P415" s="2469"/>
      <c r="R415" s="2466">
        <v>2850</v>
      </c>
      <c r="S415" s="2466">
        <v>3500.71</v>
      </c>
      <c r="U415" s="2466">
        <v>2850</v>
      </c>
      <c r="V415" s="2470">
        <v>0</v>
      </c>
      <c r="W415" s="2466">
        <f t="shared" si="223"/>
        <v>2850</v>
      </c>
      <c r="X415" s="2468">
        <f t="shared" si="224"/>
        <v>0</v>
      </c>
      <c r="Z415" s="2467">
        <v>2850</v>
      </c>
      <c r="AA415" s="2467">
        <v>2850</v>
      </c>
      <c r="AC415" s="2469"/>
      <c r="AE415" s="2466">
        <v>2850</v>
      </c>
      <c r="AF415" s="2471">
        <v>3166.92</v>
      </c>
      <c r="AH415" s="2466">
        <v>2850</v>
      </c>
      <c r="AI415" s="2470"/>
      <c r="AJ415" s="2466">
        <f t="shared" si="234"/>
        <v>2850</v>
      </c>
      <c r="AK415" s="2468">
        <f t="shared" si="235"/>
        <v>0</v>
      </c>
      <c r="AM415" s="2467">
        <v>2850</v>
      </c>
      <c r="AN415" s="2467">
        <v>2850</v>
      </c>
      <c r="AP415" s="2469"/>
      <c r="AR415" s="2466">
        <v>2850</v>
      </c>
      <c r="AS415" s="2466">
        <v>1295.8800000000001</v>
      </c>
      <c r="AT415" s="2466"/>
      <c r="AU415" s="2466">
        <v>2850</v>
      </c>
      <c r="AV415" s="2466">
        <v>4680.99</v>
      </c>
      <c r="AX415" s="2466">
        <v>2850</v>
      </c>
      <c r="AY415" s="2470"/>
      <c r="AZ415" s="2466">
        <f t="shared" si="227"/>
        <v>2850</v>
      </c>
      <c r="BA415" s="2468">
        <f t="shared" si="236"/>
        <v>0</v>
      </c>
      <c r="BC415" s="2467">
        <v>2850</v>
      </c>
      <c r="BD415" s="2467">
        <v>2850</v>
      </c>
      <c r="BF415" s="2469"/>
      <c r="BH415" s="2467">
        <v>2850</v>
      </c>
      <c r="BI415" s="2466">
        <v>4889.47</v>
      </c>
      <c r="BM415" s="2466">
        <v>2850</v>
      </c>
      <c r="BN415" s="2470"/>
      <c r="BO415" s="2472">
        <f t="shared" si="229"/>
        <v>2850</v>
      </c>
      <c r="BP415" s="2473">
        <f t="shared" si="237"/>
        <v>0</v>
      </c>
      <c r="BR415" s="2474">
        <v>2850</v>
      </c>
      <c r="BS415" s="2474">
        <v>2850</v>
      </c>
      <c r="BU415" s="2475"/>
      <c r="BW415" s="2474">
        <v>2850</v>
      </c>
      <c r="BX415" s="2466">
        <v>1888.67</v>
      </c>
      <c r="BZ415" s="2474">
        <v>2850</v>
      </c>
      <c r="CA415" s="2470"/>
      <c r="CB415" s="2472">
        <f t="shared" si="231"/>
        <v>2850</v>
      </c>
      <c r="CC415" s="2473">
        <f t="shared" si="238"/>
        <v>0</v>
      </c>
      <c r="CE415" s="2474">
        <v>2850</v>
      </c>
      <c r="CF415" s="2476">
        <f t="shared" si="239"/>
        <v>0</v>
      </c>
      <c r="CG415" s="2474">
        <v>2850</v>
      </c>
      <c r="CH415" s="2449" t="s">
        <v>1217</v>
      </c>
      <c r="CI415" s="2449"/>
      <c r="CJ415" s="2450"/>
      <c r="CK415" s="2450"/>
      <c r="CO415" s="2477">
        <v>0.71560350877192991</v>
      </c>
      <c r="CP415" s="2478">
        <f t="shared" si="220"/>
        <v>2039.4700000000003</v>
      </c>
      <c r="CQ415" s="2478"/>
      <c r="CR415" s="2478"/>
      <c r="CS415" s="2478"/>
      <c r="CT415" s="2478"/>
    </row>
    <row r="416" spans="1:98" hidden="1" x14ac:dyDescent="0.2">
      <c r="A416" s="2395">
        <v>220</v>
      </c>
      <c r="B416" s="2440" t="s">
        <v>1214</v>
      </c>
      <c r="C416" s="2396">
        <v>22005</v>
      </c>
      <c r="D416" s="2396">
        <v>54400</v>
      </c>
      <c r="E416" s="2397" t="s">
        <v>1268</v>
      </c>
      <c r="F416" s="2440" t="s">
        <v>1214</v>
      </c>
      <c r="G416" s="2440" t="s">
        <v>1802</v>
      </c>
      <c r="H416" s="2466">
        <v>2000</v>
      </c>
      <c r="I416" s="2470"/>
      <c r="J416" s="2466">
        <f t="shared" si="221"/>
        <v>2000</v>
      </c>
      <c r="K416" s="2468">
        <f t="shared" si="222"/>
        <v>0</v>
      </c>
      <c r="M416" s="2467">
        <v>2000</v>
      </c>
      <c r="N416" s="2467">
        <v>2000</v>
      </c>
      <c r="P416" s="2469"/>
      <c r="R416" s="2466">
        <v>2000</v>
      </c>
      <c r="S416" s="2466">
        <v>4020.46</v>
      </c>
      <c r="U416" s="2466">
        <v>2000</v>
      </c>
      <c r="V416" s="2470">
        <v>0</v>
      </c>
      <c r="W416" s="2466">
        <f t="shared" si="223"/>
        <v>2000</v>
      </c>
      <c r="X416" s="2468">
        <f t="shared" si="224"/>
        <v>0</v>
      </c>
      <c r="Z416" s="2467">
        <v>2000</v>
      </c>
      <c r="AA416" s="2467">
        <v>2000</v>
      </c>
      <c r="AC416" s="2469"/>
      <c r="AE416" s="2466">
        <v>2000</v>
      </c>
      <c r="AF416" s="2471">
        <v>8520.26</v>
      </c>
      <c r="AH416" s="2466">
        <v>2000</v>
      </c>
      <c r="AI416" s="2470"/>
      <c r="AJ416" s="2466">
        <f t="shared" si="234"/>
        <v>2000</v>
      </c>
      <c r="AK416" s="2468">
        <f t="shared" si="235"/>
        <v>0</v>
      </c>
      <c r="AM416" s="2467">
        <v>2000</v>
      </c>
      <c r="AN416" s="2467">
        <v>2000</v>
      </c>
      <c r="AP416" s="2469"/>
      <c r="AR416" s="2466">
        <v>2000</v>
      </c>
      <c r="AS416" s="2466">
        <v>3527.02</v>
      </c>
      <c r="AT416" s="2466"/>
      <c r="AU416" s="2466">
        <v>2000</v>
      </c>
      <c r="AV416" s="2466">
        <v>1914.59</v>
      </c>
      <c r="AX416" s="2466">
        <v>2000</v>
      </c>
      <c r="AY416" s="2470"/>
      <c r="AZ416" s="2466">
        <f t="shared" si="227"/>
        <v>2000</v>
      </c>
      <c r="BA416" s="2468">
        <f t="shared" si="236"/>
        <v>0</v>
      </c>
      <c r="BC416" s="2467">
        <v>2000</v>
      </c>
      <c r="BD416" s="2467">
        <v>2000</v>
      </c>
      <c r="BF416" s="2469"/>
      <c r="BH416" s="2467">
        <v>2000</v>
      </c>
      <c r="BI416" s="2466">
        <v>4841.92</v>
      </c>
      <c r="BM416" s="2466">
        <v>2000</v>
      </c>
      <c r="BN416" s="2470"/>
      <c r="BO416" s="2472">
        <f t="shared" si="229"/>
        <v>2000</v>
      </c>
      <c r="BP416" s="2473">
        <f t="shared" si="237"/>
        <v>0</v>
      </c>
      <c r="BR416" s="2474">
        <v>2000</v>
      </c>
      <c r="BS416" s="2474">
        <v>2000</v>
      </c>
      <c r="BU416" s="2475"/>
      <c r="BW416" s="2474">
        <v>2000</v>
      </c>
      <c r="BX416" s="2466">
        <v>239.99</v>
      </c>
      <c r="BZ416" s="2474">
        <v>2000</v>
      </c>
      <c r="CA416" s="2470"/>
      <c r="CB416" s="2472">
        <f t="shared" si="231"/>
        <v>2000</v>
      </c>
      <c r="CC416" s="2473">
        <f t="shared" si="238"/>
        <v>0</v>
      </c>
      <c r="CE416" s="2474">
        <v>2000</v>
      </c>
      <c r="CF416" s="2476">
        <f t="shared" si="239"/>
        <v>0</v>
      </c>
      <c r="CG416" s="2474">
        <v>2000</v>
      </c>
      <c r="CH416" s="2449" t="s">
        <v>1217</v>
      </c>
      <c r="CI416" s="2449"/>
      <c r="CJ416" s="2450"/>
      <c r="CK416" s="2450"/>
      <c r="CO416" s="2477">
        <v>1.42096</v>
      </c>
      <c r="CP416" s="2478">
        <f t="shared" si="220"/>
        <v>2841.92</v>
      </c>
      <c r="CQ416" s="2478"/>
      <c r="CR416" s="2478"/>
      <c r="CS416" s="2478"/>
      <c r="CT416" s="2478"/>
    </row>
    <row r="417" spans="1:98" hidden="1" x14ac:dyDescent="0.2">
      <c r="A417" s="2395">
        <v>220</v>
      </c>
      <c r="B417" s="2440" t="s">
        <v>1214</v>
      </c>
      <c r="C417" s="2396">
        <v>22005</v>
      </c>
      <c r="D417" s="2396">
        <v>54500</v>
      </c>
      <c r="E417" s="2397" t="s">
        <v>1268</v>
      </c>
      <c r="F417" s="2440" t="s">
        <v>1214</v>
      </c>
      <c r="G417" s="2440" t="s">
        <v>1803</v>
      </c>
      <c r="H417" s="2466">
        <v>600</v>
      </c>
      <c r="I417" s="2470"/>
      <c r="J417" s="2466">
        <f t="shared" si="221"/>
        <v>600</v>
      </c>
      <c r="K417" s="2468">
        <f t="shared" si="222"/>
        <v>0</v>
      </c>
      <c r="M417" s="2467">
        <v>600</v>
      </c>
      <c r="N417" s="2467">
        <v>600</v>
      </c>
      <c r="P417" s="2469"/>
      <c r="R417" s="2466">
        <v>600</v>
      </c>
      <c r="S417" s="2466">
        <v>629.77</v>
      </c>
      <c r="U417" s="2466">
        <v>600</v>
      </c>
      <c r="V417" s="2470">
        <v>0</v>
      </c>
      <c r="W417" s="2466">
        <f t="shared" si="223"/>
        <v>600</v>
      </c>
      <c r="X417" s="2468">
        <f t="shared" si="224"/>
        <v>0</v>
      </c>
      <c r="Z417" s="2467">
        <v>600</v>
      </c>
      <c r="AA417" s="2467">
        <v>600</v>
      </c>
      <c r="AC417" s="2469"/>
      <c r="AE417" s="2466">
        <v>600</v>
      </c>
      <c r="AF417" s="2471">
        <v>264.98</v>
      </c>
      <c r="AH417" s="2466">
        <v>600</v>
      </c>
      <c r="AI417" s="2470"/>
      <c r="AJ417" s="2466">
        <f t="shared" si="234"/>
        <v>600</v>
      </c>
      <c r="AK417" s="2468">
        <f t="shared" si="235"/>
        <v>0</v>
      </c>
      <c r="AM417" s="2467">
        <v>600</v>
      </c>
      <c r="AN417" s="2467">
        <v>600</v>
      </c>
      <c r="AP417" s="2469"/>
      <c r="AR417" s="2466">
        <v>600</v>
      </c>
      <c r="AS417" s="2466">
        <v>39</v>
      </c>
      <c r="AT417" s="2466"/>
      <c r="AU417" s="2466">
        <v>600</v>
      </c>
      <c r="AV417" s="2466">
        <v>1703.26</v>
      </c>
      <c r="AX417" s="2466">
        <v>600</v>
      </c>
      <c r="AY417" s="2470"/>
      <c r="AZ417" s="2466">
        <f t="shared" si="227"/>
        <v>600</v>
      </c>
      <c r="BA417" s="2468">
        <f t="shared" si="236"/>
        <v>0</v>
      </c>
      <c r="BC417" s="2467">
        <v>600</v>
      </c>
      <c r="BD417" s="2467">
        <v>600</v>
      </c>
      <c r="BF417" s="2469"/>
      <c r="BH417" s="2467">
        <v>600</v>
      </c>
      <c r="BI417" s="2466">
        <v>2908.96</v>
      </c>
      <c r="BM417" s="2466">
        <v>600</v>
      </c>
      <c r="BN417" s="2470"/>
      <c r="BO417" s="2472">
        <f t="shared" si="229"/>
        <v>600</v>
      </c>
      <c r="BP417" s="2473">
        <f t="shared" si="237"/>
        <v>0</v>
      </c>
      <c r="BR417" s="2474">
        <v>600</v>
      </c>
      <c r="BS417" s="2474">
        <v>600</v>
      </c>
      <c r="BU417" s="2475"/>
      <c r="BW417" s="2474">
        <v>600</v>
      </c>
      <c r="BX417" s="2466">
        <v>40.17</v>
      </c>
      <c r="BZ417" s="2474">
        <v>600</v>
      </c>
      <c r="CA417" s="2470"/>
      <c r="CB417" s="2472">
        <f t="shared" si="231"/>
        <v>600</v>
      </c>
      <c r="CC417" s="2473">
        <f t="shared" si="238"/>
        <v>0</v>
      </c>
      <c r="CE417" s="2474">
        <v>600</v>
      </c>
      <c r="CF417" s="2476">
        <f t="shared" si="239"/>
        <v>0</v>
      </c>
      <c r="CG417" s="2474">
        <v>600</v>
      </c>
      <c r="CH417" s="2449" t="s">
        <v>1217</v>
      </c>
      <c r="CI417" s="2449"/>
      <c r="CJ417" s="2450"/>
      <c r="CK417" s="2450"/>
      <c r="CO417" s="2477">
        <v>3.8482666666666665</v>
      </c>
      <c r="CP417" s="2478">
        <f t="shared" si="220"/>
        <v>2308.96</v>
      </c>
      <c r="CQ417" s="2478"/>
      <c r="CR417" s="2478"/>
      <c r="CS417" s="2478"/>
      <c r="CT417" s="2478"/>
    </row>
    <row r="418" spans="1:98" hidden="1" x14ac:dyDescent="0.2">
      <c r="A418" s="2395">
        <v>220</v>
      </c>
      <c r="B418" s="2440" t="s">
        <v>1214</v>
      </c>
      <c r="C418" s="2396">
        <v>22005</v>
      </c>
      <c r="D418" s="2396">
        <v>54800</v>
      </c>
      <c r="E418" s="2397" t="s">
        <v>1268</v>
      </c>
      <c r="F418" s="2440" t="s">
        <v>1214</v>
      </c>
      <c r="G418" s="2440" t="s">
        <v>1804</v>
      </c>
      <c r="H418" s="2466">
        <v>2500</v>
      </c>
      <c r="I418" s="2470"/>
      <c r="J418" s="2466">
        <f t="shared" si="221"/>
        <v>2500</v>
      </c>
      <c r="K418" s="2468">
        <f t="shared" si="222"/>
        <v>0</v>
      </c>
      <c r="M418" s="2467">
        <v>2500</v>
      </c>
      <c r="N418" s="2467">
        <v>2500</v>
      </c>
      <c r="P418" s="2469"/>
      <c r="R418" s="2466">
        <v>2500</v>
      </c>
      <c r="S418" s="2466">
        <v>994.95</v>
      </c>
      <c r="U418" s="2466">
        <v>2500</v>
      </c>
      <c r="V418" s="2470">
        <v>0</v>
      </c>
      <c r="W418" s="2466">
        <f t="shared" si="223"/>
        <v>2500</v>
      </c>
      <c r="X418" s="2468">
        <f t="shared" si="224"/>
        <v>0</v>
      </c>
      <c r="Z418" s="2467">
        <v>2500</v>
      </c>
      <c r="AA418" s="2467">
        <v>2500</v>
      </c>
      <c r="AC418" s="2469"/>
      <c r="AE418" s="2466">
        <v>2500</v>
      </c>
      <c r="AF418" s="2471">
        <v>1579.72</v>
      </c>
      <c r="AH418" s="2466">
        <v>2500</v>
      </c>
      <c r="AI418" s="2470"/>
      <c r="AJ418" s="2466">
        <f t="shared" si="234"/>
        <v>2500</v>
      </c>
      <c r="AK418" s="2468">
        <f t="shared" si="235"/>
        <v>0</v>
      </c>
      <c r="AM418" s="2467">
        <v>2500</v>
      </c>
      <c r="AN418" s="2467">
        <v>2500</v>
      </c>
      <c r="AP418" s="2469"/>
      <c r="AR418" s="2466">
        <v>2500</v>
      </c>
      <c r="AS418" s="2466">
        <v>5723.77</v>
      </c>
      <c r="AT418" s="2466"/>
      <c r="AU418" s="2466">
        <v>3000</v>
      </c>
      <c r="AV418" s="2466">
        <v>4036.39</v>
      </c>
      <c r="AX418" s="2466">
        <v>3000</v>
      </c>
      <c r="AY418" s="2470"/>
      <c r="AZ418" s="2466">
        <f t="shared" si="227"/>
        <v>3000</v>
      </c>
      <c r="BA418" s="2468">
        <f t="shared" si="236"/>
        <v>0</v>
      </c>
      <c r="BC418" s="2467">
        <v>3000</v>
      </c>
      <c r="BD418" s="2467">
        <v>3000</v>
      </c>
      <c r="BF418" s="2469"/>
      <c r="BH418" s="2467">
        <v>3000</v>
      </c>
      <c r="BI418" s="2466">
        <v>3689.54</v>
      </c>
      <c r="BM418" s="2466">
        <v>3000</v>
      </c>
      <c r="BN418" s="2470"/>
      <c r="BO418" s="2472">
        <f t="shared" si="229"/>
        <v>3000</v>
      </c>
      <c r="BP418" s="2473">
        <f t="shared" si="237"/>
        <v>0</v>
      </c>
      <c r="BR418" s="2474">
        <v>3000</v>
      </c>
      <c r="BS418" s="2474">
        <v>3000</v>
      </c>
      <c r="BU418" s="2475"/>
      <c r="BW418" s="2474">
        <v>3000</v>
      </c>
      <c r="BX418" s="2466">
        <v>302.64999999999998</v>
      </c>
      <c r="BZ418" s="2474">
        <v>3000</v>
      </c>
      <c r="CA418" s="2470"/>
      <c r="CB418" s="2472">
        <f t="shared" si="231"/>
        <v>3000</v>
      </c>
      <c r="CC418" s="2473">
        <f t="shared" si="238"/>
        <v>0</v>
      </c>
      <c r="CE418" s="2474">
        <v>3000</v>
      </c>
      <c r="CF418" s="2476">
        <f t="shared" si="239"/>
        <v>0</v>
      </c>
      <c r="CG418" s="2474">
        <v>3000</v>
      </c>
      <c r="CH418" s="2449" t="s">
        <v>1217</v>
      </c>
      <c r="CI418" s="2449"/>
      <c r="CJ418" s="2450"/>
      <c r="CK418" s="2450"/>
      <c r="CO418" s="2477">
        <v>0.22984666666666675</v>
      </c>
      <c r="CP418" s="2478">
        <f t="shared" si="220"/>
        <v>689.54</v>
      </c>
      <c r="CQ418" s="2478"/>
      <c r="CR418" s="2478"/>
      <c r="CS418" s="2478"/>
      <c r="CT418" s="2478"/>
    </row>
    <row r="419" spans="1:98" hidden="1" x14ac:dyDescent="0.2">
      <c r="A419" s="2395">
        <v>220</v>
      </c>
      <c r="B419" s="2440" t="s">
        <v>1214</v>
      </c>
      <c r="C419" s="2396">
        <v>22005</v>
      </c>
      <c r="D419" s="2396">
        <v>54802</v>
      </c>
      <c r="E419" s="2397" t="s">
        <v>1268</v>
      </c>
      <c r="F419" s="2440" t="s">
        <v>1214</v>
      </c>
      <c r="G419" s="2440" t="s">
        <v>1805</v>
      </c>
      <c r="H419" s="2466">
        <v>500</v>
      </c>
      <c r="I419" s="2470"/>
      <c r="J419" s="2466">
        <f>H419+I419</f>
        <v>500</v>
      </c>
      <c r="K419" s="2468">
        <f>IF(H419=0," ",(J419-H419)/H419)</f>
        <v>0</v>
      </c>
      <c r="M419" s="2467">
        <v>500</v>
      </c>
      <c r="N419" s="2467">
        <v>500</v>
      </c>
      <c r="P419" s="2469"/>
      <c r="R419" s="2466">
        <v>500</v>
      </c>
      <c r="S419" s="2466">
        <v>800</v>
      </c>
      <c r="U419" s="2466">
        <v>500</v>
      </c>
      <c r="V419" s="2470">
        <v>0</v>
      </c>
      <c r="W419" s="2466">
        <f>U419+V419</f>
        <v>500</v>
      </c>
      <c r="X419" s="2468">
        <f>IF(U419=0," ",(W419-U419)/U419)</f>
        <v>0</v>
      </c>
      <c r="Z419" s="2467">
        <v>500</v>
      </c>
      <c r="AA419" s="2467">
        <v>500</v>
      </c>
      <c r="AC419" s="2469"/>
      <c r="AE419" s="2466">
        <v>500</v>
      </c>
      <c r="AF419" s="2471">
        <v>200</v>
      </c>
      <c r="AH419" s="2466">
        <v>500</v>
      </c>
      <c r="AI419" s="2470"/>
      <c r="AJ419" s="2466">
        <f>AH419+AI419</f>
        <v>500</v>
      </c>
      <c r="AK419" s="2468">
        <f>IF(AH419=0," ",(AJ419-AH419)/AH419)</f>
        <v>0</v>
      </c>
      <c r="AM419" s="2467">
        <v>500</v>
      </c>
      <c r="AN419" s="2467">
        <v>500</v>
      </c>
      <c r="AP419" s="2469"/>
      <c r="AR419" s="2466">
        <v>500</v>
      </c>
      <c r="AS419" s="2466">
        <v>0</v>
      </c>
      <c r="AT419" s="2466"/>
      <c r="AU419" s="2466">
        <v>0</v>
      </c>
      <c r="AX419" s="2466">
        <v>0</v>
      </c>
      <c r="AY419" s="2470"/>
      <c r="AZ419" s="2466">
        <f t="shared" si="227"/>
        <v>0</v>
      </c>
      <c r="BA419" s="2468" t="str">
        <f t="shared" si="236"/>
        <v xml:space="preserve"> </v>
      </c>
      <c r="BC419" s="2467">
        <v>0</v>
      </c>
      <c r="BD419" s="2467">
        <v>0</v>
      </c>
      <c r="BF419" s="2469"/>
      <c r="BH419" s="2467">
        <v>0</v>
      </c>
      <c r="BM419" s="2466">
        <v>0</v>
      </c>
      <c r="BN419" s="2470"/>
      <c r="BO419" s="2472">
        <f t="shared" si="229"/>
        <v>0</v>
      </c>
      <c r="BP419" s="2473" t="str">
        <f t="shared" si="237"/>
        <v xml:space="preserve"> </v>
      </c>
      <c r="BR419" s="2474">
        <v>0</v>
      </c>
      <c r="BS419" s="2474">
        <v>0</v>
      </c>
      <c r="BU419" s="2475"/>
      <c r="BW419" s="2474">
        <v>0</v>
      </c>
      <c r="BZ419" s="2474">
        <v>0</v>
      </c>
      <c r="CA419" s="2470"/>
      <c r="CB419" s="2472">
        <f t="shared" si="231"/>
        <v>0</v>
      </c>
      <c r="CC419" s="2473" t="str">
        <f t="shared" si="238"/>
        <v xml:space="preserve"> </v>
      </c>
      <c r="CE419" s="2474">
        <v>0</v>
      </c>
      <c r="CF419" s="2476" t="str">
        <f t="shared" si="239"/>
        <v xml:space="preserve"> </v>
      </c>
      <c r="CG419" s="2474">
        <v>0</v>
      </c>
      <c r="CH419" s="2449" t="s">
        <v>1217</v>
      </c>
      <c r="CI419" s="2449"/>
      <c r="CJ419" s="2450"/>
      <c r="CK419" s="2450"/>
      <c r="CP419" s="2478">
        <f t="shared" si="220"/>
        <v>0</v>
      </c>
      <c r="CQ419" s="2478"/>
      <c r="CR419" s="2478"/>
      <c r="CS419" s="2478"/>
      <c r="CT419" s="2478"/>
    </row>
    <row r="420" spans="1:98" hidden="1" x14ac:dyDescent="0.2">
      <c r="A420" s="2395">
        <v>220</v>
      </c>
      <c r="B420" s="2440" t="s">
        <v>1214</v>
      </c>
      <c r="C420" s="2396">
        <v>22005</v>
      </c>
      <c r="D420" s="2396">
        <v>55000</v>
      </c>
      <c r="E420" s="2397" t="s">
        <v>1268</v>
      </c>
      <c r="F420" s="2440" t="s">
        <v>1214</v>
      </c>
      <c r="G420" s="2440" t="s">
        <v>1806</v>
      </c>
      <c r="H420" s="2466">
        <v>2000</v>
      </c>
      <c r="I420" s="2470">
        <v>500</v>
      </c>
      <c r="J420" s="2466">
        <f t="shared" si="221"/>
        <v>2500</v>
      </c>
      <c r="K420" s="2468">
        <f t="shared" si="222"/>
        <v>0.25</v>
      </c>
      <c r="M420" s="2467">
        <v>2500</v>
      </c>
      <c r="N420" s="2467">
        <v>2500</v>
      </c>
      <c r="P420" s="2469" t="s">
        <v>1807</v>
      </c>
      <c r="R420" s="2466">
        <v>2500</v>
      </c>
      <c r="S420" s="2466">
        <v>3741.99</v>
      </c>
      <c r="U420" s="2466">
        <v>2500</v>
      </c>
      <c r="V420" s="2470">
        <v>0</v>
      </c>
      <c r="W420" s="2466">
        <f t="shared" si="223"/>
        <v>2500</v>
      </c>
      <c r="X420" s="2468">
        <f t="shared" si="224"/>
        <v>0</v>
      </c>
      <c r="Z420" s="2467">
        <v>2500</v>
      </c>
      <c r="AA420" s="2467">
        <f>2500+2500</f>
        <v>5000</v>
      </c>
      <c r="AC420" s="2469" t="s">
        <v>1808</v>
      </c>
      <c r="AE420" s="2466">
        <f>2500+2500</f>
        <v>5000</v>
      </c>
      <c r="AF420" s="2471">
        <v>4153.4399999999996</v>
      </c>
      <c r="AH420" s="2466">
        <v>5000</v>
      </c>
      <c r="AI420" s="2470"/>
      <c r="AJ420" s="2466">
        <f t="shared" si="234"/>
        <v>5000</v>
      </c>
      <c r="AK420" s="2468">
        <f t="shared" si="235"/>
        <v>0</v>
      </c>
      <c r="AM420" s="2467">
        <v>5000</v>
      </c>
      <c r="AN420" s="2467">
        <v>5000</v>
      </c>
      <c r="AO420" s="2574"/>
      <c r="AP420" s="2646"/>
      <c r="AR420" s="2466">
        <v>5000</v>
      </c>
      <c r="AS420" s="2466">
        <v>2405.2199999999998</v>
      </c>
      <c r="AT420" s="2466"/>
      <c r="AU420" s="2466">
        <f>7000+1000</f>
        <v>8000</v>
      </c>
      <c r="AV420" s="2466">
        <v>12124.75</v>
      </c>
      <c r="AX420" s="2466">
        <f>7000+1000</f>
        <v>8000</v>
      </c>
      <c r="AY420" s="2470"/>
      <c r="AZ420" s="2466">
        <f t="shared" si="227"/>
        <v>8000</v>
      </c>
      <c r="BA420" s="2468">
        <f t="shared" si="236"/>
        <v>0</v>
      </c>
      <c r="BC420" s="2467">
        <v>8000</v>
      </c>
      <c r="BD420" s="2467">
        <v>8000</v>
      </c>
      <c r="BE420" s="2574"/>
      <c r="BF420" s="2469"/>
      <c r="BH420" s="2467">
        <v>8000</v>
      </c>
      <c r="BI420" s="2466">
        <v>25592.69</v>
      </c>
      <c r="BM420" s="2466">
        <v>8000</v>
      </c>
      <c r="BN420" s="2470"/>
      <c r="BO420" s="2472">
        <f t="shared" si="229"/>
        <v>8000</v>
      </c>
      <c r="BP420" s="2473">
        <f t="shared" si="237"/>
        <v>0</v>
      </c>
      <c r="BR420" s="2474">
        <v>8000</v>
      </c>
      <c r="BS420" s="2474">
        <f>8000+6000</f>
        <v>14000</v>
      </c>
      <c r="BT420" s="2491"/>
      <c r="BU420" s="2647" t="s">
        <v>1809</v>
      </c>
      <c r="BW420" s="2474">
        <f>8000+6000</f>
        <v>14000</v>
      </c>
      <c r="BX420" s="2466">
        <v>3616.95</v>
      </c>
      <c r="BZ420" s="2474">
        <f>8000+6000</f>
        <v>14000</v>
      </c>
      <c r="CA420" s="2470"/>
      <c r="CB420" s="2472">
        <f t="shared" si="231"/>
        <v>14000</v>
      </c>
      <c r="CC420" s="2473">
        <f t="shared" si="238"/>
        <v>0</v>
      </c>
      <c r="CE420" s="2474">
        <v>14000</v>
      </c>
      <c r="CF420" s="2476">
        <f t="shared" si="239"/>
        <v>0</v>
      </c>
      <c r="CG420" s="2474">
        <v>14000</v>
      </c>
      <c r="CH420" s="2449" t="s">
        <v>1217</v>
      </c>
      <c r="CI420" s="2449"/>
      <c r="CJ420" s="2450"/>
      <c r="CK420" s="2450"/>
      <c r="CO420" s="2477">
        <v>2.1990862499999997</v>
      </c>
      <c r="CP420" s="2478">
        <f t="shared" si="220"/>
        <v>17592.689999999999</v>
      </c>
      <c r="CQ420" s="2478"/>
      <c r="CR420" s="2478"/>
      <c r="CS420" s="2478"/>
      <c r="CT420" s="2478"/>
    </row>
    <row r="421" spans="1:98" hidden="1" x14ac:dyDescent="0.2">
      <c r="A421" s="2395">
        <v>220</v>
      </c>
      <c r="B421" s="2440" t="s">
        <v>1214</v>
      </c>
      <c r="C421" s="2396">
        <v>22005</v>
      </c>
      <c r="D421" s="2615">
        <v>55002</v>
      </c>
      <c r="E421" s="2397" t="s">
        <v>1268</v>
      </c>
      <c r="F421" s="2440" t="s">
        <v>1214</v>
      </c>
      <c r="G421" s="2440" t="s">
        <v>1810</v>
      </c>
      <c r="H421" s="2466">
        <v>2000</v>
      </c>
      <c r="I421" s="2470"/>
      <c r="J421" s="2466">
        <f>H421+I421</f>
        <v>2000</v>
      </c>
      <c r="K421" s="2468">
        <f>IF(H421=0," ",(J421-H421)/H421)</f>
        <v>0</v>
      </c>
      <c r="M421" s="2467">
        <v>2000</v>
      </c>
      <c r="N421" s="2467">
        <v>2000</v>
      </c>
      <c r="P421" s="2469"/>
      <c r="R421" s="2466">
        <v>2000</v>
      </c>
      <c r="S421" s="2466">
        <v>13529.9</v>
      </c>
      <c r="U421" s="2466">
        <v>2000</v>
      </c>
      <c r="V421" s="2470">
        <v>0</v>
      </c>
      <c r="W421" s="2466">
        <f>U421+V421</f>
        <v>2000</v>
      </c>
      <c r="X421" s="2468">
        <f>IF(U421=0," ",(W421-U421)/U421)</f>
        <v>0</v>
      </c>
      <c r="Z421" s="2467">
        <v>2000</v>
      </c>
      <c r="AA421" s="2467">
        <v>2000</v>
      </c>
      <c r="AC421" s="2469"/>
      <c r="AE421" s="2466">
        <v>2000</v>
      </c>
      <c r="AF421" s="2471">
        <v>0</v>
      </c>
      <c r="AH421" s="2466">
        <v>2000</v>
      </c>
      <c r="AI421" s="2470"/>
      <c r="AJ421" s="2466">
        <f>AH421+AI421</f>
        <v>2000</v>
      </c>
      <c r="AK421" s="2468">
        <f>IF(AH421=0," ",(AJ421-AH421)/AH421)</f>
        <v>0</v>
      </c>
      <c r="AM421" s="2467">
        <v>2000</v>
      </c>
      <c r="AN421" s="2467">
        <v>2000</v>
      </c>
      <c r="AP421" s="2469"/>
      <c r="AR421" s="2466">
        <v>2000</v>
      </c>
      <c r="AS421" s="2466">
        <v>0</v>
      </c>
      <c r="AT421" s="2466"/>
      <c r="AU421" s="2466">
        <v>0</v>
      </c>
      <c r="AX421" s="2466">
        <v>0</v>
      </c>
      <c r="AY421" s="2470"/>
      <c r="AZ421" s="2466">
        <f t="shared" si="227"/>
        <v>0</v>
      </c>
      <c r="BA421" s="2468" t="str">
        <f t="shared" si="236"/>
        <v xml:space="preserve"> </v>
      </c>
      <c r="BC421" s="2467">
        <v>0</v>
      </c>
      <c r="BD421" s="2467">
        <v>0</v>
      </c>
      <c r="BF421" s="2469"/>
      <c r="BH421" s="2467">
        <v>0</v>
      </c>
      <c r="BM421" s="2466">
        <v>0</v>
      </c>
      <c r="BN421" s="2470"/>
      <c r="BO421" s="2472">
        <f t="shared" si="229"/>
        <v>0</v>
      </c>
      <c r="BP421" s="2473" t="str">
        <f t="shared" si="237"/>
        <v xml:space="preserve"> </v>
      </c>
      <c r="BR421" s="2474">
        <v>0</v>
      </c>
      <c r="BS421" s="2474">
        <v>0</v>
      </c>
      <c r="BU421" s="2475"/>
      <c r="BW421" s="2474">
        <v>0</v>
      </c>
      <c r="BZ421" s="2474">
        <v>0</v>
      </c>
      <c r="CA421" s="2470"/>
      <c r="CB421" s="2472">
        <f t="shared" si="231"/>
        <v>0</v>
      </c>
      <c r="CC421" s="2473" t="str">
        <f t="shared" si="238"/>
        <v xml:space="preserve"> </v>
      </c>
      <c r="CE421" s="2474">
        <v>0</v>
      </c>
      <c r="CF421" s="2476" t="str">
        <f t="shared" si="239"/>
        <v xml:space="preserve"> </v>
      </c>
      <c r="CG421" s="2474">
        <v>0</v>
      </c>
      <c r="CH421" s="2449" t="s">
        <v>1217</v>
      </c>
      <c r="CI421" s="2449"/>
      <c r="CJ421" s="2450"/>
      <c r="CK421" s="2450"/>
      <c r="CP421" s="2478">
        <f t="shared" si="220"/>
        <v>0</v>
      </c>
      <c r="CQ421" s="2478"/>
      <c r="CR421" s="2478"/>
      <c r="CS421" s="2478"/>
      <c r="CT421" s="2478"/>
    </row>
    <row r="422" spans="1:98" hidden="1" x14ac:dyDescent="0.2">
      <c r="A422" s="2395">
        <v>220</v>
      </c>
      <c r="B422" s="2440" t="s">
        <v>1214</v>
      </c>
      <c r="C422" s="2396">
        <v>22005</v>
      </c>
      <c r="D422" s="2396">
        <v>55800</v>
      </c>
      <c r="E422" s="2397" t="s">
        <v>1268</v>
      </c>
      <c r="F422" s="2440" t="s">
        <v>1214</v>
      </c>
      <c r="G422" s="2440" t="s">
        <v>1811</v>
      </c>
      <c r="H422" s="2466">
        <v>0</v>
      </c>
      <c r="I422" s="2470"/>
      <c r="J422" s="2466">
        <f t="shared" si="221"/>
        <v>0</v>
      </c>
      <c r="K422" s="2468" t="str">
        <f t="shared" si="222"/>
        <v xml:space="preserve"> </v>
      </c>
      <c r="M422" s="2467">
        <v>0</v>
      </c>
      <c r="N422" s="2467">
        <v>0</v>
      </c>
      <c r="P422" s="2469"/>
      <c r="R422" s="2466">
        <v>0</v>
      </c>
      <c r="S422" s="2466">
        <v>2840.76</v>
      </c>
      <c r="U422" s="2466">
        <v>0</v>
      </c>
      <c r="V422" s="2470">
        <v>0</v>
      </c>
      <c r="W422" s="2466">
        <f t="shared" si="223"/>
        <v>0</v>
      </c>
      <c r="X422" s="2468" t="str">
        <f t="shared" si="224"/>
        <v xml:space="preserve"> </v>
      </c>
      <c r="Z422" s="2467">
        <v>0</v>
      </c>
      <c r="AA422" s="2467">
        <v>0</v>
      </c>
      <c r="AC422" s="2469"/>
      <c r="AE422" s="2466">
        <v>0</v>
      </c>
      <c r="AH422" s="2466">
        <v>0</v>
      </c>
      <c r="AI422" s="2470"/>
      <c r="AJ422" s="2466">
        <f t="shared" si="234"/>
        <v>0</v>
      </c>
      <c r="AK422" s="2468" t="str">
        <f t="shared" si="235"/>
        <v xml:space="preserve"> </v>
      </c>
      <c r="AM422" s="2467">
        <v>0</v>
      </c>
      <c r="AN422" s="2467">
        <v>0</v>
      </c>
      <c r="AP422" s="2469"/>
      <c r="AR422" s="2466">
        <v>0</v>
      </c>
      <c r="AS422" s="2466">
        <v>7354.91</v>
      </c>
      <c r="AT422" s="2466"/>
      <c r="AU422" s="2466">
        <v>8500</v>
      </c>
      <c r="AV422" s="2466">
        <v>8945.36</v>
      </c>
      <c r="AX422" s="2466">
        <v>8500</v>
      </c>
      <c r="AY422" s="2470"/>
      <c r="AZ422" s="2466">
        <f t="shared" si="227"/>
        <v>8500</v>
      </c>
      <c r="BA422" s="2468">
        <f t="shared" si="236"/>
        <v>0</v>
      </c>
      <c r="BC422" s="2467">
        <v>8500</v>
      </c>
      <c r="BD422" s="2467">
        <v>8500</v>
      </c>
      <c r="BF422" s="2469"/>
      <c r="BH422" s="2467">
        <v>8500</v>
      </c>
      <c r="BI422" s="2466">
        <v>639.20000000000005</v>
      </c>
      <c r="BM422" s="2466">
        <v>8500</v>
      </c>
      <c r="BN422" s="2470"/>
      <c r="BO422" s="2472">
        <f t="shared" si="229"/>
        <v>8500</v>
      </c>
      <c r="BP422" s="2473">
        <f t="shared" si="237"/>
        <v>0</v>
      </c>
      <c r="BR422" s="2474">
        <v>8500</v>
      </c>
      <c r="BS422" s="2474">
        <v>8500</v>
      </c>
      <c r="BU422" s="2475"/>
      <c r="BW422" s="2474">
        <v>8500</v>
      </c>
      <c r="BX422" s="2466">
        <v>70.81</v>
      </c>
      <c r="BZ422" s="2474">
        <v>8500</v>
      </c>
      <c r="CA422" s="2470"/>
      <c r="CB422" s="2472">
        <f t="shared" si="231"/>
        <v>8500</v>
      </c>
      <c r="CC422" s="2473">
        <f t="shared" si="238"/>
        <v>0</v>
      </c>
      <c r="CE422" s="2474">
        <v>8500</v>
      </c>
      <c r="CF422" s="2476">
        <f t="shared" si="239"/>
        <v>0</v>
      </c>
      <c r="CG422" s="2474">
        <v>8500</v>
      </c>
      <c r="CH422" s="2449" t="s">
        <v>1217</v>
      </c>
      <c r="CI422" s="2449"/>
      <c r="CJ422" s="2450"/>
      <c r="CK422" s="2450"/>
      <c r="CO422" s="2477">
        <v>-0.92479999999999996</v>
      </c>
      <c r="CP422" s="2478">
        <f t="shared" si="220"/>
        <v>-7860.8</v>
      </c>
      <c r="CQ422" s="2478"/>
      <c r="CR422" s="2478"/>
      <c r="CS422" s="2478"/>
      <c r="CT422" s="2478"/>
    </row>
    <row r="423" spans="1:98" hidden="1" x14ac:dyDescent="0.2">
      <c r="A423" s="2395">
        <v>220</v>
      </c>
      <c r="B423" s="2440" t="s">
        <v>1214</v>
      </c>
      <c r="C423" s="2396">
        <v>22005</v>
      </c>
      <c r="D423" s="2615">
        <v>55802</v>
      </c>
      <c r="E423" s="2397" t="s">
        <v>1268</v>
      </c>
      <c r="F423" s="2440" t="s">
        <v>1214</v>
      </c>
      <c r="G423" s="2440" t="s">
        <v>1812</v>
      </c>
      <c r="H423" s="2466">
        <v>8500</v>
      </c>
      <c r="I423" s="2470"/>
      <c r="J423" s="2466">
        <f>H423+I423</f>
        <v>8500</v>
      </c>
      <c r="K423" s="2468">
        <f>IF(H423=0," ",(J423-H423)/H423)</f>
        <v>0</v>
      </c>
      <c r="M423" s="2467">
        <v>8500</v>
      </c>
      <c r="N423" s="2467">
        <v>8500</v>
      </c>
      <c r="P423" s="2469"/>
      <c r="R423" s="2466">
        <v>8500</v>
      </c>
      <c r="S423" s="2466">
        <v>838.48</v>
      </c>
      <c r="U423" s="2466">
        <v>8500</v>
      </c>
      <c r="V423" s="2470">
        <v>0</v>
      </c>
      <c r="W423" s="2466">
        <f>U423+V423</f>
        <v>8500</v>
      </c>
      <c r="X423" s="2468">
        <f>IF(U423=0," ",(W423-U423)/U423)</f>
        <v>0</v>
      </c>
      <c r="Z423" s="2467">
        <v>8500</v>
      </c>
      <c r="AA423" s="2467">
        <v>8500</v>
      </c>
      <c r="AC423" s="2469"/>
      <c r="AE423" s="2466">
        <v>8500</v>
      </c>
      <c r="AF423" s="2471">
        <v>0</v>
      </c>
      <c r="AH423" s="2466">
        <v>8500</v>
      </c>
      <c r="AI423" s="2470"/>
      <c r="AJ423" s="2466">
        <f>AH423+AI423</f>
        <v>8500</v>
      </c>
      <c r="AK423" s="2468">
        <f>IF(AH423=0," ",(AJ423-AH423)/AH423)</f>
        <v>0</v>
      </c>
      <c r="AM423" s="2467">
        <v>8500</v>
      </c>
      <c r="AN423" s="2467">
        <v>8500</v>
      </c>
      <c r="AP423" s="2469"/>
      <c r="AR423" s="2466">
        <v>8500</v>
      </c>
      <c r="AS423" s="2466">
        <v>0</v>
      </c>
      <c r="AT423" s="2466"/>
      <c r="AU423" s="2466">
        <v>0</v>
      </c>
      <c r="AX423" s="2466">
        <v>0</v>
      </c>
      <c r="AY423" s="2470"/>
      <c r="AZ423" s="2466">
        <f t="shared" si="227"/>
        <v>0</v>
      </c>
      <c r="BA423" s="2468" t="str">
        <f t="shared" si="236"/>
        <v xml:space="preserve"> </v>
      </c>
      <c r="BC423" s="2467">
        <v>0</v>
      </c>
      <c r="BD423" s="2467">
        <v>0</v>
      </c>
      <c r="BF423" s="2469"/>
      <c r="BH423" s="2467">
        <v>0</v>
      </c>
      <c r="BM423" s="2466">
        <v>0</v>
      </c>
      <c r="BN423" s="2470"/>
      <c r="BO423" s="2472">
        <f t="shared" si="229"/>
        <v>0</v>
      </c>
      <c r="BP423" s="2473" t="str">
        <f t="shared" si="237"/>
        <v xml:space="preserve"> </v>
      </c>
      <c r="BR423" s="2474">
        <v>0</v>
      </c>
      <c r="BS423" s="2474">
        <v>0</v>
      </c>
      <c r="BU423" s="2475"/>
      <c r="BW423" s="2474">
        <v>0</v>
      </c>
      <c r="BZ423" s="2474">
        <v>0</v>
      </c>
      <c r="CA423" s="2470"/>
      <c r="CB423" s="2472">
        <f t="shared" si="231"/>
        <v>0</v>
      </c>
      <c r="CC423" s="2473" t="str">
        <f t="shared" si="238"/>
        <v xml:space="preserve"> </v>
      </c>
      <c r="CE423" s="2474">
        <v>0</v>
      </c>
      <c r="CF423" s="2476" t="str">
        <f t="shared" si="239"/>
        <v xml:space="preserve"> </v>
      </c>
      <c r="CG423" s="2474">
        <v>0</v>
      </c>
      <c r="CH423" s="2449" t="s">
        <v>1217</v>
      </c>
      <c r="CI423" s="2449"/>
      <c r="CJ423" s="2450"/>
      <c r="CK423" s="2450"/>
      <c r="CP423" s="2478">
        <f t="shared" si="220"/>
        <v>0</v>
      </c>
      <c r="CQ423" s="2478"/>
      <c r="CR423" s="2478"/>
      <c r="CS423" s="2478"/>
      <c r="CT423" s="2478"/>
    </row>
    <row r="424" spans="1:98" hidden="1" x14ac:dyDescent="0.2">
      <c r="A424" s="2395">
        <v>220</v>
      </c>
      <c r="B424" s="2440" t="s">
        <v>1214</v>
      </c>
      <c r="C424" s="2396">
        <v>22005</v>
      </c>
      <c r="D424" s="2396">
        <v>55810</v>
      </c>
      <c r="E424" s="2397" t="s">
        <v>1268</v>
      </c>
      <c r="F424" s="2440" t="s">
        <v>1214</v>
      </c>
      <c r="G424" s="2440" t="s">
        <v>1813</v>
      </c>
      <c r="H424" s="2466">
        <v>8505</v>
      </c>
      <c r="I424" s="2470"/>
      <c r="J424" s="2466">
        <f t="shared" si="221"/>
        <v>8505</v>
      </c>
      <c r="K424" s="2468">
        <f t="shared" si="222"/>
        <v>0</v>
      </c>
      <c r="M424" s="2467">
        <v>8505</v>
      </c>
      <c r="N424" s="2467">
        <v>8505</v>
      </c>
      <c r="P424" s="2469"/>
      <c r="R424" s="2466">
        <v>8505</v>
      </c>
      <c r="S424" s="2466">
        <v>17345.919999999998</v>
      </c>
      <c r="U424" s="2466">
        <v>8505</v>
      </c>
      <c r="V424" s="2470">
        <v>-8505</v>
      </c>
      <c r="W424" s="2466">
        <f t="shared" si="223"/>
        <v>0</v>
      </c>
      <c r="X424" s="2468">
        <f t="shared" si="224"/>
        <v>-1</v>
      </c>
      <c r="Z424" s="2467">
        <v>0</v>
      </c>
      <c r="AA424" s="2467">
        <v>0</v>
      </c>
      <c r="AC424" s="2469" t="s">
        <v>1814</v>
      </c>
      <c r="AE424" s="2466">
        <v>0</v>
      </c>
      <c r="AF424" s="2471">
        <v>4501.83</v>
      </c>
      <c r="AH424" s="2466">
        <v>0</v>
      </c>
      <c r="AI424" s="2470"/>
      <c r="AJ424" s="2466">
        <f t="shared" si="234"/>
        <v>0</v>
      </c>
      <c r="AK424" s="2468" t="str">
        <f t="shared" si="235"/>
        <v xml:space="preserve"> </v>
      </c>
      <c r="AM424" s="2467">
        <v>0</v>
      </c>
      <c r="AN424" s="2467">
        <v>0</v>
      </c>
      <c r="AP424" s="2469"/>
      <c r="AR424" s="2466">
        <v>0</v>
      </c>
      <c r="AS424" s="2466">
        <v>1486.9</v>
      </c>
      <c r="AT424" s="2466"/>
      <c r="AU424" s="2466">
        <v>0</v>
      </c>
      <c r="AV424" s="2466">
        <v>547.33000000000004</v>
      </c>
      <c r="AX424" s="2466">
        <v>0</v>
      </c>
      <c r="AY424" s="2470"/>
      <c r="AZ424" s="2466">
        <f t="shared" si="227"/>
        <v>0</v>
      </c>
      <c r="BA424" s="2468" t="str">
        <f t="shared" si="236"/>
        <v xml:space="preserve"> </v>
      </c>
      <c r="BC424" s="2467">
        <v>0</v>
      </c>
      <c r="BD424" s="2467">
        <v>0</v>
      </c>
      <c r="BF424" s="2469"/>
      <c r="BH424" s="2467">
        <v>0</v>
      </c>
      <c r="BM424" s="2466">
        <v>0</v>
      </c>
      <c r="BN424" s="2470"/>
      <c r="BO424" s="2472">
        <f t="shared" si="229"/>
        <v>0</v>
      </c>
      <c r="BP424" s="2473" t="str">
        <f t="shared" si="237"/>
        <v xml:space="preserve"> </v>
      </c>
      <c r="BR424" s="2474">
        <v>0</v>
      </c>
      <c r="BS424" s="2474">
        <v>0</v>
      </c>
      <c r="BU424" s="2475"/>
      <c r="BW424" s="2474">
        <v>0</v>
      </c>
      <c r="BZ424" s="2474">
        <v>0</v>
      </c>
      <c r="CA424" s="2470"/>
      <c r="CB424" s="2472">
        <f t="shared" si="231"/>
        <v>0</v>
      </c>
      <c r="CC424" s="2473" t="str">
        <f t="shared" si="238"/>
        <v xml:space="preserve"> </v>
      </c>
      <c r="CE424" s="2474">
        <v>0</v>
      </c>
      <c r="CF424" s="2476" t="str">
        <f t="shared" si="239"/>
        <v xml:space="preserve"> </v>
      </c>
      <c r="CG424" s="2474">
        <v>0</v>
      </c>
      <c r="CH424" s="2449" t="s">
        <v>1217</v>
      </c>
      <c r="CI424" s="2449"/>
      <c r="CJ424" s="2450"/>
      <c r="CK424" s="2450"/>
      <c r="CP424" s="2478">
        <f t="shared" si="220"/>
        <v>0</v>
      </c>
      <c r="CQ424" s="2478"/>
      <c r="CR424" s="2478"/>
      <c r="CS424" s="2478"/>
      <c r="CT424" s="2478"/>
    </row>
    <row r="425" spans="1:98" hidden="1" x14ac:dyDescent="0.2">
      <c r="A425" s="2395">
        <v>220</v>
      </c>
      <c r="B425" s="2440" t="s">
        <v>1214</v>
      </c>
      <c r="C425" s="2396">
        <v>22005</v>
      </c>
      <c r="D425" s="2396">
        <v>55850</v>
      </c>
      <c r="E425" s="2397" t="s">
        <v>1268</v>
      </c>
      <c r="F425" s="2440" t="s">
        <v>1214</v>
      </c>
      <c r="G425" s="2440" t="s">
        <v>1815</v>
      </c>
      <c r="H425" s="2466">
        <v>100</v>
      </c>
      <c r="I425" s="2470"/>
      <c r="J425" s="2466">
        <f t="shared" si="221"/>
        <v>100</v>
      </c>
      <c r="K425" s="2468">
        <f t="shared" si="222"/>
        <v>0</v>
      </c>
      <c r="M425" s="2467">
        <v>100</v>
      </c>
      <c r="N425" s="2467">
        <v>100</v>
      </c>
      <c r="P425" s="2469"/>
      <c r="R425" s="2466">
        <v>100</v>
      </c>
      <c r="S425" s="2466">
        <v>91.35</v>
      </c>
      <c r="U425" s="2466">
        <v>100</v>
      </c>
      <c r="V425" s="2470">
        <v>0</v>
      </c>
      <c r="W425" s="2466">
        <f t="shared" si="223"/>
        <v>100</v>
      </c>
      <c r="X425" s="2468">
        <f t="shared" si="224"/>
        <v>0</v>
      </c>
      <c r="Z425" s="2467">
        <v>100</v>
      </c>
      <c r="AA425" s="2467">
        <v>100</v>
      </c>
      <c r="AC425" s="2469"/>
      <c r="AE425" s="2466">
        <v>100</v>
      </c>
      <c r="AF425" s="2471">
        <v>30</v>
      </c>
      <c r="AH425" s="2466">
        <v>100</v>
      </c>
      <c r="AI425" s="2470"/>
      <c r="AJ425" s="2466">
        <f t="shared" si="234"/>
        <v>100</v>
      </c>
      <c r="AK425" s="2468">
        <f t="shared" si="235"/>
        <v>0</v>
      </c>
      <c r="AM425" s="2467">
        <v>100</v>
      </c>
      <c r="AN425" s="2467">
        <v>100</v>
      </c>
      <c r="AP425" s="2469"/>
      <c r="AR425" s="2466">
        <v>100</v>
      </c>
      <c r="AS425" s="2466">
        <v>0</v>
      </c>
      <c r="AT425" s="2466"/>
      <c r="AU425" s="2466">
        <v>100</v>
      </c>
      <c r="AV425" s="2466">
        <v>10</v>
      </c>
      <c r="AX425" s="2466">
        <v>100</v>
      </c>
      <c r="AY425" s="2470"/>
      <c r="AZ425" s="2466">
        <f t="shared" si="227"/>
        <v>100</v>
      </c>
      <c r="BA425" s="2468">
        <f t="shared" si="236"/>
        <v>0</v>
      </c>
      <c r="BC425" s="2467">
        <v>100</v>
      </c>
      <c r="BD425" s="2467">
        <v>100</v>
      </c>
      <c r="BF425" s="2469"/>
      <c r="BH425" s="2467">
        <v>100</v>
      </c>
      <c r="BI425" s="2466">
        <v>104.93</v>
      </c>
      <c r="BM425" s="2466">
        <v>100</v>
      </c>
      <c r="BN425" s="2470"/>
      <c r="BO425" s="2472">
        <f t="shared" si="229"/>
        <v>100</v>
      </c>
      <c r="BP425" s="2473">
        <f t="shared" si="237"/>
        <v>0</v>
      </c>
      <c r="BR425" s="2474">
        <v>100</v>
      </c>
      <c r="BS425" s="2474">
        <v>100</v>
      </c>
      <c r="BU425" s="2475"/>
      <c r="BW425" s="2474">
        <v>100</v>
      </c>
      <c r="BZ425" s="2474">
        <v>100</v>
      </c>
      <c r="CA425" s="2470"/>
      <c r="CB425" s="2472">
        <f t="shared" si="231"/>
        <v>100</v>
      </c>
      <c r="CC425" s="2473">
        <f t="shared" si="238"/>
        <v>0</v>
      </c>
      <c r="CE425" s="2474">
        <v>100</v>
      </c>
      <c r="CF425" s="2476">
        <f t="shared" si="239"/>
        <v>0</v>
      </c>
      <c r="CG425" s="2474">
        <v>100</v>
      </c>
      <c r="CH425" s="2449" t="s">
        <v>1217</v>
      </c>
      <c r="CI425" s="2449"/>
      <c r="CJ425" s="2450"/>
      <c r="CK425" s="2450"/>
      <c r="CO425" s="2477">
        <v>4.9300000000000122E-2</v>
      </c>
      <c r="CP425" s="2478">
        <f t="shared" si="220"/>
        <v>4.9300000000000068</v>
      </c>
      <c r="CQ425" s="2478"/>
      <c r="CR425" s="2478"/>
      <c r="CS425" s="2478"/>
      <c r="CT425" s="2478"/>
    </row>
    <row r="426" spans="1:98" hidden="1" x14ac:dyDescent="0.2">
      <c r="A426" s="2395">
        <v>220</v>
      </c>
      <c r="B426" s="2440" t="s">
        <v>1214</v>
      </c>
      <c r="C426" s="2396">
        <v>22005</v>
      </c>
      <c r="D426" s="2396">
        <v>57100</v>
      </c>
      <c r="E426" s="2397" t="s">
        <v>1268</v>
      </c>
      <c r="F426" s="2440" t="s">
        <v>1214</v>
      </c>
      <c r="G426" s="2440" t="s">
        <v>1816</v>
      </c>
      <c r="H426" s="2466">
        <v>100</v>
      </c>
      <c r="I426" s="2470"/>
      <c r="J426" s="2466">
        <f t="shared" si="221"/>
        <v>100</v>
      </c>
      <c r="K426" s="2468">
        <f t="shared" si="222"/>
        <v>0</v>
      </c>
      <c r="M426" s="2467">
        <v>100</v>
      </c>
      <c r="N426" s="2467">
        <v>100</v>
      </c>
      <c r="P426" s="2469"/>
      <c r="R426" s="2466">
        <v>100</v>
      </c>
      <c r="S426" s="2466">
        <v>485.11</v>
      </c>
      <c r="U426" s="2466">
        <v>100</v>
      </c>
      <c r="V426" s="2470">
        <v>0</v>
      </c>
      <c r="W426" s="2466">
        <f t="shared" si="223"/>
        <v>100</v>
      </c>
      <c r="X426" s="2468">
        <f t="shared" si="224"/>
        <v>0</v>
      </c>
      <c r="Z426" s="2467">
        <v>100</v>
      </c>
      <c r="AA426" s="2467">
        <f>100+2000</f>
        <v>2100</v>
      </c>
      <c r="AC426" s="2469" t="s">
        <v>1817</v>
      </c>
      <c r="AE426" s="2466">
        <f>100+2000</f>
        <v>2100</v>
      </c>
      <c r="AF426" s="2471">
        <v>826.5</v>
      </c>
      <c r="AH426" s="2466">
        <v>2100</v>
      </c>
      <c r="AI426" s="2470"/>
      <c r="AJ426" s="2466">
        <f t="shared" si="234"/>
        <v>2100</v>
      </c>
      <c r="AK426" s="2468">
        <f t="shared" si="235"/>
        <v>0</v>
      </c>
      <c r="AM426" s="2467">
        <v>2100</v>
      </c>
      <c r="AN426" s="2467">
        <v>2100</v>
      </c>
      <c r="AO426" s="2546"/>
      <c r="AP426" s="2530"/>
      <c r="AR426" s="2466">
        <v>2100</v>
      </c>
      <c r="AS426" s="2466">
        <v>330.74</v>
      </c>
      <c r="AT426" s="2466"/>
      <c r="AU426" s="2466">
        <v>2100</v>
      </c>
      <c r="AV426" s="2466">
        <v>58.7</v>
      </c>
      <c r="AX426" s="2466">
        <v>2100</v>
      </c>
      <c r="AY426" s="2470"/>
      <c r="AZ426" s="2466">
        <f t="shared" si="227"/>
        <v>2100</v>
      </c>
      <c r="BA426" s="2468">
        <f t="shared" si="236"/>
        <v>0</v>
      </c>
      <c r="BC426" s="2467">
        <v>2100</v>
      </c>
      <c r="BD426" s="2467">
        <v>2100</v>
      </c>
      <c r="BE426" s="2546"/>
      <c r="BF426" s="2469"/>
      <c r="BH426" s="2467">
        <v>2100</v>
      </c>
      <c r="BI426" s="2466">
        <v>6.3</v>
      </c>
      <c r="BM426" s="2466">
        <v>2100</v>
      </c>
      <c r="BN426" s="2470"/>
      <c r="BO426" s="2472">
        <f t="shared" si="229"/>
        <v>2100</v>
      </c>
      <c r="BP426" s="2473">
        <f t="shared" si="237"/>
        <v>0</v>
      </c>
      <c r="BR426" s="2474">
        <v>2100</v>
      </c>
      <c r="BS426" s="2474">
        <v>2100</v>
      </c>
      <c r="BU426" s="2475"/>
      <c r="BW426" s="2474">
        <v>2100</v>
      </c>
      <c r="BX426" s="2466">
        <v>87.15</v>
      </c>
      <c r="BZ426" s="2474">
        <v>2100</v>
      </c>
      <c r="CA426" s="2470">
        <v>-1000</v>
      </c>
      <c r="CB426" s="2472">
        <f t="shared" si="231"/>
        <v>1100</v>
      </c>
      <c r="CC426" s="2473">
        <f t="shared" si="238"/>
        <v>-0.47619047619047616</v>
      </c>
      <c r="CE426" s="2474">
        <v>1100</v>
      </c>
      <c r="CF426" s="2476">
        <f t="shared" si="239"/>
        <v>0</v>
      </c>
      <c r="CG426" s="2474">
        <v>1100</v>
      </c>
      <c r="CH426" s="2449" t="s">
        <v>1217</v>
      </c>
      <c r="CI426" s="2449"/>
      <c r="CJ426" s="2450"/>
      <c r="CK426" s="2450"/>
      <c r="CO426" s="2477">
        <v>-0.997</v>
      </c>
      <c r="CP426" s="2478">
        <f t="shared" si="220"/>
        <v>-2093.6999999999998</v>
      </c>
      <c r="CQ426" s="2478"/>
      <c r="CR426" s="2478"/>
      <c r="CS426" s="2478"/>
      <c r="CT426" s="2478"/>
    </row>
    <row r="427" spans="1:98" hidden="1" x14ac:dyDescent="0.2">
      <c r="A427" s="2395">
        <v>220</v>
      </c>
      <c r="C427" s="2396">
        <v>22005</v>
      </c>
      <c r="D427" s="2396">
        <v>57103</v>
      </c>
      <c r="E427" s="2397" t="s">
        <v>1268</v>
      </c>
      <c r="G427" s="2440" t="s">
        <v>1818</v>
      </c>
      <c r="I427" s="2470"/>
      <c r="M427" s="2467"/>
      <c r="N427" s="2467"/>
      <c r="P427" s="2469"/>
      <c r="S427" s="2466">
        <v>100</v>
      </c>
      <c r="V427" s="2470"/>
      <c r="Z427" s="2467"/>
      <c r="AA427" s="2648"/>
      <c r="AB427" s="2546"/>
      <c r="AC427" s="2530"/>
      <c r="AD427" s="2546"/>
      <c r="AE427" s="2649"/>
      <c r="AF427" s="2650"/>
      <c r="AH427" s="2649"/>
      <c r="AI427" s="2470"/>
      <c r="AM427" s="2467"/>
      <c r="AN427" s="2467"/>
      <c r="AO427" s="2546"/>
      <c r="AP427" s="2530"/>
      <c r="AS427" s="2466">
        <v>0</v>
      </c>
      <c r="AT427" s="2466"/>
      <c r="AU427" s="2466">
        <v>0</v>
      </c>
      <c r="AV427" s="2466">
        <v>40</v>
      </c>
      <c r="AW427" s="2546"/>
      <c r="AX427" s="2466">
        <v>0</v>
      </c>
      <c r="AY427" s="2470"/>
      <c r="AZ427" s="2466">
        <f t="shared" si="227"/>
        <v>0</v>
      </c>
      <c r="BC427" s="2467">
        <v>0</v>
      </c>
      <c r="BD427" s="2467">
        <v>0</v>
      </c>
      <c r="BE427" s="2546"/>
      <c r="BF427" s="2469"/>
      <c r="BH427" s="2467">
        <v>0</v>
      </c>
      <c r="BI427" s="2472">
        <v>11266.6</v>
      </c>
      <c r="BJ427" s="2472"/>
      <c r="BK427" s="2472"/>
      <c r="BL427" s="2546"/>
      <c r="BM427" s="2466">
        <v>0</v>
      </c>
      <c r="BN427" s="2470"/>
      <c r="BO427" s="2472">
        <f t="shared" si="229"/>
        <v>0</v>
      </c>
      <c r="BR427" s="2474">
        <v>0</v>
      </c>
      <c r="BS427" s="2474">
        <v>0</v>
      </c>
      <c r="BU427" s="2475"/>
      <c r="BW427" s="2474">
        <v>0</v>
      </c>
      <c r="BX427" s="2466">
        <v>740</v>
      </c>
      <c r="BY427" s="2546"/>
      <c r="BZ427" s="2474">
        <v>0</v>
      </c>
      <c r="CA427" s="2470"/>
      <c r="CB427" s="2472">
        <f t="shared" si="231"/>
        <v>0</v>
      </c>
      <c r="CE427" s="2474">
        <v>0</v>
      </c>
      <c r="CF427" s="2476"/>
      <c r="CG427" s="2474">
        <v>0</v>
      </c>
      <c r="CH427" s="2449" t="s">
        <v>1217</v>
      </c>
      <c r="CI427" s="2449"/>
      <c r="CJ427" s="2450"/>
      <c r="CK427" s="2450"/>
      <c r="CO427" s="2477" t="s">
        <v>1257</v>
      </c>
      <c r="CP427" s="2478">
        <f t="shared" si="220"/>
        <v>11266.6</v>
      </c>
      <c r="CQ427" s="2478"/>
      <c r="CR427" s="2478"/>
      <c r="CS427" s="2478"/>
      <c r="CT427" s="2478"/>
    </row>
    <row r="428" spans="1:98" hidden="1" x14ac:dyDescent="0.2">
      <c r="A428" s="2395">
        <v>220</v>
      </c>
      <c r="B428" s="2440" t="s">
        <v>1214</v>
      </c>
      <c r="C428" s="2396">
        <v>22005</v>
      </c>
      <c r="D428" s="2396">
        <v>57300</v>
      </c>
      <c r="E428" s="2397" t="s">
        <v>1268</v>
      </c>
      <c r="F428" s="2440" t="s">
        <v>1214</v>
      </c>
      <c r="G428" s="2440" t="s">
        <v>1819</v>
      </c>
      <c r="H428" s="2466">
        <v>5100</v>
      </c>
      <c r="I428" s="2470"/>
      <c r="J428" s="2466">
        <f t="shared" si="221"/>
        <v>5100</v>
      </c>
      <c r="K428" s="2468">
        <f t="shared" si="222"/>
        <v>0</v>
      </c>
      <c r="M428" s="2467">
        <v>5100</v>
      </c>
      <c r="N428" s="2467">
        <v>5100</v>
      </c>
      <c r="P428" s="2469"/>
      <c r="R428" s="2466">
        <v>5100</v>
      </c>
      <c r="S428" s="2466">
        <v>4155</v>
      </c>
      <c r="U428" s="2466">
        <v>5100</v>
      </c>
      <c r="V428" s="2470">
        <v>0</v>
      </c>
      <c r="W428" s="2466">
        <f t="shared" si="223"/>
        <v>5100</v>
      </c>
      <c r="X428" s="2468">
        <f t="shared" si="224"/>
        <v>0</v>
      </c>
      <c r="Z428" s="2467">
        <v>5100</v>
      </c>
      <c r="AA428" s="2467">
        <v>5100</v>
      </c>
      <c r="AC428" s="2469"/>
      <c r="AE428" s="2466">
        <v>5100</v>
      </c>
      <c r="AF428" s="2471">
        <v>2502.9299999999998</v>
      </c>
      <c r="AH428" s="2466">
        <v>5100</v>
      </c>
      <c r="AI428" s="2470"/>
      <c r="AJ428" s="2466">
        <f>AH428+AI428</f>
        <v>5100</v>
      </c>
      <c r="AK428" s="2468">
        <f>IF(AH428=0," ",(AJ428-AH428)/AH428)</f>
        <v>0</v>
      </c>
      <c r="AM428" s="2467">
        <v>5100</v>
      </c>
      <c r="AN428" s="2467">
        <v>5100</v>
      </c>
      <c r="AP428" s="2469"/>
      <c r="AR428" s="2466">
        <v>5100</v>
      </c>
      <c r="AS428" s="2466">
        <v>2597.5</v>
      </c>
      <c r="AT428" s="2466"/>
      <c r="AU428" s="2466">
        <v>5100</v>
      </c>
      <c r="AV428" s="2466">
        <v>2597.5</v>
      </c>
      <c r="AX428" s="2466">
        <v>5100</v>
      </c>
      <c r="AY428" s="2470"/>
      <c r="AZ428" s="2466">
        <f t="shared" si="227"/>
        <v>5100</v>
      </c>
      <c r="BA428" s="2468">
        <f>IF(AX428=0," ",(AZ428-AX428)/AX428)</f>
        <v>0</v>
      </c>
      <c r="BC428" s="2467">
        <v>5100</v>
      </c>
      <c r="BD428" s="2467">
        <v>5100</v>
      </c>
      <c r="BF428" s="2469"/>
      <c r="BH428" s="2467">
        <v>5100</v>
      </c>
      <c r="BI428" s="2466">
        <v>3097.5</v>
      </c>
      <c r="BM428" s="2466">
        <v>5100</v>
      </c>
      <c r="BN428" s="2470"/>
      <c r="BO428" s="2472">
        <f t="shared" si="229"/>
        <v>5100</v>
      </c>
      <c r="BP428" s="2473">
        <f>IF(BM428=0," ",(BO428-BM428)/BM428)</f>
        <v>0</v>
      </c>
      <c r="BR428" s="2474">
        <v>5100</v>
      </c>
      <c r="BS428" s="2474">
        <v>5100</v>
      </c>
      <c r="BU428" s="2475"/>
      <c r="BW428" s="2474">
        <v>5100</v>
      </c>
      <c r="BX428" s="2466">
        <v>3288.5</v>
      </c>
      <c r="BZ428" s="2474">
        <v>5100</v>
      </c>
      <c r="CA428" s="2470">
        <v>-400</v>
      </c>
      <c r="CB428" s="2472">
        <f t="shared" si="231"/>
        <v>4700</v>
      </c>
      <c r="CC428" s="2473">
        <f>IF(BZ428=0," ",(CB428-BZ428)/BZ428)</f>
        <v>-7.8431372549019607E-2</v>
      </c>
      <c r="CE428" s="2474">
        <v>4700</v>
      </c>
      <c r="CF428" s="2476">
        <f>IF(CB428=0," ",(CE428-CB428)/CB428)</f>
        <v>0</v>
      </c>
      <c r="CG428" s="2474">
        <v>4700</v>
      </c>
      <c r="CH428" s="2449" t="s">
        <v>1217</v>
      </c>
      <c r="CI428" s="2449"/>
      <c r="CJ428" s="2450"/>
      <c r="CK428" s="2450"/>
      <c r="CO428" s="2477">
        <v>-0.39264705882352946</v>
      </c>
      <c r="CP428" s="2478">
        <f t="shared" si="220"/>
        <v>-2002.5</v>
      </c>
      <c r="CQ428" s="2478"/>
      <c r="CR428" s="2478"/>
      <c r="CS428" s="2478"/>
      <c r="CT428" s="2478"/>
    </row>
    <row r="429" spans="1:98" hidden="1" x14ac:dyDescent="0.2">
      <c r="A429" s="2395">
        <v>220</v>
      </c>
      <c r="B429" s="2440" t="s">
        <v>1214</v>
      </c>
      <c r="C429" s="2396">
        <v>22005</v>
      </c>
      <c r="D429" s="2396">
        <v>57800</v>
      </c>
      <c r="E429" s="2397" t="s">
        <v>1268</v>
      </c>
      <c r="F429" s="2440" t="s">
        <v>1214</v>
      </c>
      <c r="G429" s="2440" t="s">
        <v>1820</v>
      </c>
      <c r="H429" s="2466">
        <v>100</v>
      </c>
      <c r="I429" s="2470"/>
      <c r="J429" s="2466">
        <f t="shared" si="221"/>
        <v>100</v>
      </c>
      <c r="K429" s="2468">
        <f t="shared" si="222"/>
        <v>0</v>
      </c>
      <c r="M429" s="2467">
        <v>100</v>
      </c>
      <c r="N429" s="2467">
        <v>100</v>
      </c>
      <c r="P429" s="2469"/>
      <c r="R429" s="2466">
        <v>100</v>
      </c>
      <c r="S429" s="2466">
        <v>3.61</v>
      </c>
      <c r="U429" s="2466">
        <v>100</v>
      </c>
      <c r="V429" s="2470">
        <v>0</v>
      </c>
      <c r="W429" s="2466">
        <f t="shared" si="223"/>
        <v>100</v>
      </c>
      <c r="X429" s="2468">
        <f t="shared" si="224"/>
        <v>0</v>
      </c>
      <c r="Z429" s="2467">
        <v>100</v>
      </c>
      <c r="AA429" s="2467">
        <v>100</v>
      </c>
      <c r="AC429" s="2469"/>
      <c r="AE429" s="2466">
        <v>100</v>
      </c>
      <c r="AF429" s="2471">
        <v>207.23</v>
      </c>
      <c r="AH429" s="2466">
        <v>100</v>
      </c>
      <c r="AI429" s="2470"/>
      <c r="AJ429" s="2466">
        <f>AH429+AI429</f>
        <v>100</v>
      </c>
      <c r="AK429" s="2468">
        <f>IF(AH429=0," ",(AJ429-AH429)/AH429)</f>
        <v>0</v>
      </c>
      <c r="AM429" s="2467">
        <v>100</v>
      </c>
      <c r="AN429" s="2467">
        <v>100</v>
      </c>
      <c r="AP429" s="2469"/>
      <c r="AR429" s="2466">
        <v>100</v>
      </c>
      <c r="AS429" s="2466">
        <v>0</v>
      </c>
      <c r="AT429" s="2466"/>
      <c r="AU429" s="2466">
        <v>100</v>
      </c>
      <c r="AV429" s="2466">
        <v>0</v>
      </c>
      <c r="AX429" s="2466">
        <v>100</v>
      </c>
      <c r="AY429" s="2470"/>
      <c r="AZ429" s="2466">
        <f t="shared" si="227"/>
        <v>100</v>
      </c>
      <c r="BA429" s="2468">
        <f>IF(AX429=0," ",(AZ429-AX429)/AX429)</f>
        <v>0</v>
      </c>
      <c r="BC429" s="2467">
        <v>100</v>
      </c>
      <c r="BD429" s="2467">
        <v>100</v>
      </c>
      <c r="BF429" s="2469"/>
      <c r="BH429" s="2467">
        <v>100</v>
      </c>
      <c r="BM429" s="2466">
        <v>100</v>
      </c>
      <c r="BN429" s="2470"/>
      <c r="BO429" s="2472">
        <f t="shared" si="229"/>
        <v>100</v>
      </c>
      <c r="BP429" s="2473">
        <f>IF(BM429=0," ",(BO429-BM429)/BM429)</f>
        <v>0</v>
      </c>
      <c r="BR429" s="2474">
        <v>100</v>
      </c>
      <c r="BS429" s="2474">
        <v>100</v>
      </c>
      <c r="BU429" s="2475"/>
      <c r="BW429" s="2474">
        <v>100</v>
      </c>
      <c r="BX429" s="2466">
        <v>944.48</v>
      </c>
      <c r="BZ429" s="2474">
        <v>100</v>
      </c>
      <c r="CA429" s="2470"/>
      <c r="CB429" s="2472">
        <f t="shared" si="231"/>
        <v>100</v>
      </c>
      <c r="CC429" s="2473">
        <f>IF(BZ429=0," ",(CB429-BZ429)/BZ429)</f>
        <v>0</v>
      </c>
      <c r="CE429" s="2474">
        <v>100</v>
      </c>
      <c r="CF429" s="2476">
        <f>IF(CB429=0," ",(CE429-CB429)/CB429)</f>
        <v>0</v>
      </c>
      <c r="CG429" s="2474">
        <v>100</v>
      </c>
      <c r="CH429" s="2449" t="s">
        <v>1217</v>
      </c>
      <c r="CI429" s="2449"/>
      <c r="CJ429" s="2450"/>
      <c r="CK429" s="2450"/>
      <c r="CO429" s="2477" t="s">
        <v>1218</v>
      </c>
      <c r="CP429" s="2478">
        <f t="shared" si="220"/>
        <v>-100</v>
      </c>
      <c r="CQ429" s="2478"/>
      <c r="CR429" s="2478"/>
      <c r="CS429" s="2478"/>
      <c r="CT429" s="2478"/>
    </row>
    <row r="430" spans="1:98" hidden="1" x14ac:dyDescent="0.2">
      <c r="A430" s="2395">
        <v>220</v>
      </c>
      <c r="B430" s="2440" t="s">
        <v>1214</v>
      </c>
      <c r="C430" s="2396">
        <v>22005</v>
      </c>
      <c r="D430" s="2396">
        <v>58530</v>
      </c>
      <c r="E430" s="2397" t="s">
        <v>1268</v>
      </c>
      <c r="F430" s="2440" t="s">
        <v>1214</v>
      </c>
      <c r="G430" s="2440" t="s">
        <v>1821</v>
      </c>
      <c r="I430" s="2470"/>
      <c r="M430" s="2467"/>
      <c r="N430" s="2467"/>
      <c r="P430" s="2469"/>
      <c r="V430" s="2470"/>
      <c r="Z430" s="2467"/>
      <c r="AA430" s="2467"/>
      <c r="AC430" s="2469"/>
      <c r="AF430" s="2471">
        <v>20000</v>
      </c>
      <c r="AI430" s="2470"/>
      <c r="AM430" s="2467"/>
      <c r="AN430" s="2467"/>
      <c r="AP430" s="2469"/>
      <c r="AS430" s="2466">
        <v>0</v>
      </c>
      <c r="AT430" s="2466"/>
      <c r="AU430" s="2466">
        <v>0</v>
      </c>
      <c r="AV430" s="2466">
        <v>1753.89</v>
      </c>
      <c r="AX430" s="2466">
        <v>0</v>
      </c>
      <c r="AY430" s="2470"/>
      <c r="AZ430" s="2466">
        <f t="shared" si="227"/>
        <v>0</v>
      </c>
      <c r="BC430" s="2467">
        <v>0</v>
      </c>
      <c r="BD430" s="2467">
        <v>10000</v>
      </c>
      <c r="BF430" s="2530" t="s">
        <v>1822</v>
      </c>
      <c r="BH430" s="2467">
        <v>10000</v>
      </c>
      <c r="BM430" s="2466">
        <v>10000</v>
      </c>
      <c r="BN430" s="2470"/>
      <c r="BO430" s="2472">
        <f t="shared" si="229"/>
        <v>10000</v>
      </c>
      <c r="BR430" s="2474">
        <v>10000</v>
      </c>
      <c r="BS430" s="2474">
        <v>10000</v>
      </c>
      <c r="BU430" s="2475"/>
      <c r="BW430" s="2474">
        <v>10000</v>
      </c>
      <c r="BX430" s="2466">
        <v>266.24</v>
      </c>
      <c r="BZ430" s="2474">
        <v>10000</v>
      </c>
      <c r="CA430" s="2470"/>
      <c r="CB430" s="2472">
        <f t="shared" si="231"/>
        <v>10000</v>
      </c>
      <c r="CE430" s="2474">
        <v>10000</v>
      </c>
      <c r="CF430" s="2476"/>
      <c r="CG430" s="2474">
        <v>10000</v>
      </c>
      <c r="CH430" s="2449" t="s">
        <v>1217</v>
      </c>
      <c r="CI430" s="2449"/>
      <c r="CJ430" s="2450"/>
      <c r="CK430" s="2450"/>
      <c r="CO430" s="2477" t="s">
        <v>1218</v>
      </c>
      <c r="CP430" s="2478">
        <f t="shared" si="220"/>
        <v>-10000</v>
      </c>
      <c r="CQ430" s="2478"/>
      <c r="CR430" s="2478"/>
      <c r="CS430" s="2478"/>
      <c r="CT430" s="2478"/>
    </row>
    <row r="431" spans="1:98" hidden="1" x14ac:dyDescent="0.2">
      <c r="A431" s="2395">
        <v>220</v>
      </c>
      <c r="B431" s="2440" t="s">
        <v>1214</v>
      </c>
      <c r="C431" s="2396">
        <v>22005</v>
      </c>
      <c r="D431" s="2396">
        <v>58544</v>
      </c>
      <c r="E431" s="2397" t="s">
        <v>1268</v>
      </c>
      <c r="F431" s="2440" t="s">
        <v>1214</v>
      </c>
      <c r="G431" s="2440" t="s">
        <v>1823</v>
      </c>
      <c r="I431" s="2470"/>
      <c r="M431" s="2467"/>
      <c r="N431" s="2467"/>
      <c r="P431" s="2469"/>
      <c r="V431" s="2470"/>
      <c r="Z431" s="2467"/>
      <c r="AA431" s="2467"/>
      <c r="AC431" s="2469"/>
      <c r="AF431" s="2471">
        <v>25999.48</v>
      </c>
      <c r="AI431" s="2470"/>
      <c r="AJ431" s="2466">
        <f>AH431+AI431</f>
        <v>0</v>
      </c>
      <c r="AK431" s="2468" t="str">
        <f>IF(AH431=0," ",(AJ431-AH431)/AH431)</f>
        <v xml:space="preserve"> </v>
      </c>
      <c r="AM431" s="2467"/>
      <c r="AN431" s="2467"/>
      <c r="AP431" s="2469"/>
      <c r="AS431" s="2466">
        <v>0</v>
      </c>
      <c r="AT431" s="2466"/>
      <c r="AU431" s="2466">
        <v>0</v>
      </c>
      <c r="AX431" s="2466">
        <v>0</v>
      </c>
      <c r="AY431" s="2470"/>
      <c r="AZ431" s="2466">
        <f t="shared" si="227"/>
        <v>0</v>
      </c>
      <c r="BC431" s="2467">
        <v>0</v>
      </c>
      <c r="BD431" s="2467">
        <v>0</v>
      </c>
      <c r="BF431" s="2469"/>
      <c r="BH431" s="2467">
        <v>0</v>
      </c>
      <c r="BM431" s="2466">
        <v>0</v>
      </c>
      <c r="BN431" s="2470"/>
      <c r="BO431" s="2472">
        <f t="shared" si="229"/>
        <v>0</v>
      </c>
      <c r="BR431" s="2474">
        <v>0</v>
      </c>
      <c r="BS431" s="2474">
        <v>0</v>
      </c>
      <c r="BU431" s="2475"/>
      <c r="BW431" s="2474">
        <v>0</v>
      </c>
      <c r="BZ431" s="2474">
        <v>0</v>
      </c>
      <c r="CA431" s="2470"/>
      <c r="CB431" s="2472">
        <f t="shared" si="231"/>
        <v>0</v>
      </c>
      <c r="CE431" s="2474">
        <v>0</v>
      </c>
      <c r="CF431" s="2476"/>
      <c r="CG431" s="2474">
        <v>0</v>
      </c>
      <c r="CH431" s="2449" t="s">
        <v>1217</v>
      </c>
      <c r="CI431" s="2449"/>
      <c r="CJ431" s="2450"/>
      <c r="CK431" s="2450"/>
      <c r="CP431" s="2478">
        <f t="shared" si="220"/>
        <v>0</v>
      </c>
      <c r="CQ431" s="2478"/>
      <c r="CR431" s="2478"/>
      <c r="CS431" s="2478"/>
      <c r="CT431" s="2478"/>
    </row>
    <row r="432" spans="1:98" s="2485" customFormat="1" hidden="1" x14ac:dyDescent="0.2">
      <c r="A432" s="2532"/>
      <c r="B432" s="2533"/>
      <c r="C432" s="2534"/>
      <c r="D432" s="2534"/>
      <c r="E432" s="2535"/>
      <c r="F432" s="2533"/>
      <c r="G432" s="2533" t="s">
        <v>1824</v>
      </c>
      <c r="H432" s="2536">
        <f>SUM(H394:H431)</f>
        <v>109180</v>
      </c>
      <c r="I432" s="2536">
        <f>SUM(I394:I431)</f>
        <v>2183</v>
      </c>
      <c r="J432" s="2536">
        <f>SUM(J394:J431)</f>
        <v>111363</v>
      </c>
      <c r="K432" s="2484">
        <f>IF(H432=0," ",(J432-H432)/H432)</f>
        <v>1.9994504488001465E-2</v>
      </c>
      <c r="M432" s="2536">
        <f>SUM(M394:M431)</f>
        <v>111363</v>
      </c>
      <c r="N432" s="2536">
        <f>SUM(N394:N431)</f>
        <v>111363</v>
      </c>
      <c r="P432" s="2537">
        <f>SUM(P394:P431)</f>
        <v>0</v>
      </c>
      <c r="R432" s="2536">
        <f>SUM(R394:R431)</f>
        <v>111363</v>
      </c>
      <c r="S432" s="2536">
        <f>SUM(S394:S431)</f>
        <v>110768.49999999999</v>
      </c>
      <c r="U432" s="2536">
        <f>SUM(U394:U431)</f>
        <v>111363</v>
      </c>
      <c r="V432" s="2536">
        <f>SUM(V394:V431)</f>
        <v>-8505</v>
      </c>
      <c r="W432" s="2536">
        <f>SUM(W394:W431)</f>
        <v>102858</v>
      </c>
      <c r="X432" s="2484">
        <f>IF(U432=0," ",(W432-U432)/U432)</f>
        <v>-7.6371864982085619E-2</v>
      </c>
      <c r="Z432" s="2536">
        <f>SUM(Z394:Z431)</f>
        <v>102858</v>
      </c>
      <c r="AA432" s="2536">
        <f>SUM(AA394:AA431)</f>
        <v>109858</v>
      </c>
      <c r="AC432" s="2537"/>
      <c r="AE432" s="2536">
        <f>SUM(AE394:AE431)</f>
        <v>109858</v>
      </c>
      <c r="AF432" s="2538">
        <f>SUM(AF394:AF431)</f>
        <v>153433.96999999997</v>
      </c>
      <c r="AH432" s="2536">
        <f>SUM(AH394:AH431)</f>
        <v>109858</v>
      </c>
      <c r="AI432" s="2536">
        <f>SUM(AI394:AI431)</f>
        <v>0</v>
      </c>
      <c r="AJ432" s="2536">
        <f>SUM(AJ394:AJ431)</f>
        <v>109858</v>
      </c>
      <c r="AK432" s="2484">
        <f>IF(AH432=0," ",(AJ432-AH432)/AH432)</f>
        <v>0</v>
      </c>
      <c r="AM432" s="2536">
        <f>SUM(AM394:AM431)</f>
        <v>123558</v>
      </c>
      <c r="AN432" s="2536">
        <f>SUM(AN394:AN431)</f>
        <v>123558</v>
      </c>
      <c r="AP432" s="2537"/>
      <c r="AR432" s="2536">
        <f>SUM(AR394:AR431)</f>
        <v>123558</v>
      </c>
      <c r="AS432" s="2536">
        <f>SUM(AS394:AS431)</f>
        <v>108484.21000000002</v>
      </c>
      <c r="AT432" s="2536"/>
      <c r="AU432" s="2536">
        <f>SUM(AU394:AU431)</f>
        <v>130058</v>
      </c>
      <c r="AV432" s="2536">
        <f>SUM(AV394:AV431)</f>
        <v>119775.90000000001</v>
      </c>
      <c r="AX432" s="2536">
        <f>SUM(AX394:AX431)</f>
        <v>130058</v>
      </c>
      <c r="AY432" s="2536">
        <f>SUM(AY394:AY431)</f>
        <v>0</v>
      </c>
      <c r="AZ432" s="2536">
        <f>SUM(AZ394:AZ431)</f>
        <v>130058</v>
      </c>
      <c r="BA432" s="2484">
        <f>IF(AX432=0," ",(AZ432-AX432)/AX432)</f>
        <v>0</v>
      </c>
      <c r="BC432" s="2536">
        <f>SUM(BC394:BC431)</f>
        <v>130058</v>
      </c>
      <c r="BD432" s="2536">
        <f>SUM(BD394:BD431)</f>
        <v>142183</v>
      </c>
      <c r="BF432" s="2537"/>
      <c r="BH432" s="2536">
        <f>SUM(BH394:BH431)</f>
        <v>142183</v>
      </c>
      <c r="BI432" s="2536">
        <f>SUM(BI394:BI431)</f>
        <v>141854.46999999997</v>
      </c>
      <c r="BJ432" s="2536"/>
      <c r="BK432" s="2536"/>
      <c r="BM432" s="2536">
        <f>SUM(BM394:BM431)</f>
        <v>142183</v>
      </c>
      <c r="BN432" s="2539">
        <f>SUM(BN394:BN431)</f>
        <v>0</v>
      </c>
      <c r="BO432" s="2540">
        <f>SUM(BO394:BO431)</f>
        <v>142183</v>
      </c>
      <c r="BP432" s="2490">
        <f>IF(BM432=0," ",(BO432-BM432)/BM432)</f>
        <v>0</v>
      </c>
      <c r="BQ432" s="2491"/>
      <c r="BR432" s="2540">
        <f>SUM(BR394:BR431)</f>
        <v>142183</v>
      </c>
      <c r="BS432" s="2540">
        <f>SUM(BS394:BS431)</f>
        <v>156283</v>
      </c>
      <c r="BT432" s="2491"/>
      <c r="BU432" s="2541"/>
      <c r="BV432" s="2491"/>
      <c r="BW432" s="2540">
        <f>SUM(BW394:BW431)</f>
        <v>156283</v>
      </c>
      <c r="BX432" s="2536">
        <f>SUM(BX394:BX431)</f>
        <v>52870.779999999992</v>
      </c>
      <c r="BZ432" s="2540">
        <f>SUM(BZ394:BZ431)</f>
        <v>156283</v>
      </c>
      <c r="CA432" s="2540">
        <f>SUM(CA394:CA431)</f>
        <v>1450</v>
      </c>
      <c r="CB432" s="2540">
        <f>SUM(CB394:CB431)</f>
        <v>157733</v>
      </c>
      <c r="CC432" s="2490">
        <f>IF(BZ432=0," ",(CB432-BZ432)/BZ432)</f>
        <v>9.2780404778510777E-3</v>
      </c>
      <c r="CD432" s="2491"/>
      <c r="CE432" s="2540">
        <f>SUM(CE394:CE431)</f>
        <v>157733</v>
      </c>
      <c r="CF432" s="2490">
        <f>IF(CB432=0," ",(CE432-CB432)/CB432)</f>
        <v>0</v>
      </c>
      <c r="CG432" s="2540">
        <f>SUM(CG394:CG431)</f>
        <v>157733</v>
      </c>
      <c r="CH432" s="2449" t="s">
        <v>1220</v>
      </c>
      <c r="CI432" s="2449"/>
      <c r="CJ432" s="2450"/>
      <c r="CK432" s="2450"/>
      <c r="CL432" s="2451"/>
      <c r="CM432" s="2451"/>
      <c r="CN432" s="2451"/>
      <c r="CO432" s="2477">
        <v>-2.3106137864584708E-3</v>
      </c>
      <c r="CP432" s="2478">
        <f t="shared" si="220"/>
        <v>-328.53000000002794</v>
      </c>
      <c r="CQ432" s="2478"/>
      <c r="CR432" s="2478"/>
      <c r="CS432" s="2478"/>
      <c r="CT432" s="2478"/>
    </row>
    <row r="433" spans="1:98" ht="9.9499999999999993" hidden="1" customHeight="1" x14ac:dyDescent="0.2">
      <c r="AS433" s="2466"/>
      <c r="AT433" s="2466"/>
      <c r="BZ433" s="2472"/>
      <c r="CH433" s="2449" t="s">
        <v>1091</v>
      </c>
      <c r="CI433" s="2449"/>
      <c r="CJ433" s="2450"/>
      <c r="CK433" s="2450"/>
      <c r="CP433" s="2478">
        <f t="shared" si="220"/>
        <v>0</v>
      </c>
      <c r="CQ433" s="2478"/>
      <c r="CR433" s="2478"/>
      <c r="CS433" s="2478"/>
      <c r="CT433" s="2478"/>
    </row>
    <row r="434" spans="1:98" x14ac:dyDescent="0.2">
      <c r="A434" s="2495"/>
      <c r="B434" s="2496"/>
      <c r="C434" s="2497"/>
      <c r="D434" s="2497"/>
      <c r="E434" s="2498"/>
      <c r="F434" s="2496"/>
      <c r="G434" s="2499" t="s">
        <v>1825</v>
      </c>
      <c r="H434" s="2500">
        <f>H392+H432</f>
        <v>757223</v>
      </c>
      <c r="I434" s="2500">
        <f>I392+I432</f>
        <v>-346</v>
      </c>
      <c r="J434" s="2500">
        <f>J392+J432</f>
        <v>756877</v>
      </c>
      <c r="K434" s="2501">
        <f>IF(H434=0," ",(J434-H434)/H434)</f>
        <v>-4.5693276617324091E-4</v>
      </c>
      <c r="M434" s="2500">
        <f>M392+M432</f>
        <v>756877</v>
      </c>
      <c r="N434" s="2500">
        <f>N392+N432</f>
        <v>767042</v>
      </c>
      <c r="P434" s="2502">
        <f>P392+P432</f>
        <v>0</v>
      </c>
      <c r="R434" s="2500">
        <f>R392+R432</f>
        <v>767042</v>
      </c>
      <c r="S434" s="2500">
        <f>S392+S432</f>
        <v>697261.25</v>
      </c>
      <c r="U434" s="2500">
        <f>U392+U432</f>
        <v>767042</v>
      </c>
      <c r="V434" s="2500">
        <f>V392+V432</f>
        <v>-5271</v>
      </c>
      <c r="W434" s="2500">
        <f>W392+W432</f>
        <v>761771</v>
      </c>
      <c r="X434" s="2501">
        <f>IF(U434=0," ",(W434-U434)/U434)</f>
        <v>-6.8718531710128001E-3</v>
      </c>
      <c r="Z434" s="2500">
        <f>Z392+Z432</f>
        <v>761771</v>
      </c>
      <c r="AA434" s="2500">
        <f>AA392+AA432</f>
        <v>843055</v>
      </c>
      <c r="AC434" s="2651"/>
      <c r="AE434" s="2500">
        <f>AE392+AE432</f>
        <v>843055</v>
      </c>
      <c r="AF434" s="2503">
        <f>AF392+AF432</f>
        <v>783543.47</v>
      </c>
      <c r="AH434" s="2500">
        <v>843055</v>
      </c>
      <c r="AI434" s="2500">
        <f>AI392+AI432</f>
        <v>14662</v>
      </c>
      <c r="AJ434" s="2500">
        <f>AJ392+AJ432</f>
        <v>857717</v>
      </c>
      <c r="AK434" s="2501">
        <f>IF(AH434=0," ",(AJ434-AH434)/AH434)</f>
        <v>1.7391510636909809E-2</v>
      </c>
      <c r="AM434" s="2500">
        <f>AM392+AM432</f>
        <v>915417</v>
      </c>
      <c r="AN434" s="2500">
        <f>AN392+AN432</f>
        <v>915417</v>
      </c>
      <c r="AP434" s="2651"/>
      <c r="AR434" s="2500">
        <f>AR392+AR432</f>
        <v>915417</v>
      </c>
      <c r="AS434" s="2500">
        <f>AS392+AS432</f>
        <v>857143</v>
      </c>
      <c r="AT434" s="2500"/>
      <c r="AU434" s="2500">
        <f>AU392+AU432</f>
        <v>989463</v>
      </c>
      <c r="AV434" s="2500">
        <f>AV392+AV432</f>
        <v>1000100.2400000001</v>
      </c>
      <c r="AX434" s="2500">
        <f>AX392+AX432</f>
        <v>989463</v>
      </c>
      <c r="AY434" s="2500">
        <f>AY392+AY432</f>
        <v>13529</v>
      </c>
      <c r="AZ434" s="2500">
        <f>AZ392+AZ432</f>
        <v>1002992</v>
      </c>
      <c r="BA434" s="2501">
        <f>IF(AX434=0," ",(AZ434-AX434)/AX434)</f>
        <v>1.3673073172013507E-2</v>
      </c>
      <c r="BC434" s="2500">
        <f>BC392+BC432</f>
        <v>1002992</v>
      </c>
      <c r="BD434" s="2500">
        <f>BD392+BD432</f>
        <v>1043617</v>
      </c>
      <c r="BF434" s="2651"/>
      <c r="BH434" s="2500">
        <f>BH392+BH432</f>
        <v>1043617</v>
      </c>
      <c r="BI434" s="2500">
        <f>BI392+BI432</f>
        <v>1047788.94</v>
      </c>
      <c r="BJ434" s="2500"/>
      <c r="BK434" s="2500"/>
      <c r="BM434" s="2500">
        <f>BM392+BM432</f>
        <v>1043617</v>
      </c>
      <c r="BN434" s="2504">
        <f>BN392+BN432</f>
        <v>25513</v>
      </c>
      <c r="BO434" s="2505">
        <f>BO392+BO432</f>
        <v>1069130</v>
      </c>
      <c r="BP434" s="2506">
        <f>IF(BM434=0," ",(BO434-BM434)/BM434)</f>
        <v>2.4446707939790171E-2</v>
      </c>
      <c r="BR434" s="2505">
        <f>BR392+BR432</f>
        <v>1069130</v>
      </c>
      <c r="BS434" s="2505">
        <f>BS392+BS432</f>
        <v>1206577</v>
      </c>
      <c r="BU434" s="2507"/>
      <c r="BW434" s="2505">
        <f>BW392+BW432</f>
        <v>1206577</v>
      </c>
      <c r="BX434" s="2500">
        <f>BX392+BX432</f>
        <v>525050.73</v>
      </c>
      <c r="BZ434" s="2505">
        <f>BZ392+BZ432</f>
        <v>1206577</v>
      </c>
      <c r="CA434" s="2505">
        <f>CA392+CA432</f>
        <v>896</v>
      </c>
      <c r="CB434" s="2505">
        <f>CB392+CB432</f>
        <v>1207473</v>
      </c>
      <c r="CC434" s="2506">
        <f>IF(BZ434=0," ",(CB434-BZ434)/BZ434)</f>
        <v>7.425966183674975E-4</v>
      </c>
      <c r="CE434" s="2505">
        <f>CE392+CE432</f>
        <v>1207879</v>
      </c>
      <c r="CF434" s="2506">
        <f>IF(CB434=0," ",(CE434-CB434)/CB434)</f>
        <v>3.3623940245454766E-4</v>
      </c>
      <c r="CG434" s="2505">
        <f>CG392+CG432</f>
        <v>1207879</v>
      </c>
      <c r="CH434" s="2449" t="s">
        <v>1222</v>
      </c>
      <c r="CI434" s="2508" t="str">
        <f>IF(CG434-CE434=0,"",CG434-CE434)</f>
        <v/>
      </c>
      <c r="CJ434" s="2509"/>
      <c r="CK434" s="2509"/>
      <c r="CL434" s="2451" t="str">
        <f>IF(CO434&lt;-1*CM$2,"examine","ignore")</f>
        <v>ignore</v>
      </c>
      <c r="CM434" s="2545" t="str">
        <f>IF(CL434="examine",CP434+CM$2*CP434/CO434,"")</f>
        <v/>
      </c>
      <c r="CN434" s="2545"/>
      <c r="CO434" s="2477">
        <v>3.9975776554042053E-3</v>
      </c>
      <c r="CP434" s="2510">
        <f t="shared" si="220"/>
        <v>4171.9399999999441</v>
      </c>
      <c r="CQ434" s="2510">
        <f>AV434-AU434</f>
        <v>10637.240000000107</v>
      </c>
      <c r="CR434" s="2510">
        <f>AS434-AR434</f>
        <v>-58274</v>
      </c>
      <c r="CS434" s="2510">
        <f>AF434-AE434</f>
        <v>-59511.530000000028</v>
      </c>
    </row>
    <row r="435" spans="1:98" ht="20.100000000000001" hidden="1" customHeight="1" x14ac:dyDescent="0.2">
      <c r="AS435" s="2466"/>
      <c r="AT435" s="2466"/>
      <c r="BZ435" s="2472"/>
      <c r="CH435" s="2449" t="s">
        <v>1091</v>
      </c>
      <c r="CI435" s="2449"/>
      <c r="CJ435" s="2450"/>
      <c r="CK435" s="2450"/>
      <c r="CP435" s="2478">
        <f t="shared" si="220"/>
        <v>0</v>
      </c>
      <c r="CQ435" s="2478"/>
      <c r="CR435" s="2478"/>
      <c r="CS435" s="2478"/>
      <c r="CT435" s="2478"/>
    </row>
    <row r="436" spans="1:98" ht="15.75" hidden="1" x14ac:dyDescent="0.2">
      <c r="A436" s="2453" t="s">
        <v>1826</v>
      </c>
      <c r="B436" s="2454"/>
      <c r="C436" s="2455"/>
      <c r="D436" s="2455"/>
      <c r="E436" s="2456"/>
      <c r="F436" s="2454"/>
      <c r="G436" s="2454"/>
      <c r="H436" s="2457"/>
      <c r="I436" s="2457"/>
      <c r="J436" s="2457"/>
      <c r="K436" s="2458"/>
      <c r="M436" s="2457"/>
      <c r="N436" s="2457"/>
      <c r="P436" s="2459"/>
      <c r="R436" s="2457"/>
      <c r="S436" s="2457"/>
      <c r="U436" s="2457"/>
      <c r="V436" s="2457"/>
      <c r="W436" s="2457"/>
      <c r="X436" s="2458"/>
      <c r="Z436" s="2457"/>
      <c r="AA436" s="2457"/>
      <c r="AC436" s="2459"/>
      <c r="AE436" s="2457"/>
      <c r="AF436" s="2460"/>
      <c r="AH436" s="2457"/>
      <c r="AI436" s="2457"/>
      <c r="AJ436" s="2457"/>
      <c r="AK436" s="2458"/>
      <c r="AM436" s="2457"/>
      <c r="AN436" s="2457"/>
      <c r="AP436" s="2459"/>
      <c r="AR436" s="2457"/>
      <c r="AS436" s="2457"/>
      <c r="AT436" s="2457"/>
      <c r="AU436" s="2457"/>
      <c r="AV436" s="2457"/>
      <c r="AX436" s="2457"/>
      <c r="AY436" s="2457"/>
      <c r="AZ436" s="2457"/>
      <c r="BA436" s="2458"/>
      <c r="BC436" s="2457"/>
      <c r="BD436" s="2457"/>
      <c r="BF436" s="2461"/>
      <c r="BH436" s="2457"/>
      <c r="BI436" s="2457"/>
      <c r="BJ436" s="2457"/>
      <c r="BK436" s="2457"/>
      <c r="BM436" s="2457"/>
      <c r="BN436" s="2462"/>
      <c r="BO436" s="2463"/>
      <c r="BP436" s="2464"/>
      <c r="BR436" s="2463"/>
      <c r="BS436" s="2463"/>
      <c r="BU436" s="2465"/>
      <c r="BW436" s="2463"/>
      <c r="BX436" s="2457"/>
      <c r="BZ436" s="2463"/>
      <c r="CA436" s="2462"/>
      <c r="CB436" s="2463"/>
      <c r="CC436" s="2464"/>
      <c r="CE436" s="2463"/>
      <c r="CF436" s="2464"/>
      <c r="CG436" s="2463"/>
      <c r="CH436" s="2449" t="s">
        <v>1212</v>
      </c>
      <c r="CI436" s="2449"/>
      <c r="CJ436" s="2450"/>
      <c r="CK436" s="2450"/>
      <c r="CP436" s="2478">
        <f t="shared" si="220"/>
        <v>0</v>
      </c>
      <c r="CQ436" s="2478"/>
      <c r="CR436" s="2478"/>
      <c r="CS436" s="2478"/>
      <c r="CT436" s="2478"/>
    </row>
    <row r="437" spans="1:98" hidden="1" x14ac:dyDescent="0.2">
      <c r="A437" s="2395">
        <v>241</v>
      </c>
      <c r="B437" s="2440" t="s">
        <v>1214</v>
      </c>
      <c r="C437" s="2396">
        <v>24101</v>
      </c>
      <c r="D437" s="2396">
        <v>51120</v>
      </c>
      <c r="E437" s="2397" t="s">
        <v>59</v>
      </c>
      <c r="F437" s="2440" t="s">
        <v>1214</v>
      </c>
      <c r="G437" s="2440" t="s">
        <v>1827</v>
      </c>
      <c r="H437" s="2466">
        <v>59446</v>
      </c>
      <c r="I437" s="2470">
        <v>2596</v>
      </c>
      <c r="J437" s="2466">
        <f>H437+I437</f>
        <v>62042</v>
      </c>
      <c r="K437" s="2468">
        <f t="shared" ref="K437:K443" si="240">IF(H437=0," ",(J437-H437)/H437)</f>
        <v>4.3669885274030214E-2</v>
      </c>
      <c r="M437" s="2467">
        <v>62042</v>
      </c>
      <c r="N437" s="2467">
        <v>62042</v>
      </c>
      <c r="P437" s="2469" t="s">
        <v>1828</v>
      </c>
      <c r="R437" s="2466">
        <v>62042</v>
      </c>
      <c r="S437" s="2466">
        <v>62041.2</v>
      </c>
      <c r="U437" s="2466">
        <v>62042</v>
      </c>
      <c r="V437" s="2470">
        <v>3010</v>
      </c>
      <c r="W437" s="2466">
        <f>U437+V437</f>
        <v>65052</v>
      </c>
      <c r="X437" s="2468">
        <f t="shared" ref="X437:X443" si="241">IF(U437=0," ",(W437-U437)/U437)</f>
        <v>4.8515521743335163E-2</v>
      </c>
      <c r="Z437" s="2467">
        <v>65052</v>
      </c>
      <c r="AA437" s="2467">
        <v>65052</v>
      </c>
      <c r="AC437" s="2469" t="s">
        <v>1829</v>
      </c>
      <c r="AE437" s="2466">
        <v>65052</v>
      </c>
      <c r="AF437" s="2471">
        <v>65052</v>
      </c>
      <c r="AH437" s="2466">
        <v>65052</v>
      </c>
      <c r="AI437" s="2652">
        <v>1806</v>
      </c>
      <c r="AJ437" s="2466">
        <f>AH437+AI437</f>
        <v>66858</v>
      </c>
      <c r="AK437" s="2468">
        <f t="shared" ref="AK437:AK443" si="242">IF(AH437=0," ",(AJ437-AH437)/AH437)</f>
        <v>2.7762405460247188E-2</v>
      </c>
      <c r="AM437" s="2467">
        <v>66858</v>
      </c>
      <c r="AN437" s="2467">
        <v>66858</v>
      </c>
      <c r="AP437" s="2469" t="s">
        <v>1830</v>
      </c>
      <c r="AR437" s="2466">
        <v>66858</v>
      </c>
      <c r="AS437" s="2466">
        <v>53473.45</v>
      </c>
      <c r="AT437" s="2466"/>
      <c r="AU437" s="2466">
        <v>39962</v>
      </c>
      <c r="AV437" s="2466">
        <v>40318.44</v>
      </c>
      <c r="AX437" s="2466">
        <v>39962</v>
      </c>
      <c r="AY437" s="2652">
        <v>798</v>
      </c>
      <c r="AZ437" s="2466">
        <f>AX437+AY437</f>
        <v>40760</v>
      </c>
      <c r="BA437" s="2468">
        <f t="shared" ref="BA437:BA443" si="243">IF(AX437=0," ",(AZ437-AX437)/AX437)</f>
        <v>1.9968970521995897E-2</v>
      </c>
      <c r="BC437" s="2467">
        <v>40760</v>
      </c>
      <c r="BD437" s="2467">
        <v>64347</v>
      </c>
      <c r="BF437" s="2531" t="s">
        <v>1831</v>
      </c>
      <c r="BH437" s="2467">
        <v>64347</v>
      </c>
      <c r="BI437" s="2466">
        <v>62714.39</v>
      </c>
      <c r="BM437" s="2466">
        <v>64347</v>
      </c>
      <c r="BN437" s="2470">
        <v>4683</v>
      </c>
      <c r="BO437" s="2472">
        <f>BM437+BN437</f>
        <v>69030</v>
      </c>
      <c r="BP437" s="2473">
        <f t="shared" ref="BP437:BP443" si="244">IF(BM437=0," ",(BO437-BM437)/BM437)</f>
        <v>7.2777285654342855E-2</v>
      </c>
      <c r="BR437" s="2474">
        <v>69030</v>
      </c>
      <c r="BS437" s="2474">
        <f>69030+4950</f>
        <v>73980</v>
      </c>
      <c r="BU437" s="2512" t="s">
        <v>1832</v>
      </c>
      <c r="BW437" s="2474">
        <f>69030+4950</f>
        <v>73980</v>
      </c>
      <c r="BX437" s="2466">
        <v>29337</v>
      </c>
      <c r="BZ437" s="2474">
        <f>69030+4950</f>
        <v>73980</v>
      </c>
      <c r="CA437" s="2470">
        <v>-12724</v>
      </c>
      <c r="CB437" s="2472">
        <f>BZ437+CA437</f>
        <v>61256</v>
      </c>
      <c r="CC437" s="2473">
        <f t="shared" ref="CC437:CC443" si="245">IF(BZ437=0," ",(CB437-BZ437)/BZ437)</f>
        <v>-0.17199243038659098</v>
      </c>
      <c r="CE437" s="2474">
        <v>63948</v>
      </c>
      <c r="CF437" s="2476">
        <f t="shared" ref="CF437:CF443" si="246">IF(CB437=0," ",(CE437-CB437)/CB437)</f>
        <v>4.3946715423795218E-2</v>
      </c>
      <c r="CG437" s="2474">
        <v>63948</v>
      </c>
      <c r="CH437" s="2449" t="s">
        <v>1217</v>
      </c>
      <c r="CI437" s="2449"/>
      <c r="CJ437" s="2450"/>
      <c r="CK437" s="2450"/>
      <c r="CO437" s="2477">
        <v>-2.537196761309779E-2</v>
      </c>
      <c r="CP437" s="2478">
        <f t="shared" si="220"/>
        <v>-1632.6100000000006</v>
      </c>
      <c r="CQ437" s="2478"/>
      <c r="CR437" s="2478"/>
      <c r="CS437" s="2478"/>
      <c r="CT437" s="2478"/>
    </row>
    <row r="438" spans="1:98" hidden="1" x14ac:dyDescent="0.2">
      <c r="A438" s="2395">
        <v>241</v>
      </c>
      <c r="B438" s="2440" t="s">
        <v>1214</v>
      </c>
      <c r="C438" s="2396">
        <v>24101</v>
      </c>
      <c r="D438" s="2396">
        <v>51122</v>
      </c>
      <c r="E438" s="2397" t="s">
        <v>59</v>
      </c>
      <c r="F438" s="2440" t="s">
        <v>1214</v>
      </c>
      <c r="G438" s="2440" t="s">
        <v>1833</v>
      </c>
      <c r="H438" s="2466">
        <v>19319</v>
      </c>
      <c r="I438" s="2470">
        <v>313</v>
      </c>
      <c r="J438" s="2466">
        <f>H438+I438</f>
        <v>19632</v>
      </c>
      <c r="K438" s="2468">
        <f t="shared" si="240"/>
        <v>1.6201666752937521E-2</v>
      </c>
      <c r="M438" s="2467">
        <v>19632</v>
      </c>
      <c r="N438" s="2467">
        <v>19632</v>
      </c>
      <c r="P438" s="2469" t="s">
        <v>1834</v>
      </c>
      <c r="R438" s="2466">
        <v>19632</v>
      </c>
      <c r="S438" s="2466">
        <v>19668.79</v>
      </c>
      <c r="U438" s="2466">
        <v>19632</v>
      </c>
      <c r="V438" s="2470">
        <v>393</v>
      </c>
      <c r="W438" s="2466">
        <f>U438+V438</f>
        <v>20025</v>
      </c>
      <c r="X438" s="2468">
        <f t="shared" si="241"/>
        <v>2.0018337408312957E-2</v>
      </c>
      <c r="Z438" s="2467">
        <v>20025</v>
      </c>
      <c r="AA438" s="2467">
        <v>20025</v>
      </c>
      <c r="AC438" s="2469" t="s">
        <v>1835</v>
      </c>
      <c r="AE438" s="2466">
        <v>20025</v>
      </c>
      <c r="AF438" s="2471">
        <v>19985.650000000001</v>
      </c>
      <c r="AH438" s="2466">
        <v>20025</v>
      </c>
      <c r="AI438" s="2652">
        <v>556</v>
      </c>
      <c r="AJ438" s="2466">
        <f>AH438+AI438</f>
        <v>20581</v>
      </c>
      <c r="AK438" s="2468">
        <f t="shared" si="242"/>
        <v>2.7765293383270911E-2</v>
      </c>
      <c r="AM438" s="2467">
        <v>20581</v>
      </c>
      <c r="AN438" s="2467">
        <v>20581</v>
      </c>
      <c r="AP438" s="2469" t="s">
        <v>1836</v>
      </c>
      <c r="AR438" s="2466">
        <v>20581</v>
      </c>
      <c r="AS438" s="2466">
        <v>20619.900000000001</v>
      </c>
      <c r="AT438" s="2466"/>
      <c r="AU438" s="2466">
        <v>20503</v>
      </c>
      <c r="AV438" s="2466">
        <v>20423.52</v>
      </c>
      <c r="AX438" s="2466">
        <v>20503</v>
      </c>
      <c r="AY438" s="2652">
        <v>394</v>
      </c>
      <c r="AZ438" s="2466">
        <f>AX438+AY438</f>
        <v>20897</v>
      </c>
      <c r="BA438" s="2468">
        <f t="shared" si="243"/>
        <v>1.9216699995122665E-2</v>
      </c>
      <c r="BC438" s="2467">
        <v>20897</v>
      </c>
      <c r="BD438" s="2467">
        <v>20897</v>
      </c>
      <c r="BF438" s="2511" t="s">
        <v>1837</v>
      </c>
      <c r="BH438" s="2467">
        <v>20897</v>
      </c>
      <c r="BI438" s="2466">
        <v>21016.799999999999</v>
      </c>
      <c r="BM438" s="2466">
        <v>20897</v>
      </c>
      <c r="BN438" s="2470">
        <v>338</v>
      </c>
      <c r="BO438" s="2472">
        <f>BM438+BN438</f>
        <v>21235</v>
      </c>
      <c r="BP438" s="2473">
        <f t="shared" si="244"/>
        <v>1.6174570512513756E-2</v>
      </c>
      <c r="BR438" s="2474">
        <v>21235</v>
      </c>
      <c r="BS438" s="2474">
        <v>21235</v>
      </c>
      <c r="BU438" s="2512" t="s">
        <v>1838</v>
      </c>
      <c r="BW438" s="2474">
        <v>21235</v>
      </c>
      <c r="BX438" s="2466">
        <v>6329.58</v>
      </c>
      <c r="BZ438" s="2474">
        <v>21235</v>
      </c>
      <c r="CA438" s="2470">
        <v>0</v>
      </c>
      <c r="CB438" s="2472">
        <f>BZ438+CA438</f>
        <v>21235</v>
      </c>
      <c r="CC438" s="2473">
        <f t="shared" si="245"/>
        <v>0</v>
      </c>
      <c r="CE438" s="2474">
        <v>21660</v>
      </c>
      <c r="CF438" s="2476">
        <f t="shared" si="246"/>
        <v>2.0014127619496114E-2</v>
      </c>
      <c r="CG438" s="2474">
        <v>21660</v>
      </c>
      <c r="CH438" s="2449" t="s">
        <v>1217</v>
      </c>
      <c r="CI438" s="2449"/>
      <c r="CJ438" s="2450"/>
      <c r="CK438" s="2450"/>
      <c r="CO438" s="2477">
        <v>5.7328803177489895E-3</v>
      </c>
      <c r="CP438" s="2478">
        <f t="shared" si="220"/>
        <v>119.79999999999927</v>
      </c>
      <c r="CQ438" s="2478"/>
      <c r="CR438" s="2478"/>
      <c r="CS438" s="2478"/>
      <c r="CT438" s="2478"/>
    </row>
    <row r="439" spans="1:98" hidden="1" x14ac:dyDescent="0.2">
      <c r="A439" s="2395">
        <v>241</v>
      </c>
      <c r="B439" s="2440" t="s">
        <v>1214</v>
      </c>
      <c r="C439" s="2396">
        <v>24101</v>
      </c>
      <c r="D439" s="2396">
        <v>51124</v>
      </c>
      <c r="E439" s="2397" t="s">
        <v>59</v>
      </c>
      <c r="F439" s="2440" t="s">
        <v>1214</v>
      </c>
      <c r="G439" s="2440" t="s">
        <v>1839</v>
      </c>
      <c r="H439" s="2466">
        <v>19319</v>
      </c>
      <c r="I439" s="2470">
        <v>313</v>
      </c>
      <c r="J439" s="2466">
        <f>H439+I439</f>
        <v>19632</v>
      </c>
      <c r="K439" s="2468">
        <f t="shared" si="240"/>
        <v>1.6201666752937521E-2</v>
      </c>
      <c r="M439" s="2467">
        <v>19632</v>
      </c>
      <c r="N439" s="2467">
        <v>19632</v>
      </c>
      <c r="P439" s="2469" t="s">
        <v>1840</v>
      </c>
      <c r="R439" s="2466">
        <v>19632</v>
      </c>
      <c r="S439" s="2466">
        <v>18536.22</v>
      </c>
      <c r="U439" s="2466">
        <v>19632</v>
      </c>
      <c r="V439" s="2470">
        <v>393</v>
      </c>
      <c r="W439" s="2466">
        <f>U439+V439</f>
        <v>20025</v>
      </c>
      <c r="X439" s="2468">
        <f t="shared" si="241"/>
        <v>2.0018337408312957E-2</v>
      </c>
      <c r="Z439" s="2467">
        <v>20025</v>
      </c>
      <c r="AA439" s="2467">
        <v>20025</v>
      </c>
      <c r="AC439" s="2469" t="s">
        <v>1835</v>
      </c>
      <c r="AE439" s="2466">
        <v>20025</v>
      </c>
      <c r="AF439" s="2471">
        <v>20114.009999999998</v>
      </c>
      <c r="AH439" s="2466">
        <v>20025</v>
      </c>
      <c r="AI439" s="2652">
        <v>556</v>
      </c>
      <c r="AJ439" s="2466">
        <f>AH439+AI439</f>
        <v>20581</v>
      </c>
      <c r="AK439" s="2468">
        <f t="shared" si="242"/>
        <v>2.7765293383270911E-2</v>
      </c>
      <c r="AM439" s="2467">
        <v>20581</v>
      </c>
      <c r="AN439" s="2467">
        <v>20581</v>
      </c>
      <c r="AP439" s="2469" t="s">
        <v>1836</v>
      </c>
      <c r="AR439" s="2466">
        <v>20581</v>
      </c>
      <c r="AS439" s="2466">
        <v>20619.900000000001</v>
      </c>
      <c r="AT439" s="2466"/>
      <c r="AU439" s="2466">
        <v>20503</v>
      </c>
      <c r="AV439" s="2466">
        <v>20558.46</v>
      </c>
      <c r="AX439" s="2466">
        <v>20503</v>
      </c>
      <c r="AY439" s="2652">
        <v>394</v>
      </c>
      <c r="AZ439" s="2466">
        <f>AX439+AY439</f>
        <v>20897</v>
      </c>
      <c r="BA439" s="2468">
        <f t="shared" si="243"/>
        <v>1.9216699995122665E-2</v>
      </c>
      <c r="BC439" s="2467">
        <v>20897</v>
      </c>
      <c r="BD439" s="2467">
        <v>20897</v>
      </c>
      <c r="BF439" s="2511" t="s">
        <v>1837</v>
      </c>
      <c r="BH439" s="2467">
        <v>20897</v>
      </c>
      <c r="BI439" s="2466">
        <v>21316.639999999999</v>
      </c>
      <c r="BM439" s="2466">
        <v>20897</v>
      </c>
      <c r="BN439" s="2470">
        <v>338</v>
      </c>
      <c r="BO439" s="2472">
        <f>BM439+BN439</f>
        <v>21235</v>
      </c>
      <c r="BP439" s="2473">
        <f t="shared" si="244"/>
        <v>1.6174570512513756E-2</v>
      </c>
      <c r="BR439" s="2474">
        <v>21235</v>
      </c>
      <c r="BS439" s="2474">
        <v>21235</v>
      </c>
      <c r="BU439" s="2512" t="s">
        <v>1838</v>
      </c>
      <c r="BW439" s="2474">
        <v>21235</v>
      </c>
      <c r="BX439" s="2466">
        <v>9188.1</v>
      </c>
      <c r="BZ439" s="2474">
        <v>21235</v>
      </c>
      <c r="CA439" s="2470">
        <v>0</v>
      </c>
      <c r="CB439" s="2472">
        <f>BZ439+CA439</f>
        <v>21235</v>
      </c>
      <c r="CC439" s="2473">
        <f t="shared" si="245"/>
        <v>0</v>
      </c>
      <c r="CE439" s="2474">
        <v>21660</v>
      </c>
      <c r="CF439" s="2476">
        <f t="shared" si="246"/>
        <v>2.0014127619496114E-2</v>
      </c>
      <c r="CG439" s="2474">
        <v>21660</v>
      </c>
      <c r="CH439" s="2449" t="s">
        <v>1217</v>
      </c>
      <c r="CI439" s="2449"/>
      <c r="CJ439" s="2450"/>
      <c r="CK439" s="2450"/>
      <c r="CO439" s="2477">
        <v>2.0081351390151658E-2</v>
      </c>
      <c r="CP439" s="2478">
        <f t="shared" si="220"/>
        <v>419.63999999999942</v>
      </c>
      <c r="CQ439" s="2478"/>
      <c r="CR439" s="2478"/>
      <c r="CS439" s="2478"/>
      <c r="CT439" s="2478"/>
    </row>
    <row r="440" spans="1:98" hidden="1" x14ac:dyDescent="0.2">
      <c r="A440" s="2513">
        <v>241</v>
      </c>
      <c r="B440" s="2514" t="s">
        <v>1214</v>
      </c>
      <c r="C440" s="2515">
        <v>24101</v>
      </c>
      <c r="D440" s="2515">
        <v>51490</v>
      </c>
      <c r="E440" s="2516" t="s">
        <v>59</v>
      </c>
      <c r="F440" s="2514" t="s">
        <v>1214</v>
      </c>
      <c r="G440" s="2514" t="s">
        <v>1841</v>
      </c>
      <c r="H440" s="2466">
        <v>750</v>
      </c>
      <c r="I440" s="2470"/>
      <c r="J440" s="2466">
        <f>H440+I440</f>
        <v>750</v>
      </c>
      <c r="K440" s="2468">
        <f t="shared" si="240"/>
        <v>0</v>
      </c>
      <c r="M440" s="2467">
        <v>750</v>
      </c>
      <c r="N440" s="2467">
        <v>750</v>
      </c>
      <c r="P440" s="2469" t="s">
        <v>1842</v>
      </c>
      <c r="R440" s="2466">
        <v>750</v>
      </c>
      <c r="S440" s="2466">
        <v>750</v>
      </c>
      <c r="U440" s="2466">
        <v>750</v>
      </c>
      <c r="V440" s="2470">
        <v>0</v>
      </c>
      <c r="W440" s="2466">
        <f>U440+V440</f>
        <v>750</v>
      </c>
      <c r="X440" s="2468">
        <f t="shared" si="241"/>
        <v>0</v>
      </c>
      <c r="Z440" s="2467">
        <v>750</v>
      </c>
      <c r="AA440" s="2467">
        <v>750</v>
      </c>
      <c r="AC440" s="2469"/>
      <c r="AE440" s="2466">
        <v>750</v>
      </c>
      <c r="AF440" s="2471">
        <v>750</v>
      </c>
      <c r="AH440" s="2466">
        <v>750</v>
      </c>
      <c r="AI440" s="2470">
        <v>375</v>
      </c>
      <c r="AJ440" s="2466">
        <f>AH440+AI440</f>
        <v>1125</v>
      </c>
      <c r="AK440" s="2468">
        <f t="shared" si="242"/>
        <v>0.5</v>
      </c>
      <c r="AM440" s="2467">
        <v>1125</v>
      </c>
      <c r="AN440" s="2467">
        <v>1125</v>
      </c>
      <c r="AP440" s="2469"/>
      <c r="AR440" s="2466">
        <v>1125</v>
      </c>
      <c r="AS440" s="2466">
        <v>1125</v>
      </c>
      <c r="AT440" s="2466"/>
      <c r="AU440" s="2466">
        <v>1125</v>
      </c>
      <c r="AV440" s="2466">
        <v>0</v>
      </c>
      <c r="AX440" s="2466">
        <v>1125</v>
      </c>
      <c r="AY440" s="2470">
        <v>-1125</v>
      </c>
      <c r="AZ440" s="2466">
        <f>AX440+AY440</f>
        <v>0</v>
      </c>
      <c r="BA440" s="2468">
        <f t="shared" si="243"/>
        <v>-1</v>
      </c>
      <c r="BC440" s="2467">
        <v>0</v>
      </c>
      <c r="BD440" s="2467">
        <v>0</v>
      </c>
      <c r="BF440" s="2469"/>
      <c r="BH440" s="2467">
        <v>0</v>
      </c>
      <c r="BI440" s="2466">
        <v>0</v>
      </c>
      <c r="BM440" s="2466">
        <v>0</v>
      </c>
      <c r="BN440" s="2470"/>
      <c r="BO440" s="2472">
        <f>BM440+BN440</f>
        <v>0</v>
      </c>
      <c r="BP440" s="2473" t="str">
        <f t="shared" si="244"/>
        <v xml:space="preserve"> </v>
      </c>
      <c r="BR440" s="2474">
        <v>0</v>
      </c>
      <c r="BS440" s="2474">
        <v>0</v>
      </c>
      <c r="BU440" s="2475"/>
      <c r="BW440" s="2474">
        <v>0</v>
      </c>
      <c r="BZ440" s="2474">
        <v>0</v>
      </c>
      <c r="CA440" s="2470"/>
      <c r="CB440" s="2472">
        <f>BZ440+CA440</f>
        <v>0</v>
      </c>
      <c r="CC440" s="2473" t="str">
        <f t="shared" si="245"/>
        <v xml:space="preserve"> </v>
      </c>
      <c r="CE440" s="2474">
        <v>0</v>
      </c>
      <c r="CF440" s="2476" t="str">
        <f t="shared" si="246"/>
        <v xml:space="preserve"> </v>
      </c>
      <c r="CG440" s="2474">
        <v>0</v>
      </c>
      <c r="CH440" s="2449" t="s">
        <v>1217</v>
      </c>
      <c r="CI440" s="2449"/>
      <c r="CJ440" s="2450" t="s">
        <v>1239</v>
      </c>
      <c r="CK440" s="2518">
        <f t="shared" ref="CK440" si="247">-CG440</f>
        <v>0</v>
      </c>
      <c r="CP440" s="2478">
        <f t="shared" si="220"/>
        <v>0</v>
      </c>
      <c r="CQ440" s="2478"/>
      <c r="CR440" s="2478"/>
      <c r="CS440" s="2478"/>
      <c r="CT440" s="2478"/>
    </row>
    <row r="441" spans="1:98" hidden="1" x14ac:dyDescent="0.2">
      <c r="A441" s="2395">
        <v>241</v>
      </c>
      <c r="B441" s="2440" t="s">
        <v>1214</v>
      </c>
      <c r="C441" s="2396">
        <v>24101</v>
      </c>
      <c r="D441" s="2396">
        <v>51491</v>
      </c>
      <c r="E441" s="2397" t="s">
        <v>59</v>
      </c>
      <c r="F441" s="2440" t="s">
        <v>1214</v>
      </c>
      <c r="G441" s="2440" t="s">
        <v>1843</v>
      </c>
      <c r="H441" s="2466">
        <v>1000</v>
      </c>
      <c r="I441" s="2470"/>
      <c r="J441" s="2466">
        <f>H441+I441</f>
        <v>1000</v>
      </c>
      <c r="K441" s="2468">
        <f t="shared" si="240"/>
        <v>0</v>
      </c>
      <c r="M441" s="2467">
        <v>1000</v>
      </c>
      <c r="N441" s="2467">
        <v>1000</v>
      </c>
      <c r="P441" s="2469" t="s">
        <v>1844</v>
      </c>
      <c r="R441" s="2466">
        <v>1000</v>
      </c>
      <c r="S441" s="2466">
        <v>1000</v>
      </c>
      <c r="U441" s="2466">
        <v>1000</v>
      </c>
      <c r="V441" s="2470">
        <v>0</v>
      </c>
      <c r="W441" s="2466">
        <f>U441+V441</f>
        <v>1000</v>
      </c>
      <c r="X441" s="2468">
        <f t="shared" si="241"/>
        <v>0</v>
      </c>
      <c r="Z441" s="2467">
        <v>1000</v>
      </c>
      <c r="AA441" s="2467">
        <v>1000</v>
      </c>
      <c r="AC441" s="2469"/>
      <c r="AE441" s="2466">
        <v>1000</v>
      </c>
      <c r="AF441" s="2471">
        <v>1000</v>
      </c>
      <c r="AH441" s="2466">
        <v>1000</v>
      </c>
      <c r="AI441" s="2470"/>
      <c r="AJ441" s="2466">
        <f>AH441+AI441</f>
        <v>1000</v>
      </c>
      <c r="AK441" s="2468">
        <f t="shared" si="242"/>
        <v>0</v>
      </c>
      <c r="AM441" s="2467">
        <v>1000</v>
      </c>
      <c r="AN441" s="2467">
        <v>1000</v>
      </c>
      <c r="AP441" s="2469"/>
      <c r="AR441" s="2466">
        <v>1000</v>
      </c>
      <c r="AS441" s="2466">
        <v>1000</v>
      </c>
      <c r="AT441" s="2466"/>
      <c r="AU441" s="2466">
        <v>1000</v>
      </c>
      <c r="AV441" s="2466">
        <v>0</v>
      </c>
      <c r="AX441" s="2466">
        <v>1000</v>
      </c>
      <c r="AY441" s="2470"/>
      <c r="AZ441" s="2466">
        <f>AX441+AY441</f>
        <v>1000</v>
      </c>
      <c r="BA441" s="2468">
        <f t="shared" si="243"/>
        <v>0</v>
      </c>
      <c r="BC441" s="2467">
        <v>1000</v>
      </c>
      <c r="BD441" s="2467">
        <v>1000</v>
      </c>
      <c r="BF441" s="2469"/>
      <c r="BH441" s="2467">
        <v>1000</v>
      </c>
      <c r="BI441" s="2466">
        <v>1000</v>
      </c>
      <c r="BM441" s="2466">
        <v>1000</v>
      </c>
      <c r="BN441" s="2470"/>
      <c r="BO441" s="2472">
        <f>BM441+BN441</f>
        <v>1000</v>
      </c>
      <c r="BP441" s="2473">
        <f t="shared" si="244"/>
        <v>0</v>
      </c>
      <c r="BR441" s="2474">
        <v>1000</v>
      </c>
      <c r="BS441" s="2474">
        <v>1000</v>
      </c>
      <c r="BU441" s="2475"/>
      <c r="BW441" s="2474">
        <v>1000</v>
      </c>
      <c r="BX441" s="2466">
        <v>1500</v>
      </c>
      <c r="BZ441" s="2474">
        <v>1000</v>
      </c>
      <c r="CA441" s="2470"/>
      <c r="CB441" s="2472">
        <f>BZ441+CA441</f>
        <v>1000</v>
      </c>
      <c r="CC441" s="2473">
        <f t="shared" si="245"/>
        <v>0</v>
      </c>
      <c r="CE441" s="2474">
        <v>1000</v>
      </c>
      <c r="CF441" s="2476">
        <f t="shared" si="246"/>
        <v>0</v>
      </c>
      <c r="CG441" s="2474">
        <v>1000</v>
      </c>
      <c r="CH441" s="2449" t="s">
        <v>1217</v>
      </c>
      <c r="CI441" s="2449"/>
      <c r="CJ441" s="2450"/>
      <c r="CK441" s="2450"/>
      <c r="CO441" s="2477">
        <v>0</v>
      </c>
      <c r="CP441" s="2478">
        <f t="shared" si="220"/>
        <v>0</v>
      </c>
      <c r="CQ441" s="2478"/>
      <c r="CR441" s="2478"/>
      <c r="CS441" s="2478"/>
      <c r="CT441" s="2478"/>
    </row>
    <row r="442" spans="1:98" hidden="1" x14ac:dyDescent="0.2">
      <c r="A442" s="2395">
        <v>241</v>
      </c>
      <c r="B442" s="2440" t="s">
        <v>1214</v>
      </c>
      <c r="C442" s="2396">
        <v>24105</v>
      </c>
      <c r="D442" s="2396">
        <v>57100</v>
      </c>
      <c r="E442" s="2397" t="s">
        <v>1268</v>
      </c>
      <c r="F442" s="2440" t="s">
        <v>1214</v>
      </c>
      <c r="G442" s="2440" t="s">
        <v>1845</v>
      </c>
      <c r="H442" s="2466">
        <v>3930</v>
      </c>
      <c r="I442" s="2470">
        <v>-230</v>
      </c>
      <c r="J442" s="2466">
        <f t="shared" ref="J442" si="248">H442+I442</f>
        <v>3700</v>
      </c>
      <c r="K442" s="2468">
        <f t="shared" si="240"/>
        <v>-5.8524173027989825E-2</v>
      </c>
      <c r="M442" s="2467">
        <v>3700</v>
      </c>
      <c r="N442" s="2467">
        <v>3700</v>
      </c>
      <c r="P442" s="2469"/>
      <c r="R442" s="2466">
        <v>3700</v>
      </c>
      <c r="S442" s="2466">
        <v>3194.96</v>
      </c>
      <c r="U442" s="2466">
        <v>3700</v>
      </c>
      <c r="V442" s="2470">
        <v>0</v>
      </c>
      <c r="W442" s="2466">
        <f t="shared" ref="W442" si="249">U442+V442</f>
        <v>3700</v>
      </c>
      <c r="X442" s="2468">
        <f t="shared" si="241"/>
        <v>0</v>
      </c>
      <c r="Z442" s="2467">
        <v>3700</v>
      </c>
      <c r="AA442" s="2467">
        <v>3700</v>
      </c>
      <c r="AC442" s="2469"/>
      <c r="AE442" s="2466">
        <v>3700</v>
      </c>
      <c r="AF442" s="2471">
        <v>3131.34</v>
      </c>
      <c r="AH442" s="2466">
        <v>3700</v>
      </c>
      <c r="AI442" s="2470"/>
      <c r="AJ442" s="2466">
        <f t="shared" ref="AJ442" si="250">AH442+AI442</f>
        <v>3700</v>
      </c>
      <c r="AK442" s="2468">
        <f t="shared" si="242"/>
        <v>0</v>
      </c>
      <c r="AM442" s="2467">
        <v>3700</v>
      </c>
      <c r="AN442" s="2467">
        <v>3700</v>
      </c>
      <c r="AP442" s="2469"/>
      <c r="AR442" s="2466">
        <v>3700</v>
      </c>
      <c r="AS442" s="2466">
        <v>2957.63</v>
      </c>
      <c r="AT442" s="2466"/>
      <c r="AU442" s="2466">
        <v>3700</v>
      </c>
      <c r="AV442" s="2466">
        <v>4068.04</v>
      </c>
      <c r="AX442" s="2466">
        <v>3700</v>
      </c>
      <c r="AY442" s="2470"/>
      <c r="AZ442" s="2466">
        <f t="shared" ref="AZ442" si="251">AX442+AY442</f>
        <v>3700</v>
      </c>
      <c r="BA442" s="2468">
        <f t="shared" si="243"/>
        <v>0</v>
      </c>
      <c r="BC442" s="2467">
        <v>3700</v>
      </c>
      <c r="BD442" s="2467">
        <v>3700</v>
      </c>
      <c r="BF442" s="2469"/>
      <c r="BH442" s="2467">
        <v>3700</v>
      </c>
      <c r="BI442" s="2466">
        <v>2354.15</v>
      </c>
      <c r="BM442" s="2466">
        <v>3700</v>
      </c>
      <c r="BN442" s="2470"/>
      <c r="BO442" s="2472">
        <f t="shared" ref="BO442" si="252">BM442+BN442</f>
        <v>3700</v>
      </c>
      <c r="BP442" s="2473">
        <f t="shared" si="244"/>
        <v>0</v>
      </c>
      <c r="BR442" s="2474">
        <v>3700</v>
      </c>
      <c r="BS442" s="2474">
        <v>3700</v>
      </c>
      <c r="BU442" s="2475"/>
      <c r="BW442" s="2474">
        <v>3700</v>
      </c>
      <c r="BX442" s="2466">
        <v>1434.38</v>
      </c>
      <c r="BZ442" s="2474">
        <v>3700</v>
      </c>
      <c r="CA442" s="2470"/>
      <c r="CB442" s="2472">
        <f t="shared" ref="CB442" si="253">BZ442+CA442</f>
        <v>3700</v>
      </c>
      <c r="CC442" s="2473">
        <f t="shared" si="245"/>
        <v>0</v>
      </c>
      <c r="CE442" s="2474">
        <v>3700</v>
      </c>
      <c r="CF442" s="2476">
        <f t="shared" si="246"/>
        <v>0</v>
      </c>
      <c r="CG442" s="2474">
        <v>3700</v>
      </c>
      <c r="CH442" s="2449" t="s">
        <v>1217</v>
      </c>
      <c r="CI442" s="2449"/>
      <c r="CJ442" s="2450"/>
      <c r="CK442" s="2450"/>
      <c r="CO442" s="2477">
        <v>-0.36374324324324325</v>
      </c>
      <c r="CP442" s="2478">
        <f t="shared" si="220"/>
        <v>-1345.85</v>
      </c>
      <c r="CQ442" s="2478"/>
      <c r="CR442" s="2478"/>
      <c r="CS442" s="2478"/>
      <c r="CT442" s="2478"/>
    </row>
    <row r="443" spans="1:98" hidden="1" x14ac:dyDescent="0.2">
      <c r="H443" s="2560">
        <f>SUM(H437:H442)</f>
        <v>103764</v>
      </c>
      <c r="I443" s="2560">
        <f>SUM(I437:I442)</f>
        <v>2992</v>
      </c>
      <c r="J443" s="2560">
        <f>SUM(J437:J442)</f>
        <v>106756</v>
      </c>
      <c r="K443" s="2561">
        <f t="shared" si="240"/>
        <v>2.8834663274353339E-2</v>
      </c>
      <c r="M443" s="2560">
        <f>SUM(M437:M442)</f>
        <v>106756</v>
      </c>
      <c r="N443" s="2560">
        <f>SUM(N437:N442)</f>
        <v>106756</v>
      </c>
      <c r="P443" s="2562">
        <f>SUM(P437:P441)</f>
        <v>0</v>
      </c>
      <c r="R443" s="2560">
        <f>SUM(R437:R442)</f>
        <v>106756</v>
      </c>
      <c r="S443" s="2560">
        <f>SUM(S437:S442)</f>
        <v>105191.17</v>
      </c>
      <c r="U443" s="2560">
        <f>SUM(U437:U442)</f>
        <v>106756</v>
      </c>
      <c r="V443" s="2560">
        <f>SUM(V437:V442)</f>
        <v>3796</v>
      </c>
      <c r="W443" s="2560">
        <f>SUM(W437:W442)</f>
        <v>110552</v>
      </c>
      <c r="X443" s="2561">
        <f t="shared" si="241"/>
        <v>3.5557720409157334E-2</v>
      </c>
      <c r="Z443" s="2560">
        <f>SUM(Z437:Z442)</f>
        <v>110552</v>
      </c>
      <c r="AA443" s="2560">
        <f>SUM(AA437:AA442)</f>
        <v>110552</v>
      </c>
      <c r="AC443" s="2562"/>
      <c r="AE443" s="2560">
        <f>SUM(AE437:AE442)</f>
        <v>110552</v>
      </c>
      <c r="AF443" s="2560">
        <f>SUM(AF437:AF442)</f>
        <v>110032.99999999999</v>
      </c>
      <c r="AH443" s="2560">
        <f>SUM(AH437:AH442)</f>
        <v>110552</v>
      </c>
      <c r="AI443" s="2560">
        <f>SUM(AI437:AI442)</f>
        <v>3293</v>
      </c>
      <c r="AJ443" s="2560">
        <f>SUM(AJ437:AJ442)</f>
        <v>113845</v>
      </c>
      <c r="AK443" s="2561">
        <f t="shared" si="242"/>
        <v>2.9786887618496273E-2</v>
      </c>
      <c r="AM443" s="2560">
        <f>SUM(AM437:AM442)</f>
        <v>113845</v>
      </c>
      <c r="AN443" s="2560">
        <f>SUM(AN437:AN442)</f>
        <v>113845</v>
      </c>
      <c r="AP443" s="2562"/>
      <c r="AR443" s="2560">
        <f>SUM(AR437:AR442)</f>
        <v>113845</v>
      </c>
      <c r="AS443" s="2560">
        <f>SUM(AS437:AS442)</f>
        <v>99795.88</v>
      </c>
      <c r="AT443" s="2560"/>
      <c r="AU443" s="2560">
        <f>SUM(AU437:AU442)</f>
        <v>86793</v>
      </c>
      <c r="AV443" s="2560">
        <f>SUM(AV437:AV442)</f>
        <v>85368.46</v>
      </c>
      <c r="AX443" s="2560">
        <f>SUM(AX437:AX442)</f>
        <v>86793</v>
      </c>
      <c r="AY443" s="2560">
        <f>SUM(AY437:AY442)</f>
        <v>461</v>
      </c>
      <c r="AZ443" s="2560">
        <f>SUM(AZ437:AZ442)</f>
        <v>87254</v>
      </c>
      <c r="BA443" s="2561">
        <f t="shared" si="243"/>
        <v>5.3114882536610094E-3</v>
      </c>
      <c r="BC443" s="2560">
        <f>SUM(BC437:BC442)</f>
        <v>87254</v>
      </c>
      <c r="BD443" s="2560">
        <f>SUM(BD437:BD442)</f>
        <v>110841</v>
      </c>
      <c r="BF443" s="2562"/>
      <c r="BH443" s="2560">
        <f>SUM(BH437:BH442)</f>
        <v>110841</v>
      </c>
      <c r="BI443" s="2560">
        <f>SUM(BI437:BI442)</f>
        <v>108401.98</v>
      </c>
      <c r="BM443" s="2560">
        <f>SUM(BM437:BM442)</f>
        <v>110841</v>
      </c>
      <c r="BN443" s="2560">
        <f>SUM(BN437:BN442)</f>
        <v>5359</v>
      </c>
      <c r="BO443" s="2560">
        <f>SUM(BO437:BO442)</f>
        <v>116200</v>
      </c>
      <c r="BP443" s="2565">
        <f t="shared" si="244"/>
        <v>4.8348535289288258E-2</v>
      </c>
      <c r="BR443" s="2560">
        <f>SUM(BR437:BR442)</f>
        <v>116200</v>
      </c>
      <c r="BS443" s="2560">
        <f>SUM(BS437:BS442)</f>
        <v>121150</v>
      </c>
      <c r="BU443" s="2566"/>
      <c r="BW443" s="2560">
        <f>SUM(BW437:BW442)</f>
        <v>121150</v>
      </c>
      <c r="BX443" s="2560">
        <f>SUM(BX437:BX442)</f>
        <v>47789.06</v>
      </c>
      <c r="BZ443" s="2560">
        <f>SUM(BZ437:BZ442)</f>
        <v>121150</v>
      </c>
      <c r="CA443" s="2560">
        <f>SUM(CA437:CA442)</f>
        <v>-12724</v>
      </c>
      <c r="CB443" s="2560">
        <f>SUM(CB437:CB442)</f>
        <v>108426</v>
      </c>
      <c r="CC443" s="2565">
        <f t="shared" si="245"/>
        <v>-0.10502682624845233</v>
      </c>
      <c r="CE443" s="2560">
        <f>SUM(CE437:CE442)</f>
        <v>111968</v>
      </c>
      <c r="CF443" s="2565">
        <f t="shared" si="246"/>
        <v>3.2667441388596834E-2</v>
      </c>
      <c r="CG443" s="2560">
        <f>SUM(CG437:CG442)</f>
        <v>111968</v>
      </c>
      <c r="CH443" s="2449" t="s">
        <v>1243</v>
      </c>
      <c r="CI443" s="2449"/>
      <c r="CJ443" s="2450"/>
      <c r="CK443" s="2450"/>
      <c r="CO443" s="2477">
        <v>-2.2004673360940474E-2</v>
      </c>
      <c r="CP443" s="2478">
        <f t="shared" si="220"/>
        <v>-2439.0200000000041</v>
      </c>
      <c r="CQ443" s="2478"/>
      <c r="CR443" s="2478"/>
      <c r="CS443" s="2478"/>
      <c r="CT443" s="2478"/>
    </row>
    <row r="444" spans="1:98" hidden="1" x14ac:dyDescent="0.2">
      <c r="AS444" s="2466"/>
      <c r="AT444" s="2466"/>
      <c r="BZ444" s="2472"/>
      <c r="CH444" s="2449" t="s">
        <v>1091</v>
      </c>
      <c r="CI444" s="2449"/>
      <c r="CJ444" s="2450"/>
      <c r="CK444" s="2450"/>
      <c r="CP444" s="2478">
        <f t="shared" si="220"/>
        <v>0</v>
      </c>
      <c r="CQ444" s="2478"/>
      <c r="CR444" s="2478"/>
      <c r="CS444" s="2478"/>
      <c r="CT444" s="2478"/>
    </row>
    <row r="445" spans="1:98" hidden="1" x14ac:dyDescent="0.2">
      <c r="A445" s="2395">
        <v>241</v>
      </c>
      <c r="B445" s="2440" t="s">
        <v>1214</v>
      </c>
      <c r="C445" s="2396">
        <v>24102</v>
      </c>
      <c r="D445" s="2396">
        <v>51140</v>
      </c>
      <c r="E445" s="2397" t="s">
        <v>319</v>
      </c>
      <c r="F445" s="2440" t="s">
        <v>1214</v>
      </c>
      <c r="G445" s="2440" t="s">
        <v>1846</v>
      </c>
      <c r="H445" s="2466">
        <v>1650</v>
      </c>
      <c r="I445" s="2470">
        <v>94</v>
      </c>
      <c r="J445" s="2466">
        <f>H445+I445</f>
        <v>1744</v>
      </c>
      <c r="K445" s="2468">
        <f>IF(H445=0," ",(J445-H445)/H445)</f>
        <v>5.6969696969696969E-2</v>
      </c>
      <c r="M445" s="2467">
        <v>1744</v>
      </c>
      <c r="N445" s="2467">
        <v>1744</v>
      </c>
      <c r="P445" s="2469"/>
      <c r="R445" s="2466">
        <v>1744</v>
      </c>
      <c r="S445" s="2466">
        <v>2050</v>
      </c>
      <c r="U445" s="2466">
        <v>1744</v>
      </c>
      <c r="V445" s="2470">
        <v>35</v>
      </c>
      <c r="W445" s="2466">
        <f>U445+V445</f>
        <v>1779</v>
      </c>
      <c r="X445" s="2468">
        <f>IF(U445=0," ",(W445-U445)/U445)</f>
        <v>2.0068807339449542E-2</v>
      </c>
      <c r="Z445" s="2467">
        <v>1779</v>
      </c>
      <c r="AA445" s="2467">
        <v>1779</v>
      </c>
      <c r="AC445" s="2469" t="s">
        <v>1763</v>
      </c>
      <c r="AE445" s="2466">
        <v>1779</v>
      </c>
      <c r="AF445" s="2471">
        <v>1525</v>
      </c>
      <c r="AH445" s="2466">
        <v>1779</v>
      </c>
      <c r="AI445" s="2470"/>
      <c r="AJ445" s="2466">
        <f>AH445+AI445</f>
        <v>1779</v>
      </c>
      <c r="AK445" s="2468">
        <f>IF(AH445=0," ",(AJ445-AH445)/AH445)</f>
        <v>0</v>
      </c>
      <c r="AM445" s="2467">
        <v>1779</v>
      </c>
      <c r="AN445" s="2467">
        <v>1779</v>
      </c>
      <c r="AP445" s="2469"/>
      <c r="AR445" s="2466">
        <v>1779</v>
      </c>
      <c r="AS445" s="2466">
        <v>950</v>
      </c>
      <c r="AT445" s="2466"/>
      <c r="AU445" s="2466">
        <v>1779</v>
      </c>
      <c r="AV445" s="2466">
        <v>1750</v>
      </c>
      <c r="AX445" s="2466">
        <v>1779</v>
      </c>
      <c r="AY445" s="2470"/>
      <c r="AZ445" s="2466">
        <f>AX445+AY445</f>
        <v>1779</v>
      </c>
      <c r="BA445" s="2468">
        <f>IF(AX445=0," ",(AZ445-AX445)/AX445)</f>
        <v>0</v>
      </c>
      <c r="BC445" s="2467">
        <v>1779</v>
      </c>
      <c r="BD445" s="2467">
        <v>1779</v>
      </c>
      <c r="BF445" s="2469"/>
      <c r="BH445" s="2467">
        <v>1779</v>
      </c>
      <c r="BI445" s="2466">
        <v>3458.92</v>
      </c>
      <c r="BM445" s="2466">
        <v>1779</v>
      </c>
      <c r="BN445" s="2470"/>
      <c r="BO445" s="2472">
        <f>BM445+BN445</f>
        <v>1779</v>
      </c>
      <c r="BP445" s="2473">
        <f>IF(BM445=0," ",(BO445-BM445)/BM445)</f>
        <v>0</v>
      </c>
      <c r="BR445" s="2474">
        <v>1779</v>
      </c>
      <c r="BS445" s="2474">
        <f>1779+1721</f>
        <v>3500</v>
      </c>
      <c r="BU445" s="2547" t="s">
        <v>1847</v>
      </c>
      <c r="BW445" s="2474">
        <f>1779+1721</f>
        <v>3500</v>
      </c>
      <c r="BX445" s="2466">
        <v>3516.72</v>
      </c>
      <c r="BZ445" s="2474">
        <f>1779+1721</f>
        <v>3500</v>
      </c>
      <c r="CA445" s="2470"/>
      <c r="CB445" s="2472">
        <f>BZ445+CA445</f>
        <v>3500</v>
      </c>
      <c r="CC445" s="2473">
        <f>IF(BZ445=0," ",(CB445-BZ445)/BZ445)</f>
        <v>0</v>
      </c>
      <c r="CE445" s="2474">
        <v>3500</v>
      </c>
      <c r="CF445" s="2476">
        <f>IF(CB445=0," ",(CE445-CB445)/CB445)</f>
        <v>0</v>
      </c>
      <c r="CG445" s="2474">
        <v>3500</v>
      </c>
      <c r="CH445" s="2449" t="s">
        <v>1217</v>
      </c>
      <c r="CI445" s="2449"/>
      <c r="CJ445" s="2450"/>
      <c r="CK445" s="2450"/>
      <c r="CO445" s="2477">
        <v>0.9443057897695335</v>
      </c>
      <c r="CP445" s="2478">
        <f t="shared" si="220"/>
        <v>1679.92</v>
      </c>
      <c r="CQ445" s="2478"/>
      <c r="CR445" s="2478"/>
      <c r="CS445" s="2478"/>
      <c r="CT445" s="2478"/>
    </row>
    <row r="446" spans="1:98" hidden="1" x14ac:dyDescent="0.2">
      <c r="A446" s="2395">
        <v>241</v>
      </c>
      <c r="B446" s="2440" t="s">
        <v>1214</v>
      </c>
      <c r="C446" s="2396">
        <v>24102</v>
      </c>
      <c r="D446" s="2396">
        <v>51141</v>
      </c>
      <c r="E446" s="2397" t="s">
        <v>319</v>
      </c>
      <c r="F446" s="2440" t="s">
        <v>1214</v>
      </c>
      <c r="G446" s="2440" t="s">
        <v>1848</v>
      </c>
      <c r="H446" s="2466">
        <v>29592</v>
      </c>
      <c r="I446" s="2470">
        <v>1309</v>
      </c>
      <c r="J446" s="2466">
        <f>H446+I446</f>
        <v>30901</v>
      </c>
      <c r="K446" s="2468">
        <f>IF(H446=0," ",(J446-H446)/H446)</f>
        <v>4.4234928359015949E-2</v>
      </c>
      <c r="M446" s="2467">
        <v>30901</v>
      </c>
      <c r="N446" s="2467">
        <v>30901</v>
      </c>
      <c r="P446" s="2469" t="s">
        <v>1849</v>
      </c>
      <c r="R446" s="2466">
        <v>30901</v>
      </c>
      <c r="S446" s="2466">
        <v>29552.400000000001</v>
      </c>
      <c r="U446" s="2466">
        <v>30901</v>
      </c>
      <c r="V446" s="2470">
        <v>1485</v>
      </c>
      <c r="W446" s="2466">
        <f>U446+V446</f>
        <v>32386</v>
      </c>
      <c r="X446" s="2468">
        <f>IF(U446=0," ",(W446-U446)/U446)</f>
        <v>4.8056697194265557E-2</v>
      </c>
      <c r="Z446" s="2467">
        <v>32386</v>
      </c>
      <c r="AA446" s="2467">
        <v>32386</v>
      </c>
      <c r="AC446" s="2469" t="s">
        <v>1850</v>
      </c>
      <c r="AE446" s="2466">
        <v>32386</v>
      </c>
      <c r="AF446" s="2471">
        <v>29080.68</v>
      </c>
      <c r="AH446" s="2466">
        <v>32386</v>
      </c>
      <c r="AI446" s="2652">
        <v>-810</v>
      </c>
      <c r="AJ446" s="2466">
        <f>AH446+AI446</f>
        <v>31576</v>
      </c>
      <c r="AK446" s="2468">
        <f>IF(AH446=0," ",(AJ446-AH446)/AH446)</f>
        <v>-2.5010807138887172E-2</v>
      </c>
      <c r="AM446" s="2467">
        <v>31576</v>
      </c>
      <c r="AN446" s="2467">
        <v>31576</v>
      </c>
      <c r="AP446" s="2469" t="s">
        <v>1851</v>
      </c>
      <c r="AR446" s="2466">
        <v>31576</v>
      </c>
      <c r="AS446" s="2466">
        <v>36988.559999999998</v>
      </c>
      <c r="AT446" s="2466"/>
      <c r="AU446" s="2466">
        <v>43021</v>
      </c>
      <c r="AV446" s="2466">
        <v>35120.870000000003</v>
      </c>
      <c r="AX446" s="2466">
        <v>43021</v>
      </c>
      <c r="AY446" s="2652">
        <v>853</v>
      </c>
      <c r="AZ446" s="2466">
        <f>AX446+AY446</f>
        <v>43874</v>
      </c>
      <c r="BA446" s="2468">
        <f>IF(AX446=0," ",(AZ446-AX446)/AX446)</f>
        <v>1.9827526091908604E-2</v>
      </c>
      <c r="BC446" s="2467">
        <v>42343</v>
      </c>
      <c r="BD446" s="2648">
        <v>33168</v>
      </c>
      <c r="BF446" s="2511" t="s">
        <v>1852</v>
      </c>
      <c r="BH446" s="2648">
        <v>33168</v>
      </c>
      <c r="BI446" s="2466">
        <v>31176.959999999999</v>
      </c>
      <c r="BM446" s="2649">
        <v>33168</v>
      </c>
      <c r="BN446" s="2470">
        <v>229</v>
      </c>
      <c r="BO446" s="2472">
        <f>BM446+BN446</f>
        <v>33397</v>
      </c>
      <c r="BP446" s="2473">
        <f>IF(BM446=0," ",(BO446-BM446)/BM446)</f>
        <v>6.9042450554751564E-3</v>
      </c>
      <c r="BR446" s="2474">
        <v>33397</v>
      </c>
      <c r="BS446" s="2474">
        <v>33397</v>
      </c>
      <c r="BU446" s="2512" t="s">
        <v>1853</v>
      </c>
      <c r="BW446" s="2474">
        <v>33397</v>
      </c>
      <c r="BX446" s="2466">
        <v>19066.38</v>
      </c>
      <c r="BZ446" s="2474">
        <v>33397</v>
      </c>
      <c r="CA446" s="2470">
        <v>-886</v>
      </c>
      <c r="CB446" s="2472">
        <f>BZ446+CA446</f>
        <v>32511</v>
      </c>
      <c r="CC446" s="2473">
        <f>IF(BZ446=0," ",(CB446-BZ446)/BZ446)</f>
        <v>-2.6529328981645058E-2</v>
      </c>
      <c r="CE446" s="2474">
        <v>33160</v>
      </c>
      <c r="CF446" s="2476">
        <f>IF(CB446=0," ",(CE446-CB446)/CB446)</f>
        <v>1.9962474239488173E-2</v>
      </c>
      <c r="CG446" s="2474">
        <v>33160</v>
      </c>
      <c r="CH446" s="2449" t="s">
        <v>1217</v>
      </c>
      <c r="CI446" s="2449"/>
      <c r="CJ446" s="2450"/>
      <c r="CK446" s="2450"/>
      <c r="CO446" s="2477">
        <v>-6.0028943560057946E-2</v>
      </c>
      <c r="CP446" s="2478">
        <f t="shared" si="220"/>
        <v>-1991.0400000000009</v>
      </c>
      <c r="CQ446" s="2478"/>
      <c r="CR446" s="2478"/>
      <c r="CS446" s="2478"/>
      <c r="CT446" s="2478"/>
    </row>
    <row r="447" spans="1:98" hidden="1" x14ac:dyDescent="0.2">
      <c r="A447" s="2513">
        <v>241</v>
      </c>
      <c r="B447" s="2514" t="s">
        <v>1214</v>
      </c>
      <c r="C447" s="2515">
        <v>24102</v>
      </c>
      <c r="D447" s="2515">
        <v>51490</v>
      </c>
      <c r="E447" s="2516" t="s">
        <v>319</v>
      </c>
      <c r="F447" s="2514" t="s">
        <v>1214</v>
      </c>
      <c r="G447" s="2514" t="s">
        <v>1854</v>
      </c>
      <c r="H447" s="2466">
        <v>900</v>
      </c>
      <c r="I447" s="2523"/>
      <c r="J447" s="2466">
        <f>H447+I447</f>
        <v>900</v>
      </c>
      <c r="K447" s="2468">
        <f>IF(H447=0," ",(J447-H447)/H447)</f>
        <v>0</v>
      </c>
      <c r="M447" s="2520">
        <v>900</v>
      </c>
      <c r="N447" s="2520">
        <v>900</v>
      </c>
      <c r="P447" s="2522" t="s">
        <v>1855</v>
      </c>
      <c r="R447" s="2519">
        <v>900</v>
      </c>
      <c r="S447" s="2519">
        <v>1494.24</v>
      </c>
      <c r="U447" s="2519">
        <v>900</v>
      </c>
      <c r="V447" s="2523">
        <v>0</v>
      </c>
      <c r="W447" s="2466">
        <f>U447+V447</f>
        <v>900</v>
      </c>
      <c r="X447" s="2468">
        <f>IF(U447=0," ",(W447-U447)/U447)</f>
        <v>0</v>
      </c>
      <c r="Z447" s="2520">
        <v>900</v>
      </c>
      <c r="AA447" s="2520">
        <v>900</v>
      </c>
      <c r="AC447" s="2522"/>
      <c r="AE447" s="2519">
        <v>900</v>
      </c>
      <c r="AF447" s="2524">
        <v>279.36</v>
      </c>
      <c r="AH447" s="2519">
        <v>900</v>
      </c>
      <c r="AI447" s="2523">
        <v>-900</v>
      </c>
      <c r="AJ447" s="2466">
        <f>AH447+AI447</f>
        <v>0</v>
      </c>
      <c r="AK447" s="2468">
        <f>IF(AH447=0," ",(AJ447-AH447)/AH447)</f>
        <v>-1</v>
      </c>
      <c r="AM447" s="2467">
        <v>0</v>
      </c>
      <c r="AN447" s="2467">
        <v>0</v>
      </c>
      <c r="AP447" s="2469" t="s">
        <v>1856</v>
      </c>
      <c r="AR447" s="2466">
        <v>0</v>
      </c>
      <c r="AS447" s="2466"/>
      <c r="AT447" s="2466"/>
      <c r="AY447" s="2523"/>
      <c r="AZ447" s="2466">
        <f>AX447+AY447</f>
        <v>0</v>
      </c>
      <c r="BA447" s="2468" t="str">
        <f>IF(AX447=0," ",(AZ447-AX447)/AX447)</f>
        <v xml:space="preserve"> </v>
      </c>
      <c r="BC447" s="2467">
        <v>0</v>
      </c>
      <c r="BD447" s="2467"/>
      <c r="BF447" s="2469"/>
      <c r="BH447" s="2467"/>
      <c r="BI447" s="2519"/>
      <c r="BN447" s="2523"/>
      <c r="BO447" s="2472">
        <f>BM447+BN447</f>
        <v>0</v>
      </c>
      <c r="BP447" s="2473" t="str">
        <f>IF(BM447=0," ",(BO447-BM447)/BM447)</f>
        <v xml:space="preserve"> </v>
      </c>
      <c r="BR447" s="2474">
        <v>0</v>
      </c>
      <c r="BS447" s="2474">
        <v>0</v>
      </c>
      <c r="BU447" s="2475"/>
      <c r="BW447" s="2474">
        <v>0</v>
      </c>
      <c r="BX447" s="2519"/>
      <c r="BZ447" s="2474">
        <v>0</v>
      </c>
      <c r="CA447" s="2523"/>
      <c r="CB447" s="2472">
        <f>BZ447+CA447</f>
        <v>0</v>
      </c>
      <c r="CC447" s="2473" t="str">
        <f>IF(BZ447=0," ",(CB447-BZ447)/BZ447)</f>
        <v xml:space="preserve"> </v>
      </c>
      <c r="CE447" s="2474">
        <v>0</v>
      </c>
      <c r="CF447" s="2476" t="str">
        <f>IF(CB447=0," ",(CE447-CB447)/CB447)</f>
        <v xml:space="preserve"> </v>
      </c>
      <c r="CG447" s="2474">
        <v>0</v>
      </c>
      <c r="CH447" s="2449" t="s">
        <v>1217</v>
      </c>
      <c r="CI447" s="2449"/>
      <c r="CJ447" s="2450" t="s">
        <v>1239</v>
      </c>
      <c r="CK447" s="2518">
        <f t="shared" ref="CK447" si="254">-CG447</f>
        <v>0</v>
      </c>
      <c r="CP447" s="2478">
        <f t="shared" si="220"/>
        <v>0</v>
      </c>
      <c r="CQ447" s="2478"/>
      <c r="CR447" s="2478"/>
      <c r="CS447" s="2478"/>
      <c r="CT447" s="2478"/>
    </row>
    <row r="448" spans="1:98" hidden="1" x14ac:dyDescent="0.2">
      <c r="H448" s="2560">
        <f>SUM(H445:H447)</f>
        <v>32142</v>
      </c>
      <c r="I448" s="2560">
        <f>SUM(I445:I447)</f>
        <v>1403</v>
      </c>
      <c r="J448" s="2560">
        <f>SUM(J445:J447)</f>
        <v>33545</v>
      </c>
      <c r="K448" s="2561">
        <f>IF(H448=0," ",(J448-H448)/H448)</f>
        <v>4.3650052890299294E-2</v>
      </c>
      <c r="M448" s="2560">
        <f>SUM(M445:M447)</f>
        <v>33545</v>
      </c>
      <c r="N448" s="2560">
        <f>SUM(N445:N447)</f>
        <v>33545</v>
      </c>
      <c r="P448" s="2562">
        <f>SUM(P445:P447)</f>
        <v>0</v>
      </c>
      <c r="R448" s="2560">
        <f>SUM(R445:R447)</f>
        <v>33545</v>
      </c>
      <c r="S448" s="2560">
        <f>SUM(S445:S447)</f>
        <v>33096.639999999999</v>
      </c>
      <c r="U448" s="2560">
        <f>SUM(U445:U447)</f>
        <v>33545</v>
      </c>
      <c r="V448" s="2560">
        <f>SUM(V445:V447)</f>
        <v>1520</v>
      </c>
      <c r="W448" s="2560">
        <f>SUM(W445:W447)</f>
        <v>35065</v>
      </c>
      <c r="X448" s="2561">
        <f>IF(U448=0," ",(W448-U448)/U448)</f>
        <v>4.5312267103890295E-2</v>
      </c>
      <c r="Z448" s="2560">
        <f>SUM(Z445:Z447)</f>
        <v>35065</v>
      </c>
      <c r="AA448" s="2560">
        <f>SUM(AA445:AA447)</f>
        <v>35065</v>
      </c>
      <c r="AC448" s="2562"/>
      <c r="AE448" s="2560">
        <f>SUM(AE445:AE447)</f>
        <v>35065</v>
      </c>
      <c r="AF448" s="2560">
        <f>SUM(AF445:AF447)</f>
        <v>30885.040000000001</v>
      </c>
      <c r="AH448" s="2560">
        <f>SUM(AH445:AH447)</f>
        <v>35065</v>
      </c>
      <c r="AI448" s="2560">
        <f>SUM(AI445:AI447)</f>
        <v>-1710</v>
      </c>
      <c r="AJ448" s="2560">
        <f>SUM(AJ445:AJ447)</f>
        <v>33355</v>
      </c>
      <c r="AK448" s="2561">
        <f>IF(AH448=0," ",(AJ448-AH448)/AH448)</f>
        <v>-4.8766576358191926E-2</v>
      </c>
      <c r="AM448" s="2560">
        <f>SUM(AM445:AM447)</f>
        <v>33355</v>
      </c>
      <c r="AN448" s="2560">
        <f>SUM(AN445:AN447)</f>
        <v>33355</v>
      </c>
      <c r="AP448" s="2562"/>
      <c r="AR448" s="2560">
        <f>SUM(AR445:AR447)</f>
        <v>33355</v>
      </c>
      <c r="AS448" s="2560">
        <f>SUM(AS445:AS447)</f>
        <v>37938.559999999998</v>
      </c>
      <c r="AT448" s="2560"/>
      <c r="AU448" s="2560">
        <f>SUM(AU445:AU447)</f>
        <v>44800</v>
      </c>
      <c r="AV448" s="2560">
        <f>SUM(AV445:AV447)</f>
        <v>36870.870000000003</v>
      </c>
      <c r="AX448" s="2560">
        <f>SUM(AX445:AX447)</f>
        <v>44800</v>
      </c>
      <c r="AY448" s="2560">
        <f>SUM(AY445:AY447)</f>
        <v>853</v>
      </c>
      <c r="AZ448" s="2560">
        <f>SUM(AZ445:AZ447)</f>
        <v>45653</v>
      </c>
      <c r="BA448" s="2561">
        <f>IF(AX448=0," ",(AZ448-AX448)/AX448)</f>
        <v>1.9040178571428572E-2</v>
      </c>
      <c r="BC448" s="2560">
        <f>SUM(BC445:BC447)</f>
        <v>44122</v>
      </c>
      <c r="BD448" s="2560">
        <f>SUM(BD445:BD447)</f>
        <v>34947</v>
      </c>
      <c r="BF448" s="2562"/>
      <c r="BH448" s="2560">
        <f>SUM(BH445:BH447)</f>
        <v>34947</v>
      </c>
      <c r="BI448" s="2560">
        <f>SUM(BI445:BI447)</f>
        <v>34635.879999999997</v>
      </c>
      <c r="BM448" s="2560">
        <f>SUM(BM445:BM447)</f>
        <v>34947</v>
      </c>
      <c r="BN448" s="2560">
        <f>SUM(BN445:BN447)</f>
        <v>229</v>
      </c>
      <c r="BO448" s="2560">
        <f>SUM(BO445:BO447)</f>
        <v>35176</v>
      </c>
      <c r="BP448" s="2565">
        <f>IF(BM448=0," ",(BO448-BM448)/BM448)</f>
        <v>6.5527799238847394E-3</v>
      </c>
      <c r="BR448" s="2560">
        <f>SUM(BR445:BR447)</f>
        <v>35176</v>
      </c>
      <c r="BS448" s="2560">
        <f>SUM(BS445:BS447)</f>
        <v>36897</v>
      </c>
      <c r="BU448" s="2566"/>
      <c r="BW448" s="2560">
        <f>SUM(BW445:BW447)</f>
        <v>36897</v>
      </c>
      <c r="BX448" s="2560">
        <f>SUM(BX445:BX447)</f>
        <v>22583.100000000002</v>
      </c>
      <c r="BZ448" s="2560">
        <f>SUM(BZ445:BZ447)</f>
        <v>36897</v>
      </c>
      <c r="CA448" s="2560">
        <f>SUM(CA445:CA447)</f>
        <v>-886</v>
      </c>
      <c r="CB448" s="2560">
        <f>SUM(CB445:CB447)</f>
        <v>36011</v>
      </c>
      <c r="CC448" s="2565">
        <f>IF(BZ448=0," ",(CB448-BZ448)/BZ448)</f>
        <v>-2.4012792367943195E-2</v>
      </c>
      <c r="CE448" s="2560">
        <f>SUM(CE445:CE447)</f>
        <v>36660</v>
      </c>
      <c r="CF448" s="2565">
        <f>IF(CB448=0," ",(CE448-CB448)/CB448)</f>
        <v>1.8022270972758325E-2</v>
      </c>
      <c r="CG448" s="2560">
        <f>SUM(CG445:CG447)</f>
        <v>36660</v>
      </c>
      <c r="CH448" s="2449" t="s">
        <v>1243</v>
      </c>
      <c r="CI448" s="2449"/>
      <c r="CJ448" s="2450"/>
      <c r="CK448" s="2450"/>
      <c r="CO448" s="2477">
        <v>-8.9026239734455448E-3</v>
      </c>
      <c r="CP448" s="2478">
        <f t="shared" si="220"/>
        <v>-311.12000000000262</v>
      </c>
      <c r="CQ448" s="2478"/>
      <c r="CR448" s="2478"/>
      <c r="CS448" s="2478"/>
      <c r="CT448" s="2478"/>
    </row>
    <row r="449" spans="1:98" hidden="1" x14ac:dyDescent="0.2">
      <c r="AS449" s="2466"/>
      <c r="AT449" s="2466"/>
      <c r="BZ449" s="2472"/>
      <c r="CH449" s="2449" t="s">
        <v>1091</v>
      </c>
      <c r="CI449" s="2449"/>
      <c r="CJ449" s="2450"/>
      <c r="CK449" s="2450"/>
      <c r="CP449" s="2478">
        <f t="shared" si="220"/>
        <v>0</v>
      </c>
      <c r="CQ449" s="2478"/>
      <c r="CR449" s="2478"/>
      <c r="CS449" s="2478"/>
      <c r="CT449" s="2478"/>
    </row>
    <row r="450" spans="1:98" s="2485" customFormat="1" hidden="1" x14ac:dyDescent="0.2">
      <c r="A450" s="2532"/>
      <c r="B450" s="2533"/>
      <c r="C450" s="2534"/>
      <c r="D450" s="2534"/>
      <c r="E450" s="2535"/>
      <c r="F450" s="2533"/>
      <c r="G450" s="2588" t="s">
        <v>1857</v>
      </c>
      <c r="H450" s="2536">
        <f>H443+H448</f>
        <v>135906</v>
      </c>
      <c r="I450" s="2536">
        <f>I443+I448</f>
        <v>4395</v>
      </c>
      <c r="J450" s="2536">
        <f>J443+J448</f>
        <v>140301</v>
      </c>
      <c r="K450" s="2484">
        <f>IF(H450=0," ",(J450-H450)/H450)</f>
        <v>3.2338528100304624E-2</v>
      </c>
      <c r="M450" s="2536">
        <f>M443+M448</f>
        <v>140301</v>
      </c>
      <c r="N450" s="2536">
        <f>N443+N448</f>
        <v>140301</v>
      </c>
      <c r="P450" s="2537">
        <f>P443+P448</f>
        <v>0</v>
      </c>
      <c r="R450" s="2536">
        <f>R443+R448</f>
        <v>140301</v>
      </c>
      <c r="S450" s="2536">
        <f>S443+S448</f>
        <v>138287.81</v>
      </c>
      <c r="U450" s="2536">
        <f>U443+U448</f>
        <v>140301</v>
      </c>
      <c r="V450" s="2536">
        <f>V443+V448</f>
        <v>5316</v>
      </c>
      <c r="W450" s="2536">
        <f>W443+W448</f>
        <v>145617</v>
      </c>
      <c r="X450" s="2484">
        <f>IF(U450=0," ",(W450-U450)/U450)</f>
        <v>3.7889965146363891E-2</v>
      </c>
      <c r="Z450" s="2536">
        <f>Z443+Z448</f>
        <v>145617</v>
      </c>
      <c r="AA450" s="2536">
        <f>AA443+AA448</f>
        <v>145617</v>
      </c>
      <c r="AC450" s="2537"/>
      <c r="AE450" s="2536">
        <f>AE443+AE448</f>
        <v>145617</v>
      </c>
      <c r="AF450" s="2538">
        <f>AF443+AF448</f>
        <v>140918.03999999998</v>
      </c>
      <c r="AH450" s="2536">
        <v>141917</v>
      </c>
      <c r="AI450" s="2536">
        <f>AI443+AI448</f>
        <v>1583</v>
      </c>
      <c r="AJ450" s="2536">
        <f>AJ443+AJ448</f>
        <v>147200</v>
      </c>
      <c r="AK450" s="2484">
        <f>IF(AH450=0," ",(AJ450-AH450)/AH450)</f>
        <v>3.7225984202033581E-2</v>
      </c>
      <c r="AM450" s="2536">
        <f>AM443+AM448</f>
        <v>147200</v>
      </c>
      <c r="AN450" s="2536">
        <f>AN443+AN448</f>
        <v>147200</v>
      </c>
      <c r="AP450" s="2537"/>
      <c r="AR450" s="2536">
        <f>AR443+AR448</f>
        <v>147200</v>
      </c>
      <c r="AS450" s="2536">
        <f>AS443+AS448</f>
        <v>137734.44</v>
      </c>
      <c r="AT450" s="2536"/>
      <c r="AU450" s="2536">
        <f>AU443+AU448</f>
        <v>131593</v>
      </c>
      <c r="AV450" s="2536">
        <f>AV443+AV448</f>
        <v>122239.33000000002</v>
      </c>
      <c r="AX450" s="2536">
        <f>AX443+AX448</f>
        <v>131593</v>
      </c>
      <c r="AY450" s="2536">
        <f>AY443+AY448</f>
        <v>1314</v>
      </c>
      <c r="AZ450" s="2536">
        <f>AZ443+AZ448</f>
        <v>132907</v>
      </c>
      <c r="BA450" s="2484">
        <f>IF(AX450=0," ",(AZ450-AX450)/AX450)</f>
        <v>9.9853335663751108E-3</v>
      </c>
      <c r="BC450" s="2536">
        <f>BC443+BC448</f>
        <v>131376</v>
      </c>
      <c r="BD450" s="2536">
        <f>BD443+BD448</f>
        <v>145788</v>
      </c>
      <c r="BF450" s="2537"/>
      <c r="BH450" s="2536">
        <f>BH443+BH448</f>
        <v>145788</v>
      </c>
      <c r="BI450" s="2536">
        <f>BI443+BI448</f>
        <v>143037.85999999999</v>
      </c>
      <c r="BJ450" s="2536"/>
      <c r="BK450" s="2536"/>
      <c r="BM450" s="2536">
        <f>BM443+BM448</f>
        <v>145788</v>
      </c>
      <c r="BN450" s="2539">
        <f>BN443+BN448</f>
        <v>5588</v>
      </c>
      <c r="BO450" s="2540">
        <f>BO443+BO448</f>
        <v>151376</v>
      </c>
      <c r="BP450" s="2490">
        <f>IF(BM450=0," ",(BO450-BM450)/BM450)</f>
        <v>3.8329629324772956E-2</v>
      </c>
      <c r="BQ450" s="2491"/>
      <c r="BR450" s="2540">
        <f>BR443+BR448</f>
        <v>151376</v>
      </c>
      <c r="BS450" s="2540">
        <f>BS443+BS448</f>
        <v>158047</v>
      </c>
      <c r="BT450" s="2491"/>
      <c r="BU450" s="2541"/>
      <c r="BV450" s="2491"/>
      <c r="BW450" s="2540">
        <f>BW443+BW448</f>
        <v>158047</v>
      </c>
      <c r="BX450" s="2536">
        <f>BX443+BX448</f>
        <v>70372.160000000003</v>
      </c>
      <c r="BZ450" s="2540">
        <f>BZ443+BZ448</f>
        <v>158047</v>
      </c>
      <c r="CA450" s="2540">
        <f>CA443+CA448</f>
        <v>-13610</v>
      </c>
      <c r="CB450" s="2540">
        <f>CB443+CB448</f>
        <v>144437</v>
      </c>
      <c r="CC450" s="2490">
        <f>IF(BZ450=0," ",(CB450-BZ450)/BZ450)</f>
        <v>-8.6113624428176425E-2</v>
      </c>
      <c r="CD450" s="2491"/>
      <c r="CE450" s="2540">
        <f>CE443+CE448</f>
        <v>148628</v>
      </c>
      <c r="CF450" s="2490">
        <f>IF(CB450=0," ",(CE450-CB450)/CB450)</f>
        <v>2.9016110830327409E-2</v>
      </c>
      <c r="CG450" s="2540">
        <f>CG443+CG448</f>
        <v>148628</v>
      </c>
      <c r="CH450" s="2449" t="s">
        <v>1220</v>
      </c>
      <c r="CI450" s="2449"/>
      <c r="CJ450" s="2450"/>
      <c r="CK450" s="2450"/>
      <c r="CL450" s="2451"/>
      <c r="CM450" s="2451"/>
      <c r="CN450" s="2451"/>
      <c r="CO450" s="2477">
        <v>-1.8863966855982794E-2</v>
      </c>
      <c r="CP450" s="2478">
        <f t="shared" si="220"/>
        <v>-2750.140000000014</v>
      </c>
      <c r="CQ450" s="2478"/>
      <c r="CR450" s="2478"/>
      <c r="CS450" s="2478"/>
      <c r="CT450" s="2478"/>
    </row>
    <row r="451" spans="1:98" hidden="1" x14ac:dyDescent="0.2">
      <c r="AS451" s="2466"/>
      <c r="AT451" s="2466"/>
      <c r="BZ451" s="2472"/>
      <c r="CH451" s="2449" t="s">
        <v>1091</v>
      </c>
      <c r="CI451" s="2449"/>
      <c r="CJ451" s="2450"/>
      <c r="CK451" s="2450"/>
      <c r="CP451" s="2478">
        <f t="shared" si="220"/>
        <v>0</v>
      </c>
      <c r="CQ451" s="2478"/>
      <c r="CR451" s="2478"/>
      <c r="CS451" s="2478"/>
      <c r="CT451" s="2478"/>
    </row>
    <row r="452" spans="1:98" hidden="1" x14ac:dyDescent="0.2">
      <c r="A452" s="2395">
        <v>241</v>
      </c>
      <c r="B452" s="2440" t="s">
        <v>1214</v>
      </c>
      <c r="C452" s="2396">
        <v>24105</v>
      </c>
      <c r="D452" s="2396">
        <v>53050</v>
      </c>
      <c r="E452" s="2397" t="s">
        <v>1268</v>
      </c>
      <c r="G452" s="2587" t="s">
        <v>1858</v>
      </c>
      <c r="AE452" s="2558"/>
      <c r="AF452" s="2471">
        <v>6580</v>
      </c>
      <c r="AH452" s="2466">
        <v>0</v>
      </c>
      <c r="AI452" s="2470"/>
      <c r="AJ452" s="2466">
        <f t="shared" ref="AJ452:AJ460" si="255">AH452+AI452</f>
        <v>0</v>
      </c>
      <c r="AK452" s="2468" t="str">
        <f t="shared" ref="AK452:AK460" si="256">IF(AH452=0," ",(AJ452-AH452)/AH452)</f>
        <v xml:space="preserve"> </v>
      </c>
      <c r="AM452" s="2467">
        <v>10000</v>
      </c>
      <c r="AN452" s="2467">
        <v>10000</v>
      </c>
      <c r="AP452" s="2530" t="s">
        <v>1859</v>
      </c>
      <c r="AR452" s="2466">
        <v>10000</v>
      </c>
      <c r="AS452" s="2466">
        <v>7970</v>
      </c>
      <c r="AT452" s="2466"/>
      <c r="AU452" s="2466">
        <v>10000</v>
      </c>
      <c r="AV452" s="2466">
        <v>9710</v>
      </c>
      <c r="AX452" s="2466">
        <v>10000</v>
      </c>
      <c r="AY452" s="2470"/>
      <c r="AZ452" s="2466">
        <f>AX452+AY452</f>
        <v>10000</v>
      </c>
      <c r="BA452" s="2468">
        <f>IF(AX452=0," ",(AZ452-AX452)/AX452)</f>
        <v>0</v>
      </c>
      <c r="BC452" s="2467">
        <v>10000</v>
      </c>
      <c r="BD452" s="2467">
        <v>10000</v>
      </c>
      <c r="BF452" s="2469"/>
      <c r="BH452" s="2467">
        <v>10000</v>
      </c>
      <c r="BI452" s="2466">
        <v>9220</v>
      </c>
      <c r="BM452" s="2466">
        <v>10000</v>
      </c>
      <c r="BN452" s="2470"/>
      <c r="BO452" s="2472">
        <f>BM452+BN452</f>
        <v>10000</v>
      </c>
      <c r="BP452" s="2473">
        <f>IF(BM452=0," ",(BO452-BM452)/BM452)</f>
        <v>0</v>
      </c>
      <c r="BR452" s="2474">
        <v>10000</v>
      </c>
      <c r="BS452" s="2474">
        <v>10000</v>
      </c>
      <c r="BU452" s="2475"/>
      <c r="BW452" s="2474">
        <v>10000</v>
      </c>
      <c r="BX452" s="2466">
        <v>4250</v>
      </c>
      <c r="BZ452" s="2474">
        <v>10000</v>
      </c>
      <c r="CA452" s="2470"/>
      <c r="CB452" s="2472">
        <f>BZ452+CA452</f>
        <v>10000</v>
      </c>
      <c r="CC452" s="2473">
        <f>IF(BZ452=0," ",(CB452-BZ452)/BZ452)</f>
        <v>0</v>
      </c>
      <c r="CE452" s="2474">
        <v>10000</v>
      </c>
      <c r="CF452" s="2476">
        <f>IF(CB452=0," ",(CE452-CB452)/CB452)</f>
        <v>0</v>
      </c>
      <c r="CG452" s="2474">
        <v>10000</v>
      </c>
      <c r="CH452" s="2449" t="s">
        <v>1217</v>
      </c>
      <c r="CI452" s="2449"/>
      <c r="CJ452" s="2450"/>
      <c r="CK452" s="2450"/>
      <c r="CO452" s="2477">
        <v>-7.7999999999999958E-2</v>
      </c>
      <c r="CP452" s="2478">
        <f t="shared" si="220"/>
        <v>-780</v>
      </c>
      <c r="CQ452" s="2478"/>
      <c r="CR452" s="2478"/>
      <c r="CS452" s="2478"/>
      <c r="CT452" s="2478"/>
    </row>
    <row r="453" spans="1:98" hidden="1" x14ac:dyDescent="0.2">
      <c r="A453" s="2395">
        <v>241</v>
      </c>
      <c r="B453" s="2440" t="s">
        <v>1214</v>
      </c>
      <c r="C453" s="2396">
        <v>24105</v>
      </c>
      <c r="D453" s="2396">
        <v>53050</v>
      </c>
      <c r="E453" s="2397" t="s">
        <v>1268</v>
      </c>
      <c r="G453" s="2440" t="s">
        <v>1860</v>
      </c>
      <c r="AE453" s="2558"/>
      <c r="AI453" s="2470"/>
      <c r="AM453" s="2467"/>
      <c r="AN453" s="2467"/>
      <c r="AP453" s="2530"/>
      <c r="AS453" s="2466"/>
      <c r="AT453" s="2466"/>
      <c r="AY453" s="2470"/>
      <c r="BC453" s="2467"/>
      <c r="BD453" s="2467"/>
      <c r="BF453" s="2469"/>
      <c r="BH453" s="2467"/>
      <c r="BI453" s="2466">
        <v>1066.29</v>
      </c>
      <c r="BN453" s="2470"/>
      <c r="BR453" s="2474"/>
      <c r="BS453" s="2474"/>
      <c r="BU453" s="2475"/>
      <c r="BW453" s="2474"/>
      <c r="BZ453" s="2474"/>
      <c r="CA453" s="2470"/>
      <c r="CE453" s="2474"/>
      <c r="CF453" s="2476"/>
      <c r="CG453" s="2474"/>
      <c r="CH453" s="2449" t="s">
        <v>1217</v>
      </c>
      <c r="CI453" s="2449"/>
      <c r="CJ453" s="2450"/>
      <c r="CK453" s="2450"/>
      <c r="CO453" s="2477" t="s">
        <v>1257</v>
      </c>
      <c r="CP453" s="2478">
        <f t="shared" si="220"/>
        <v>1066.29</v>
      </c>
      <c r="CQ453" s="2478"/>
      <c r="CR453" s="2478"/>
      <c r="CS453" s="2478"/>
      <c r="CT453" s="2478"/>
    </row>
    <row r="454" spans="1:98" hidden="1" x14ac:dyDescent="0.2">
      <c r="A454" s="2395">
        <v>241</v>
      </c>
      <c r="B454" s="2440" t="s">
        <v>1214</v>
      </c>
      <c r="C454" s="2396">
        <v>24105</v>
      </c>
      <c r="D454" s="2396">
        <v>53400</v>
      </c>
      <c r="E454" s="2397" t="s">
        <v>1268</v>
      </c>
      <c r="F454" s="2440" t="s">
        <v>1214</v>
      </c>
      <c r="G454" s="2440" t="s">
        <v>1861</v>
      </c>
      <c r="H454" s="2466">
        <v>279</v>
      </c>
      <c r="I454" s="2470">
        <v>21</v>
      </c>
      <c r="J454" s="2466">
        <f t="shared" ref="J454:J460" si="257">H454+I454</f>
        <v>300</v>
      </c>
      <c r="K454" s="2468">
        <f t="shared" ref="K454:K460" si="258">IF(H454=0," ",(J454-H454)/H454)</f>
        <v>7.5268817204301078E-2</v>
      </c>
      <c r="M454" s="2467">
        <v>300</v>
      </c>
      <c r="N454" s="2467">
        <v>300</v>
      </c>
      <c r="P454" s="2469"/>
      <c r="R454" s="2466">
        <v>300</v>
      </c>
      <c r="S454" s="2466">
        <v>0</v>
      </c>
      <c r="U454" s="2466">
        <v>300</v>
      </c>
      <c r="V454" s="2470">
        <v>0</v>
      </c>
      <c r="W454" s="2466">
        <f t="shared" ref="W454:W460" si="259">U454+V454</f>
        <v>300</v>
      </c>
      <c r="X454" s="2468">
        <f t="shared" ref="X454:X460" si="260">IF(U454=0," ",(W454-U454)/U454)</f>
        <v>0</v>
      </c>
      <c r="Z454" s="2467">
        <v>300</v>
      </c>
      <c r="AA454" s="2467">
        <v>300</v>
      </c>
      <c r="AC454" s="2469"/>
      <c r="AE454" s="2466">
        <v>300</v>
      </c>
      <c r="AF454" s="2471">
        <v>0</v>
      </c>
      <c r="AH454" s="2466">
        <v>300</v>
      </c>
      <c r="AI454" s="2470"/>
      <c r="AJ454" s="2466">
        <f t="shared" si="255"/>
        <v>300</v>
      </c>
      <c r="AK454" s="2468">
        <f t="shared" si="256"/>
        <v>0</v>
      </c>
      <c r="AM454" s="2467">
        <v>300</v>
      </c>
      <c r="AN454" s="2467">
        <v>300</v>
      </c>
      <c r="AP454" s="2469"/>
      <c r="AR454" s="2466">
        <v>300</v>
      </c>
      <c r="AS454" s="2466">
        <v>0</v>
      </c>
      <c r="AT454" s="2466"/>
      <c r="AU454" s="2466">
        <f>500+400</f>
        <v>900</v>
      </c>
      <c r="AV454" s="2466">
        <v>831.51</v>
      </c>
      <c r="AX454" s="2466">
        <f>500+400</f>
        <v>900</v>
      </c>
      <c r="AY454" s="2470"/>
      <c r="AZ454" s="2466">
        <f t="shared" ref="AZ454:AZ460" si="261">AX454+AY454</f>
        <v>900</v>
      </c>
      <c r="BA454" s="2468">
        <f t="shared" ref="BA454:BA460" si="262">IF(AX454=0," ",(AZ454-AX454)/AX454)</f>
        <v>0</v>
      </c>
      <c r="BC454" s="2467">
        <v>900</v>
      </c>
      <c r="BD454" s="2467">
        <v>900</v>
      </c>
      <c r="BF454" s="2469"/>
      <c r="BH454" s="2467">
        <v>900</v>
      </c>
      <c r="BI454" s="2466">
        <v>414.89</v>
      </c>
      <c r="BM454" s="2466">
        <v>900</v>
      </c>
      <c r="BN454" s="2470"/>
      <c r="BO454" s="2472">
        <f t="shared" ref="BO454:BO460" si="263">BM454+BN454</f>
        <v>900</v>
      </c>
      <c r="BP454" s="2473">
        <f t="shared" ref="BP454:BP460" si="264">IF(BM454=0," ",(BO454-BM454)/BM454)</f>
        <v>0</v>
      </c>
      <c r="BR454" s="2474">
        <v>900</v>
      </c>
      <c r="BS454" s="2474">
        <v>900</v>
      </c>
      <c r="BU454" s="2475"/>
      <c r="BW454" s="2474">
        <v>900</v>
      </c>
      <c r="BX454" s="2466">
        <v>210.63</v>
      </c>
      <c r="BZ454" s="2474">
        <v>900</v>
      </c>
      <c r="CA454" s="2470"/>
      <c r="CB454" s="2472">
        <f t="shared" ref="CB454:CB460" si="265">BZ454+CA454</f>
        <v>900</v>
      </c>
      <c r="CC454" s="2473">
        <f t="shared" ref="CC454:CC460" si="266">IF(BZ454=0," ",(CB454-BZ454)/BZ454)</f>
        <v>0</v>
      </c>
      <c r="CE454" s="2474">
        <v>900</v>
      </c>
      <c r="CF454" s="2476">
        <f t="shared" ref="CF454:CF461" si="267">IF(CB454=0," ",(CE454-CB454)/CB454)</f>
        <v>0</v>
      </c>
      <c r="CG454" s="2474">
        <v>900</v>
      </c>
      <c r="CH454" s="2449" t="s">
        <v>1217</v>
      </c>
      <c r="CI454" s="2449"/>
      <c r="CJ454" s="2450"/>
      <c r="CK454" s="2450"/>
      <c r="CO454" s="2477">
        <v>-0.53901111111111111</v>
      </c>
      <c r="CP454" s="2478">
        <f t="shared" ref="CP454:CP517" si="268">IFERROR(BI454-BH454,"")</f>
        <v>-485.11</v>
      </c>
      <c r="CQ454" s="2478"/>
      <c r="CR454" s="2478"/>
      <c r="CS454" s="2478"/>
      <c r="CT454" s="2478"/>
    </row>
    <row r="455" spans="1:98" hidden="1" x14ac:dyDescent="0.2">
      <c r="A455" s="2395">
        <v>241</v>
      </c>
      <c r="B455" s="2440" t="s">
        <v>1214</v>
      </c>
      <c r="C455" s="2396">
        <v>24105</v>
      </c>
      <c r="D455" s="2396">
        <v>53430</v>
      </c>
      <c r="E455" s="2397" t="s">
        <v>1268</v>
      </c>
      <c r="F455" s="2440" t="s">
        <v>1214</v>
      </c>
      <c r="G455" s="2440" t="s">
        <v>1862</v>
      </c>
      <c r="H455" s="2466">
        <v>65</v>
      </c>
      <c r="I455" s="2470"/>
      <c r="J455" s="2466">
        <f t="shared" si="257"/>
        <v>65</v>
      </c>
      <c r="K455" s="2468">
        <f t="shared" si="258"/>
        <v>0</v>
      </c>
      <c r="M455" s="2467">
        <v>65</v>
      </c>
      <c r="N455" s="2467">
        <v>65</v>
      </c>
      <c r="P455" s="2469"/>
      <c r="R455" s="2466">
        <v>65</v>
      </c>
      <c r="S455" s="2466">
        <v>0</v>
      </c>
      <c r="U455" s="2466">
        <v>65</v>
      </c>
      <c r="V455" s="2470">
        <v>0</v>
      </c>
      <c r="W455" s="2466">
        <f t="shared" si="259"/>
        <v>65</v>
      </c>
      <c r="X455" s="2468">
        <f t="shared" si="260"/>
        <v>0</v>
      </c>
      <c r="Z455" s="2467">
        <v>65</v>
      </c>
      <c r="AA455" s="2467">
        <v>65</v>
      </c>
      <c r="AC455" s="2469"/>
      <c r="AE455" s="2466">
        <v>65</v>
      </c>
      <c r="AF455" s="2471">
        <v>2.5</v>
      </c>
      <c r="AH455" s="2466">
        <v>65</v>
      </c>
      <c r="AI455" s="2470"/>
      <c r="AJ455" s="2466">
        <f t="shared" si="255"/>
        <v>65</v>
      </c>
      <c r="AK455" s="2468">
        <f t="shared" si="256"/>
        <v>0</v>
      </c>
      <c r="AM455" s="2467">
        <v>65</v>
      </c>
      <c r="AN455" s="2467">
        <v>65</v>
      </c>
      <c r="AP455" s="2469"/>
      <c r="AR455" s="2466">
        <v>65</v>
      </c>
      <c r="AS455" s="2466">
        <v>78.3</v>
      </c>
      <c r="AT455" s="2466"/>
      <c r="AU455" s="2466">
        <v>65</v>
      </c>
      <c r="AV455" s="2466">
        <v>49.43</v>
      </c>
      <c r="AX455" s="2466">
        <v>65</v>
      </c>
      <c r="AY455" s="2470"/>
      <c r="AZ455" s="2466">
        <f t="shared" si="261"/>
        <v>65</v>
      </c>
      <c r="BA455" s="2468">
        <f t="shared" si="262"/>
        <v>0</v>
      </c>
      <c r="BC455" s="2467">
        <v>65</v>
      </c>
      <c r="BD455" s="2467">
        <v>65</v>
      </c>
      <c r="BF455" s="2469"/>
      <c r="BH455" s="2467">
        <v>65</v>
      </c>
      <c r="BI455" s="2466">
        <v>23.72</v>
      </c>
      <c r="BM455" s="2466">
        <v>65</v>
      </c>
      <c r="BN455" s="2470"/>
      <c r="BO455" s="2472">
        <f t="shared" si="263"/>
        <v>65</v>
      </c>
      <c r="BP455" s="2473">
        <f t="shared" si="264"/>
        <v>0</v>
      </c>
      <c r="BR455" s="2474">
        <v>65</v>
      </c>
      <c r="BS455" s="2474">
        <v>65</v>
      </c>
      <c r="BU455" s="2475"/>
      <c r="BW455" s="2474">
        <v>65</v>
      </c>
      <c r="BX455" s="2466">
        <v>15.64</v>
      </c>
      <c r="BZ455" s="2474">
        <v>65</v>
      </c>
      <c r="CA455" s="2470"/>
      <c r="CB455" s="2472">
        <f t="shared" si="265"/>
        <v>65</v>
      </c>
      <c r="CC455" s="2473">
        <f t="shared" si="266"/>
        <v>0</v>
      </c>
      <c r="CE455" s="2474">
        <v>65</v>
      </c>
      <c r="CF455" s="2476">
        <f t="shared" si="267"/>
        <v>0</v>
      </c>
      <c r="CG455" s="2474">
        <v>65</v>
      </c>
      <c r="CH455" s="2449" t="s">
        <v>1217</v>
      </c>
      <c r="CI455" s="2449"/>
      <c r="CJ455" s="2450"/>
      <c r="CK455" s="2450"/>
      <c r="CO455" s="2477">
        <v>-0.63507692307692309</v>
      </c>
      <c r="CP455" s="2478">
        <f t="shared" si="268"/>
        <v>-41.28</v>
      </c>
      <c r="CQ455" s="2478"/>
      <c r="CR455" s="2478"/>
      <c r="CS455" s="2478"/>
      <c r="CT455" s="2478"/>
    </row>
    <row r="456" spans="1:98" hidden="1" x14ac:dyDescent="0.2">
      <c r="A456" s="2395">
        <v>241</v>
      </c>
      <c r="B456" s="2440" t="s">
        <v>1214</v>
      </c>
      <c r="C456" s="2396">
        <v>24105</v>
      </c>
      <c r="D456" s="2396">
        <v>54200</v>
      </c>
      <c r="E456" s="2397" t="s">
        <v>1268</v>
      </c>
      <c r="F456" s="2440" t="s">
        <v>1214</v>
      </c>
      <c r="G456" s="2440" t="s">
        <v>1863</v>
      </c>
      <c r="H456" s="2466">
        <v>500</v>
      </c>
      <c r="I456" s="2470">
        <v>100</v>
      </c>
      <c r="J456" s="2466">
        <f t="shared" si="257"/>
        <v>600</v>
      </c>
      <c r="K456" s="2468">
        <f t="shared" si="258"/>
        <v>0.2</v>
      </c>
      <c r="M456" s="2467">
        <v>600</v>
      </c>
      <c r="N456" s="2467">
        <v>600</v>
      </c>
      <c r="P456" s="2469"/>
      <c r="R456" s="2466">
        <v>600</v>
      </c>
      <c r="S456" s="2466">
        <v>579.54999999999995</v>
      </c>
      <c r="U456" s="2466">
        <v>600</v>
      </c>
      <c r="V456" s="2470">
        <v>0</v>
      </c>
      <c r="W456" s="2466">
        <f t="shared" si="259"/>
        <v>600</v>
      </c>
      <c r="X456" s="2468">
        <f t="shared" si="260"/>
        <v>0</v>
      </c>
      <c r="Z456" s="2467">
        <v>600</v>
      </c>
      <c r="AA456" s="2467">
        <v>600</v>
      </c>
      <c r="AC456" s="2469"/>
      <c r="AE456" s="2466">
        <v>600</v>
      </c>
      <c r="AF456" s="2471">
        <v>379.74</v>
      </c>
      <c r="AH456" s="2466">
        <v>600</v>
      </c>
      <c r="AI456" s="2470"/>
      <c r="AJ456" s="2466">
        <f t="shared" si="255"/>
        <v>600</v>
      </c>
      <c r="AK456" s="2468">
        <f t="shared" si="256"/>
        <v>0</v>
      </c>
      <c r="AM456" s="2467">
        <v>600</v>
      </c>
      <c r="AN456" s="2467">
        <v>600</v>
      </c>
      <c r="AP456" s="2469"/>
      <c r="AR456" s="2466">
        <v>600</v>
      </c>
      <c r="AS456" s="2466">
        <v>234.04</v>
      </c>
      <c r="AT456" s="2466"/>
      <c r="AU456" s="2466">
        <v>600</v>
      </c>
      <c r="AV456" s="2466">
        <v>99.19</v>
      </c>
      <c r="AX456" s="2466">
        <v>600</v>
      </c>
      <c r="AY456" s="2470"/>
      <c r="AZ456" s="2466">
        <f t="shared" si="261"/>
        <v>600</v>
      </c>
      <c r="BA456" s="2468">
        <f t="shared" si="262"/>
        <v>0</v>
      </c>
      <c r="BC456" s="2467">
        <v>600</v>
      </c>
      <c r="BD456" s="2467">
        <v>600</v>
      </c>
      <c r="BF456" s="2469"/>
      <c r="BH456" s="2467">
        <v>600</v>
      </c>
      <c r="BI456" s="2466">
        <v>245.86</v>
      </c>
      <c r="BM456" s="2466">
        <v>600</v>
      </c>
      <c r="BN456" s="2470"/>
      <c r="BO456" s="2472">
        <f t="shared" si="263"/>
        <v>600</v>
      </c>
      <c r="BP456" s="2473">
        <f t="shared" si="264"/>
        <v>0</v>
      </c>
      <c r="BR456" s="2474">
        <v>600</v>
      </c>
      <c r="BS456" s="2474">
        <v>600</v>
      </c>
      <c r="BU456" s="2475"/>
      <c r="BW456" s="2474">
        <v>600</v>
      </c>
      <c r="BX456" s="2466">
        <v>262.45999999999998</v>
      </c>
      <c r="BZ456" s="2474">
        <v>600</v>
      </c>
      <c r="CA456" s="2470"/>
      <c r="CB456" s="2472">
        <f t="shared" si="265"/>
        <v>600</v>
      </c>
      <c r="CC456" s="2473">
        <f t="shared" si="266"/>
        <v>0</v>
      </c>
      <c r="CE456" s="2474">
        <v>600</v>
      </c>
      <c r="CF456" s="2476">
        <f t="shared" si="267"/>
        <v>0</v>
      </c>
      <c r="CG456" s="2474">
        <v>600</v>
      </c>
      <c r="CH456" s="2449" t="s">
        <v>1217</v>
      </c>
      <c r="CI456" s="2449"/>
      <c r="CJ456" s="2450"/>
      <c r="CK456" s="2450"/>
      <c r="CO456" s="2477">
        <v>-0.59023333333333339</v>
      </c>
      <c r="CP456" s="2478">
        <f t="shared" si="268"/>
        <v>-354.14</v>
      </c>
      <c r="CQ456" s="2478"/>
      <c r="CR456" s="2478"/>
      <c r="CS456" s="2478"/>
      <c r="CT456" s="2478"/>
    </row>
    <row r="457" spans="1:98" hidden="1" x14ac:dyDescent="0.2">
      <c r="A457" s="2395">
        <v>241</v>
      </c>
      <c r="B457" s="2440" t="s">
        <v>1214</v>
      </c>
      <c r="C457" s="2396">
        <v>24105</v>
      </c>
      <c r="D457" s="2396">
        <v>54210</v>
      </c>
      <c r="E457" s="2397" t="s">
        <v>1268</v>
      </c>
      <c r="F457" s="2440" t="s">
        <v>1214</v>
      </c>
      <c r="G457" s="2440" t="s">
        <v>1864</v>
      </c>
      <c r="H457" s="2466">
        <v>222</v>
      </c>
      <c r="I457" s="2470">
        <v>-22</v>
      </c>
      <c r="J457" s="2466">
        <f t="shared" si="257"/>
        <v>200</v>
      </c>
      <c r="K457" s="2468">
        <f t="shared" si="258"/>
        <v>-9.90990990990991E-2</v>
      </c>
      <c r="M457" s="2467">
        <v>200</v>
      </c>
      <c r="N457" s="2467">
        <v>200</v>
      </c>
      <c r="P457" s="2469"/>
      <c r="R457" s="2466">
        <v>200</v>
      </c>
      <c r="S457" s="2466">
        <v>34</v>
      </c>
      <c r="U457" s="2466">
        <v>200</v>
      </c>
      <c r="V457" s="2470">
        <v>0</v>
      </c>
      <c r="W457" s="2466">
        <f t="shared" si="259"/>
        <v>200</v>
      </c>
      <c r="X457" s="2468">
        <f t="shared" si="260"/>
        <v>0</v>
      </c>
      <c r="Z457" s="2467">
        <v>200</v>
      </c>
      <c r="AA457" s="2467">
        <v>200</v>
      </c>
      <c r="AC457" s="2469"/>
      <c r="AE457" s="2466">
        <v>200</v>
      </c>
      <c r="AF457" s="2471">
        <v>84</v>
      </c>
      <c r="AH457" s="2466">
        <v>200</v>
      </c>
      <c r="AI457" s="2470"/>
      <c r="AJ457" s="2466">
        <f t="shared" si="255"/>
        <v>200</v>
      </c>
      <c r="AK457" s="2468">
        <f t="shared" si="256"/>
        <v>0</v>
      </c>
      <c r="AM457" s="2467">
        <v>200</v>
      </c>
      <c r="AN457" s="2467">
        <v>200</v>
      </c>
      <c r="AP457" s="2469"/>
      <c r="AR457" s="2466">
        <v>200</v>
      </c>
      <c r="AS457" s="2466">
        <v>50</v>
      </c>
      <c r="AT457" s="2466"/>
      <c r="AY457" s="2470"/>
      <c r="AZ457" s="2466">
        <f t="shared" si="261"/>
        <v>0</v>
      </c>
      <c r="BA457" s="2468" t="str">
        <f t="shared" si="262"/>
        <v xml:space="preserve"> </v>
      </c>
      <c r="BC457" s="2467">
        <v>0</v>
      </c>
      <c r="BD457" s="2467">
        <v>0</v>
      </c>
      <c r="BF457" s="2469"/>
      <c r="BH457" s="2467">
        <v>0</v>
      </c>
      <c r="BM457" s="2466">
        <v>0</v>
      </c>
      <c r="BN457" s="2470"/>
      <c r="BO457" s="2472">
        <f t="shared" si="263"/>
        <v>0</v>
      </c>
      <c r="BP457" s="2473" t="str">
        <f t="shared" si="264"/>
        <v xml:space="preserve"> </v>
      </c>
      <c r="BR457" s="2474">
        <v>0</v>
      </c>
      <c r="BS457" s="2474">
        <v>0</v>
      </c>
      <c r="BU457" s="2475"/>
      <c r="BW457" s="2474">
        <v>0</v>
      </c>
      <c r="BZ457" s="2474">
        <v>0</v>
      </c>
      <c r="CA457" s="2470"/>
      <c r="CB457" s="2472">
        <f t="shared" si="265"/>
        <v>0</v>
      </c>
      <c r="CC457" s="2473" t="str">
        <f t="shared" si="266"/>
        <v xml:space="preserve"> </v>
      </c>
      <c r="CE457" s="2474">
        <v>0</v>
      </c>
      <c r="CF457" s="2476" t="str">
        <f t="shared" si="267"/>
        <v xml:space="preserve"> </v>
      </c>
      <c r="CG457" s="2474">
        <v>0</v>
      </c>
      <c r="CH457" s="2449" t="s">
        <v>1217</v>
      </c>
      <c r="CI457" s="2449"/>
      <c r="CJ457" s="2450"/>
      <c r="CK457" s="2450"/>
      <c r="CP457" s="2478">
        <f t="shared" si="268"/>
        <v>0</v>
      </c>
      <c r="CQ457" s="2478"/>
      <c r="CR457" s="2478"/>
      <c r="CS457" s="2478"/>
      <c r="CT457" s="2478"/>
    </row>
    <row r="458" spans="1:98" hidden="1" x14ac:dyDescent="0.2">
      <c r="A458" s="2395">
        <v>241</v>
      </c>
      <c r="B458" s="2440" t="s">
        <v>1214</v>
      </c>
      <c r="C458" s="2396">
        <v>24105</v>
      </c>
      <c r="D458" s="2396">
        <v>55800</v>
      </c>
      <c r="E458" s="2397" t="s">
        <v>1268</v>
      </c>
      <c r="F458" s="2440" t="s">
        <v>1214</v>
      </c>
      <c r="G458" s="2440" t="s">
        <v>1865</v>
      </c>
      <c r="H458" s="2466">
        <v>558</v>
      </c>
      <c r="I458" s="2470">
        <v>92</v>
      </c>
      <c r="J458" s="2466">
        <f t="shared" si="257"/>
        <v>650</v>
      </c>
      <c r="K458" s="2468">
        <f t="shared" si="258"/>
        <v>0.16487455197132617</v>
      </c>
      <c r="M458" s="2467">
        <v>650</v>
      </c>
      <c r="N458" s="2467">
        <v>650</v>
      </c>
      <c r="P458" s="2469"/>
      <c r="R458" s="2466">
        <v>650</v>
      </c>
      <c r="S458" s="2466">
        <v>99.49</v>
      </c>
      <c r="U458" s="2466">
        <v>650</v>
      </c>
      <c r="V458" s="2470">
        <v>0</v>
      </c>
      <c r="W458" s="2466">
        <f t="shared" si="259"/>
        <v>650</v>
      </c>
      <c r="X458" s="2468">
        <f t="shared" si="260"/>
        <v>0</v>
      </c>
      <c r="Z458" s="2467">
        <v>650</v>
      </c>
      <c r="AA458" s="2467">
        <v>650</v>
      </c>
      <c r="AC458" s="2469"/>
      <c r="AE458" s="2466">
        <v>650</v>
      </c>
      <c r="AF458" s="2471">
        <v>135</v>
      </c>
      <c r="AH458" s="2466">
        <v>650</v>
      </c>
      <c r="AI458" s="2470"/>
      <c r="AJ458" s="2466">
        <f t="shared" si="255"/>
        <v>650</v>
      </c>
      <c r="AK458" s="2468">
        <f t="shared" si="256"/>
        <v>0</v>
      </c>
      <c r="AM458" s="2467">
        <v>650</v>
      </c>
      <c r="AN458" s="2467">
        <v>650</v>
      </c>
      <c r="AP458" s="2469"/>
      <c r="AR458" s="2466">
        <v>650</v>
      </c>
      <c r="AS458" s="2466">
        <v>0</v>
      </c>
      <c r="AT458" s="2466"/>
      <c r="AU458" s="2466">
        <f>650+350</f>
        <v>1000</v>
      </c>
      <c r="AV458" s="2466">
        <v>509.66</v>
      </c>
      <c r="AX458" s="2466">
        <f>650+350</f>
        <v>1000</v>
      </c>
      <c r="AY458" s="2470"/>
      <c r="AZ458" s="2466">
        <f t="shared" si="261"/>
        <v>1000</v>
      </c>
      <c r="BA458" s="2468">
        <f t="shared" si="262"/>
        <v>0</v>
      </c>
      <c r="BC458" s="2467">
        <v>1000</v>
      </c>
      <c r="BD458" s="2467">
        <v>1000</v>
      </c>
      <c r="BF458" s="2469"/>
      <c r="BH458" s="2467">
        <v>1000</v>
      </c>
      <c r="BI458" s="2466">
        <v>239</v>
      </c>
      <c r="BM458" s="2466">
        <v>1000</v>
      </c>
      <c r="BN458" s="2470"/>
      <c r="BO458" s="2472">
        <f t="shared" si="263"/>
        <v>1000</v>
      </c>
      <c r="BP458" s="2473">
        <f t="shared" si="264"/>
        <v>0</v>
      </c>
      <c r="BR458" s="2474">
        <v>1000</v>
      </c>
      <c r="BS458" s="2474">
        <v>1000</v>
      </c>
      <c r="BU458" s="2475"/>
      <c r="BW458" s="2474">
        <v>1000</v>
      </c>
      <c r="BZ458" s="2474">
        <v>1000</v>
      </c>
      <c r="CA458" s="2470"/>
      <c r="CB458" s="2472">
        <f t="shared" si="265"/>
        <v>1000</v>
      </c>
      <c r="CC458" s="2473">
        <f t="shared" si="266"/>
        <v>0</v>
      </c>
      <c r="CE458" s="2474">
        <v>1000</v>
      </c>
      <c r="CF458" s="2476">
        <f t="shared" si="267"/>
        <v>0</v>
      </c>
      <c r="CG458" s="2474">
        <v>1000</v>
      </c>
      <c r="CH458" s="2449" t="s">
        <v>1217</v>
      </c>
      <c r="CI458" s="2449"/>
      <c r="CJ458" s="2450"/>
      <c r="CK458" s="2450"/>
      <c r="CO458" s="2477">
        <v>-0.76100000000000001</v>
      </c>
      <c r="CP458" s="2478">
        <f t="shared" si="268"/>
        <v>-761</v>
      </c>
      <c r="CQ458" s="2478"/>
      <c r="CR458" s="2478"/>
      <c r="CS458" s="2478"/>
      <c r="CT458" s="2478"/>
    </row>
    <row r="459" spans="1:98" hidden="1" x14ac:dyDescent="0.2">
      <c r="A459" s="2395">
        <v>241</v>
      </c>
      <c r="B459" s="2440" t="s">
        <v>1214</v>
      </c>
      <c r="C459" s="2396">
        <v>24105</v>
      </c>
      <c r="D459" s="2396">
        <v>57300</v>
      </c>
      <c r="E459" s="2397" t="s">
        <v>1268</v>
      </c>
      <c r="F459" s="2440" t="s">
        <v>1214</v>
      </c>
      <c r="G459" s="2440" t="s">
        <v>1866</v>
      </c>
      <c r="H459" s="2466">
        <v>284</v>
      </c>
      <c r="I459" s="2470">
        <v>16</v>
      </c>
      <c r="J459" s="2466">
        <f t="shared" si="257"/>
        <v>300</v>
      </c>
      <c r="K459" s="2468">
        <f t="shared" si="258"/>
        <v>5.6338028169014086E-2</v>
      </c>
      <c r="M459" s="2467">
        <v>300</v>
      </c>
      <c r="N459" s="2467">
        <v>300</v>
      </c>
      <c r="P459" s="2469"/>
      <c r="R459" s="2466">
        <v>300</v>
      </c>
      <c r="S459" s="2466">
        <v>170</v>
      </c>
      <c r="U459" s="2466">
        <v>300</v>
      </c>
      <c r="V459" s="2470">
        <v>0</v>
      </c>
      <c r="W459" s="2466">
        <f t="shared" si="259"/>
        <v>300</v>
      </c>
      <c r="X459" s="2468">
        <f t="shared" si="260"/>
        <v>0</v>
      </c>
      <c r="Z459" s="2467">
        <v>300</v>
      </c>
      <c r="AA459" s="2467">
        <v>300</v>
      </c>
      <c r="AC459" s="2469"/>
      <c r="AE459" s="2466">
        <v>300</v>
      </c>
      <c r="AF459" s="2471">
        <v>350</v>
      </c>
      <c r="AH459" s="2466">
        <v>300</v>
      </c>
      <c r="AI459" s="2470"/>
      <c r="AJ459" s="2466">
        <f t="shared" si="255"/>
        <v>300</v>
      </c>
      <c r="AK459" s="2468">
        <f t="shared" si="256"/>
        <v>0</v>
      </c>
      <c r="AM459" s="2467">
        <v>300</v>
      </c>
      <c r="AN459" s="2467">
        <v>300</v>
      </c>
      <c r="AP459" s="2469"/>
      <c r="AR459" s="2466">
        <v>300</v>
      </c>
      <c r="AS459" s="2466">
        <v>975</v>
      </c>
      <c r="AT459" s="2466"/>
      <c r="AU459" s="2466">
        <v>300</v>
      </c>
      <c r="AV459" s="2466">
        <v>145</v>
      </c>
      <c r="AX459" s="2466">
        <v>300</v>
      </c>
      <c r="AY459" s="2470"/>
      <c r="AZ459" s="2466">
        <f t="shared" si="261"/>
        <v>300</v>
      </c>
      <c r="BA459" s="2468">
        <f t="shared" si="262"/>
        <v>0</v>
      </c>
      <c r="BC459" s="2467">
        <v>300</v>
      </c>
      <c r="BD459" s="2467">
        <v>300</v>
      </c>
      <c r="BF459" s="2469"/>
      <c r="BH459" s="2467">
        <v>300</v>
      </c>
      <c r="BI459" s="2466">
        <v>329</v>
      </c>
      <c r="BM459" s="2466">
        <v>300</v>
      </c>
      <c r="BN459" s="2470"/>
      <c r="BO459" s="2472">
        <f t="shared" si="263"/>
        <v>300</v>
      </c>
      <c r="BP459" s="2473">
        <f t="shared" si="264"/>
        <v>0</v>
      </c>
      <c r="BR459" s="2474">
        <v>300</v>
      </c>
      <c r="BS459" s="2474">
        <v>300</v>
      </c>
      <c r="BU459" s="2475"/>
      <c r="BW459" s="2474">
        <v>300</v>
      </c>
      <c r="BX459" s="2466">
        <v>260</v>
      </c>
      <c r="BZ459" s="2474">
        <v>300</v>
      </c>
      <c r="CA459" s="2470"/>
      <c r="CB459" s="2472">
        <f t="shared" si="265"/>
        <v>300</v>
      </c>
      <c r="CC459" s="2473">
        <f t="shared" si="266"/>
        <v>0</v>
      </c>
      <c r="CE459" s="2474">
        <v>300</v>
      </c>
      <c r="CF459" s="2476">
        <f t="shared" si="267"/>
        <v>0</v>
      </c>
      <c r="CG459" s="2474">
        <v>300</v>
      </c>
      <c r="CH459" s="2449" t="s">
        <v>1217</v>
      </c>
      <c r="CI459" s="2449"/>
      <c r="CJ459" s="2450"/>
      <c r="CK459" s="2450"/>
      <c r="CO459" s="2477">
        <v>9.6666666666666679E-2</v>
      </c>
      <c r="CP459" s="2478">
        <f t="shared" si="268"/>
        <v>29</v>
      </c>
      <c r="CQ459" s="2478"/>
      <c r="CR459" s="2478"/>
      <c r="CS459" s="2478"/>
      <c r="CT459" s="2478"/>
    </row>
    <row r="460" spans="1:98" hidden="1" x14ac:dyDescent="0.2">
      <c r="A460" s="2395">
        <v>241</v>
      </c>
      <c r="B460" s="2440" t="s">
        <v>1214</v>
      </c>
      <c r="C460" s="2396">
        <v>24105</v>
      </c>
      <c r="D460" s="2396">
        <v>58510</v>
      </c>
      <c r="E460" s="2397" t="s">
        <v>1268</v>
      </c>
      <c r="F460" s="2440" t="s">
        <v>1214</v>
      </c>
      <c r="G460" s="2440" t="s">
        <v>1867</v>
      </c>
      <c r="H460" s="2466">
        <v>451</v>
      </c>
      <c r="I460" s="2470">
        <v>149</v>
      </c>
      <c r="J460" s="2466">
        <f t="shared" si="257"/>
        <v>600</v>
      </c>
      <c r="K460" s="2468">
        <f t="shared" si="258"/>
        <v>0.3303769401330377</v>
      </c>
      <c r="M460" s="2467">
        <v>600</v>
      </c>
      <c r="N460" s="2467">
        <v>600</v>
      </c>
      <c r="P460" s="2469"/>
      <c r="R460" s="2466">
        <v>600</v>
      </c>
      <c r="S460" s="2466">
        <v>1897.98</v>
      </c>
      <c r="U460" s="2466">
        <v>600</v>
      </c>
      <c r="V460" s="2470">
        <v>0</v>
      </c>
      <c r="W460" s="2466">
        <f t="shared" si="259"/>
        <v>600</v>
      </c>
      <c r="X460" s="2468">
        <f t="shared" si="260"/>
        <v>0</v>
      </c>
      <c r="Z460" s="2467">
        <v>600</v>
      </c>
      <c r="AA460" s="2467">
        <v>600</v>
      </c>
      <c r="AC460" s="2469"/>
      <c r="AE460" s="2466">
        <v>600</v>
      </c>
      <c r="AF460" s="2471">
        <v>761.06</v>
      </c>
      <c r="AH460" s="2466">
        <v>600</v>
      </c>
      <c r="AI460" s="2470"/>
      <c r="AJ460" s="2466">
        <f t="shared" si="255"/>
        <v>600</v>
      </c>
      <c r="AK460" s="2468">
        <f t="shared" si="256"/>
        <v>0</v>
      </c>
      <c r="AM460" s="2467">
        <v>600</v>
      </c>
      <c r="AN460" s="2467">
        <v>600</v>
      </c>
      <c r="AP460" s="2469"/>
      <c r="AR460" s="2466">
        <v>600</v>
      </c>
      <c r="AS460" s="2466">
        <v>14.99</v>
      </c>
      <c r="AT460" s="2466"/>
      <c r="AU460" s="2466">
        <v>600</v>
      </c>
      <c r="AX460" s="2466">
        <v>600</v>
      </c>
      <c r="AY460" s="2470"/>
      <c r="AZ460" s="2466">
        <f t="shared" si="261"/>
        <v>600</v>
      </c>
      <c r="BA460" s="2468">
        <f t="shared" si="262"/>
        <v>0</v>
      </c>
      <c r="BC460" s="2467">
        <v>600</v>
      </c>
      <c r="BD460" s="2467">
        <v>600</v>
      </c>
      <c r="BF460" s="2469"/>
      <c r="BH460" s="2467">
        <v>600</v>
      </c>
      <c r="BM460" s="2466">
        <v>600</v>
      </c>
      <c r="BN460" s="2470"/>
      <c r="BO460" s="2472">
        <f t="shared" si="263"/>
        <v>600</v>
      </c>
      <c r="BP460" s="2473">
        <f t="shared" si="264"/>
        <v>0</v>
      </c>
      <c r="BR460" s="2474">
        <v>600</v>
      </c>
      <c r="BS460" s="2474">
        <v>600</v>
      </c>
      <c r="BU460" s="2475"/>
      <c r="BW460" s="2474">
        <v>600</v>
      </c>
      <c r="BZ460" s="2474">
        <v>600</v>
      </c>
      <c r="CA460" s="2470"/>
      <c r="CB460" s="2472">
        <f t="shared" si="265"/>
        <v>600</v>
      </c>
      <c r="CC460" s="2473">
        <f t="shared" si="266"/>
        <v>0</v>
      </c>
      <c r="CE460" s="2474">
        <v>600</v>
      </c>
      <c r="CF460" s="2476">
        <f t="shared" si="267"/>
        <v>0</v>
      </c>
      <c r="CG460" s="2474">
        <v>600</v>
      </c>
      <c r="CH460" s="2449" t="s">
        <v>1217</v>
      </c>
      <c r="CI460" s="2449"/>
      <c r="CJ460" s="2450"/>
      <c r="CK460" s="2450"/>
      <c r="CO460" s="2477" t="s">
        <v>1218</v>
      </c>
      <c r="CP460" s="2478">
        <f t="shared" si="268"/>
        <v>-600</v>
      </c>
      <c r="CQ460" s="2478"/>
      <c r="CR460" s="2478"/>
      <c r="CS460" s="2478"/>
      <c r="CT460" s="2478"/>
    </row>
    <row r="461" spans="1:98" s="2485" customFormat="1" hidden="1" x14ac:dyDescent="0.2">
      <c r="A461" s="2532"/>
      <c r="B461" s="2533"/>
      <c r="C461" s="2534"/>
      <c r="D461" s="2534"/>
      <c r="E461" s="2535"/>
      <c r="F461" s="2533"/>
      <c r="G461" s="2533" t="s">
        <v>1868</v>
      </c>
      <c r="H461" s="2536">
        <f>SUM(H454:H460)</f>
        <v>2359</v>
      </c>
      <c r="I461" s="2536">
        <f>SUM(I454:I460)</f>
        <v>356</v>
      </c>
      <c r="J461" s="2536">
        <f>SUM(J454:J460)</f>
        <v>2715</v>
      </c>
      <c r="K461" s="2484">
        <f>IF(H461=0," ",(J461-H461)/H461)</f>
        <v>0.15091140313692242</v>
      </c>
      <c r="M461" s="2536">
        <f>SUM(M454:M460)</f>
        <v>2715</v>
      </c>
      <c r="N461" s="2536">
        <f>SUM(N454:N460)</f>
        <v>2715</v>
      </c>
      <c r="P461" s="2537">
        <f>SUM(P454:P460)</f>
        <v>0</v>
      </c>
      <c r="R461" s="2536">
        <f>SUM(R454:R460)</f>
        <v>2715</v>
      </c>
      <c r="S461" s="2536">
        <f>SUM(S454:S460)</f>
        <v>2781.02</v>
      </c>
      <c r="U461" s="2536">
        <f>SUM(U454:U460)</f>
        <v>2715</v>
      </c>
      <c r="V461" s="2536">
        <f>SUM(V454:V460)</f>
        <v>0</v>
      </c>
      <c r="W461" s="2536">
        <f>SUM(W454:W460)</f>
        <v>2715</v>
      </c>
      <c r="X461" s="2484">
        <f>IF(U461=0," ",(W461-U461)/U461)</f>
        <v>0</v>
      </c>
      <c r="Z461" s="2536">
        <f>SUM(Z454:Z460)</f>
        <v>2715</v>
      </c>
      <c r="AA461" s="2536">
        <f>SUM(AA454:AA460)</f>
        <v>2715</v>
      </c>
      <c r="AC461" s="2537"/>
      <c r="AE461" s="2536">
        <f>SUM(AE452:AE460)</f>
        <v>2715</v>
      </c>
      <c r="AF461" s="2538">
        <f>SUM(AF452:AF460)</f>
        <v>8292.2999999999993</v>
      </c>
      <c r="AH461" s="2536">
        <f>SUM(AH452:AH460)</f>
        <v>2715</v>
      </c>
      <c r="AI461" s="2536">
        <f>SUM(AI452:AI460)</f>
        <v>0</v>
      </c>
      <c r="AJ461" s="2536">
        <f>SUM(AJ452:AJ460)</f>
        <v>2715</v>
      </c>
      <c r="AK461" s="2484">
        <f>IF(AH461=0," ",(AJ461-AH461)/AH461)</f>
        <v>0</v>
      </c>
      <c r="AM461" s="2536">
        <f>SUM(AM452:AM460)</f>
        <v>12715</v>
      </c>
      <c r="AN461" s="2536">
        <f>SUM(AN452:AN460)</f>
        <v>12715</v>
      </c>
      <c r="AP461" s="2537"/>
      <c r="AR461" s="2536">
        <f>SUM(AR452:AR460)</f>
        <v>12715</v>
      </c>
      <c r="AS461" s="2536">
        <f>SUM(AS452:AS460)</f>
        <v>9322.33</v>
      </c>
      <c r="AT461" s="2536"/>
      <c r="AU461" s="2536">
        <f>SUM(AU452:AU460)</f>
        <v>13465</v>
      </c>
      <c r="AV461" s="2536">
        <f>SUM(AV452:AV460)</f>
        <v>11344.79</v>
      </c>
      <c r="AX461" s="2536">
        <f>SUM(AX452:AX460)</f>
        <v>13465</v>
      </c>
      <c r="AY461" s="2536">
        <f>SUM(AY452:AY460)</f>
        <v>0</v>
      </c>
      <c r="AZ461" s="2536">
        <f>SUM(AZ452:AZ460)</f>
        <v>13465</v>
      </c>
      <c r="BA461" s="2484">
        <f>IF(AX461=0," ",(AZ461-AX461)/AX461)</f>
        <v>0</v>
      </c>
      <c r="BC461" s="2536">
        <f>SUM(BC452:BC460)</f>
        <v>13465</v>
      </c>
      <c r="BD461" s="2536">
        <f>SUM(BD452:BD460)</f>
        <v>13465</v>
      </c>
      <c r="BF461" s="2537"/>
      <c r="BH461" s="2536">
        <f>SUM(BH452:BH460)</f>
        <v>13465</v>
      </c>
      <c r="BI461" s="2536">
        <f>SUM(BI452:BI460)</f>
        <v>11538.76</v>
      </c>
      <c r="BJ461" s="2536"/>
      <c r="BK461" s="2536"/>
      <c r="BM461" s="2536">
        <f>SUM(BM452:BM460)</f>
        <v>13465</v>
      </c>
      <c r="BN461" s="2539">
        <f>SUM(BN452:BN460)</f>
        <v>0</v>
      </c>
      <c r="BO461" s="2540">
        <f>SUM(BO452:BO460)</f>
        <v>13465</v>
      </c>
      <c r="BP461" s="2490">
        <f>IF(BM461=0," ",(BO461-BM461)/BM461)</f>
        <v>0</v>
      </c>
      <c r="BQ461" s="2491"/>
      <c r="BR461" s="2540">
        <f>SUM(BR452:BR460)</f>
        <v>13465</v>
      </c>
      <c r="BS461" s="2540">
        <f>SUM(BS452:BS460)</f>
        <v>13465</v>
      </c>
      <c r="BT461" s="2491"/>
      <c r="BU461" s="2541"/>
      <c r="BV461" s="2491"/>
      <c r="BW461" s="2540">
        <f>SUM(BW452:BW460)</f>
        <v>13465</v>
      </c>
      <c r="BX461" s="2536">
        <f>SUM(BX452:BX460)</f>
        <v>4998.7300000000005</v>
      </c>
      <c r="BZ461" s="2540">
        <f>SUM(BZ452:BZ460)</f>
        <v>13465</v>
      </c>
      <c r="CA461" s="2540">
        <f>SUM(CA452:CA460)</f>
        <v>0</v>
      </c>
      <c r="CB461" s="2540">
        <f>SUM(CB452:CB460)</f>
        <v>13465</v>
      </c>
      <c r="CC461" s="2490">
        <f>IF(BZ461=0," ",(CB461-BZ461)/BZ461)</f>
        <v>0</v>
      </c>
      <c r="CD461" s="2491"/>
      <c r="CE461" s="2540">
        <f>SUM(CE452:CE460)</f>
        <v>13465</v>
      </c>
      <c r="CF461" s="2490">
        <f t="shared" si="267"/>
        <v>0</v>
      </c>
      <c r="CG461" s="2540">
        <f>SUM(CG452:CG460)</f>
        <v>13465</v>
      </c>
      <c r="CH461" s="2449" t="s">
        <v>1220</v>
      </c>
      <c r="CI461" s="2449"/>
      <c r="CJ461" s="2450"/>
      <c r="CK461" s="2450"/>
      <c r="CL461" s="2451"/>
      <c r="CM461" s="2451"/>
      <c r="CN461" s="2451"/>
      <c r="CO461" s="2477">
        <v>-0.14305532862978088</v>
      </c>
      <c r="CP461" s="2478">
        <f t="shared" si="268"/>
        <v>-1926.2399999999998</v>
      </c>
      <c r="CQ461" s="2478"/>
      <c r="CR461" s="2478"/>
      <c r="CS461" s="2478"/>
      <c r="CT461" s="2478"/>
    </row>
    <row r="462" spans="1:98" ht="9.9499999999999993" hidden="1" customHeight="1" x14ac:dyDescent="0.2">
      <c r="AS462" s="2466"/>
      <c r="AT462" s="2466"/>
      <c r="BZ462" s="2472"/>
      <c r="CH462" s="2449" t="s">
        <v>1091</v>
      </c>
      <c r="CI462" s="2449"/>
      <c r="CJ462" s="2450"/>
      <c r="CK462" s="2450"/>
      <c r="CP462" s="2478">
        <f t="shared" si="268"/>
        <v>0</v>
      </c>
      <c r="CQ462" s="2478"/>
      <c r="CR462" s="2478"/>
      <c r="CS462" s="2478"/>
      <c r="CT462" s="2478"/>
    </row>
    <row r="463" spans="1:98" x14ac:dyDescent="0.2">
      <c r="A463" s="2495"/>
      <c r="B463" s="2496"/>
      <c r="C463" s="2497"/>
      <c r="D463" s="2497"/>
      <c r="E463" s="2498"/>
      <c r="F463" s="2496"/>
      <c r="G463" s="2499" t="s">
        <v>1869</v>
      </c>
      <c r="H463" s="2500">
        <f>H450+H461</f>
        <v>138265</v>
      </c>
      <c r="I463" s="2500">
        <f>I450+I461</f>
        <v>4751</v>
      </c>
      <c r="J463" s="2500">
        <f>J450+J461</f>
        <v>143016</v>
      </c>
      <c r="K463" s="2501">
        <f>IF(H463=0," ",(J463-H463)/H463)</f>
        <v>3.4361552091997254E-2</v>
      </c>
      <c r="M463" s="2500">
        <f>M450+M461</f>
        <v>143016</v>
      </c>
      <c r="N463" s="2500">
        <f>N450+N461</f>
        <v>143016</v>
      </c>
      <c r="P463" s="2502">
        <f>P450+P461</f>
        <v>0</v>
      </c>
      <c r="R463" s="2500">
        <f>R450+R461</f>
        <v>143016</v>
      </c>
      <c r="S463" s="2500">
        <f>S450+S461</f>
        <v>141068.82999999999</v>
      </c>
      <c r="U463" s="2500">
        <f>U450+U461</f>
        <v>143016</v>
      </c>
      <c r="V463" s="2500">
        <f>V450+V461</f>
        <v>5316</v>
      </c>
      <c r="W463" s="2500">
        <f>W450+W461</f>
        <v>148332</v>
      </c>
      <c r="X463" s="2501">
        <f>IF(U463=0," ",(W463-U463)/U463)</f>
        <v>3.7170666219164289E-2</v>
      </c>
      <c r="Z463" s="2500">
        <f>Z450+Z461</f>
        <v>148332</v>
      </c>
      <c r="AA463" s="2500">
        <f>AA450+AA461</f>
        <v>148332</v>
      </c>
      <c r="AC463" s="2502"/>
      <c r="AE463" s="2500">
        <f>AE450+AE461</f>
        <v>148332</v>
      </c>
      <c r="AF463" s="2503">
        <f>AF450+AF461</f>
        <v>149210.33999999997</v>
      </c>
      <c r="AH463" s="2500">
        <v>148332</v>
      </c>
      <c r="AI463" s="2500">
        <f>AI450+AI461</f>
        <v>1583</v>
      </c>
      <c r="AJ463" s="2500">
        <f>AJ450+AJ461</f>
        <v>149915</v>
      </c>
      <c r="AK463" s="2501">
        <f>IF(AH463=0," ",(AJ463-AH463)/AH463)</f>
        <v>1.0672006040503735E-2</v>
      </c>
      <c r="AM463" s="2500">
        <f>AM450+AM461</f>
        <v>159915</v>
      </c>
      <c r="AN463" s="2500">
        <f>AN450+AN461</f>
        <v>159915</v>
      </c>
      <c r="AP463" s="2502"/>
      <c r="AR463" s="2500">
        <f>AR450+AR461</f>
        <v>159915</v>
      </c>
      <c r="AS463" s="2500">
        <f>AS450+AS461</f>
        <v>147056.76999999999</v>
      </c>
      <c r="AT463" s="2500"/>
      <c r="AU463" s="2500">
        <f>AU450+AU461</f>
        <v>145058</v>
      </c>
      <c r="AV463" s="2500">
        <f>AV450+AV461</f>
        <v>133584.12000000002</v>
      </c>
      <c r="AX463" s="2500">
        <f>AX450+AX461</f>
        <v>145058</v>
      </c>
      <c r="AY463" s="2500">
        <f>AY450+AY461</f>
        <v>1314</v>
      </c>
      <c r="AZ463" s="2500">
        <f>AZ450+AZ461</f>
        <v>146372</v>
      </c>
      <c r="BA463" s="2501">
        <f>IF(AX463=0," ",(AZ463-AX463)/AX463)</f>
        <v>9.0584455872823287E-3</v>
      </c>
      <c r="BC463" s="2500">
        <f>BC450+BC461</f>
        <v>144841</v>
      </c>
      <c r="BD463" s="2500">
        <f>BD450+BD461</f>
        <v>159253</v>
      </c>
      <c r="BF463" s="2502"/>
      <c r="BH463" s="2500">
        <f>BH450+BH461</f>
        <v>159253</v>
      </c>
      <c r="BI463" s="2500">
        <f>BI450+BI461</f>
        <v>154576.62</v>
      </c>
      <c r="BJ463" s="2500"/>
      <c r="BK463" s="2500"/>
      <c r="BM463" s="2500">
        <f>BM450+BM461</f>
        <v>159253</v>
      </c>
      <c r="BN463" s="2504">
        <f>BN450+BN461</f>
        <v>5588</v>
      </c>
      <c r="BO463" s="2505">
        <f>BO450+BO461</f>
        <v>164841</v>
      </c>
      <c r="BP463" s="2506">
        <f>IF(BM463=0," ",(BO463-BM463)/BM463)</f>
        <v>3.5088820932729685E-2</v>
      </c>
      <c r="BR463" s="2505">
        <f>BR450+BR461</f>
        <v>164841</v>
      </c>
      <c r="BS463" s="2505">
        <f>BS450+BS461</f>
        <v>171512</v>
      </c>
      <c r="BU463" s="2507"/>
      <c r="BW463" s="2505">
        <f>BW450+BW461</f>
        <v>171512</v>
      </c>
      <c r="BX463" s="2500">
        <f>BX450+BX461</f>
        <v>75370.89</v>
      </c>
      <c r="BZ463" s="2505">
        <f>BZ450+BZ461</f>
        <v>171512</v>
      </c>
      <c r="CA463" s="2505">
        <f>CA450+CA461</f>
        <v>-13610</v>
      </c>
      <c r="CB463" s="2505">
        <f>CB450+CB461</f>
        <v>157902</v>
      </c>
      <c r="CC463" s="2506">
        <f>IF(BZ463=0," ",(CB463-BZ463)/BZ463)</f>
        <v>-7.9353048183217506E-2</v>
      </c>
      <c r="CE463" s="2505">
        <f>CE450+CE461</f>
        <v>162093</v>
      </c>
      <c r="CF463" s="2506">
        <f>IF(CB463=0," ",(CE463-CB463)/CB463)</f>
        <v>2.6541779078162405E-2</v>
      </c>
      <c r="CG463" s="2505">
        <f>CG450+CG461</f>
        <v>162093</v>
      </c>
      <c r="CH463" s="2449" t="s">
        <v>1222</v>
      </c>
      <c r="CI463" s="2508" t="str">
        <f>IF(CG463-CE463=0,"",CG463-CE463)</f>
        <v/>
      </c>
      <c r="CJ463" s="2509"/>
      <c r="CK463" s="2509"/>
      <c r="CL463" s="2451" t="str">
        <f>IF(CO463&lt;-1*CM$2,"examine","ignore")</f>
        <v>ignore</v>
      </c>
      <c r="CM463" s="2545" t="str">
        <f>IF(CL463="examine",CP463+CM$2*CP463/CO463,"")</f>
        <v/>
      </c>
      <c r="CN463" s="2545"/>
      <c r="CO463" s="2477">
        <v>-2.9364470371044837E-2</v>
      </c>
      <c r="CP463" s="2510">
        <f t="shared" si="268"/>
        <v>-4676.3800000000047</v>
      </c>
      <c r="CQ463" s="2510">
        <f>AV463-AU463</f>
        <v>-11473.879999999976</v>
      </c>
      <c r="CR463" s="2510">
        <f>AS463-AR463</f>
        <v>-12858.23000000001</v>
      </c>
      <c r="CS463" s="2510">
        <f>AF463-AE463</f>
        <v>878.3399999999674</v>
      </c>
    </row>
    <row r="464" spans="1:98" ht="20.100000000000001" hidden="1" customHeight="1" x14ac:dyDescent="0.2">
      <c r="AS464" s="2466"/>
      <c r="AT464" s="2466"/>
      <c r="BZ464" s="2472"/>
      <c r="CH464" s="2449" t="s">
        <v>1091</v>
      </c>
      <c r="CI464" s="2449"/>
      <c r="CJ464" s="2450"/>
      <c r="CK464" s="2450"/>
      <c r="CP464" s="2478">
        <f t="shared" si="268"/>
        <v>0</v>
      </c>
      <c r="CQ464" s="2478"/>
      <c r="CR464" s="2478"/>
      <c r="CS464" s="2478"/>
      <c r="CT464" s="2478"/>
    </row>
    <row r="465" spans="1:98" ht="15.75" hidden="1" x14ac:dyDescent="0.2">
      <c r="A465" s="2453" t="s">
        <v>1870</v>
      </c>
      <c r="B465" s="2454"/>
      <c r="C465" s="2455"/>
      <c r="D465" s="2455"/>
      <c r="E465" s="2456"/>
      <c r="F465" s="2454"/>
      <c r="G465" s="2454"/>
      <c r="H465" s="2457"/>
      <c r="I465" s="2457"/>
      <c r="J465" s="2457"/>
      <c r="K465" s="2458"/>
      <c r="M465" s="2457"/>
      <c r="N465" s="2457"/>
      <c r="P465" s="2459"/>
      <c r="R465" s="2457"/>
      <c r="S465" s="2457"/>
      <c r="U465" s="2457"/>
      <c r="V465" s="2457"/>
      <c r="W465" s="2457"/>
      <c r="X465" s="2458"/>
      <c r="Z465" s="2457"/>
      <c r="AA465" s="2457"/>
      <c r="AC465" s="2459"/>
      <c r="AE465" s="2457"/>
      <c r="AF465" s="2460"/>
      <c r="AH465" s="2457"/>
      <c r="AI465" s="2457"/>
      <c r="AJ465" s="2457"/>
      <c r="AK465" s="2458"/>
      <c r="AM465" s="2457"/>
      <c r="AN465" s="2457"/>
      <c r="AP465" s="2459"/>
      <c r="AR465" s="2457"/>
      <c r="AS465" s="2457"/>
      <c r="AT465" s="2457"/>
      <c r="AU465" s="2457"/>
      <c r="AV465" s="2457"/>
      <c r="AX465" s="2457"/>
      <c r="AY465" s="2457"/>
      <c r="AZ465" s="2457"/>
      <c r="BA465" s="2458"/>
      <c r="BC465" s="2457"/>
      <c r="BD465" s="2457"/>
      <c r="BF465" s="2461"/>
      <c r="BH465" s="2457"/>
      <c r="BI465" s="2457"/>
      <c r="BJ465" s="2457"/>
      <c r="BK465" s="2457"/>
      <c r="BM465" s="2457"/>
      <c r="BN465" s="2462"/>
      <c r="BO465" s="2463"/>
      <c r="BP465" s="2464"/>
      <c r="BR465" s="2463"/>
      <c r="BS465" s="2463"/>
      <c r="BU465" s="2465"/>
      <c r="BW465" s="2463"/>
      <c r="BX465" s="2457"/>
      <c r="BZ465" s="2463"/>
      <c r="CA465" s="2462"/>
      <c r="CB465" s="2463"/>
      <c r="CC465" s="2464"/>
      <c r="CE465" s="2463"/>
      <c r="CF465" s="2464"/>
      <c r="CG465" s="2463"/>
      <c r="CH465" s="2449" t="s">
        <v>1212</v>
      </c>
      <c r="CI465" s="2449"/>
      <c r="CJ465" s="2450"/>
      <c r="CK465" s="2450"/>
      <c r="CP465" s="2478">
        <f t="shared" si="268"/>
        <v>0</v>
      </c>
      <c r="CQ465" s="2478"/>
      <c r="CR465" s="2478"/>
      <c r="CS465" s="2478"/>
      <c r="CT465" s="2478"/>
    </row>
    <row r="466" spans="1:98" hidden="1" x14ac:dyDescent="0.2">
      <c r="A466" s="2395">
        <v>245</v>
      </c>
      <c r="B466" s="2440" t="s">
        <v>1214</v>
      </c>
      <c r="C466" s="2396">
        <v>24501</v>
      </c>
      <c r="D466" s="2396">
        <v>51120</v>
      </c>
      <c r="E466" s="2397" t="s">
        <v>319</v>
      </c>
      <c r="F466" s="2440" t="s">
        <v>1214</v>
      </c>
      <c r="G466" s="2440" t="s">
        <v>1871</v>
      </c>
      <c r="H466" s="2466">
        <v>1658</v>
      </c>
      <c r="I466" s="2470">
        <v>33.159999999999997</v>
      </c>
      <c r="J466" s="2466">
        <f>H466+I466</f>
        <v>1691.16</v>
      </c>
      <c r="K466" s="2468">
        <f>IF(H466=0," ",(J466-H466)/H466)</f>
        <v>2.0000000000000049E-2</v>
      </c>
      <c r="M466" s="2467">
        <v>1692</v>
      </c>
      <c r="N466" s="2467">
        <v>1692</v>
      </c>
      <c r="P466" s="2469" t="s">
        <v>1872</v>
      </c>
      <c r="R466" s="2466">
        <v>1692</v>
      </c>
      <c r="S466" s="2466">
        <v>1692</v>
      </c>
      <c r="U466" s="2466">
        <v>1692</v>
      </c>
      <c r="V466" s="2470">
        <v>0</v>
      </c>
      <c r="W466" s="2466">
        <f>U466+V466</f>
        <v>1692</v>
      </c>
      <c r="X466" s="2468">
        <f>IF(U466=0," ",(W466-U466)/U466)</f>
        <v>0</v>
      </c>
      <c r="Z466" s="2467">
        <v>1692</v>
      </c>
      <c r="AA466" s="2467">
        <v>1692</v>
      </c>
      <c r="AC466" s="2469"/>
      <c r="AE466" s="2466">
        <v>1692</v>
      </c>
      <c r="AF466" s="2471">
        <v>1692</v>
      </c>
      <c r="AH466" s="2466">
        <v>1692</v>
      </c>
      <c r="AI466" s="2470">
        <v>34</v>
      </c>
      <c r="AJ466" s="2466">
        <f>AH466+AI466</f>
        <v>1726</v>
      </c>
      <c r="AK466" s="2468">
        <f>IF(AH466=0," ",(AJ466-AH466)/AH466)</f>
        <v>2.0094562647754138E-2</v>
      </c>
      <c r="AM466" s="2467">
        <v>1726</v>
      </c>
      <c r="AN466" s="2467">
        <v>1726</v>
      </c>
      <c r="AP466" s="2469" t="s">
        <v>1873</v>
      </c>
      <c r="AR466" s="2466">
        <v>1726</v>
      </c>
      <c r="AS466" s="2466">
        <v>1726</v>
      </c>
      <c r="AT466" s="2466"/>
      <c r="AU466" s="2466">
        <v>1726</v>
      </c>
      <c r="AV466" s="2466">
        <v>1726</v>
      </c>
      <c r="AX466" s="2466">
        <v>1726</v>
      </c>
      <c r="AY466" s="2470"/>
      <c r="AZ466" s="2466">
        <f>AX466+AY466</f>
        <v>1726</v>
      </c>
      <c r="BA466" s="2468">
        <f>IF(AX466=0," ",(AZ466-AX466)/AX466)</f>
        <v>0</v>
      </c>
      <c r="BC466" s="2467">
        <v>1726</v>
      </c>
      <c r="BD466" s="2467">
        <v>1726</v>
      </c>
      <c r="BF466" s="2469"/>
      <c r="BH466" s="2467">
        <v>1726</v>
      </c>
      <c r="BI466" s="2466">
        <v>1726</v>
      </c>
      <c r="BM466" s="2466">
        <v>1726</v>
      </c>
      <c r="BN466" s="2470"/>
      <c r="BO466" s="2472">
        <f>BM466+BN466</f>
        <v>1726</v>
      </c>
      <c r="BP466" s="2473">
        <f>IF(BM466=0," ",(BO466-BM466)/BM466)</f>
        <v>0</v>
      </c>
      <c r="BR466" s="2474">
        <v>1726</v>
      </c>
      <c r="BS466" s="2474">
        <v>1726</v>
      </c>
      <c r="BU466" s="2475"/>
      <c r="BW466" s="2474">
        <v>1726</v>
      </c>
      <c r="BX466" s="2466">
        <v>863</v>
      </c>
      <c r="BZ466" s="2474">
        <v>1726</v>
      </c>
      <c r="CA466" s="2470"/>
      <c r="CB466" s="2472">
        <f>BZ466+CA466</f>
        <v>1726</v>
      </c>
      <c r="CC466" s="2473">
        <f>IF(BZ466=0," ",(CB466-BZ466)/BZ466)</f>
        <v>0</v>
      </c>
      <c r="CE466" s="2474">
        <v>1726</v>
      </c>
      <c r="CF466" s="2476">
        <f>IF(CB466=0," ",(CE466-CB466)/CB466)</f>
        <v>0</v>
      </c>
      <c r="CG466" s="2474">
        <v>1726</v>
      </c>
      <c r="CH466" s="2449" t="s">
        <v>1217</v>
      </c>
      <c r="CI466" s="2449"/>
      <c r="CJ466" s="2450"/>
      <c r="CK466" s="2450"/>
      <c r="CO466" s="2477">
        <v>0</v>
      </c>
      <c r="CP466" s="2478">
        <f t="shared" si="268"/>
        <v>0</v>
      </c>
      <c r="CQ466" s="2478"/>
      <c r="CR466" s="2478"/>
      <c r="CS466" s="2478"/>
      <c r="CT466" s="2478"/>
    </row>
    <row r="467" spans="1:98" s="2485" customFormat="1" hidden="1" x14ac:dyDescent="0.2">
      <c r="A467" s="2532"/>
      <c r="B467" s="2533"/>
      <c r="C467" s="2534"/>
      <c r="D467" s="2534"/>
      <c r="E467" s="2535"/>
      <c r="F467" s="2533"/>
      <c r="G467" s="2588" t="s">
        <v>1874</v>
      </c>
      <c r="H467" s="2536">
        <f t="shared" ref="H467" si="269">SUM(H466)</f>
        <v>1658</v>
      </c>
      <c r="I467" s="2536">
        <f>SUM(I466)</f>
        <v>33.159999999999997</v>
      </c>
      <c r="J467" s="2536">
        <f>SUM(J466)</f>
        <v>1691.16</v>
      </c>
      <c r="K467" s="2484">
        <f>IF(H467=0," ",(J467-H467)/H467)</f>
        <v>2.0000000000000049E-2</v>
      </c>
      <c r="M467" s="2536">
        <f>SUM(M466)</f>
        <v>1692</v>
      </c>
      <c r="N467" s="2536">
        <f>SUM(N466)</f>
        <v>1692</v>
      </c>
      <c r="P467" s="2537">
        <f>SUM(P466)</f>
        <v>0</v>
      </c>
      <c r="R467" s="2536">
        <f>SUM(R466)</f>
        <v>1692</v>
      </c>
      <c r="S467" s="2536">
        <f>SUM(S466)</f>
        <v>1692</v>
      </c>
      <c r="U467" s="2536">
        <f>SUM(U466)</f>
        <v>1692</v>
      </c>
      <c r="V467" s="2536">
        <f>SUM(V466)</f>
        <v>0</v>
      </c>
      <c r="W467" s="2536">
        <f>SUM(W466)</f>
        <v>1692</v>
      </c>
      <c r="X467" s="2484">
        <f>IF(U467=0," ",(W467-U467)/U467)</f>
        <v>0</v>
      </c>
      <c r="Z467" s="2536">
        <f>SUM(Z466)</f>
        <v>1692</v>
      </c>
      <c r="AA467" s="2536">
        <f>SUM(AA466)</f>
        <v>1692</v>
      </c>
      <c r="AC467" s="2537"/>
      <c r="AE467" s="2536">
        <f>SUM(AE466)</f>
        <v>1692</v>
      </c>
      <c r="AF467" s="2538">
        <f>SUM(AF466)</f>
        <v>1692</v>
      </c>
      <c r="AH467" s="2536">
        <v>1692</v>
      </c>
      <c r="AI467" s="2536">
        <f>SUM(AI466)</f>
        <v>34</v>
      </c>
      <c r="AJ467" s="2536">
        <f>SUM(AJ466)</f>
        <v>1726</v>
      </c>
      <c r="AK467" s="2484">
        <f>IF(AH467=0," ",(AJ467-AH467)/AH467)</f>
        <v>2.0094562647754138E-2</v>
      </c>
      <c r="AM467" s="2536">
        <f>SUM(AM466)</f>
        <v>1726</v>
      </c>
      <c r="AN467" s="2536">
        <f>SUM(AN466)</f>
        <v>1726</v>
      </c>
      <c r="AP467" s="2537"/>
      <c r="AR467" s="2536">
        <f>SUM(AR466)</f>
        <v>1726</v>
      </c>
      <c r="AS467" s="2536">
        <f>SUM(AS466)</f>
        <v>1726</v>
      </c>
      <c r="AT467" s="2536"/>
      <c r="AU467" s="2536">
        <f>SUM(AU466)</f>
        <v>1726</v>
      </c>
      <c r="AV467" s="2536">
        <f>SUM(AV466)</f>
        <v>1726</v>
      </c>
      <c r="AX467" s="2536">
        <f>SUM(AX466)</f>
        <v>1726</v>
      </c>
      <c r="AY467" s="2536">
        <f>SUM(AY466)</f>
        <v>0</v>
      </c>
      <c r="AZ467" s="2536">
        <f>SUM(AZ466)</f>
        <v>1726</v>
      </c>
      <c r="BA467" s="2484">
        <f>IF(AX467=0," ",(AZ467-AX467)/AX467)</f>
        <v>0</v>
      </c>
      <c r="BC467" s="2536">
        <f>SUM(BC466)</f>
        <v>1726</v>
      </c>
      <c r="BD467" s="2536">
        <f>SUM(BD466)</f>
        <v>1726</v>
      </c>
      <c r="BF467" s="2537"/>
      <c r="BH467" s="2536">
        <f>SUM(BH466)</f>
        <v>1726</v>
      </c>
      <c r="BI467" s="2536">
        <f>SUM(BI466)</f>
        <v>1726</v>
      </c>
      <c r="BJ467" s="2536"/>
      <c r="BK467" s="2536"/>
      <c r="BM467" s="2536">
        <f>SUM(BM466)</f>
        <v>1726</v>
      </c>
      <c r="BN467" s="2539">
        <f>SUM(BN466)</f>
        <v>0</v>
      </c>
      <c r="BO467" s="2540">
        <f>SUM(BO466)</f>
        <v>1726</v>
      </c>
      <c r="BP467" s="2490">
        <f>IF(BM467=0," ",(BO467-BM467)/BM467)</f>
        <v>0</v>
      </c>
      <c r="BQ467" s="2491"/>
      <c r="BR467" s="2540">
        <f>SUM(BR466)</f>
        <v>1726</v>
      </c>
      <c r="BS467" s="2540">
        <f>SUM(BS466)</f>
        <v>1726</v>
      </c>
      <c r="BT467" s="2491"/>
      <c r="BU467" s="2541"/>
      <c r="BV467" s="2491"/>
      <c r="BW467" s="2540">
        <f>SUM(BW466)</f>
        <v>1726</v>
      </c>
      <c r="BX467" s="2536">
        <f>SUM(BX466)</f>
        <v>863</v>
      </c>
      <c r="BZ467" s="2540">
        <f>SUM(BZ466)</f>
        <v>1726</v>
      </c>
      <c r="CA467" s="2540">
        <f>SUM(CA466)</f>
        <v>0</v>
      </c>
      <c r="CB467" s="2540">
        <f>SUM(CB466)</f>
        <v>1726</v>
      </c>
      <c r="CC467" s="2490">
        <f>IF(BZ467=0," ",(CB467-BZ467)/BZ467)</f>
        <v>0</v>
      </c>
      <c r="CD467" s="2491"/>
      <c r="CE467" s="2540">
        <f>SUM(CE466)</f>
        <v>1726</v>
      </c>
      <c r="CF467" s="2490">
        <f>IF(CB467=0," ",(CE467-CB467)/CB467)</f>
        <v>0</v>
      </c>
      <c r="CG467" s="2540">
        <f>SUM(CG466)</f>
        <v>1726</v>
      </c>
      <c r="CH467" s="2449" t="s">
        <v>1220</v>
      </c>
      <c r="CI467" s="2449"/>
      <c r="CJ467" s="2450"/>
      <c r="CK467" s="2450"/>
      <c r="CL467" s="2451"/>
      <c r="CM467" s="2451"/>
      <c r="CN467" s="2451"/>
      <c r="CO467" s="2477">
        <v>0</v>
      </c>
      <c r="CP467" s="2478">
        <f t="shared" si="268"/>
        <v>0</v>
      </c>
      <c r="CQ467" s="2478"/>
      <c r="CR467" s="2478"/>
      <c r="CS467" s="2478"/>
      <c r="CT467" s="2478"/>
    </row>
    <row r="468" spans="1:98" ht="9.9499999999999993" hidden="1" customHeight="1" x14ac:dyDescent="0.2">
      <c r="AS468" s="2466"/>
      <c r="AT468" s="2466"/>
      <c r="BZ468" s="2472"/>
      <c r="CH468" s="2449" t="s">
        <v>1091</v>
      </c>
      <c r="CI468" s="2449"/>
      <c r="CJ468" s="2450"/>
      <c r="CK468" s="2450"/>
      <c r="CP468" s="2478">
        <f t="shared" si="268"/>
        <v>0</v>
      </c>
      <c r="CQ468" s="2478"/>
      <c r="CR468" s="2478"/>
      <c r="CS468" s="2478"/>
      <c r="CT468" s="2478"/>
    </row>
    <row r="469" spans="1:98" x14ac:dyDescent="0.2">
      <c r="A469" s="2495"/>
      <c r="B469" s="2496"/>
      <c r="C469" s="2497"/>
      <c r="D469" s="2497"/>
      <c r="E469" s="2498"/>
      <c r="F469" s="2496"/>
      <c r="G469" s="2499" t="s">
        <v>1875</v>
      </c>
      <c r="H469" s="2500">
        <f t="shared" ref="H469" si="270">H467</f>
        <v>1658</v>
      </c>
      <c r="I469" s="2500">
        <f>I467</f>
        <v>33.159999999999997</v>
      </c>
      <c r="J469" s="2500">
        <f>J467</f>
        <v>1691.16</v>
      </c>
      <c r="K469" s="2501">
        <f>K467</f>
        <v>2.0000000000000049E-2</v>
      </c>
      <c r="M469" s="2500">
        <f>M467</f>
        <v>1692</v>
      </c>
      <c r="N469" s="2500">
        <f>N467</f>
        <v>1692</v>
      </c>
      <c r="P469" s="2502">
        <f>P467</f>
        <v>0</v>
      </c>
      <c r="R469" s="2500">
        <f>R467</f>
        <v>1692</v>
      </c>
      <c r="S469" s="2500">
        <f>S467</f>
        <v>1692</v>
      </c>
      <c r="U469" s="2500">
        <f>U467</f>
        <v>1692</v>
      </c>
      <c r="V469" s="2500">
        <f>V467</f>
        <v>0</v>
      </c>
      <c r="W469" s="2500">
        <f>W467</f>
        <v>1692</v>
      </c>
      <c r="X469" s="2501">
        <f>X467</f>
        <v>0</v>
      </c>
      <c r="Z469" s="2500">
        <f>Z467</f>
        <v>1692</v>
      </c>
      <c r="AA469" s="2500">
        <f>AA467</f>
        <v>1692</v>
      </c>
      <c r="AC469" s="2502"/>
      <c r="AE469" s="2500">
        <f>AE467</f>
        <v>1692</v>
      </c>
      <c r="AF469" s="2503">
        <f>AF467</f>
        <v>1692</v>
      </c>
      <c r="AH469" s="2500">
        <v>1692</v>
      </c>
      <c r="AI469" s="2500">
        <f>AI467</f>
        <v>34</v>
      </c>
      <c r="AJ469" s="2500">
        <f>AJ467</f>
        <v>1726</v>
      </c>
      <c r="AK469" s="2501">
        <f>AK467</f>
        <v>2.0094562647754138E-2</v>
      </c>
      <c r="AM469" s="2500">
        <f>AM467</f>
        <v>1726</v>
      </c>
      <c r="AN469" s="2500">
        <f>AN467</f>
        <v>1726</v>
      </c>
      <c r="AP469" s="2502"/>
      <c r="AR469" s="2500">
        <f>AR467</f>
        <v>1726</v>
      </c>
      <c r="AS469" s="2500">
        <f>AS467</f>
        <v>1726</v>
      </c>
      <c r="AT469" s="2500"/>
      <c r="AU469" s="2500">
        <f>AU467</f>
        <v>1726</v>
      </c>
      <c r="AV469" s="2500">
        <f>AV467</f>
        <v>1726</v>
      </c>
      <c r="AX469" s="2500">
        <f>AX467</f>
        <v>1726</v>
      </c>
      <c r="AY469" s="2500">
        <f>AY467</f>
        <v>0</v>
      </c>
      <c r="AZ469" s="2500">
        <f>AZ467</f>
        <v>1726</v>
      </c>
      <c r="BA469" s="2501">
        <f>BA467</f>
        <v>0</v>
      </c>
      <c r="BC469" s="2500">
        <f>BC467</f>
        <v>1726</v>
      </c>
      <c r="BD469" s="2500">
        <f>BD467</f>
        <v>1726</v>
      </c>
      <c r="BF469" s="2502"/>
      <c r="BH469" s="2500">
        <f>BH467</f>
        <v>1726</v>
      </c>
      <c r="BI469" s="2500">
        <f>BI467</f>
        <v>1726</v>
      </c>
      <c r="BJ469" s="2500"/>
      <c r="BK469" s="2500"/>
      <c r="BM469" s="2500">
        <f>BM467</f>
        <v>1726</v>
      </c>
      <c r="BN469" s="2504">
        <f>BN467</f>
        <v>0</v>
      </c>
      <c r="BO469" s="2505">
        <f>BO467</f>
        <v>1726</v>
      </c>
      <c r="BP469" s="2506">
        <f>BP467</f>
        <v>0</v>
      </c>
      <c r="BR469" s="2505">
        <f>BR467</f>
        <v>1726</v>
      </c>
      <c r="BS469" s="2505">
        <f>BS467</f>
        <v>1726</v>
      </c>
      <c r="BU469" s="2507"/>
      <c r="BW469" s="2505">
        <f>BW467</f>
        <v>1726</v>
      </c>
      <c r="BX469" s="2500">
        <f>BX467</f>
        <v>863</v>
      </c>
      <c r="BZ469" s="2505">
        <f>BZ467</f>
        <v>1726</v>
      </c>
      <c r="CA469" s="2505">
        <f>CA467</f>
        <v>0</v>
      </c>
      <c r="CB469" s="2505">
        <f>CB467</f>
        <v>1726</v>
      </c>
      <c r="CC469" s="2506">
        <f>CC467</f>
        <v>0</v>
      </c>
      <c r="CE469" s="2505">
        <f>CE467</f>
        <v>1726</v>
      </c>
      <c r="CF469" s="2506">
        <f>CF467</f>
        <v>0</v>
      </c>
      <c r="CG469" s="2505">
        <f>CG467</f>
        <v>1726</v>
      </c>
      <c r="CH469" s="2449" t="s">
        <v>1222</v>
      </c>
      <c r="CI469" s="2508" t="str">
        <f>IF(CG469-CE469=0,"",CG469-CE469)</f>
        <v/>
      </c>
      <c r="CJ469" s="2509"/>
      <c r="CK469" s="2509"/>
      <c r="CL469" s="2451" t="str">
        <f>IF(CO469&lt;-1*CM$2,"examine","ignore")</f>
        <v>ignore</v>
      </c>
      <c r="CM469" s="2545" t="str">
        <f>IF(CL469="examine",CP469+CM$2*CP469/CO469,"")</f>
        <v/>
      </c>
      <c r="CN469" s="2545"/>
      <c r="CO469" s="2477">
        <v>0</v>
      </c>
      <c r="CP469" s="2510">
        <f t="shared" si="268"/>
        <v>0</v>
      </c>
      <c r="CQ469" s="2510">
        <f>AV469-AU469</f>
        <v>0</v>
      </c>
      <c r="CR469" s="2510">
        <f>AS469-AR469</f>
        <v>0</v>
      </c>
      <c r="CS469" s="2510">
        <f>AF469-AE469</f>
        <v>0</v>
      </c>
    </row>
    <row r="470" spans="1:98" ht="20.100000000000001" hidden="1" customHeight="1" x14ac:dyDescent="0.2">
      <c r="AS470" s="2466"/>
      <c r="AT470" s="2466"/>
      <c r="BZ470" s="2472"/>
      <c r="CH470" s="2449" t="s">
        <v>1091</v>
      </c>
      <c r="CI470" s="2449"/>
      <c r="CJ470" s="2450"/>
      <c r="CK470" s="2450"/>
      <c r="CP470" s="2478">
        <f t="shared" si="268"/>
        <v>0</v>
      </c>
      <c r="CQ470" s="2478"/>
      <c r="CR470" s="2478"/>
      <c r="CS470" s="2478"/>
      <c r="CT470" s="2478"/>
    </row>
    <row r="471" spans="1:98" ht="15.75" hidden="1" x14ac:dyDescent="0.2">
      <c r="A471" s="2453" t="s">
        <v>607</v>
      </c>
      <c r="B471" s="2454"/>
      <c r="C471" s="2455"/>
      <c r="D471" s="2455"/>
      <c r="E471" s="2456"/>
      <c r="F471" s="2454"/>
      <c r="G471" s="2454"/>
      <c r="H471" s="2457"/>
      <c r="I471" s="2457"/>
      <c r="J471" s="2457"/>
      <c r="K471" s="2458"/>
      <c r="M471" s="2457"/>
      <c r="N471" s="2457"/>
      <c r="P471" s="2459"/>
      <c r="R471" s="2457"/>
      <c r="S471" s="2457"/>
      <c r="U471" s="2457"/>
      <c r="V471" s="2457"/>
      <c r="W471" s="2457"/>
      <c r="X471" s="2458"/>
      <c r="Z471" s="2457"/>
      <c r="AA471" s="2457"/>
      <c r="AC471" s="2459"/>
      <c r="AE471" s="2457"/>
      <c r="AF471" s="2460"/>
      <c r="AH471" s="2457"/>
      <c r="AI471" s="2457"/>
      <c r="AJ471" s="2457"/>
      <c r="AK471" s="2458"/>
      <c r="AM471" s="2457"/>
      <c r="AN471" s="2457"/>
      <c r="AP471" s="2459"/>
      <c r="AR471" s="2457"/>
      <c r="AS471" s="2457"/>
      <c r="AT471" s="2457"/>
      <c r="AU471" s="2457"/>
      <c r="AV471" s="2457"/>
      <c r="AX471" s="2457"/>
      <c r="AY471" s="2457"/>
      <c r="AZ471" s="2457"/>
      <c r="BA471" s="2458"/>
      <c r="BC471" s="2457"/>
      <c r="BD471" s="2457"/>
      <c r="BF471" s="2461"/>
      <c r="BH471" s="2457"/>
      <c r="BI471" s="2457"/>
      <c r="BJ471" s="2457"/>
      <c r="BK471" s="2457"/>
      <c r="BM471" s="2457"/>
      <c r="BN471" s="2462"/>
      <c r="BO471" s="2463"/>
      <c r="BP471" s="2464"/>
      <c r="BR471" s="2463"/>
      <c r="BS471" s="2463"/>
      <c r="BU471" s="2465"/>
      <c r="BW471" s="2463"/>
      <c r="BX471" s="2457"/>
      <c r="BZ471" s="2463"/>
      <c r="CA471" s="2462"/>
      <c r="CB471" s="2463"/>
      <c r="CC471" s="2464"/>
      <c r="CE471" s="2463"/>
      <c r="CF471" s="2464"/>
      <c r="CG471" s="2463"/>
      <c r="CH471" s="2449" t="s">
        <v>1212</v>
      </c>
      <c r="CI471" s="2449"/>
      <c r="CJ471" s="2450"/>
      <c r="CK471" s="2450"/>
      <c r="CP471" s="2478">
        <f t="shared" si="268"/>
        <v>0</v>
      </c>
      <c r="CQ471" s="2478"/>
      <c r="CR471" s="2478"/>
      <c r="CS471" s="2478"/>
      <c r="CT471" s="2478"/>
    </row>
    <row r="472" spans="1:98" hidden="1" x14ac:dyDescent="0.2">
      <c r="A472" s="2395">
        <v>292</v>
      </c>
      <c r="B472" s="2440" t="s">
        <v>1214</v>
      </c>
      <c r="C472" s="2396">
        <v>29201</v>
      </c>
      <c r="D472" s="2396">
        <v>51120</v>
      </c>
      <c r="E472" s="2397" t="s">
        <v>319</v>
      </c>
      <c r="F472" s="2440" t="s">
        <v>1214</v>
      </c>
      <c r="G472" s="2440" t="s">
        <v>1876</v>
      </c>
      <c r="H472" s="2466">
        <v>9831</v>
      </c>
      <c r="I472" s="2470">
        <v>196.52</v>
      </c>
      <c r="J472" s="2466">
        <f>H472+I472</f>
        <v>10027.52</v>
      </c>
      <c r="K472" s="2468">
        <f>IF(H472=0," ",(J472-H472)/H472)</f>
        <v>1.9989828094802202E-2</v>
      </c>
      <c r="M472" s="2467">
        <v>10028</v>
      </c>
      <c r="N472" s="2467">
        <v>10028</v>
      </c>
      <c r="P472" s="2469" t="s">
        <v>1877</v>
      </c>
      <c r="R472" s="2466">
        <v>10028</v>
      </c>
      <c r="S472" s="2466">
        <v>10028</v>
      </c>
      <c r="U472" s="2466">
        <v>10028</v>
      </c>
      <c r="V472" s="2470">
        <v>0</v>
      </c>
      <c r="W472" s="2466">
        <f>U472+V472</f>
        <v>10028</v>
      </c>
      <c r="X472" s="2468">
        <f>IF(U472=0," ",(W472-U472)/U472)</f>
        <v>0</v>
      </c>
      <c r="Z472" s="2467">
        <v>10028</v>
      </c>
      <c r="AA472" s="2467">
        <v>10028</v>
      </c>
      <c r="AC472" s="2469"/>
      <c r="AE472" s="2466">
        <v>10028</v>
      </c>
      <c r="AF472" s="2471">
        <v>10028</v>
      </c>
      <c r="AH472" s="2466">
        <v>10028</v>
      </c>
      <c r="AI472" s="2470">
        <v>201</v>
      </c>
      <c r="AJ472" s="2466">
        <f>AH472+AI472</f>
        <v>10229</v>
      </c>
      <c r="AK472" s="2468">
        <f>IF(AH472=0," ",(AJ472-AH472)/AH472)</f>
        <v>2.0043877143996809E-2</v>
      </c>
      <c r="AM472" s="2467">
        <v>10229</v>
      </c>
      <c r="AN472" s="2467">
        <v>10229</v>
      </c>
      <c r="AP472" s="2469" t="s">
        <v>1873</v>
      </c>
      <c r="AR472" s="2466">
        <v>10229</v>
      </c>
      <c r="AS472" s="2466">
        <v>10228.92</v>
      </c>
      <c r="AT472" s="2466"/>
      <c r="AU472" s="2466">
        <v>10229</v>
      </c>
      <c r="AV472" s="2466">
        <v>10229</v>
      </c>
      <c r="AX472" s="2466">
        <v>10229</v>
      </c>
      <c r="AY472" s="2470"/>
      <c r="AZ472" s="2466">
        <f>AX472+AY472</f>
        <v>10229</v>
      </c>
      <c r="BA472" s="2468">
        <f>IF(AX472=0," ",(AZ472-AX472)/AX472)</f>
        <v>0</v>
      </c>
      <c r="BC472" s="2467">
        <v>10229</v>
      </c>
      <c r="BD472" s="2467">
        <v>10229</v>
      </c>
      <c r="BF472" s="2469"/>
      <c r="BH472" s="2467">
        <v>10229</v>
      </c>
      <c r="BI472" s="2466">
        <v>10229</v>
      </c>
      <c r="BM472" s="2466">
        <v>10229</v>
      </c>
      <c r="BN472" s="2470"/>
      <c r="BO472" s="2472">
        <f>BM472+BN472</f>
        <v>10229</v>
      </c>
      <c r="BP472" s="2473">
        <f>IF(BM472=0," ",(BO472-BM472)/BM472)</f>
        <v>0</v>
      </c>
      <c r="BR472" s="2474">
        <v>10229</v>
      </c>
      <c r="BS472" s="2474">
        <v>10229</v>
      </c>
      <c r="BU472" s="2475"/>
      <c r="BW472" s="2474">
        <v>10229</v>
      </c>
      <c r="BX472" s="2466">
        <v>5114.46</v>
      </c>
      <c r="BZ472" s="2474">
        <v>10229</v>
      </c>
      <c r="CA472" s="2470"/>
      <c r="CB472" s="2472">
        <f>BZ472+CA472</f>
        <v>10229</v>
      </c>
      <c r="CC472" s="2473">
        <f>IF(BZ472=0," ",(CB472-BZ472)/BZ472)</f>
        <v>0</v>
      </c>
      <c r="CE472" s="2653">
        <v>7750</v>
      </c>
      <c r="CF472" s="2476">
        <f>IF(CB472=0," ",(CE472-CB472)/CB472)</f>
        <v>-0.24235018085834392</v>
      </c>
      <c r="CG472" s="2653">
        <v>7750</v>
      </c>
      <c r="CH472" s="2449" t="s">
        <v>1217</v>
      </c>
      <c r="CI472" s="2449"/>
      <c r="CJ472" s="2450"/>
      <c r="CK472" s="2450"/>
      <c r="CO472" s="2477">
        <v>0</v>
      </c>
      <c r="CP472" s="2478">
        <f t="shared" si="268"/>
        <v>0</v>
      </c>
      <c r="CQ472" s="2478"/>
      <c r="CR472" s="2478"/>
      <c r="CS472" s="2478"/>
      <c r="CT472" s="2478"/>
    </row>
    <row r="473" spans="1:98" s="2485" customFormat="1" hidden="1" x14ac:dyDescent="0.2">
      <c r="A473" s="2532"/>
      <c r="B473" s="2533"/>
      <c r="C473" s="2534"/>
      <c r="D473" s="2534"/>
      <c r="E473" s="2535"/>
      <c r="F473" s="2533"/>
      <c r="G473" s="2588" t="s">
        <v>1878</v>
      </c>
      <c r="H473" s="2536">
        <f t="shared" ref="H473" si="271">SUM(H472)</f>
        <v>9831</v>
      </c>
      <c r="I473" s="2536">
        <f>SUM(I472)</f>
        <v>196.52</v>
      </c>
      <c r="J473" s="2536">
        <f>SUM(J472)</f>
        <v>10027.52</v>
      </c>
      <c r="K473" s="2484">
        <f>IF(H473=0," ",(J473-H473)/H473)</f>
        <v>1.9989828094802202E-2</v>
      </c>
      <c r="M473" s="2536">
        <f>SUM(M472)</f>
        <v>10028</v>
      </c>
      <c r="N473" s="2536">
        <f>SUM(N472)</f>
        <v>10028</v>
      </c>
      <c r="P473" s="2537">
        <f>SUM(P472)</f>
        <v>0</v>
      </c>
      <c r="R473" s="2536">
        <f>SUM(R472)</f>
        <v>10028</v>
      </c>
      <c r="S473" s="2536">
        <f>SUM(S472)</f>
        <v>10028</v>
      </c>
      <c r="U473" s="2536">
        <f>SUM(U472)</f>
        <v>10028</v>
      </c>
      <c r="V473" s="2536">
        <f>SUM(V472)</f>
        <v>0</v>
      </c>
      <c r="W473" s="2536">
        <f>SUM(W472)</f>
        <v>10028</v>
      </c>
      <c r="X473" s="2484">
        <f>IF(U473=0," ",(W473-U473)/U473)</f>
        <v>0</v>
      </c>
      <c r="Z473" s="2536">
        <f>SUM(Z472)</f>
        <v>10028</v>
      </c>
      <c r="AA473" s="2536">
        <f>SUM(AA472)</f>
        <v>10028</v>
      </c>
      <c r="AC473" s="2537"/>
      <c r="AE473" s="2536">
        <f>SUM(AE472)</f>
        <v>10028</v>
      </c>
      <c r="AF473" s="2538">
        <f>SUM(AF472)</f>
        <v>10028</v>
      </c>
      <c r="AH473" s="2536">
        <v>10028</v>
      </c>
      <c r="AI473" s="2536">
        <f>SUM(AI472)</f>
        <v>201</v>
      </c>
      <c r="AJ473" s="2536">
        <f>SUM(AJ472)</f>
        <v>10229</v>
      </c>
      <c r="AK473" s="2484">
        <f>IF(AH473=0," ",(AJ473-AH473)/AH473)</f>
        <v>2.0043877143996809E-2</v>
      </c>
      <c r="AM473" s="2536">
        <f>SUM(AM472)</f>
        <v>10229</v>
      </c>
      <c r="AN473" s="2536">
        <f>SUM(AN472)</f>
        <v>10229</v>
      </c>
      <c r="AP473" s="2537"/>
      <c r="AR473" s="2536">
        <f>SUM(AR472)</f>
        <v>10229</v>
      </c>
      <c r="AS473" s="2536">
        <f>SUM(AS472)</f>
        <v>10228.92</v>
      </c>
      <c r="AT473" s="2536"/>
      <c r="AU473" s="2536">
        <f>SUM(AU472)</f>
        <v>10229</v>
      </c>
      <c r="AV473" s="2536">
        <f>SUM(AV472)</f>
        <v>10229</v>
      </c>
      <c r="AX473" s="2536">
        <f>SUM(AX472)</f>
        <v>10229</v>
      </c>
      <c r="AY473" s="2536">
        <f>SUM(AY472)</f>
        <v>0</v>
      </c>
      <c r="AZ473" s="2536">
        <f>SUM(AZ472)</f>
        <v>10229</v>
      </c>
      <c r="BA473" s="2484">
        <f>IF(AX473=0," ",(AZ473-AX473)/AX473)</f>
        <v>0</v>
      </c>
      <c r="BC473" s="2536">
        <f>SUM(BC472)</f>
        <v>10229</v>
      </c>
      <c r="BD473" s="2536">
        <f>SUM(BD472)</f>
        <v>10229</v>
      </c>
      <c r="BF473" s="2537"/>
      <c r="BH473" s="2536">
        <f>SUM(BH472)</f>
        <v>10229</v>
      </c>
      <c r="BI473" s="2536">
        <f>SUM(BI472)</f>
        <v>10229</v>
      </c>
      <c r="BJ473" s="2536"/>
      <c r="BK473" s="2536"/>
      <c r="BM473" s="2536">
        <f>SUM(BM472)</f>
        <v>10229</v>
      </c>
      <c r="BN473" s="2539">
        <f>SUM(BN472)</f>
        <v>0</v>
      </c>
      <c r="BO473" s="2540">
        <f>SUM(BO472)</f>
        <v>10229</v>
      </c>
      <c r="BP473" s="2490">
        <f>IF(BM473=0," ",(BO473-BM473)/BM473)</f>
        <v>0</v>
      </c>
      <c r="BQ473" s="2491"/>
      <c r="BR473" s="2540">
        <f>SUM(BR472)</f>
        <v>10229</v>
      </c>
      <c r="BS473" s="2540">
        <f>SUM(BS472)</f>
        <v>10229</v>
      </c>
      <c r="BT473" s="2491"/>
      <c r="BU473" s="2541"/>
      <c r="BV473" s="2491"/>
      <c r="BW473" s="2540">
        <f>SUM(BW472)</f>
        <v>10229</v>
      </c>
      <c r="BX473" s="2536">
        <f>SUM(BX472)</f>
        <v>5114.46</v>
      </c>
      <c r="BZ473" s="2540">
        <f>SUM(BZ472)</f>
        <v>10229</v>
      </c>
      <c r="CA473" s="2540">
        <f>SUM(CA472)</f>
        <v>0</v>
      </c>
      <c r="CB473" s="2540">
        <f>SUM(CB472)</f>
        <v>10229</v>
      </c>
      <c r="CC473" s="2490">
        <f>IF(BZ473=0," ",(CB473-BZ473)/BZ473)</f>
        <v>0</v>
      </c>
      <c r="CD473" s="2491"/>
      <c r="CE473" s="2540">
        <f>SUM(CE472)</f>
        <v>7750</v>
      </c>
      <c r="CF473" s="2490">
        <f>IF(CB473=0," ",(CE473-CB473)/CB473)</f>
        <v>-0.24235018085834392</v>
      </c>
      <c r="CG473" s="2540">
        <f>SUM(CG472)</f>
        <v>7750</v>
      </c>
      <c r="CH473" s="2449" t="s">
        <v>1220</v>
      </c>
      <c r="CI473" s="2449"/>
      <c r="CJ473" s="2450"/>
      <c r="CK473" s="2450"/>
      <c r="CL473" s="2451"/>
      <c r="CM473" s="2451"/>
      <c r="CN473" s="2451"/>
      <c r="CO473" s="2477">
        <v>0</v>
      </c>
      <c r="CP473" s="2478">
        <f t="shared" si="268"/>
        <v>0</v>
      </c>
      <c r="CQ473" s="2478"/>
      <c r="CR473" s="2478"/>
      <c r="CS473" s="2478"/>
      <c r="CT473" s="2478"/>
    </row>
    <row r="474" spans="1:98" hidden="1" x14ac:dyDescent="0.2">
      <c r="AS474" s="2466"/>
      <c r="AT474" s="2466"/>
      <c r="BZ474" s="2472"/>
      <c r="CH474" s="2449" t="s">
        <v>1091</v>
      </c>
      <c r="CI474" s="2449"/>
      <c r="CJ474" s="2450"/>
      <c r="CK474" s="2450"/>
      <c r="CP474" s="2478">
        <f t="shared" si="268"/>
        <v>0</v>
      </c>
      <c r="CQ474" s="2478"/>
      <c r="CR474" s="2478"/>
      <c r="CS474" s="2478"/>
      <c r="CT474" s="2478"/>
    </row>
    <row r="475" spans="1:98" hidden="1" x14ac:dyDescent="0.2">
      <c r="A475" s="2395">
        <v>292</v>
      </c>
      <c r="B475" s="2440" t="s">
        <v>1214</v>
      </c>
      <c r="C475" s="2396">
        <v>29205</v>
      </c>
      <c r="D475" s="2396">
        <v>53800</v>
      </c>
      <c r="E475" s="2397" t="s">
        <v>1268</v>
      </c>
      <c r="F475" s="2440" t="s">
        <v>1214</v>
      </c>
      <c r="G475" s="2440" t="s">
        <v>1879</v>
      </c>
      <c r="H475" s="2466">
        <v>571</v>
      </c>
      <c r="I475" s="2470"/>
      <c r="J475" s="2466">
        <f>H475+I475</f>
        <v>571</v>
      </c>
      <c r="K475" s="2468">
        <f>IF(H475=0," ",(J475-H475)/H475)</f>
        <v>0</v>
      </c>
      <c r="M475" s="2467">
        <v>571</v>
      </c>
      <c r="N475" s="2467">
        <v>571</v>
      </c>
      <c r="P475" s="2469"/>
      <c r="R475" s="2466">
        <v>571</v>
      </c>
      <c r="S475" s="2466">
        <v>268.22000000000003</v>
      </c>
      <c r="U475" s="2466">
        <v>571</v>
      </c>
      <c r="V475" s="2470">
        <v>0</v>
      </c>
      <c r="W475" s="2466">
        <f>U475+V475</f>
        <v>571</v>
      </c>
      <c r="X475" s="2468">
        <f>IF(U475=0," ",(W475-U475)/U475)</f>
        <v>0</v>
      </c>
      <c r="Z475" s="2467">
        <v>571</v>
      </c>
      <c r="AA475" s="2467">
        <v>571</v>
      </c>
      <c r="AC475" s="2469" t="s">
        <v>1880</v>
      </c>
      <c r="AE475" s="2466">
        <v>571</v>
      </c>
      <c r="AF475" s="2471">
        <v>0</v>
      </c>
      <c r="AH475" s="2466">
        <v>571</v>
      </c>
      <c r="AI475" s="2470"/>
      <c r="AJ475" s="2466">
        <f>AH475+AI475</f>
        <v>571</v>
      </c>
      <c r="AK475" s="2468">
        <f>IF(AH475=0," ",(AJ475-AH475)/AH475)</f>
        <v>0</v>
      </c>
      <c r="AM475" s="2467">
        <v>571</v>
      </c>
      <c r="AN475" s="2467">
        <v>571</v>
      </c>
      <c r="AP475" s="2469"/>
      <c r="AR475" s="2466">
        <v>571</v>
      </c>
      <c r="AS475" s="2466">
        <v>0</v>
      </c>
      <c r="AT475" s="2466"/>
      <c r="AU475" s="2466">
        <v>571</v>
      </c>
      <c r="AV475" s="2466">
        <v>378.71</v>
      </c>
      <c r="AX475" s="2466">
        <v>571</v>
      </c>
      <c r="AY475" s="2470"/>
      <c r="AZ475" s="2466">
        <f>AX475+AY475</f>
        <v>571</v>
      </c>
      <c r="BA475" s="2468">
        <f>IF(AX475=0," ",(AZ475-AX475)/AX475)</f>
        <v>0</v>
      </c>
      <c r="BC475" s="2467">
        <v>571</v>
      </c>
      <c r="BD475" s="2467">
        <v>571</v>
      </c>
      <c r="BF475" s="2469"/>
      <c r="BH475" s="2467">
        <v>571</v>
      </c>
      <c r="BM475" s="2466">
        <v>571</v>
      </c>
      <c r="BN475" s="2470"/>
      <c r="BO475" s="2472">
        <f>BM475+BN475</f>
        <v>571</v>
      </c>
      <c r="BP475" s="2473">
        <f>IF(BM475=0," ",(BO475-BM475)/BM475)</f>
        <v>0</v>
      </c>
      <c r="BR475" s="2474">
        <v>571</v>
      </c>
      <c r="BS475" s="2474">
        <v>571</v>
      </c>
      <c r="BU475" s="2475"/>
      <c r="BW475" s="2474">
        <v>571</v>
      </c>
      <c r="BZ475" s="2474">
        <v>571</v>
      </c>
      <c r="CA475" s="2470"/>
      <c r="CB475" s="2472">
        <f>BZ475+CA475</f>
        <v>571</v>
      </c>
      <c r="CC475" s="2473">
        <f>IF(BZ475=0," ",(CB475-BZ475)/BZ475)</f>
        <v>0</v>
      </c>
      <c r="CE475" s="2474">
        <v>571</v>
      </c>
      <c r="CF475" s="2476">
        <f>IF(CB475=0," ",(CE475-CB475)/CB475)</f>
        <v>0</v>
      </c>
      <c r="CG475" s="2474">
        <v>571</v>
      </c>
      <c r="CH475" s="2449" t="s">
        <v>1217</v>
      </c>
      <c r="CI475" s="2449"/>
      <c r="CJ475" s="2450"/>
      <c r="CK475" s="2450"/>
      <c r="CO475" s="2477" t="s">
        <v>1218</v>
      </c>
      <c r="CP475" s="2478">
        <f t="shared" si="268"/>
        <v>-571</v>
      </c>
      <c r="CQ475" s="2478"/>
      <c r="CR475" s="2478"/>
      <c r="CS475" s="2478"/>
      <c r="CT475" s="2478"/>
    </row>
    <row r="476" spans="1:98" s="2485" customFormat="1" hidden="1" x14ac:dyDescent="0.2">
      <c r="A476" s="2532"/>
      <c r="B476" s="2533"/>
      <c r="C476" s="2534"/>
      <c r="D476" s="2534"/>
      <c r="E476" s="2535"/>
      <c r="F476" s="2533"/>
      <c r="G476" s="2654" t="s">
        <v>1881</v>
      </c>
      <c r="H476" s="2536">
        <f t="shared" ref="H476" si="272">SUM(H475)</f>
        <v>571</v>
      </c>
      <c r="I476" s="2536">
        <f>SUM(I475)</f>
        <v>0</v>
      </c>
      <c r="J476" s="2536">
        <f>SUM(J475)</f>
        <v>571</v>
      </c>
      <c r="K476" s="2484">
        <f>IF(H476=0," ",(J476-H476)/H476)</f>
        <v>0</v>
      </c>
      <c r="M476" s="2536">
        <f>SUM(M475)</f>
        <v>571</v>
      </c>
      <c r="N476" s="2536">
        <f>SUM(N475)</f>
        <v>571</v>
      </c>
      <c r="P476" s="2537">
        <f>SUM(P475)</f>
        <v>0</v>
      </c>
      <c r="R476" s="2536">
        <f>SUM(R475)</f>
        <v>571</v>
      </c>
      <c r="S476" s="2536">
        <f>SUM(S475)</f>
        <v>268.22000000000003</v>
      </c>
      <c r="U476" s="2536">
        <f>SUM(U475)</f>
        <v>571</v>
      </c>
      <c r="V476" s="2536">
        <f>SUM(V475)</f>
        <v>0</v>
      </c>
      <c r="W476" s="2536">
        <f>SUM(W475)</f>
        <v>571</v>
      </c>
      <c r="X476" s="2484">
        <f>IF(U476=0," ",(W476-U476)/U476)</f>
        <v>0</v>
      </c>
      <c r="Z476" s="2536">
        <f>SUM(Z475)</f>
        <v>571</v>
      </c>
      <c r="AA476" s="2536">
        <f>SUM(AA475)</f>
        <v>571</v>
      </c>
      <c r="AC476" s="2537"/>
      <c r="AE476" s="2536">
        <f>SUM(AE475)</f>
        <v>571</v>
      </c>
      <c r="AF476" s="2538">
        <f>SUM(AF475)</f>
        <v>0</v>
      </c>
      <c r="AH476" s="2536">
        <v>571</v>
      </c>
      <c r="AI476" s="2536">
        <f>SUM(AI475)</f>
        <v>0</v>
      </c>
      <c r="AJ476" s="2536">
        <f>SUM(AJ475)</f>
        <v>571</v>
      </c>
      <c r="AK476" s="2484">
        <f>IF(AH476=0," ",(AJ476-AH476)/AH476)</f>
        <v>0</v>
      </c>
      <c r="AM476" s="2536">
        <f>SUM(AM475)</f>
        <v>571</v>
      </c>
      <c r="AN476" s="2536">
        <f>SUM(AN475)</f>
        <v>571</v>
      </c>
      <c r="AP476" s="2537"/>
      <c r="AR476" s="2536">
        <f>SUM(AR475)</f>
        <v>571</v>
      </c>
      <c r="AS476" s="2536">
        <f>SUM(AS475)</f>
        <v>0</v>
      </c>
      <c r="AT476" s="2536"/>
      <c r="AU476" s="2536">
        <f>SUM(AU475)</f>
        <v>571</v>
      </c>
      <c r="AV476" s="2536">
        <f>SUM(AV475)</f>
        <v>378.71</v>
      </c>
      <c r="AX476" s="2536">
        <f>SUM(AX475)</f>
        <v>571</v>
      </c>
      <c r="AY476" s="2536">
        <f>SUM(AY475)</f>
        <v>0</v>
      </c>
      <c r="AZ476" s="2536">
        <f>SUM(AZ475)</f>
        <v>571</v>
      </c>
      <c r="BA476" s="2484">
        <f>IF(AX476=0," ",(AZ476-AX476)/AX476)</f>
        <v>0</v>
      </c>
      <c r="BC476" s="2536">
        <f>SUM(BC475)</f>
        <v>571</v>
      </c>
      <c r="BD476" s="2536">
        <f>SUM(BD475)</f>
        <v>571</v>
      </c>
      <c r="BF476" s="2537"/>
      <c r="BH476" s="2536">
        <f>SUM(BH475)</f>
        <v>571</v>
      </c>
      <c r="BI476" s="2536">
        <f>SUM(BI475)</f>
        <v>0</v>
      </c>
      <c r="BJ476" s="2536"/>
      <c r="BK476" s="2536"/>
      <c r="BM476" s="2536">
        <f>SUM(BM475)</f>
        <v>571</v>
      </c>
      <c r="BN476" s="2539">
        <f>SUM(BN475)</f>
        <v>0</v>
      </c>
      <c r="BO476" s="2540">
        <f>SUM(BO475)</f>
        <v>571</v>
      </c>
      <c r="BP476" s="2490">
        <f>IF(BM476=0," ",(BO476-BM476)/BM476)</f>
        <v>0</v>
      </c>
      <c r="BQ476" s="2491"/>
      <c r="BR476" s="2540">
        <f>SUM(BR475)</f>
        <v>571</v>
      </c>
      <c r="BS476" s="2540">
        <f>SUM(BS475)</f>
        <v>571</v>
      </c>
      <c r="BT476" s="2491"/>
      <c r="BU476" s="2541"/>
      <c r="BV476" s="2491"/>
      <c r="BW476" s="2540">
        <f>SUM(BW475)</f>
        <v>571</v>
      </c>
      <c r="BX476" s="2536">
        <f>SUM(BX475)</f>
        <v>0</v>
      </c>
      <c r="BZ476" s="2540">
        <f>SUM(BZ475)</f>
        <v>571</v>
      </c>
      <c r="CA476" s="2540">
        <f>SUM(CA475)</f>
        <v>0</v>
      </c>
      <c r="CB476" s="2540">
        <f>SUM(CB475)</f>
        <v>571</v>
      </c>
      <c r="CC476" s="2490">
        <f>IF(BZ476=0," ",(CB476-BZ476)/BZ476)</f>
        <v>0</v>
      </c>
      <c r="CD476" s="2491"/>
      <c r="CE476" s="2540">
        <f>SUM(CE475)</f>
        <v>571</v>
      </c>
      <c r="CF476" s="2490">
        <f>IF(CB476=0," ",(CE476-CB476)/CB476)</f>
        <v>0</v>
      </c>
      <c r="CG476" s="2540">
        <f>SUM(CG475)</f>
        <v>571</v>
      </c>
      <c r="CH476" s="2449" t="s">
        <v>1220</v>
      </c>
      <c r="CI476" s="2449"/>
      <c r="CJ476" s="2450"/>
      <c r="CK476" s="2450"/>
      <c r="CL476" s="2451"/>
      <c r="CM476" s="2451"/>
      <c r="CN476" s="2451"/>
      <c r="CO476" s="2477" t="s">
        <v>1218</v>
      </c>
      <c r="CP476" s="2478">
        <f t="shared" si="268"/>
        <v>-571</v>
      </c>
      <c r="CQ476" s="2478"/>
      <c r="CR476" s="2478"/>
      <c r="CS476" s="2478"/>
      <c r="CT476" s="2478"/>
    </row>
    <row r="477" spans="1:98" ht="9.9499999999999993" hidden="1" customHeight="1" x14ac:dyDescent="0.2">
      <c r="AS477" s="2466"/>
      <c r="AT477" s="2466"/>
      <c r="BZ477" s="2472"/>
      <c r="CH477" s="2449" t="s">
        <v>1091</v>
      </c>
      <c r="CI477" s="2449"/>
      <c r="CJ477" s="2450"/>
      <c r="CK477" s="2450"/>
      <c r="CP477" s="2478">
        <f t="shared" si="268"/>
        <v>0</v>
      </c>
      <c r="CQ477" s="2478"/>
      <c r="CR477" s="2478"/>
      <c r="CS477" s="2478"/>
      <c r="CT477" s="2478"/>
    </row>
    <row r="478" spans="1:98" x14ac:dyDescent="0.2">
      <c r="A478" s="2495"/>
      <c r="B478" s="2496"/>
      <c r="C478" s="2497"/>
      <c r="D478" s="2497"/>
      <c r="E478" s="2498"/>
      <c r="F478" s="2496"/>
      <c r="G478" s="2499" t="s">
        <v>1882</v>
      </c>
      <c r="H478" s="2500">
        <f t="shared" ref="H478" si="273">H473+H476</f>
        <v>10402</v>
      </c>
      <c r="I478" s="2500">
        <f>I473+I476</f>
        <v>196.52</v>
      </c>
      <c r="J478" s="2500">
        <f>J473+J476</f>
        <v>10598.52</v>
      </c>
      <c r="K478" s="2501">
        <f>IF(H478=0," ",(J478-H478)/H478)</f>
        <v>1.8892520669102138E-2</v>
      </c>
      <c r="M478" s="2500">
        <f>M473+M476</f>
        <v>10599</v>
      </c>
      <c r="N478" s="2500">
        <f>N473+N476</f>
        <v>10599</v>
      </c>
      <c r="P478" s="2502">
        <f>P473+P476</f>
        <v>0</v>
      </c>
      <c r="R478" s="2500">
        <f>R473+R476</f>
        <v>10599</v>
      </c>
      <c r="S478" s="2500">
        <f>S473+S476</f>
        <v>10296.219999999999</v>
      </c>
      <c r="U478" s="2500">
        <f>U473+U476</f>
        <v>10599</v>
      </c>
      <c r="V478" s="2500">
        <f>V473+V476</f>
        <v>0</v>
      </c>
      <c r="W478" s="2500">
        <f>W473+W476</f>
        <v>10599</v>
      </c>
      <c r="X478" s="2501">
        <f>IF(U478=0," ",(W478-U478)/U478)</f>
        <v>0</v>
      </c>
      <c r="Z478" s="2500">
        <f>Z473+Z476</f>
        <v>10599</v>
      </c>
      <c r="AA478" s="2500">
        <f>AA473+AA476</f>
        <v>10599</v>
      </c>
      <c r="AC478" s="2502"/>
      <c r="AE478" s="2500">
        <f>AE473+AE476</f>
        <v>10599</v>
      </c>
      <c r="AF478" s="2503">
        <f>AF473+AF476</f>
        <v>10028</v>
      </c>
      <c r="AH478" s="2500">
        <v>10599</v>
      </c>
      <c r="AI478" s="2500">
        <f>AI473+AI476</f>
        <v>201</v>
      </c>
      <c r="AJ478" s="2500">
        <f>AJ473+AJ476</f>
        <v>10800</v>
      </c>
      <c r="AK478" s="2501">
        <f>IF(AH478=0," ",(AJ478-AH478)/AH478)</f>
        <v>1.8964053212567222E-2</v>
      </c>
      <c r="AM478" s="2500">
        <f>AM473+AM476</f>
        <v>10800</v>
      </c>
      <c r="AN478" s="2500">
        <f>AN473+AN476</f>
        <v>10800</v>
      </c>
      <c r="AP478" s="2502"/>
      <c r="AR478" s="2500">
        <f>AR473+AR476</f>
        <v>10800</v>
      </c>
      <c r="AS478" s="2500">
        <f>AS473+AS476</f>
        <v>10228.92</v>
      </c>
      <c r="AT478" s="2500"/>
      <c r="AU478" s="2500">
        <f>AU473+AU476</f>
        <v>10800</v>
      </c>
      <c r="AV478" s="2500">
        <f>AV473+AV476</f>
        <v>10607.71</v>
      </c>
      <c r="AX478" s="2500">
        <f>AX473+AX476</f>
        <v>10800</v>
      </c>
      <c r="AY478" s="2500">
        <f>AY473+AY476</f>
        <v>0</v>
      </c>
      <c r="AZ478" s="2500">
        <f>AZ473+AZ476</f>
        <v>10800</v>
      </c>
      <c r="BA478" s="2501">
        <f>IF(AX478=0," ",(AZ478-AX478)/AX478)</f>
        <v>0</v>
      </c>
      <c r="BC478" s="2500">
        <f>BC473+BC476</f>
        <v>10800</v>
      </c>
      <c r="BD478" s="2500">
        <f>BD473+BD476</f>
        <v>10800</v>
      </c>
      <c r="BF478" s="2502"/>
      <c r="BH478" s="2500">
        <f>BH473+BH476</f>
        <v>10800</v>
      </c>
      <c r="BI478" s="2500">
        <f>BI473+BI476</f>
        <v>10229</v>
      </c>
      <c r="BJ478" s="2500"/>
      <c r="BK478" s="2500"/>
      <c r="BM478" s="2500">
        <f>BM473+BM476</f>
        <v>10800</v>
      </c>
      <c r="BN478" s="2504">
        <f>BN473+BN476</f>
        <v>0</v>
      </c>
      <c r="BO478" s="2505">
        <f>BO473+BO476</f>
        <v>10800</v>
      </c>
      <c r="BP478" s="2506">
        <f>IF(BM478=0," ",(BO478-BM478)/BM478)</f>
        <v>0</v>
      </c>
      <c r="BR478" s="2505">
        <f>BR473+BR476</f>
        <v>10800</v>
      </c>
      <c r="BS478" s="2505">
        <f>BS473+BS476</f>
        <v>10800</v>
      </c>
      <c r="BU478" s="2507"/>
      <c r="BW478" s="2505">
        <f>BW473+BW476</f>
        <v>10800</v>
      </c>
      <c r="BX478" s="2500">
        <f>BX473+BX476</f>
        <v>5114.46</v>
      </c>
      <c r="BZ478" s="2505">
        <f>BZ473+BZ476</f>
        <v>10800</v>
      </c>
      <c r="CA478" s="2505">
        <f>CA473+CA476</f>
        <v>0</v>
      </c>
      <c r="CB478" s="2505">
        <f>CB473+CB476</f>
        <v>10800</v>
      </c>
      <c r="CC478" s="2506">
        <f>IF(BZ478=0," ",(CB478-BZ478)/BZ478)</f>
        <v>0</v>
      </c>
      <c r="CE478" s="2505">
        <f>CE473+CE476</f>
        <v>8321</v>
      </c>
      <c r="CF478" s="2506">
        <f>IF(CB478=0," ",(CE478-CB478)/CB478)</f>
        <v>-0.22953703703703704</v>
      </c>
      <c r="CG478" s="2505">
        <f>CG473+CG476</f>
        <v>8321</v>
      </c>
      <c r="CH478" s="2449" t="s">
        <v>1222</v>
      </c>
      <c r="CI478" s="2508" t="str">
        <f>IF(CG478-CE478=0,"",CG478-CE478)</f>
        <v/>
      </c>
      <c r="CJ478" s="2509"/>
      <c r="CK478" s="2509"/>
      <c r="CL478" s="2451" t="str">
        <f>IF(CO478&lt;-1*CM$2,"examine","ignore")</f>
        <v>examine</v>
      </c>
      <c r="CM478" s="2545">
        <f>IF(CL478="examine",CP478+CM$2*CP478/CO478,"")</f>
        <v>-138.99999999999977</v>
      </c>
      <c r="CN478" s="2545">
        <f>IF(CI478="",CM478,CM478-CI478)</f>
        <v>-138.99999999999977</v>
      </c>
      <c r="CO478" s="2477">
        <v>-5.2870370370370345E-2</v>
      </c>
      <c r="CP478" s="2510">
        <f t="shared" si="268"/>
        <v>-571</v>
      </c>
      <c r="CQ478" s="2510">
        <f>AV478-AU478</f>
        <v>-192.29000000000087</v>
      </c>
      <c r="CR478" s="2510">
        <f>AS478-AR478</f>
        <v>-571.07999999999993</v>
      </c>
      <c r="CS478" s="2510">
        <f>AF478-AE478</f>
        <v>-571</v>
      </c>
    </row>
    <row r="479" spans="1:98" ht="20.100000000000001" hidden="1" customHeight="1" x14ac:dyDescent="0.2">
      <c r="AS479" s="2466"/>
      <c r="AT479" s="2466"/>
      <c r="BZ479" s="2472"/>
      <c r="CH479" s="2449" t="s">
        <v>1091</v>
      </c>
      <c r="CI479" s="2449"/>
      <c r="CJ479" s="2450"/>
      <c r="CK479" s="2450"/>
      <c r="CP479" s="2478">
        <f t="shared" si="268"/>
        <v>0</v>
      </c>
      <c r="CQ479" s="2478"/>
      <c r="CR479" s="2478"/>
      <c r="CS479" s="2478"/>
      <c r="CT479" s="2478"/>
    </row>
    <row r="480" spans="1:98" ht="15.75" hidden="1" x14ac:dyDescent="0.2">
      <c r="A480" s="2453" t="s">
        <v>608</v>
      </c>
      <c r="B480" s="2454"/>
      <c r="C480" s="2455"/>
      <c r="D480" s="2455"/>
      <c r="E480" s="2456"/>
      <c r="F480" s="2454"/>
      <c r="G480" s="2454"/>
      <c r="H480" s="2457"/>
      <c r="I480" s="2457"/>
      <c r="J480" s="2457"/>
      <c r="K480" s="2458"/>
      <c r="M480" s="2457"/>
      <c r="N480" s="2457"/>
      <c r="P480" s="2459"/>
      <c r="R480" s="2457"/>
      <c r="S480" s="2457"/>
      <c r="U480" s="2457"/>
      <c r="V480" s="2457"/>
      <c r="W480" s="2457"/>
      <c r="X480" s="2458"/>
      <c r="Z480" s="2457"/>
      <c r="AA480" s="2457"/>
      <c r="AC480" s="2459"/>
      <c r="AE480" s="2457"/>
      <c r="AF480" s="2460"/>
      <c r="AH480" s="2457"/>
      <c r="AI480" s="2457"/>
      <c r="AJ480" s="2457"/>
      <c r="AK480" s="2458"/>
      <c r="AM480" s="2457"/>
      <c r="AN480" s="2457"/>
      <c r="AP480" s="2459"/>
      <c r="AR480" s="2457"/>
      <c r="AS480" s="2457"/>
      <c r="AT480" s="2457"/>
      <c r="AU480" s="2457"/>
      <c r="AV480" s="2457"/>
      <c r="AX480" s="2457"/>
      <c r="AY480" s="2457"/>
      <c r="AZ480" s="2457"/>
      <c r="BA480" s="2458"/>
      <c r="BC480" s="2457"/>
      <c r="BD480" s="2457"/>
      <c r="BF480" s="2461"/>
      <c r="BH480" s="2457"/>
      <c r="BI480" s="2457"/>
      <c r="BJ480" s="2457"/>
      <c r="BK480" s="2457"/>
      <c r="BM480" s="2457"/>
      <c r="BN480" s="2462"/>
      <c r="BO480" s="2463"/>
      <c r="BP480" s="2464"/>
      <c r="BR480" s="2463"/>
      <c r="BS480" s="2463"/>
      <c r="BU480" s="2465"/>
      <c r="BW480" s="2463"/>
      <c r="BX480" s="2457"/>
      <c r="BZ480" s="2463"/>
      <c r="CA480" s="2462"/>
      <c r="CB480" s="2463"/>
      <c r="CC480" s="2464"/>
      <c r="CE480" s="2463"/>
      <c r="CF480" s="2464"/>
      <c r="CG480" s="2463"/>
      <c r="CH480" s="2449" t="s">
        <v>1212</v>
      </c>
      <c r="CI480" s="2449"/>
      <c r="CJ480" s="2450"/>
      <c r="CK480" s="2450"/>
      <c r="CP480" s="2478">
        <f t="shared" si="268"/>
        <v>0</v>
      </c>
      <c r="CQ480" s="2478"/>
      <c r="CR480" s="2478"/>
      <c r="CS480" s="2478"/>
      <c r="CT480" s="2478"/>
    </row>
    <row r="481" spans="1:98" hidden="1" x14ac:dyDescent="0.2">
      <c r="A481" s="2395">
        <v>294</v>
      </c>
      <c r="B481" s="2440" t="s">
        <v>1214</v>
      </c>
      <c r="C481" s="2396">
        <v>29401</v>
      </c>
      <c r="D481" s="2396">
        <v>51120</v>
      </c>
      <c r="E481" s="2397" t="s">
        <v>59</v>
      </c>
      <c r="F481" s="2440" t="s">
        <v>1214</v>
      </c>
      <c r="G481" s="2440" t="s">
        <v>1883</v>
      </c>
      <c r="H481" s="2466">
        <v>7449</v>
      </c>
      <c r="I481" s="2470">
        <v>148.97999999999999</v>
      </c>
      <c r="J481" s="2466">
        <f>H481+I481</f>
        <v>7597.98</v>
      </c>
      <c r="K481" s="2468">
        <f>IF(H481=0," ",(J481-H481)/H481)</f>
        <v>1.9999999999999941E-2</v>
      </c>
      <c r="M481" s="2467">
        <v>7598</v>
      </c>
      <c r="N481" s="2467">
        <v>7598</v>
      </c>
      <c r="P481" s="2469" t="s">
        <v>1884</v>
      </c>
      <c r="R481" s="2466">
        <v>7598</v>
      </c>
      <c r="S481" s="2466">
        <v>7598</v>
      </c>
      <c r="U481" s="2466">
        <v>7598</v>
      </c>
      <c r="V481" s="2470">
        <v>0</v>
      </c>
      <c r="W481" s="2466">
        <f>U481+V481</f>
        <v>7598</v>
      </c>
      <c r="X481" s="2468">
        <f>IF(U481=0," ",(W481-U481)/U481)</f>
        <v>0</v>
      </c>
      <c r="Z481" s="2467">
        <v>7598</v>
      </c>
      <c r="AA481" s="2467">
        <v>7598</v>
      </c>
      <c r="AC481" s="2469"/>
      <c r="AE481" s="2466">
        <v>7598</v>
      </c>
      <c r="AF481" s="2471">
        <v>7598</v>
      </c>
      <c r="AH481" s="2466">
        <v>7598</v>
      </c>
      <c r="AI481" s="2470">
        <v>152</v>
      </c>
      <c r="AJ481" s="2466">
        <f>AH481+AI481</f>
        <v>7750</v>
      </c>
      <c r="AK481" s="2468">
        <f>IF(AH481=0," ",(AJ481-AH481)/AH481)</f>
        <v>2.0005264543300868E-2</v>
      </c>
      <c r="AM481" s="2467">
        <v>7750</v>
      </c>
      <c r="AN481" s="2467">
        <v>7750</v>
      </c>
      <c r="AP481" s="2469" t="s">
        <v>1885</v>
      </c>
      <c r="AR481" s="2466">
        <v>7750</v>
      </c>
      <c r="AS481" s="2466">
        <v>7749.96</v>
      </c>
      <c r="AT481" s="2466"/>
      <c r="AU481" s="2466">
        <v>7750</v>
      </c>
      <c r="AV481" s="2466">
        <v>7750</v>
      </c>
      <c r="AX481" s="2466">
        <v>7750</v>
      </c>
      <c r="AY481" s="2470"/>
      <c r="AZ481" s="2466">
        <f>AX481+AY481</f>
        <v>7750</v>
      </c>
      <c r="BA481" s="2468">
        <f>IF(AX481=0," ",(AZ481-AX481)/AX481)</f>
        <v>0</v>
      </c>
      <c r="BC481" s="2467">
        <v>7750</v>
      </c>
      <c r="BD481" s="2467">
        <v>7750</v>
      </c>
      <c r="BF481" s="2469"/>
      <c r="BH481" s="2467">
        <v>7750</v>
      </c>
      <c r="BI481" s="2466">
        <v>7750</v>
      </c>
      <c r="BM481" s="2466">
        <v>7750</v>
      </c>
      <c r="BN481" s="2470"/>
      <c r="BO481" s="2472">
        <f>BM481+BN481</f>
        <v>7750</v>
      </c>
      <c r="BP481" s="2473">
        <f>IF(BM481=0," ",(BO481-BM481)/BM481)</f>
        <v>0</v>
      </c>
      <c r="BR481" s="2474">
        <v>7750</v>
      </c>
      <c r="BS481" s="2474">
        <v>7750</v>
      </c>
      <c r="BU481" s="2475"/>
      <c r="BW481" s="2474">
        <v>7750</v>
      </c>
      <c r="BX481" s="2466">
        <v>3874.98</v>
      </c>
      <c r="BZ481" s="2474">
        <v>7750</v>
      </c>
      <c r="CA481" s="2470"/>
      <c r="CB481" s="2472">
        <f>BZ481+CA481</f>
        <v>7750</v>
      </c>
      <c r="CC481" s="2473">
        <f>IF(BZ481=0," ",(CB481-BZ481)/BZ481)</f>
        <v>0</v>
      </c>
      <c r="CE481" s="2474">
        <v>7750</v>
      </c>
      <c r="CF481" s="2476">
        <f>IF(CB481=0," ",(CE481-CB481)/CB481)</f>
        <v>0</v>
      </c>
      <c r="CG481" s="2474">
        <v>7750</v>
      </c>
      <c r="CH481" s="2449" t="s">
        <v>1217</v>
      </c>
      <c r="CI481" s="2449"/>
      <c r="CJ481" s="2450"/>
      <c r="CK481" s="2450"/>
      <c r="CO481" s="2477">
        <v>0</v>
      </c>
      <c r="CP481" s="2478">
        <f t="shared" si="268"/>
        <v>0</v>
      </c>
      <c r="CQ481" s="2478"/>
      <c r="CR481" s="2478"/>
      <c r="CS481" s="2478"/>
      <c r="CT481" s="2478"/>
    </row>
    <row r="482" spans="1:98" s="2485" customFormat="1" hidden="1" x14ac:dyDescent="0.2">
      <c r="A482" s="2532"/>
      <c r="B482" s="2533"/>
      <c r="C482" s="2534"/>
      <c r="D482" s="2534"/>
      <c r="E482" s="2535"/>
      <c r="F482" s="2533"/>
      <c r="G482" s="2654" t="s">
        <v>1886</v>
      </c>
      <c r="H482" s="2536">
        <f t="shared" ref="H482" si="274">SUM(H481)</f>
        <v>7449</v>
      </c>
      <c r="I482" s="2536">
        <f>SUM(I481)</f>
        <v>148.97999999999999</v>
      </c>
      <c r="J482" s="2536">
        <f>SUM(J481)</f>
        <v>7597.98</v>
      </c>
      <c r="K482" s="2484">
        <f>IF(H482=0," ",(J482-H482)/H482)</f>
        <v>1.9999999999999941E-2</v>
      </c>
      <c r="M482" s="2536">
        <f>SUM(M481)</f>
        <v>7598</v>
      </c>
      <c r="N482" s="2536">
        <f>SUM(N481)</f>
        <v>7598</v>
      </c>
      <c r="P482" s="2537">
        <f>SUM(P481)</f>
        <v>0</v>
      </c>
      <c r="R482" s="2536">
        <f>SUM(R481)</f>
        <v>7598</v>
      </c>
      <c r="S482" s="2536">
        <f>SUM(S481)</f>
        <v>7598</v>
      </c>
      <c r="U482" s="2536">
        <f>SUM(U481)</f>
        <v>7598</v>
      </c>
      <c r="V482" s="2536">
        <f>SUM(V481)</f>
        <v>0</v>
      </c>
      <c r="W482" s="2536">
        <f>SUM(W481)</f>
        <v>7598</v>
      </c>
      <c r="X482" s="2484">
        <f>IF(U482=0," ",(W482-U482)/U482)</f>
        <v>0</v>
      </c>
      <c r="Z482" s="2536">
        <f>SUM(Z481)</f>
        <v>7598</v>
      </c>
      <c r="AA482" s="2536">
        <f>SUM(AA481)</f>
        <v>7598</v>
      </c>
      <c r="AC482" s="2537"/>
      <c r="AE482" s="2536">
        <f>SUM(AE481)</f>
        <v>7598</v>
      </c>
      <c r="AF482" s="2538">
        <f>SUM(AF481)</f>
        <v>7598</v>
      </c>
      <c r="AH482" s="2538">
        <f>SUM(AH481)</f>
        <v>7598</v>
      </c>
      <c r="AI482" s="2538">
        <f>SUM(AI481)</f>
        <v>152</v>
      </c>
      <c r="AJ482" s="2538">
        <f>SUM(AJ481)</f>
        <v>7750</v>
      </c>
      <c r="AK482" s="2484">
        <f>IF(AH482=0," ",(AJ482-AH482)/AH482)</f>
        <v>2.0005264543300868E-2</v>
      </c>
      <c r="AM482" s="2538">
        <f>SUM(AM481)</f>
        <v>7750</v>
      </c>
      <c r="AN482" s="2538">
        <f>SUM(AN481)</f>
        <v>7750</v>
      </c>
      <c r="AP482" s="2537"/>
      <c r="AR482" s="2536">
        <f>SUM(AR481)</f>
        <v>7750</v>
      </c>
      <c r="AS482" s="2536">
        <f>SUM(AS481)</f>
        <v>7749.96</v>
      </c>
      <c r="AT482" s="2536"/>
      <c r="AU482" s="2536">
        <f>SUM(AU481)</f>
        <v>7750</v>
      </c>
      <c r="AV482" s="2536">
        <f>SUM(AV481)</f>
        <v>7750</v>
      </c>
      <c r="AX482" s="2536">
        <f>SUM(AX481)</f>
        <v>7750</v>
      </c>
      <c r="AY482" s="2536">
        <f>SUM(AY481)</f>
        <v>0</v>
      </c>
      <c r="AZ482" s="2536">
        <f>SUM(AZ481)</f>
        <v>7750</v>
      </c>
      <c r="BA482" s="2484">
        <f>IF(AX482=0," ",(AZ482-AX482)/AX482)</f>
        <v>0</v>
      </c>
      <c r="BC482" s="2536">
        <f>SUM(BC481)</f>
        <v>7750</v>
      </c>
      <c r="BD482" s="2536">
        <f>SUM(BD481)</f>
        <v>7750</v>
      </c>
      <c r="BF482" s="2537"/>
      <c r="BH482" s="2536">
        <f>SUM(BH481)</f>
        <v>7750</v>
      </c>
      <c r="BI482" s="2536">
        <f>SUM(BI481)</f>
        <v>7750</v>
      </c>
      <c r="BJ482" s="2536"/>
      <c r="BK482" s="2536"/>
      <c r="BM482" s="2536">
        <f>SUM(BM481)</f>
        <v>7750</v>
      </c>
      <c r="BN482" s="2539">
        <f>SUM(BN481)</f>
        <v>0</v>
      </c>
      <c r="BO482" s="2540">
        <f>SUM(BO481)</f>
        <v>7750</v>
      </c>
      <c r="BP482" s="2490">
        <f>IF(BM482=0," ",(BO482-BM482)/BM482)</f>
        <v>0</v>
      </c>
      <c r="BQ482" s="2491"/>
      <c r="BR482" s="2540">
        <f>SUM(BR481)</f>
        <v>7750</v>
      </c>
      <c r="BS482" s="2540">
        <f>SUM(BS481)</f>
        <v>7750</v>
      </c>
      <c r="BT482" s="2491"/>
      <c r="BU482" s="2541"/>
      <c r="BV482" s="2491"/>
      <c r="BW482" s="2540">
        <f>SUM(BW481)</f>
        <v>7750</v>
      </c>
      <c r="BX482" s="2536">
        <f>SUM(BX481)</f>
        <v>3874.98</v>
      </c>
      <c r="BZ482" s="2540">
        <f>SUM(BZ481)</f>
        <v>7750</v>
      </c>
      <c r="CA482" s="2540">
        <f>SUM(CA481)</f>
        <v>0</v>
      </c>
      <c r="CB482" s="2540">
        <f>SUM(CB481)</f>
        <v>7750</v>
      </c>
      <c r="CC482" s="2490">
        <f>IF(BZ482=0," ",(CB482-BZ482)/BZ482)</f>
        <v>0</v>
      </c>
      <c r="CD482" s="2491"/>
      <c r="CE482" s="2540">
        <f>SUM(CE481)</f>
        <v>7750</v>
      </c>
      <c r="CF482" s="2490">
        <f>IF(CB482=0," ",(CE482-CB482)/CB482)</f>
        <v>0</v>
      </c>
      <c r="CG482" s="2540">
        <f>SUM(CG481)</f>
        <v>7750</v>
      </c>
      <c r="CH482" s="2449" t="s">
        <v>1220</v>
      </c>
      <c r="CI482" s="2449"/>
      <c r="CJ482" s="2450"/>
      <c r="CK482" s="2450"/>
      <c r="CL482" s="2451"/>
      <c r="CM482" s="2451"/>
      <c r="CN482" s="2451"/>
      <c r="CO482" s="2477">
        <v>0</v>
      </c>
      <c r="CP482" s="2478">
        <f t="shared" si="268"/>
        <v>0</v>
      </c>
      <c r="CQ482" s="2478"/>
      <c r="CR482" s="2478"/>
      <c r="CS482" s="2478"/>
      <c r="CT482" s="2478"/>
    </row>
    <row r="483" spans="1:98" hidden="1" x14ac:dyDescent="0.2">
      <c r="AS483" s="2466"/>
      <c r="AT483" s="2466"/>
      <c r="BZ483" s="2472"/>
      <c r="CH483" s="2449" t="s">
        <v>1091</v>
      </c>
      <c r="CI483" s="2449"/>
      <c r="CJ483" s="2450"/>
      <c r="CK483" s="2450"/>
      <c r="CP483" s="2478">
        <f t="shared" si="268"/>
        <v>0</v>
      </c>
      <c r="CQ483" s="2478"/>
      <c r="CR483" s="2478"/>
      <c r="CS483" s="2478"/>
      <c r="CT483" s="2478"/>
    </row>
    <row r="484" spans="1:98" hidden="1" x14ac:dyDescent="0.2">
      <c r="A484" s="2395">
        <v>294</v>
      </c>
      <c r="B484" s="2440" t="s">
        <v>1214</v>
      </c>
      <c r="C484" s="2396">
        <v>29405</v>
      </c>
      <c r="D484" s="2396">
        <v>51930</v>
      </c>
      <c r="E484" s="2397" t="s">
        <v>1268</v>
      </c>
      <c r="F484" s="2440" t="s">
        <v>1214</v>
      </c>
      <c r="G484" s="2440" t="s">
        <v>1887</v>
      </c>
      <c r="H484" s="2466">
        <v>0</v>
      </c>
      <c r="I484" s="2470"/>
      <c r="J484" s="2466">
        <f>H484+I484</f>
        <v>0</v>
      </c>
      <c r="K484" s="2468" t="str">
        <f>IF(H484=0," ",(J484-H484)/H484)</f>
        <v xml:space="preserve"> </v>
      </c>
      <c r="M484" s="2467">
        <v>0</v>
      </c>
      <c r="N484" s="2467">
        <v>0</v>
      </c>
      <c r="P484" s="2469"/>
      <c r="R484" s="2466">
        <v>0</v>
      </c>
      <c r="S484" s="2466">
        <v>0</v>
      </c>
      <c r="U484" s="2466">
        <v>0</v>
      </c>
      <c r="V484" s="2470">
        <v>0</v>
      </c>
      <c r="W484" s="2466">
        <f>U484+V484</f>
        <v>0</v>
      </c>
      <c r="X484" s="2468" t="str">
        <f>IF(U484=0," ",(W484-U484)/U484)</f>
        <v xml:space="preserve"> </v>
      </c>
      <c r="Z484" s="2467">
        <v>0</v>
      </c>
      <c r="AA484" s="2467">
        <v>0</v>
      </c>
      <c r="AC484" s="2469"/>
      <c r="AE484" s="2466">
        <v>0</v>
      </c>
      <c r="AF484" s="2471">
        <v>0</v>
      </c>
      <c r="AH484" s="2466">
        <v>0</v>
      </c>
      <c r="AI484" s="2470"/>
      <c r="AJ484" s="2466">
        <f>AH484+AI484</f>
        <v>0</v>
      </c>
      <c r="AK484" s="2468" t="str">
        <f>IF(AH484=0," ",(AJ484-AH484)/AH484)</f>
        <v xml:space="preserve"> </v>
      </c>
      <c r="AM484" s="2467">
        <v>0</v>
      </c>
      <c r="AN484" s="2467">
        <v>0</v>
      </c>
      <c r="AP484" s="2469"/>
      <c r="AR484" s="2466">
        <v>0</v>
      </c>
      <c r="AS484" s="2466"/>
      <c r="AT484" s="2466"/>
      <c r="AY484" s="2470"/>
      <c r="AZ484" s="2466">
        <f>AX484+AY484</f>
        <v>0</v>
      </c>
      <c r="BA484" s="2468" t="str">
        <f>IF(AX484=0," ",(AZ484-AX484)/AX484)</f>
        <v xml:space="preserve"> </v>
      </c>
      <c r="BC484" s="2467">
        <v>0</v>
      </c>
      <c r="BD484" s="2467">
        <v>0</v>
      </c>
      <c r="BF484" s="2469"/>
      <c r="BH484" s="2467">
        <v>0</v>
      </c>
      <c r="BN484" s="2470"/>
      <c r="BO484" s="2472">
        <f>BM484+BN484</f>
        <v>0</v>
      </c>
      <c r="BP484" s="2473" t="str">
        <f>IF(BM484=0," ",(BO484-BM484)/BM484)</f>
        <v xml:space="preserve"> </v>
      </c>
      <c r="BR484" s="2474">
        <v>0</v>
      </c>
      <c r="BS484" s="2474">
        <v>0</v>
      </c>
      <c r="BU484" s="2475"/>
      <c r="BW484" s="2474">
        <v>0</v>
      </c>
      <c r="BZ484" s="2474">
        <v>0</v>
      </c>
      <c r="CA484" s="2470"/>
      <c r="CB484" s="2472">
        <f>BZ484+CA484</f>
        <v>0</v>
      </c>
      <c r="CC484" s="2473" t="str">
        <f>IF(BZ484=0," ",(CB484-BZ484)/BZ484)</f>
        <v xml:space="preserve"> </v>
      </c>
      <c r="CE484" s="2474">
        <v>0</v>
      </c>
      <c r="CF484" s="2476" t="str">
        <f>IF(CB484=0," ",(CE484-CB484)/CB484)</f>
        <v xml:space="preserve"> </v>
      </c>
      <c r="CG484" s="2474">
        <v>0</v>
      </c>
      <c r="CH484" s="2449" t="s">
        <v>1217</v>
      </c>
      <c r="CI484" s="2449"/>
      <c r="CJ484" s="2450"/>
      <c r="CK484" s="2450"/>
      <c r="CP484" s="2478">
        <f t="shared" si="268"/>
        <v>0</v>
      </c>
      <c r="CQ484" s="2478"/>
      <c r="CR484" s="2478"/>
      <c r="CS484" s="2478"/>
      <c r="CT484" s="2478"/>
    </row>
    <row r="485" spans="1:98" hidden="1" x14ac:dyDescent="0.2">
      <c r="A485" s="2395">
        <v>294</v>
      </c>
      <c r="B485" s="2440" t="s">
        <v>1214</v>
      </c>
      <c r="C485" s="2396">
        <v>29405</v>
      </c>
      <c r="D485" s="2396">
        <v>53800</v>
      </c>
      <c r="E485" s="2397" t="s">
        <v>1268</v>
      </c>
      <c r="F485" s="2440" t="s">
        <v>1214</v>
      </c>
      <c r="G485" s="2440" t="s">
        <v>1888</v>
      </c>
      <c r="H485" s="2466">
        <v>1000</v>
      </c>
      <c r="I485" s="2470"/>
      <c r="J485" s="2466">
        <f>H485+I485</f>
        <v>1000</v>
      </c>
      <c r="K485" s="2468">
        <f>IF(H485=0," ",(J485-H485)/H485)</f>
        <v>0</v>
      </c>
      <c r="M485" s="2467">
        <v>1000</v>
      </c>
      <c r="N485" s="2467">
        <v>1000</v>
      </c>
      <c r="P485" s="2469"/>
      <c r="R485" s="2466">
        <v>1000</v>
      </c>
      <c r="S485" s="2466">
        <v>0</v>
      </c>
      <c r="U485" s="2466">
        <v>1000</v>
      </c>
      <c r="V485" s="2470">
        <v>0</v>
      </c>
      <c r="W485" s="2466">
        <f>U485+V485</f>
        <v>1000</v>
      </c>
      <c r="X485" s="2468">
        <f>IF(U485=0," ",(W485-U485)/U485)</f>
        <v>0</v>
      </c>
      <c r="Z485" s="2467">
        <v>1000</v>
      </c>
      <c r="AA485" s="2467">
        <v>1000</v>
      </c>
      <c r="AC485" s="2469"/>
      <c r="AE485" s="2466">
        <v>1000</v>
      </c>
      <c r="AF485" s="2471">
        <v>0</v>
      </c>
      <c r="AH485" s="2466">
        <v>1000</v>
      </c>
      <c r="AI485" s="2470"/>
      <c r="AJ485" s="2466">
        <f>AH485+AI485</f>
        <v>1000</v>
      </c>
      <c r="AK485" s="2468">
        <f>IF(AH485=0," ",(AJ485-AH485)/AH485)</f>
        <v>0</v>
      </c>
      <c r="AM485" s="2467">
        <v>1000</v>
      </c>
      <c r="AN485" s="2467">
        <v>1000</v>
      </c>
      <c r="AP485" s="2469"/>
      <c r="AR485" s="2466">
        <v>1000</v>
      </c>
      <c r="AS485" s="2466">
        <v>0</v>
      </c>
      <c r="AT485" s="2466"/>
      <c r="AU485" s="2466">
        <v>1000</v>
      </c>
      <c r="AV485" s="2466">
        <v>0</v>
      </c>
      <c r="AX485" s="2466">
        <v>1000</v>
      </c>
      <c r="AY485" s="2470"/>
      <c r="AZ485" s="2466">
        <f>AX485+AY485</f>
        <v>1000</v>
      </c>
      <c r="BA485" s="2468">
        <f>IF(AX485=0," ",(AZ485-AX485)/AX485)</f>
        <v>0</v>
      </c>
      <c r="BC485" s="2467">
        <v>1000</v>
      </c>
      <c r="BD485" s="2467">
        <v>1000</v>
      </c>
      <c r="BF485" s="2469"/>
      <c r="BH485" s="2467">
        <v>1000</v>
      </c>
      <c r="BI485" s="2466">
        <v>0</v>
      </c>
      <c r="BM485" s="2466">
        <v>1000</v>
      </c>
      <c r="BN485" s="2470"/>
      <c r="BO485" s="2472">
        <f>BM485+BN485</f>
        <v>1000</v>
      </c>
      <c r="BP485" s="2473">
        <f>IF(BM485=0," ",(BO485-BM485)/BM485)</f>
        <v>0</v>
      </c>
      <c r="BR485" s="2474">
        <v>1000</v>
      </c>
      <c r="BS485" s="2474">
        <v>1000</v>
      </c>
      <c r="BU485" s="2475"/>
      <c r="BW485" s="2474">
        <v>1000</v>
      </c>
      <c r="BZ485" s="2474">
        <v>1000</v>
      </c>
      <c r="CA485" s="2470"/>
      <c r="CB485" s="2472">
        <f>BZ485+CA485</f>
        <v>1000</v>
      </c>
      <c r="CC485" s="2473">
        <f>IF(BZ485=0," ",(CB485-BZ485)/BZ485)</f>
        <v>0</v>
      </c>
      <c r="CE485" s="2474">
        <v>1000</v>
      </c>
      <c r="CF485" s="2476">
        <f>IF(CB485=0," ",(CE485-CB485)/CB485)</f>
        <v>0</v>
      </c>
      <c r="CG485" s="2474">
        <v>1000</v>
      </c>
      <c r="CH485" s="2449" t="s">
        <v>1217</v>
      </c>
      <c r="CI485" s="2449"/>
      <c r="CJ485" s="2450"/>
      <c r="CK485" s="2450"/>
      <c r="CO485" s="2477" t="s">
        <v>1218</v>
      </c>
      <c r="CP485" s="2478">
        <f t="shared" si="268"/>
        <v>-1000</v>
      </c>
      <c r="CQ485" s="2478"/>
      <c r="CR485" s="2478"/>
      <c r="CS485" s="2478"/>
      <c r="CT485" s="2478"/>
    </row>
    <row r="486" spans="1:98" hidden="1" x14ac:dyDescent="0.2">
      <c r="A486" s="2395">
        <v>294</v>
      </c>
      <c r="B486" s="2440" t="s">
        <v>1214</v>
      </c>
      <c r="C486" s="2396">
        <v>29405</v>
      </c>
      <c r="D486" s="2396">
        <v>57100</v>
      </c>
      <c r="E486" s="2397" t="s">
        <v>1268</v>
      </c>
      <c r="F486" s="2440" t="s">
        <v>1214</v>
      </c>
      <c r="G486" s="2440" t="s">
        <v>1889</v>
      </c>
      <c r="H486" s="2466">
        <v>840</v>
      </c>
      <c r="I486" s="2470"/>
      <c r="J486" s="2466">
        <f>H486+I486</f>
        <v>840</v>
      </c>
      <c r="K486" s="2468">
        <f>IF(H486=0," ",(J486-H486)/H486)</f>
        <v>0</v>
      </c>
      <c r="M486" s="2467">
        <v>840</v>
      </c>
      <c r="N486" s="2467">
        <v>840</v>
      </c>
      <c r="P486" s="2469"/>
      <c r="R486" s="2466">
        <v>840</v>
      </c>
      <c r="S486" s="2466">
        <v>0</v>
      </c>
      <c r="U486" s="2466">
        <v>840</v>
      </c>
      <c r="V486" s="2470">
        <v>0</v>
      </c>
      <c r="W486" s="2466">
        <f>U486+V486</f>
        <v>840</v>
      </c>
      <c r="X486" s="2468">
        <f>IF(U486=0," ",(W486-U486)/U486)</f>
        <v>0</v>
      </c>
      <c r="Z486" s="2467">
        <v>840</v>
      </c>
      <c r="AA486" s="2467">
        <v>840</v>
      </c>
      <c r="AC486" s="2469"/>
      <c r="AE486" s="2466">
        <v>840</v>
      </c>
      <c r="AF486" s="2471">
        <v>0</v>
      </c>
      <c r="AH486" s="2466">
        <v>840</v>
      </c>
      <c r="AI486" s="2470"/>
      <c r="AJ486" s="2466">
        <f>AH486+AI486</f>
        <v>840</v>
      </c>
      <c r="AK486" s="2468">
        <f>IF(AH486=0," ",(AJ486-AH486)/AH486)</f>
        <v>0</v>
      </c>
      <c r="AM486" s="2467">
        <v>840</v>
      </c>
      <c r="AN486" s="2467">
        <v>840</v>
      </c>
      <c r="AP486" s="2469"/>
      <c r="AR486" s="2466">
        <v>840</v>
      </c>
      <c r="AS486" s="2466">
        <v>0</v>
      </c>
      <c r="AT486" s="2466"/>
      <c r="AU486" s="2466">
        <v>840</v>
      </c>
      <c r="AV486" s="2466">
        <v>0</v>
      </c>
      <c r="AX486" s="2466">
        <v>840</v>
      </c>
      <c r="AY486" s="2470"/>
      <c r="AZ486" s="2466">
        <f>AX486+AY486</f>
        <v>840</v>
      </c>
      <c r="BA486" s="2468">
        <f>IF(AX486=0," ",(AZ486-AX486)/AX486)</f>
        <v>0</v>
      </c>
      <c r="BC486" s="2467">
        <v>840</v>
      </c>
      <c r="BD486" s="2467">
        <v>840</v>
      </c>
      <c r="BF486" s="2469"/>
      <c r="BH486" s="2467">
        <v>840</v>
      </c>
      <c r="BI486" s="2466">
        <v>0</v>
      </c>
      <c r="BM486" s="2466">
        <v>840</v>
      </c>
      <c r="BN486" s="2470"/>
      <c r="BO486" s="2472">
        <f>BM486+BN486</f>
        <v>840</v>
      </c>
      <c r="BP486" s="2473">
        <f>IF(BM486=0," ",(BO486-BM486)/BM486)</f>
        <v>0</v>
      </c>
      <c r="BR486" s="2474">
        <v>840</v>
      </c>
      <c r="BS486" s="2474">
        <v>840</v>
      </c>
      <c r="BU486" s="2475"/>
      <c r="BW486" s="2474">
        <v>840</v>
      </c>
      <c r="BZ486" s="2474">
        <v>840</v>
      </c>
      <c r="CA486" s="2470"/>
      <c r="CB486" s="2472">
        <f>BZ486+CA486</f>
        <v>840</v>
      </c>
      <c r="CC486" s="2473">
        <f>IF(BZ486=0," ",(CB486-BZ486)/BZ486)</f>
        <v>0</v>
      </c>
      <c r="CE486" s="2474">
        <v>840</v>
      </c>
      <c r="CF486" s="2476">
        <f>IF(CB486=0," ",(CE486-CB486)/CB486)</f>
        <v>0</v>
      </c>
      <c r="CG486" s="2474">
        <v>840</v>
      </c>
      <c r="CH486" s="2449" t="s">
        <v>1217</v>
      </c>
      <c r="CI486" s="2449"/>
      <c r="CJ486" s="2450"/>
      <c r="CK486" s="2450"/>
      <c r="CO486" s="2477" t="s">
        <v>1218</v>
      </c>
      <c r="CP486" s="2478">
        <f t="shared" si="268"/>
        <v>-840</v>
      </c>
      <c r="CQ486" s="2478"/>
      <c r="CR486" s="2478"/>
      <c r="CS486" s="2478"/>
      <c r="CT486" s="2478"/>
    </row>
    <row r="487" spans="1:98" s="2485" customFormat="1" hidden="1" x14ac:dyDescent="0.2">
      <c r="A487" s="2532"/>
      <c r="B487" s="2533"/>
      <c r="C487" s="2534"/>
      <c r="D487" s="2534"/>
      <c r="E487" s="2535"/>
      <c r="F487" s="2533"/>
      <c r="G487" s="2654" t="s">
        <v>1890</v>
      </c>
      <c r="H487" s="2536">
        <f t="shared" ref="H487" si="275">SUM(H484:H486)</f>
        <v>1840</v>
      </c>
      <c r="I487" s="2536">
        <f>SUM(I484:I486)</f>
        <v>0</v>
      </c>
      <c r="J487" s="2536">
        <f>SUM(J484:J486)</f>
        <v>1840</v>
      </c>
      <c r="K487" s="2484">
        <f>IF(H487=0," ",(J487-H487)/H487)</f>
        <v>0</v>
      </c>
      <c r="M487" s="2536">
        <f>SUM(M484:M486)</f>
        <v>1840</v>
      </c>
      <c r="N487" s="2536">
        <f>SUM(N484:N486)</f>
        <v>1840</v>
      </c>
      <c r="P487" s="2537">
        <f>SUM(P484:P486)</f>
        <v>0</v>
      </c>
      <c r="R487" s="2536">
        <f>SUM(R484:R486)</f>
        <v>1840</v>
      </c>
      <c r="S487" s="2536">
        <f>SUM(S484:S486)</f>
        <v>0</v>
      </c>
      <c r="U487" s="2536">
        <f>SUM(U484:U486)</f>
        <v>1840</v>
      </c>
      <c r="V487" s="2536">
        <f>SUM(V484:V486)</f>
        <v>0</v>
      </c>
      <c r="W487" s="2536">
        <f>SUM(W484:W486)</f>
        <v>1840</v>
      </c>
      <c r="X487" s="2484">
        <f>IF(U487=0," ",(W487-U487)/U487)</f>
        <v>0</v>
      </c>
      <c r="Z487" s="2536">
        <f>SUM(Z484:Z486)</f>
        <v>1840</v>
      </c>
      <c r="AA487" s="2536">
        <f>SUM(AA484:AA486)</f>
        <v>1840</v>
      </c>
      <c r="AC487" s="2537"/>
      <c r="AE487" s="2536">
        <f>SUM(AE484:AE486)</f>
        <v>1840</v>
      </c>
      <c r="AF487" s="2538">
        <f>SUM(AF484:AF486)</f>
        <v>0</v>
      </c>
      <c r="AH487" s="2536">
        <v>1840</v>
      </c>
      <c r="AI487" s="2536">
        <f>SUM(AI484:AI486)</f>
        <v>0</v>
      </c>
      <c r="AJ487" s="2536">
        <f>SUM(AJ484:AJ486)</f>
        <v>1840</v>
      </c>
      <c r="AK487" s="2484">
        <f>IF(AH487=0," ",(AJ487-AH487)/AH487)</f>
        <v>0</v>
      </c>
      <c r="AM487" s="2536">
        <f>SUM(AM484:AM486)</f>
        <v>1840</v>
      </c>
      <c r="AN487" s="2536">
        <f>SUM(AN484:AN486)</f>
        <v>1840</v>
      </c>
      <c r="AP487" s="2537"/>
      <c r="AR487" s="2536">
        <f>SUM(AR484:AR486)</f>
        <v>1840</v>
      </c>
      <c r="AS487" s="2536">
        <f>SUM(AS484:AS486)</f>
        <v>0</v>
      </c>
      <c r="AT487" s="2536"/>
      <c r="AU487" s="2536">
        <f>SUM(AU484:AU486)</f>
        <v>1840</v>
      </c>
      <c r="AV487" s="2536">
        <f>SUM(AV484:AV486)</f>
        <v>0</v>
      </c>
      <c r="AX487" s="2536">
        <f>SUM(AX484:AX486)</f>
        <v>1840</v>
      </c>
      <c r="AY487" s="2536">
        <f>SUM(AY484:AY486)</f>
        <v>0</v>
      </c>
      <c r="AZ487" s="2536">
        <f>SUM(AZ484:AZ486)</f>
        <v>1840</v>
      </c>
      <c r="BA487" s="2484">
        <f>IF(AX487=0," ",(AZ487-AX487)/AX487)</f>
        <v>0</v>
      </c>
      <c r="BC487" s="2536">
        <f>SUM(BC484:BC486)</f>
        <v>1840</v>
      </c>
      <c r="BD487" s="2536">
        <f>SUM(BD484:BD486)</f>
        <v>1840</v>
      </c>
      <c r="BF487" s="2537"/>
      <c r="BH487" s="2536">
        <f>SUM(BH484:BH486)</f>
        <v>1840</v>
      </c>
      <c r="BI487" s="2536">
        <f>SUM(BI484:BI486)</f>
        <v>0</v>
      </c>
      <c r="BJ487" s="2536"/>
      <c r="BK487" s="2536"/>
      <c r="BM487" s="2536">
        <f>SUM(BM484:BM486)</f>
        <v>1840</v>
      </c>
      <c r="BN487" s="2539">
        <f>SUM(BN484:BN486)</f>
        <v>0</v>
      </c>
      <c r="BO487" s="2540">
        <f>SUM(BO484:BO486)</f>
        <v>1840</v>
      </c>
      <c r="BP487" s="2490">
        <f>IF(BM487=0," ",(BO487-BM487)/BM487)</f>
        <v>0</v>
      </c>
      <c r="BQ487" s="2491"/>
      <c r="BR487" s="2540">
        <f>SUM(BR484:BR486)</f>
        <v>1840</v>
      </c>
      <c r="BS487" s="2540">
        <f>SUM(BS484:BS486)</f>
        <v>1840</v>
      </c>
      <c r="BT487" s="2491"/>
      <c r="BU487" s="2541"/>
      <c r="BV487" s="2491"/>
      <c r="BW487" s="2540">
        <f>SUM(BW484:BW486)</f>
        <v>1840</v>
      </c>
      <c r="BX487" s="2536">
        <f>SUM(BX484:BX486)</f>
        <v>0</v>
      </c>
      <c r="BZ487" s="2540">
        <f>SUM(BZ484:BZ486)</f>
        <v>1840</v>
      </c>
      <c r="CA487" s="2540">
        <f>SUM(CA484:CA486)</f>
        <v>0</v>
      </c>
      <c r="CB487" s="2540">
        <f>SUM(CB484:CB486)</f>
        <v>1840</v>
      </c>
      <c r="CC487" s="2490">
        <f>IF(BZ487=0," ",(CB487-BZ487)/BZ487)</f>
        <v>0</v>
      </c>
      <c r="CD487" s="2491"/>
      <c r="CE487" s="2540">
        <f>SUM(CE484:CE486)</f>
        <v>1840</v>
      </c>
      <c r="CF487" s="2490">
        <f>IF(CB487=0," ",(CE487-CB487)/CB487)</f>
        <v>0</v>
      </c>
      <c r="CG487" s="2540">
        <f>SUM(CG484:CG486)</f>
        <v>1840</v>
      </c>
      <c r="CH487" s="2449" t="s">
        <v>1220</v>
      </c>
      <c r="CI487" s="2449"/>
      <c r="CJ487" s="2450"/>
      <c r="CK487" s="2450"/>
      <c r="CL487" s="2451"/>
      <c r="CM487" s="2451"/>
      <c r="CN487" s="2451"/>
      <c r="CO487" s="2477" t="s">
        <v>1218</v>
      </c>
      <c r="CP487" s="2478">
        <f t="shared" si="268"/>
        <v>-1840</v>
      </c>
      <c r="CQ487" s="2478"/>
      <c r="CR487" s="2478"/>
      <c r="CS487" s="2478"/>
      <c r="CT487" s="2478"/>
    </row>
    <row r="488" spans="1:98" ht="9.9499999999999993" hidden="1" customHeight="1" x14ac:dyDescent="0.2">
      <c r="AS488" s="2466"/>
      <c r="AT488" s="2466"/>
      <c r="BZ488" s="2472"/>
      <c r="CH488" s="2449" t="s">
        <v>1091</v>
      </c>
      <c r="CI488" s="2449"/>
      <c r="CJ488" s="2450"/>
      <c r="CK488" s="2450"/>
      <c r="CP488" s="2478">
        <f t="shared" si="268"/>
        <v>0</v>
      </c>
      <c r="CQ488" s="2478"/>
      <c r="CR488" s="2478"/>
      <c r="CS488" s="2478"/>
      <c r="CT488" s="2478"/>
    </row>
    <row r="489" spans="1:98" x14ac:dyDescent="0.2">
      <c r="A489" s="2495"/>
      <c r="B489" s="2496"/>
      <c r="C489" s="2497"/>
      <c r="D489" s="2497"/>
      <c r="E489" s="2498"/>
      <c r="F489" s="2496"/>
      <c r="G489" s="2499" t="s">
        <v>1891</v>
      </c>
      <c r="H489" s="2500">
        <f t="shared" ref="H489" si="276">H482+H487</f>
        <v>9289</v>
      </c>
      <c r="I489" s="2500">
        <f>I482+I487</f>
        <v>148.97999999999999</v>
      </c>
      <c r="J489" s="2500">
        <f>J482+J487</f>
        <v>9437.98</v>
      </c>
      <c r="K489" s="2501">
        <f>IF(H489=0," ",(J489-H489)/H489)</f>
        <v>1.6038324900419804E-2</v>
      </c>
      <c r="M489" s="2500">
        <f>M482+M487</f>
        <v>9438</v>
      </c>
      <c r="N489" s="2500">
        <f>N482+N487</f>
        <v>9438</v>
      </c>
      <c r="P489" s="2502">
        <f>P482+P487</f>
        <v>0</v>
      </c>
      <c r="R489" s="2500">
        <f>R482+R487</f>
        <v>9438</v>
      </c>
      <c r="S489" s="2500">
        <f>S482+S487</f>
        <v>7598</v>
      </c>
      <c r="U489" s="2500">
        <f>U482+U487</f>
        <v>9438</v>
      </c>
      <c r="V489" s="2500">
        <f>V482+V487</f>
        <v>0</v>
      </c>
      <c r="W489" s="2500">
        <f>W482+W487</f>
        <v>9438</v>
      </c>
      <c r="X489" s="2501">
        <f>IF(U489=0," ",(W489-U489)/U489)</f>
        <v>0</v>
      </c>
      <c r="Z489" s="2500">
        <f>Z482+Z487</f>
        <v>9438</v>
      </c>
      <c r="AA489" s="2500">
        <f>AA482+AA487</f>
        <v>9438</v>
      </c>
      <c r="AC489" s="2502"/>
      <c r="AE489" s="2500">
        <f>AE482+AE487</f>
        <v>9438</v>
      </c>
      <c r="AF489" s="2503">
        <f>AF482+AF487</f>
        <v>7598</v>
      </c>
      <c r="AH489" s="2500">
        <v>9438</v>
      </c>
      <c r="AI489" s="2500">
        <f>AI482+AI487</f>
        <v>152</v>
      </c>
      <c r="AJ489" s="2500">
        <f>AJ482+AJ487</f>
        <v>9590</v>
      </c>
      <c r="AK489" s="2501">
        <f>IF(AH489=0," ",(AJ489-AH489)/AH489)</f>
        <v>1.6105107014197925E-2</v>
      </c>
      <c r="AM489" s="2500">
        <f>AM482+AM487</f>
        <v>9590</v>
      </c>
      <c r="AN489" s="2500">
        <f>AN482+AN487</f>
        <v>9590</v>
      </c>
      <c r="AP489" s="2502"/>
      <c r="AR489" s="2500">
        <f>AR482+AR487</f>
        <v>9590</v>
      </c>
      <c r="AS489" s="2500">
        <f>AS482+AS487</f>
        <v>7749.96</v>
      </c>
      <c r="AT489" s="2500"/>
      <c r="AU489" s="2500">
        <f>AU482+AU487</f>
        <v>9590</v>
      </c>
      <c r="AV489" s="2500">
        <f>AV482+AV487</f>
        <v>7750</v>
      </c>
      <c r="AX489" s="2500">
        <f>AX482+AX487</f>
        <v>9590</v>
      </c>
      <c r="AY489" s="2500">
        <f>AY482+AY487</f>
        <v>0</v>
      </c>
      <c r="AZ489" s="2500">
        <f>AZ482+AZ487</f>
        <v>9590</v>
      </c>
      <c r="BA489" s="2501">
        <f>IF(AX489=0," ",(AZ489-AX489)/AX489)</f>
        <v>0</v>
      </c>
      <c r="BC489" s="2500">
        <f>BC482+BC487</f>
        <v>9590</v>
      </c>
      <c r="BD489" s="2500">
        <f>BD482+BD487</f>
        <v>9590</v>
      </c>
      <c r="BF489" s="2502"/>
      <c r="BH489" s="2500">
        <f>BH482+BH487</f>
        <v>9590</v>
      </c>
      <c r="BI489" s="2500">
        <f>BI482+BI487</f>
        <v>7750</v>
      </c>
      <c r="BJ489" s="2500"/>
      <c r="BK489" s="2500"/>
      <c r="BM489" s="2500">
        <f>BM482+BM487</f>
        <v>9590</v>
      </c>
      <c r="BN489" s="2504">
        <f>BN482+BN487</f>
        <v>0</v>
      </c>
      <c r="BO489" s="2505">
        <f>BO482+BO487</f>
        <v>9590</v>
      </c>
      <c r="BP489" s="2506">
        <f>IF(BM489=0," ",(BO489-BM489)/BM489)</f>
        <v>0</v>
      </c>
      <c r="BR489" s="2505">
        <f>BR482+BR487</f>
        <v>9590</v>
      </c>
      <c r="BS489" s="2505">
        <f>BS482+BS487</f>
        <v>9590</v>
      </c>
      <c r="BU489" s="2507"/>
      <c r="BW489" s="2505">
        <f>BW482+BW487</f>
        <v>9590</v>
      </c>
      <c r="BX489" s="2500">
        <f>BX482+BX487</f>
        <v>3874.98</v>
      </c>
      <c r="BZ489" s="2505">
        <f>BZ482+BZ487</f>
        <v>9590</v>
      </c>
      <c r="CA489" s="2505">
        <f>CA482+CA487</f>
        <v>0</v>
      </c>
      <c r="CB489" s="2505">
        <f>CB482+CB487</f>
        <v>9590</v>
      </c>
      <c r="CC489" s="2506">
        <f>IF(BZ489=0," ",(CB489-BZ489)/BZ489)</f>
        <v>0</v>
      </c>
      <c r="CE489" s="2505">
        <f>CE482+CE487</f>
        <v>9590</v>
      </c>
      <c r="CF489" s="2506">
        <f>IF(CB489=0," ",(CE489-CB489)/CB489)</f>
        <v>0</v>
      </c>
      <c r="CG489" s="2505">
        <f>CG482+CG487</f>
        <v>9590</v>
      </c>
      <c r="CH489" s="2449" t="s">
        <v>1222</v>
      </c>
      <c r="CI489" s="2508" t="str">
        <f>IF(CG489-CE489=0,"",CG489-CE489)</f>
        <v/>
      </c>
      <c r="CJ489" s="2509"/>
      <c r="CK489" s="2509"/>
      <c r="CL489" s="2451" t="str">
        <f>IF(CO489&lt;-1*CM$2,"examine","ignore")</f>
        <v>examine</v>
      </c>
      <c r="CM489" s="2545">
        <f>IF(CL489="examine",CP489+CM$2*CP489/CO489,"")</f>
        <v>-1456.3999999999999</v>
      </c>
      <c r="CN489" s="2545">
        <f>IF(CI489="",CM489,CM489-CI489)</f>
        <v>-1456.3999999999999</v>
      </c>
      <c r="CO489" s="2477">
        <v>-0.19186652763295098</v>
      </c>
      <c r="CP489" s="2510">
        <f t="shared" si="268"/>
        <v>-1840</v>
      </c>
      <c r="CQ489" s="2510">
        <f>AV489-AU489</f>
        <v>-1840</v>
      </c>
      <c r="CR489" s="2510">
        <f>AS489-AR489</f>
        <v>-1840.04</v>
      </c>
      <c r="CS489" s="2510">
        <f>AF489-AE489</f>
        <v>-1840</v>
      </c>
    </row>
    <row r="490" spans="1:98" ht="20.100000000000001" hidden="1" customHeight="1" x14ac:dyDescent="0.2">
      <c r="AS490" s="2466"/>
      <c r="AT490" s="2466"/>
      <c r="BZ490" s="2472"/>
      <c r="CH490" s="2449" t="s">
        <v>1091</v>
      </c>
      <c r="CI490" s="2449"/>
      <c r="CJ490" s="2450"/>
      <c r="CK490" s="2450"/>
      <c r="CP490" s="2478">
        <f t="shared" si="268"/>
        <v>0</v>
      </c>
      <c r="CQ490" s="2478"/>
      <c r="CR490" s="2478"/>
      <c r="CS490" s="2478"/>
      <c r="CT490" s="2478"/>
    </row>
    <row r="491" spans="1:98" ht="15.75" hidden="1" x14ac:dyDescent="0.2">
      <c r="A491" s="2453" t="s">
        <v>1892</v>
      </c>
      <c r="B491" s="2454"/>
      <c r="C491" s="2455"/>
      <c r="D491" s="2455"/>
      <c r="E491" s="2456"/>
      <c r="F491" s="2454"/>
      <c r="G491" s="2454"/>
      <c r="H491" s="2457"/>
      <c r="I491" s="2457"/>
      <c r="J491" s="2457"/>
      <c r="K491" s="2458"/>
      <c r="M491" s="2457"/>
      <c r="N491" s="2457"/>
      <c r="P491" s="2459"/>
      <c r="R491" s="2457"/>
      <c r="S491" s="2457"/>
      <c r="U491" s="2457"/>
      <c r="V491" s="2457"/>
      <c r="W491" s="2457"/>
      <c r="X491" s="2458"/>
      <c r="Z491" s="2457"/>
      <c r="AA491" s="2457"/>
      <c r="AC491" s="2459"/>
      <c r="AE491" s="2457"/>
      <c r="AF491" s="2460"/>
      <c r="AH491" s="2457"/>
      <c r="AI491" s="2457"/>
      <c r="AJ491" s="2457"/>
      <c r="AK491" s="2458"/>
      <c r="AM491" s="2457"/>
      <c r="AN491" s="2457"/>
      <c r="AP491" s="2459"/>
      <c r="AR491" s="2457"/>
      <c r="AS491" s="2457"/>
      <c r="AT491" s="2457"/>
      <c r="AU491" s="2457"/>
      <c r="AV491" s="2457"/>
      <c r="AX491" s="2457"/>
      <c r="AY491" s="2457"/>
      <c r="AZ491" s="2457"/>
      <c r="BA491" s="2458"/>
      <c r="BC491" s="2457"/>
      <c r="BD491" s="2457"/>
      <c r="BF491" s="2461"/>
      <c r="BH491" s="2457"/>
      <c r="BI491" s="2457"/>
      <c r="BJ491" s="2457"/>
      <c r="BK491" s="2457"/>
      <c r="BM491" s="2457"/>
      <c r="BN491" s="2462"/>
      <c r="BO491" s="2463"/>
      <c r="BP491" s="2464"/>
      <c r="BR491" s="2463"/>
      <c r="BS491" s="2463"/>
      <c r="BU491" s="2465"/>
      <c r="BW491" s="2463"/>
      <c r="BX491" s="2457"/>
      <c r="BZ491" s="2463"/>
      <c r="CA491" s="2462"/>
      <c r="CB491" s="2463"/>
      <c r="CC491" s="2464"/>
      <c r="CE491" s="2463"/>
      <c r="CF491" s="2464"/>
      <c r="CG491" s="2463"/>
      <c r="CH491" s="2449" t="s">
        <v>1212</v>
      </c>
      <c r="CI491" s="2449"/>
      <c r="CJ491" s="2450"/>
      <c r="CK491" s="2450"/>
      <c r="CP491" s="2478">
        <f t="shared" si="268"/>
        <v>0</v>
      </c>
      <c r="CQ491" s="2478"/>
      <c r="CR491" s="2478"/>
      <c r="CS491" s="2478"/>
      <c r="CT491" s="2478"/>
    </row>
    <row r="492" spans="1:98" hidden="1" x14ac:dyDescent="0.2">
      <c r="A492" s="2395">
        <v>295</v>
      </c>
      <c r="B492" s="2440" t="s">
        <v>1214</v>
      </c>
      <c r="C492" s="2396">
        <v>29501</v>
      </c>
      <c r="D492" s="2396">
        <v>51121</v>
      </c>
      <c r="E492" s="2397" t="s">
        <v>59</v>
      </c>
      <c r="F492" s="2440" t="s">
        <v>1214</v>
      </c>
      <c r="G492" s="2440" t="s">
        <v>1893</v>
      </c>
      <c r="H492" s="2466">
        <v>3222</v>
      </c>
      <c r="I492" s="2523">
        <v>64.44</v>
      </c>
      <c r="J492" s="2466">
        <f>H492+I492</f>
        <v>3286.44</v>
      </c>
      <c r="K492" s="2468">
        <f>IF(H492=0," ",(J492-H492)/H492)</f>
        <v>2.0000000000000018E-2</v>
      </c>
      <c r="M492" s="2520">
        <v>3287</v>
      </c>
      <c r="N492" s="2520">
        <v>3287</v>
      </c>
      <c r="P492" s="2522"/>
      <c r="R492" s="2519">
        <v>3287</v>
      </c>
      <c r="S492" s="2519">
        <v>3287</v>
      </c>
      <c r="U492" s="2519">
        <v>3287</v>
      </c>
      <c r="V492" s="2523">
        <v>0</v>
      </c>
      <c r="W492" s="2466">
        <f>U492+V492</f>
        <v>3287</v>
      </c>
      <c r="X492" s="2468">
        <f>IF(U492=0," ",(W492-U492)/U492)</f>
        <v>0</v>
      </c>
      <c r="Z492" s="2520">
        <v>3287</v>
      </c>
      <c r="AA492" s="2520">
        <v>3287</v>
      </c>
      <c r="AC492" s="2522"/>
      <c r="AE492" s="2519">
        <v>3287</v>
      </c>
      <c r="AF492" s="2524">
        <v>3287</v>
      </c>
      <c r="AH492" s="2519">
        <v>3287</v>
      </c>
      <c r="AI492" s="2523">
        <v>65</v>
      </c>
      <c r="AJ492" s="2466">
        <f>AH492+AI492</f>
        <v>3352</v>
      </c>
      <c r="AK492" s="2468">
        <f>IF(AH492=0," ",(AJ492-AH492)/AH492)</f>
        <v>1.9774870702768482E-2</v>
      </c>
      <c r="AM492" s="2520">
        <v>3352</v>
      </c>
      <c r="AN492" s="2520">
        <v>3352</v>
      </c>
      <c r="AP492" s="2469" t="s">
        <v>1873</v>
      </c>
      <c r="AR492" s="2519">
        <v>3352</v>
      </c>
      <c r="AS492" s="2466">
        <v>3351.96</v>
      </c>
      <c r="AT492" s="2466"/>
      <c r="AU492" s="2466">
        <v>3352</v>
      </c>
      <c r="AV492" s="2466">
        <v>3352</v>
      </c>
      <c r="AX492" s="2466">
        <v>3352</v>
      </c>
      <c r="AY492" s="2523"/>
      <c r="AZ492" s="2466">
        <f>AX492+AY492</f>
        <v>3352</v>
      </c>
      <c r="BA492" s="2468">
        <f>IF(AX492=0," ",(AZ492-AX492)/AX492)</f>
        <v>0</v>
      </c>
      <c r="BC492" s="2467">
        <v>3352</v>
      </c>
      <c r="BD492" s="2467">
        <v>3352</v>
      </c>
      <c r="BF492" s="2469"/>
      <c r="BH492" s="2467">
        <v>3352</v>
      </c>
      <c r="BI492" s="2519">
        <v>3352</v>
      </c>
      <c r="BM492" s="2466">
        <v>3352</v>
      </c>
      <c r="BN492" s="2523"/>
      <c r="BO492" s="2472">
        <f>BM492+BN492</f>
        <v>3352</v>
      </c>
      <c r="BP492" s="2473">
        <f>IF(BM492=0," ",(BO492-BM492)/BM492)</f>
        <v>0</v>
      </c>
      <c r="BR492" s="2474">
        <v>3352</v>
      </c>
      <c r="BS492" s="2474">
        <v>3352</v>
      </c>
      <c r="BU492" s="2475"/>
      <c r="BW492" s="2474">
        <v>3352</v>
      </c>
      <c r="BX492" s="2519">
        <v>1675.98</v>
      </c>
      <c r="BZ492" s="2474">
        <v>3352</v>
      </c>
      <c r="CA492" s="2523"/>
      <c r="CB492" s="2472">
        <f>BZ492+CA492</f>
        <v>3352</v>
      </c>
      <c r="CC492" s="2473">
        <f>IF(BZ492=0," ",(CB492-BZ492)/BZ492)</f>
        <v>0</v>
      </c>
      <c r="CE492" s="2474">
        <v>3352</v>
      </c>
      <c r="CF492" s="2476">
        <f>IF(CB492=0," ",(CE492-CB492)/CB492)</f>
        <v>0</v>
      </c>
      <c r="CG492" s="2474">
        <v>3352</v>
      </c>
      <c r="CH492" s="2449" t="s">
        <v>1217</v>
      </c>
      <c r="CI492" s="2449"/>
      <c r="CJ492" s="2450"/>
      <c r="CK492" s="2450"/>
      <c r="CO492" s="2477">
        <v>0</v>
      </c>
      <c r="CP492" s="2478">
        <f t="shared" si="268"/>
        <v>0</v>
      </c>
      <c r="CQ492" s="2478"/>
      <c r="CR492" s="2478"/>
      <c r="CS492" s="2478"/>
      <c r="CT492" s="2478"/>
    </row>
    <row r="493" spans="1:98" hidden="1" x14ac:dyDescent="0.2">
      <c r="H493" s="2560">
        <f>SUM(H492)</f>
        <v>3222</v>
      </c>
      <c r="I493" s="2560">
        <f>SUM(I492)</f>
        <v>64.44</v>
      </c>
      <c r="J493" s="2560">
        <f>SUM(J492)</f>
        <v>3286.44</v>
      </c>
      <c r="K493" s="2561">
        <f>IF(H493=0," ",(J493-H493)/H493)</f>
        <v>2.0000000000000018E-2</v>
      </c>
      <c r="M493" s="2560">
        <f>SUM(M492)</f>
        <v>3287</v>
      </c>
      <c r="N493" s="2560">
        <f>SUM(N492)</f>
        <v>3287</v>
      </c>
      <c r="P493" s="2562">
        <f>SUM(P492)</f>
        <v>0</v>
      </c>
      <c r="R493" s="2560">
        <f>SUM(R492)</f>
        <v>3287</v>
      </c>
      <c r="S493" s="2560">
        <f>SUM(S492)</f>
        <v>3287</v>
      </c>
      <c r="U493" s="2560">
        <f>SUM(U492)</f>
        <v>3287</v>
      </c>
      <c r="V493" s="2560">
        <f>SUM(V492)</f>
        <v>0</v>
      </c>
      <c r="W493" s="2560">
        <f>SUM(W492)</f>
        <v>3287</v>
      </c>
      <c r="X493" s="2561">
        <f>IF(U493=0," ",(W493-U493)/U493)</f>
        <v>0</v>
      </c>
      <c r="Z493" s="2560">
        <f>SUM(Z492)</f>
        <v>3287</v>
      </c>
      <c r="AA493" s="2560">
        <f>SUM(AA492)</f>
        <v>3287</v>
      </c>
      <c r="AC493" s="2562"/>
      <c r="AE493" s="2560">
        <f>SUM(AE492)</f>
        <v>3287</v>
      </c>
      <c r="AF493" s="2563">
        <f>SUM(AF492)</f>
        <v>3287</v>
      </c>
      <c r="AH493" s="2560">
        <v>3287</v>
      </c>
      <c r="AI493" s="2560">
        <f>SUM(AI492)</f>
        <v>65</v>
      </c>
      <c r="AJ493" s="2560">
        <f>SUM(AJ492)</f>
        <v>3352</v>
      </c>
      <c r="AK493" s="2561">
        <f>IF(AH493=0," ",(AJ493-AH493)/AH493)</f>
        <v>1.9774870702768482E-2</v>
      </c>
      <c r="AM493" s="2560">
        <f>SUM(AM492)</f>
        <v>3352</v>
      </c>
      <c r="AN493" s="2560">
        <f>SUM(AN492)</f>
        <v>3352</v>
      </c>
      <c r="AP493" s="2562"/>
      <c r="AR493" s="2560">
        <f>SUM(AR492)</f>
        <v>3352</v>
      </c>
      <c r="AS493" s="2560">
        <f>SUM(AS492)</f>
        <v>3351.96</v>
      </c>
      <c r="AT493" s="2560"/>
      <c r="AU493" s="2560">
        <f>SUM(AU492)</f>
        <v>3352</v>
      </c>
      <c r="AV493" s="2560">
        <f>SUM(AV492)</f>
        <v>3352</v>
      </c>
      <c r="AX493" s="2560">
        <f>SUM(AX492)</f>
        <v>3352</v>
      </c>
      <c r="AY493" s="2560">
        <f>SUM(AY492)</f>
        <v>0</v>
      </c>
      <c r="AZ493" s="2560">
        <f>SUM(AZ492)</f>
        <v>3352</v>
      </c>
      <c r="BA493" s="2561">
        <f>IF(AX493=0," ",(AZ493-AX493)/AX493)</f>
        <v>0</v>
      </c>
      <c r="BC493" s="2560">
        <f>SUM(BC492)</f>
        <v>3352</v>
      </c>
      <c r="BD493" s="2560">
        <f>SUM(BD492)</f>
        <v>3352</v>
      </c>
      <c r="BF493" s="2562"/>
      <c r="BH493" s="2560">
        <f>SUM(BH492)</f>
        <v>3352</v>
      </c>
      <c r="BI493" s="2560">
        <f>SUM(BI492)</f>
        <v>3352</v>
      </c>
      <c r="BM493" s="2560">
        <f>SUM(BM492)</f>
        <v>3352</v>
      </c>
      <c r="BN493" s="2560">
        <f>SUM(BN492)</f>
        <v>0</v>
      </c>
      <c r="BO493" s="2564">
        <f>SUM(BO492)</f>
        <v>3352</v>
      </c>
      <c r="BP493" s="2565">
        <f>IF(BM493=0," ",(BO493-BM493)/BM493)</f>
        <v>0</v>
      </c>
      <c r="BR493" s="2564">
        <f>SUM(BR492)</f>
        <v>3352</v>
      </c>
      <c r="BS493" s="2564">
        <f>SUM(BS492)</f>
        <v>3352</v>
      </c>
      <c r="BU493" s="2566"/>
      <c r="BW493" s="2564">
        <f>SUM(BW492)</f>
        <v>3352</v>
      </c>
      <c r="BX493" s="2560">
        <f>SUM(BX492)</f>
        <v>1675.98</v>
      </c>
      <c r="BZ493" s="2564">
        <f>SUM(BZ492)</f>
        <v>3352</v>
      </c>
      <c r="CA493" s="2564">
        <f>SUM(CA492)</f>
        <v>0</v>
      </c>
      <c r="CB493" s="2564">
        <f>SUM(CB492)</f>
        <v>3352</v>
      </c>
      <c r="CC493" s="2565">
        <f>IF(BZ493=0," ",(CB493-BZ493)/BZ493)</f>
        <v>0</v>
      </c>
      <c r="CE493" s="2564">
        <f>SUM(CE492)</f>
        <v>3352</v>
      </c>
      <c r="CF493" s="2565">
        <f>IF(CB493=0," ",(CE493-CB493)/CB493)</f>
        <v>0</v>
      </c>
      <c r="CG493" s="2564">
        <f>SUM(CG492)</f>
        <v>3352</v>
      </c>
      <c r="CH493" s="2449" t="s">
        <v>1243</v>
      </c>
      <c r="CI493" s="2449"/>
      <c r="CJ493" s="2450"/>
      <c r="CK493" s="2450"/>
      <c r="CO493" s="2477">
        <v>0</v>
      </c>
      <c r="CP493" s="2478">
        <f t="shared" si="268"/>
        <v>0</v>
      </c>
      <c r="CQ493" s="2478"/>
      <c r="CR493" s="2478"/>
      <c r="CS493" s="2478"/>
      <c r="CT493" s="2478"/>
    </row>
    <row r="494" spans="1:98" hidden="1" x14ac:dyDescent="0.2">
      <c r="AS494" s="2466"/>
      <c r="AT494" s="2466"/>
      <c r="BZ494" s="2472"/>
      <c r="CH494" s="2449" t="s">
        <v>1091</v>
      </c>
      <c r="CI494" s="2449"/>
      <c r="CJ494" s="2450"/>
      <c r="CK494" s="2450"/>
      <c r="CP494" s="2478">
        <f t="shared" si="268"/>
        <v>0</v>
      </c>
      <c r="CQ494" s="2478"/>
      <c r="CR494" s="2478"/>
      <c r="CS494" s="2478"/>
      <c r="CT494" s="2478"/>
    </row>
    <row r="495" spans="1:98" hidden="1" x14ac:dyDescent="0.2">
      <c r="A495" s="2395">
        <v>295</v>
      </c>
      <c r="B495" s="2440" t="s">
        <v>1214</v>
      </c>
      <c r="C495" s="2396">
        <v>29502</v>
      </c>
      <c r="D495" s="2396">
        <v>51310</v>
      </c>
      <c r="E495" s="2397" t="s">
        <v>319</v>
      </c>
      <c r="F495" s="2440" t="s">
        <v>1214</v>
      </c>
      <c r="G495" s="2440" t="s">
        <v>1894</v>
      </c>
      <c r="H495" s="2466">
        <v>3530</v>
      </c>
      <c r="I495" s="2470"/>
      <c r="J495" s="2466">
        <f>H495+I495</f>
        <v>3530</v>
      </c>
      <c r="K495" s="2468">
        <f>IF(H495=0," ",(J495-H495)/H495)</f>
        <v>0</v>
      </c>
      <c r="M495" s="2467">
        <v>3530</v>
      </c>
      <c r="N495" s="2467">
        <v>3530</v>
      </c>
      <c r="P495" s="2469"/>
      <c r="R495" s="2466">
        <v>3530</v>
      </c>
      <c r="S495" s="2466">
        <v>3132.62</v>
      </c>
      <c r="U495" s="2466">
        <v>3530</v>
      </c>
      <c r="V495" s="2470">
        <v>0</v>
      </c>
      <c r="W495" s="2466">
        <f>U495+V495</f>
        <v>3530</v>
      </c>
      <c r="X495" s="2468">
        <f>IF(U495=0," ",(W495-U495)/U495)</f>
        <v>0</v>
      </c>
      <c r="Z495" s="2467">
        <v>3530</v>
      </c>
      <c r="AA495" s="2467">
        <v>3530</v>
      </c>
      <c r="AC495" s="2469"/>
      <c r="AE495" s="2466">
        <v>3530</v>
      </c>
      <c r="AF495" s="2471">
        <v>2055.33</v>
      </c>
      <c r="AH495" s="2466">
        <v>3530</v>
      </c>
      <c r="AI495" s="2470"/>
      <c r="AJ495" s="2466">
        <f>AH495+AI495</f>
        <v>3530</v>
      </c>
      <c r="AK495" s="2468">
        <f>IF(AH495=0," ",(AJ495-AH495)/AH495)</f>
        <v>0</v>
      </c>
      <c r="AM495" s="2467">
        <v>3530</v>
      </c>
      <c r="AN495" s="2467">
        <v>3530</v>
      </c>
      <c r="AP495" s="2469"/>
      <c r="AR495" s="2466">
        <v>3530</v>
      </c>
      <c r="AS495" s="2466">
        <v>1885.66</v>
      </c>
      <c r="AT495" s="2466"/>
      <c r="AU495" s="2466">
        <v>3530</v>
      </c>
      <c r="AV495" s="2466">
        <v>3595.73</v>
      </c>
      <c r="AX495" s="2466">
        <v>3530</v>
      </c>
      <c r="AY495" s="2470"/>
      <c r="AZ495" s="2466">
        <f>AX495+AY495</f>
        <v>3530</v>
      </c>
      <c r="BA495" s="2468">
        <f>IF(AX495=0," ",(AZ495-AX495)/AX495)</f>
        <v>0</v>
      </c>
      <c r="BC495" s="2467">
        <v>3530</v>
      </c>
      <c r="BD495" s="2467">
        <v>3530</v>
      </c>
      <c r="BF495" s="2469"/>
      <c r="BH495" s="2467">
        <v>3530</v>
      </c>
      <c r="BI495" s="2466">
        <v>2926.59</v>
      </c>
      <c r="BM495" s="2466">
        <v>3530</v>
      </c>
      <c r="BN495" s="2470"/>
      <c r="BO495" s="2472">
        <f>BM495+BN495</f>
        <v>3530</v>
      </c>
      <c r="BP495" s="2473">
        <f>IF(BM495=0," ",(BO495-BM495)/BM495)</f>
        <v>0</v>
      </c>
      <c r="BR495" s="2474">
        <v>3530</v>
      </c>
      <c r="BS495" s="2474">
        <v>3530</v>
      </c>
      <c r="BU495" s="2475"/>
      <c r="BW495" s="2474">
        <v>3530</v>
      </c>
      <c r="BX495" s="2466">
        <v>1710.34</v>
      </c>
      <c r="BZ495" s="2474">
        <v>3530</v>
      </c>
      <c r="CA495" s="2470"/>
      <c r="CB495" s="2472">
        <f>BZ495+CA495</f>
        <v>3530</v>
      </c>
      <c r="CC495" s="2473">
        <f>IF(BZ495=0," ",(CB495-BZ495)/BZ495)</f>
        <v>0</v>
      </c>
      <c r="CE495" s="2474">
        <v>3530</v>
      </c>
      <c r="CF495" s="2476">
        <f>IF(CB495=0," ",(CE495-CB495)/CB495)</f>
        <v>0</v>
      </c>
      <c r="CG495" s="2474">
        <v>3530</v>
      </c>
      <c r="CH495" s="2449" t="s">
        <v>1217</v>
      </c>
      <c r="CI495" s="2449"/>
      <c r="CJ495" s="2450"/>
      <c r="CK495" s="2450"/>
      <c r="CO495" s="2477">
        <v>-0.17093767705382434</v>
      </c>
      <c r="CP495" s="2478">
        <f t="shared" si="268"/>
        <v>-603.40999999999985</v>
      </c>
      <c r="CQ495" s="2478"/>
      <c r="CR495" s="2478"/>
      <c r="CS495" s="2478"/>
      <c r="CT495" s="2478"/>
    </row>
    <row r="496" spans="1:98" hidden="1" x14ac:dyDescent="0.2">
      <c r="A496" s="2395">
        <v>295</v>
      </c>
      <c r="B496" s="2440" t="s">
        <v>1214</v>
      </c>
      <c r="C496" s="2396">
        <v>29502</v>
      </c>
      <c r="D496" s="2396">
        <v>51970</v>
      </c>
      <c r="E496" s="2397" t="s">
        <v>319</v>
      </c>
      <c r="F496" s="2440" t="s">
        <v>1214</v>
      </c>
      <c r="G496" s="2440" t="s">
        <v>1895</v>
      </c>
      <c r="H496" s="2466">
        <v>0</v>
      </c>
      <c r="I496" s="2470"/>
      <c r="J496" s="2466">
        <f>H496+I496</f>
        <v>0</v>
      </c>
      <c r="K496" s="2468" t="str">
        <f>IF(H496=0," ",(J496-H496)/H496)</f>
        <v xml:space="preserve"> </v>
      </c>
      <c r="M496" s="2467"/>
      <c r="N496" s="2467">
        <v>0</v>
      </c>
      <c r="P496" s="2469"/>
      <c r="S496" s="2466">
        <v>120</v>
      </c>
      <c r="V496" s="2470">
        <v>0</v>
      </c>
      <c r="W496" s="2466">
        <f>U496+V496</f>
        <v>0</v>
      </c>
      <c r="X496" s="2468" t="str">
        <f>IF(U496=0," ",(W496-U496)/U496)</f>
        <v xml:space="preserve"> </v>
      </c>
      <c r="Z496" s="2467">
        <v>0</v>
      </c>
      <c r="AA496" s="2467">
        <v>0</v>
      </c>
      <c r="AC496" s="2469"/>
      <c r="AE496" s="2466">
        <v>0</v>
      </c>
      <c r="AF496" s="2471">
        <v>40</v>
      </c>
      <c r="AH496" s="2466">
        <v>0</v>
      </c>
      <c r="AI496" s="2470"/>
      <c r="AJ496" s="2466">
        <f>AH496+AI496</f>
        <v>0</v>
      </c>
      <c r="AK496" s="2468" t="str">
        <f>IF(AH496=0," ",(AJ496-AH496)/AH496)</f>
        <v xml:space="preserve"> </v>
      </c>
      <c r="AM496" s="2467">
        <v>0</v>
      </c>
      <c r="AN496" s="2467">
        <v>0</v>
      </c>
      <c r="AP496" s="2469"/>
      <c r="AR496" s="2466">
        <v>0</v>
      </c>
      <c r="AS496" s="2466">
        <v>20</v>
      </c>
      <c r="AT496" s="2466"/>
      <c r="AV496" s="2466">
        <v>90</v>
      </c>
      <c r="AY496" s="2470"/>
      <c r="AZ496" s="2466">
        <f>AX496+AY496</f>
        <v>0</v>
      </c>
      <c r="BA496" s="2468" t="str">
        <f>IF(AX496=0," ",(AZ496-AX496)/AX496)</f>
        <v xml:space="preserve"> </v>
      </c>
      <c r="BC496" s="2467"/>
      <c r="BD496" s="2467"/>
      <c r="BF496" s="2469"/>
      <c r="BH496" s="2467"/>
      <c r="BI496" s="2466">
        <v>20</v>
      </c>
      <c r="BN496" s="2470"/>
      <c r="BO496" s="2472">
        <f>BM496+BN496</f>
        <v>0</v>
      </c>
      <c r="BP496" s="2473" t="str">
        <f>IF(BM496=0," ",(BO496-BM496)/BM496)</f>
        <v xml:space="preserve"> </v>
      </c>
      <c r="BR496" s="2474">
        <v>0</v>
      </c>
      <c r="BS496" s="2474">
        <v>0</v>
      </c>
      <c r="BU496" s="2475"/>
      <c r="BW496" s="2474">
        <v>0</v>
      </c>
      <c r="BZ496" s="2474">
        <v>0</v>
      </c>
      <c r="CA496" s="2470"/>
      <c r="CB496" s="2472">
        <f>BZ496+CA496</f>
        <v>0</v>
      </c>
      <c r="CC496" s="2473" t="str">
        <f>IF(BZ496=0," ",(CB496-BZ496)/BZ496)</f>
        <v xml:space="preserve"> </v>
      </c>
      <c r="CE496" s="2474">
        <v>0</v>
      </c>
      <c r="CF496" s="2476" t="str">
        <f>IF(CB496=0," ",(CE496-CB496)/CB496)</f>
        <v xml:space="preserve"> </v>
      </c>
      <c r="CG496" s="2474">
        <v>0</v>
      </c>
      <c r="CH496" s="2449" t="s">
        <v>1217</v>
      </c>
      <c r="CI496" s="2449"/>
      <c r="CJ496" s="2450"/>
      <c r="CK496" s="2450"/>
      <c r="CO496" s="2477" t="s">
        <v>1257</v>
      </c>
      <c r="CP496" s="2478">
        <f t="shared" si="268"/>
        <v>20</v>
      </c>
      <c r="CQ496" s="2478"/>
      <c r="CR496" s="2478"/>
      <c r="CS496" s="2478"/>
      <c r="CT496" s="2478"/>
    </row>
    <row r="497" spans="1:98" hidden="1" x14ac:dyDescent="0.2">
      <c r="H497" s="2560">
        <f>SUM(H495:H496)</f>
        <v>3530</v>
      </c>
      <c r="I497" s="2560">
        <f>SUM(I495:I496)</f>
        <v>0</v>
      </c>
      <c r="J497" s="2560">
        <f>SUM(J495:J496)</f>
        <v>3530</v>
      </c>
      <c r="K497" s="2561">
        <f>IF(H497=0," ",(J497-H497)/H497)</f>
        <v>0</v>
      </c>
      <c r="M497" s="2560">
        <f>SUM(M495:M496)</f>
        <v>3530</v>
      </c>
      <c r="N497" s="2560">
        <f>SUM(N495:N496)</f>
        <v>3530</v>
      </c>
      <c r="P497" s="2562">
        <f>SUM(P495)</f>
        <v>0</v>
      </c>
      <c r="R497" s="2560">
        <f>SUM(R495:R496)</f>
        <v>3530</v>
      </c>
      <c r="S497" s="2560">
        <f>SUM(S495:S496)</f>
        <v>3252.62</v>
      </c>
      <c r="U497" s="2560">
        <f>SUM(U495:U496)</f>
        <v>3530</v>
      </c>
      <c r="V497" s="2560">
        <f>SUM(V495:V496)</f>
        <v>0</v>
      </c>
      <c r="W497" s="2560">
        <f>SUM(W495:W496)</f>
        <v>3530</v>
      </c>
      <c r="X497" s="2561">
        <f>IF(U497=0," ",(W497-U497)/U497)</f>
        <v>0</v>
      </c>
      <c r="Z497" s="2560">
        <f>SUM(Z495:Z496)</f>
        <v>3530</v>
      </c>
      <c r="AA497" s="2560">
        <f>SUM(AA495:AA496)</f>
        <v>3530</v>
      </c>
      <c r="AC497" s="2562"/>
      <c r="AE497" s="2560">
        <f>SUM(AE495:AE496)</f>
        <v>3530</v>
      </c>
      <c r="AF497" s="2560">
        <f>SUM(AF495:AF496)</f>
        <v>2095.33</v>
      </c>
      <c r="AH497" s="2560">
        <f>SUM(AH495:AH496)</f>
        <v>3530</v>
      </c>
      <c r="AI497" s="2560">
        <f>SUM(AI495:AI496)</f>
        <v>0</v>
      </c>
      <c r="AJ497" s="2560">
        <f>SUM(AJ495:AJ496)</f>
        <v>3530</v>
      </c>
      <c r="AK497" s="2561">
        <f>IF(AH497=0," ",(AJ497-AH497)/AH497)</f>
        <v>0</v>
      </c>
      <c r="AM497" s="2560">
        <f>SUM(AM495:AM496)</f>
        <v>3530</v>
      </c>
      <c r="AN497" s="2560">
        <f>SUM(AN495:AN496)</f>
        <v>3530</v>
      </c>
      <c r="AP497" s="2562"/>
      <c r="AR497" s="2560">
        <f>SUM(AR495:AR496)</f>
        <v>3530</v>
      </c>
      <c r="AS497" s="2560">
        <f>SUM(AS495:AS496)</f>
        <v>1905.66</v>
      </c>
      <c r="AT497" s="2560"/>
      <c r="AU497" s="2560">
        <f>SUM(AU495:AU496)</f>
        <v>3530</v>
      </c>
      <c r="AV497" s="2560">
        <f>SUM(AV495:AV496)</f>
        <v>3685.73</v>
      </c>
      <c r="AX497" s="2560">
        <f>SUM(AX495:AX496)</f>
        <v>3530</v>
      </c>
      <c r="AY497" s="2560">
        <f>SUM(AY495:AY496)</f>
        <v>0</v>
      </c>
      <c r="AZ497" s="2560">
        <f>SUM(AZ495:AZ496)</f>
        <v>3530</v>
      </c>
      <c r="BA497" s="2561">
        <f>IF(AX497=0," ",(AZ497-AX497)/AX497)</f>
        <v>0</v>
      </c>
      <c r="BC497" s="2560">
        <f>SUM(BC495:BC496)</f>
        <v>3530</v>
      </c>
      <c r="BD497" s="2560">
        <f>SUM(BD495:BD496)</f>
        <v>3530</v>
      </c>
      <c r="BF497" s="2562"/>
      <c r="BH497" s="2560">
        <f>SUM(BH495:BH496)</f>
        <v>3530</v>
      </c>
      <c r="BI497" s="2560">
        <f>SUM(BI495:BI496)</f>
        <v>2946.59</v>
      </c>
      <c r="BM497" s="2560">
        <f>SUM(BM495:BM496)</f>
        <v>3530</v>
      </c>
      <c r="BN497" s="2560">
        <f>SUM(BN495:BN496)</f>
        <v>0</v>
      </c>
      <c r="BO497" s="2560">
        <f>SUM(BO495:BO496)</f>
        <v>3530</v>
      </c>
      <c r="BP497" s="2565">
        <f>IF(BM497=0," ",(BO497-BM497)/BM497)</f>
        <v>0</v>
      </c>
      <c r="BR497" s="2560">
        <f>SUM(BR495:BR496)</f>
        <v>3530</v>
      </c>
      <c r="BS497" s="2560">
        <f>SUM(BS495:BS496)</f>
        <v>3530</v>
      </c>
      <c r="BU497" s="2566"/>
      <c r="BW497" s="2560">
        <f>SUM(BW495:BW496)</f>
        <v>3530</v>
      </c>
      <c r="BX497" s="2560">
        <f>SUM(BX495:BX496)</f>
        <v>1710.34</v>
      </c>
      <c r="BZ497" s="2560">
        <f>SUM(BZ495:BZ496)</f>
        <v>3530</v>
      </c>
      <c r="CA497" s="2560">
        <f>SUM(CA495:CA496)</f>
        <v>0</v>
      </c>
      <c r="CB497" s="2560">
        <f>SUM(CB495:CB496)</f>
        <v>3530</v>
      </c>
      <c r="CC497" s="2565">
        <f>IF(BZ497=0," ",(CB497-BZ497)/BZ497)</f>
        <v>0</v>
      </c>
      <c r="CE497" s="2560">
        <f>SUM(CE495:CE496)</f>
        <v>3530</v>
      </c>
      <c r="CF497" s="2565">
        <f>IF(CB497=0," ",(CE497-CB497)/CB497)</f>
        <v>0</v>
      </c>
      <c r="CG497" s="2560">
        <f>SUM(CG495:CG496)</f>
        <v>3530</v>
      </c>
      <c r="CH497" s="2449" t="s">
        <v>1243</v>
      </c>
      <c r="CI497" s="2449"/>
      <c r="CJ497" s="2450"/>
      <c r="CK497" s="2450"/>
      <c r="CO497" s="2477">
        <v>-0.16527195467422096</v>
      </c>
      <c r="CP497" s="2478">
        <f t="shared" si="268"/>
        <v>-583.40999999999985</v>
      </c>
      <c r="CQ497" s="2478"/>
      <c r="CR497" s="2478"/>
      <c r="CS497" s="2478"/>
      <c r="CT497" s="2478"/>
    </row>
    <row r="498" spans="1:98" hidden="1" x14ac:dyDescent="0.2">
      <c r="AS498" s="2466"/>
      <c r="AT498" s="2466"/>
      <c r="BZ498" s="2472"/>
      <c r="CH498" s="2449" t="s">
        <v>1091</v>
      </c>
      <c r="CI498" s="2449"/>
      <c r="CJ498" s="2450"/>
      <c r="CK498" s="2450"/>
      <c r="CP498" s="2478">
        <f t="shared" si="268"/>
        <v>0</v>
      </c>
      <c r="CQ498" s="2478"/>
      <c r="CR498" s="2478"/>
      <c r="CS498" s="2478"/>
      <c r="CT498" s="2478"/>
    </row>
    <row r="499" spans="1:98" s="2485" customFormat="1" hidden="1" x14ac:dyDescent="0.2">
      <c r="A499" s="2532"/>
      <c r="B499" s="2533"/>
      <c r="C499" s="2534"/>
      <c r="D499" s="2534"/>
      <c r="E499" s="2535"/>
      <c r="F499" s="2533"/>
      <c r="G499" s="2654" t="s">
        <v>1896</v>
      </c>
      <c r="H499" s="2536">
        <f>H493+H497</f>
        <v>6752</v>
      </c>
      <c r="I499" s="2536">
        <f>I493+I497</f>
        <v>64.44</v>
      </c>
      <c r="J499" s="2536">
        <f>J493+J497</f>
        <v>6816.4400000000005</v>
      </c>
      <c r="K499" s="2484">
        <f>IF(H499=0," ",(J499-H499)/H499)</f>
        <v>9.5438388625593163E-3</v>
      </c>
      <c r="M499" s="2536">
        <f>M493+M497</f>
        <v>6817</v>
      </c>
      <c r="N499" s="2536">
        <f>N493+N497</f>
        <v>6817</v>
      </c>
      <c r="P499" s="2537">
        <f>P493+P497</f>
        <v>0</v>
      </c>
      <c r="R499" s="2536">
        <f>R493+R497</f>
        <v>6817</v>
      </c>
      <c r="S499" s="2536">
        <f>S493+S497</f>
        <v>6539.62</v>
      </c>
      <c r="U499" s="2536">
        <f>U493+U497</f>
        <v>6817</v>
      </c>
      <c r="V499" s="2536">
        <f>V493+V497</f>
        <v>0</v>
      </c>
      <c r="W499" s="2536">
        <f>W493+W497</f>
        <v>6817</v>
      </c>
      <c r="X499" s="2484">
        <f>IF(U499=0," ",(W499-U499)/U499)</f>
        <v>0</v>
      </c>
      <c r="Z499" s="2536">
        <f>Z493+Z497</f>
        <v>6817</v>
      </c>
      <c r="AA499" s="2536">
        <f>AA493+AA497</f>
        <v>6817</v>
      </c>
      <c r="AC499" s="2537"/>
      <c r="AE499" s="2536">
        <f>AE493+AE497</f>
        <v>6817</v>
      </c>
      <c r="AF499" s="2538">
        <f>AF493+AF497</f>
        <v>5382.33</v>
      </c>
      <c r="AH499" s="2536">
        <v>6817</v>
      </c>
      <c r="AI499" s="2536">
        <f>AI493+AI497</f>
        <v>65</v>
      </c>
      <c r="AJ499" s="2536">
        <f>AJ493+AJ497</f>
        <v>6882</v>
      </c>
      <c r="AK499" s="2484">
        <f>IF(AH499=0," ",(AJ499-AH499)/AH499)</f>
        <v>9.5349860642511362E-3</v>
      </c>
      <c r="AM499" s="2536">
        <f>AM493+AM497</f>
        <v>6882</v>
      </c>
      <c r="AN499" s="2536">
        <f>AN493+AN497</f>
        <v>6882</v>
      </c>
      <c r="AP499" s="2537"/>
      <c r="AR499" s="2536">
        <f>AR493+AR497</f>
        <v>6882</v>
      </c>
      <c r="AS499" s="2536">
        <f>AS493+AS497</f>
        <v>5257.62</v>
      </c>
      <c r="AT499" s="2536"/>
      <c r="AU499" s="2536">
        <f>AU493+AU497</f>
        <v>6882</v>
      </c>
      <c r="AV499" s="2536">
        <f>AV493+AV497</f>
        <v>7037.73</v>
      </c>
      <c r="AX499" s="2536">
        <f>AX493+AX497</f>
        <v>6882</v>
      </c>
      <c r="AY499" s="2536">
        <f>AY493+AY497</f>
        <v>0</v>
      </c>
      <c r="AZ499" s="2536">
        <f>AZ493+AZ497</f>
        <v>6882</v>
      </c>
      <c r="BA499" s="2484">
        <f>IF(AX499=0," ",(AZ499-AX499)/AX499)</f>
        <v>0</v>
      </c>
      <c r="BC499" s="2536">
        <f>BC493+BC497</f>
        <v>6882</v>
      </c>
      <c r="BD499" s="2536">
        <f>BD493+BD497</f>
        <v>6882</v>
      </c>
      <c r="BF499" s="2537"/>
      <c r="BH499" s="2536">
        <f>BH493+BH497</f>
        <v>6882</v>
      </c>
      <c r="BI499" s="2536">
        <f>BI493+BI497</f>
        <v>6298.59</v>
      </c>
      <c r="BJ499" s="2536"/>
      <c r="BK499" s="2536"/>
      <c r="BM499" s="2536">
        <f>BM493+BM497</f>
        <v>6882</v>
      </c>
      <c r="BN499" s="2539">
        <f>BN493+BN497</f>
        <v>0</v>
      </c>
      <c r="BO499" s="2540">
        <f>BO493+BO497</f>
        <v>6882</v>
      </c>
      <c r="BP499" s="2490">
        <f>IF(BM499=0," ",(BO499-BM499)/BM499)</f>
        <v>0</v>
      </c>
      <c r="BQ499" s="2491"/>
      <c r="BR499" s="2540">
        <f>BR493+BR497</f>
        <v>6882</v>
      </c>
      <c r="BS499" s="2540">
        <f>BS493+BS497</f>
        <v>6882</v>
      </c>
      <c r="BT499" s="2491"/>
      <c r="BU499" s="2541"/>
      <c r="BV499" s="2491"/>
      <c r="BW499" s="2540">
        <f>BW493+BW497</f>
        <v>6882</v>
      </c>
      <c r="BX499" s="2536">
        <f>BX493+BX497</f>
        <v>3386.3199999999997</v>
      </c>
      <c r="BZ499" s="2540">
        <f>BZ493+BZ497</f>
        <v>6882</v>
      </c>
      <c r="CA499" s="2539">
        <f>CA493+CA497</f>
        <v>0</v>
      </c>
      <c r="CB499" s="2540">
        <f>CB493+CB497</f>
        <v>6882</v>
      </c>
      <c r="CC499" s="2490">
        <f>IF(BZ499=0," ",(CB499-BZ499)/BZ499)</f>
        <v>0</v>
      </c>
      <c r="CD499" s="2491"/>
      <c r="CE499" s="2540">
        <v>6882</v>
      </c>
      <c r="CF499" s="2490">
        <f>IF(CB499=0," ",(CE499-CB499)/CB499)</f>
        <v>0</v>
      </c>
      <c r="CG499" s="2540">
        <f>CG493+CG497</f>
        <v>6882</v>
      </c>
      <c r="CH499" s="2449" t="s">
        <v>1220</v>
      </c>
      <c r="CI499" s="2449"/>
      <c r="CJ499" s="2450"/>
      <c r="CK499" s="2450"/>
      <c r="CL499" s="2451"/>
      <c r="CM499" s="2451"/>
      <c r="CN499" s="2451"/>
      <c r="CO499" s="2477">
        <v>-8.4773321708805582E-2</v>
      </c>
      <c r="CP499" s="2478">
        <f t="shared" si="268"/>
        <v>-583.40999999999985</v>
      </c>
      <c r="CQ499" s="2478"/>
      <c r="CR499" s="2478"/>
      <c r="CS499" s="2478"/>
      <c r="CT499" s="2478"/>
    </row>
    <row r="500" spans="1:98" hidden="1" x14ac:dyDescent="0.2">
      <c r="AS500" s="2466"/>
      <c r="AT500" s="2466"/>
      <c r="BZ500" s="2472"/>
      <c r="CH500" s="2449" t="s">
        <v>1091</v>
      </c>
      <c r="CI500" s="2449"/>
      <c r="CJ500" s="2450"/>
      <c r="CK500" s="2450"/>
      <c r="CP500" s="2478">
        <f t="shared" si="268"/>
        <v>0</v>
      </c>
      <c r="CQ500" s="2478"/>
      <c r="CR500" s="2478"/>
      <c r="CS500" s="2478"/>
      <c r="CT500" s="2478"/>
    </row>
    <row r="501" spans="1:98" hidden="1" x14ac:dyDescent="0.2">
      <c r="A501" s="2395">
        <v>295</v>
      </c>
      <c r="B501" s="2440" t="s">
        <v>1214</v>
      </c>
      <c r="C501" s="2396">
        <v>29505</v>
      </c>
      <c r="D501" s="2396">
        <v>52960</v>
      </c>
      <c r="E501" s="2397" t="s">
        <v>1268</v>
      </c>
      <c r="F501" s="2440" t="s">
        <v>1214</v>
      </c>
      <c r="G501" s="2440" t="s">
        <v>1897</v>
      </c>
      <c r="H501" s="2466">
        <v>6900</v>
      </c>
      <c r="I501" s="2470">
        <v>175</v>
      </c>
      <c r="J501" s="2466">
        <f>H501+I501</f>
        <v>7075</v>
      </c>
      <c r="K501" s="2468">
        <f>IF(H501=0," ",(J501-H501)/H501)</f>
        <v>2.5362318840579712E-2</v>
      </c>
      <c r="M501" s="2467">
        <v>7075</v>
      </c>
      <c r="N501" s="2467">
        <v>7075</v>
      </c>
      <c r="P501" s="2469"/>
      <c r="R501" s="2466">
        <v>7075</v>
      </c>
      <c r="S501" s="2466">
        <v>19500</v>
      </c>
      <c r="U501" s="2466">
        <v>7075</v>
      </c>
      <c r="V501" s="2470">
        <v>0</v>
      </c>
      <c r="W501" s="2466">
        <f>U501+V501</f>
        <v>7075</v>
      </c>
      <c r="X501" s="2468">
        <f>IF(U501=0," ",(W501-U501)/U501)</f>
        <v>0</v>
      </c>
      <c r="Z501" s="2467">
        <v>7075</v>
      </c>
      <c r="AA501" s="2467">
        <v>7075</v>
      </c>
      <c r="AC501" s="2469"/>
      <c r="AE501" s="2466">
        <v>7075</v>
      </c>
      <c r="AF501" s="2471">
        <v>15625</v>
      </c>
      <c r="AH501" s="2466">
        <v>7075</v>
      </c>
      <c r="AI501" s="2470"/>
      <c r="AJ501" s="2466">
        <f>AH501+AI501</f>
        <v>7075</v>
      </c>
      <c r="AK501" s="2468">
        <f>IF(AH501=0," ",(AJ501-AH501)/AH501)</f>
        <v>0</v>
      </c>
      <c r="AM501" s="2467">
        <v>7075</v>
      </c>
      <c r="AN501" s="2467">
        <v>7075</v>
      </c>
      <c r="AP501" s="2469"/>
      <c r="AR501" s="2466">
        <v>7075</v>
      </c>
      <c r="AS501" s="2466">
        <v>7400</v>
      </c>
      <c r="AT501" s="2466"/>
      <c r="AU501" s="2466">
        <v>7075</v>
      </c>
      <c r="AV501" s="2466">
        <v>7832.67</v>
      </c>
      <c r="AX501" s="2466">
        <v>7075</v>
      </c>
      <c r="AY501" s="2470"/>
      <c r="AZ501" s="2466">
        <f>AX501+AY501</f>
        <v>7075</v>
      </c>
      <c r="BA501" s="2468">
        <f>IF(AX501=0," ",(AZ501-AX501)/AX501)</f>
        <v>0</v>
      </c>
      <c r="BC501" s="2467">
        <v>7075</v>
      </c>
      <c r="BD501" s="2467">
        <v>7075</v>
      </c>
      <c r="BF501" s="2655" t="s">
        <v>1898</v>
      </c>
      <c r="BH501" s="2467">
        <v>7075</v>
      </c>
      <c r="BI501" s="2466">
        <v>5150</v>
      </c>
      <c r="BM501" s="2466">
        <v>7075</v>
      </c>
      <c r="BN501" s="2470"/>
      <c r="BO501" s="2472">
        <f>BM501+BN501</f>
        <v>7075</v>
      </c>
      <c r="BP501" s="2473">
        <f>IF(BM501=0," ",(BO501-BM501)/BM501)</f>
        <v>0</v>
      </c>
      <c r="BR501" s="2474">
        <v>7075</v>
      </c>
      <c r="BS501" s="2474">
        <v>7075</v>
      </c>
      <c r="BU501" s="2547" t="s">
        <v>1899</v>
      </c>
      <c r="BW501" s="2474">
        <v>7075</v>
      </c>
      <c r="BZ501" s="2474">
        <v>7075</v>
      </c>
      <c r="CA501" s="2470"/>
      <c r="CB501" s="2472">
        <f>BZ501+CA501</f>
        <v>7075</v>
      </c>
      <c r="CC501" s="2473">
        <f>IF(BZ501=0," ",(CB501-BZ501)/BZ501)</f>
        <v>0</v>
      </c>
      <c r="CE501" s="2474">
        <v>7075</v>
      </c>
      <c r="CF501" s="2476">
        <f>IF(CB501=0," ",(CE501-CB501)/CB501)</f>
        <v>0</v>
      </c>
      <c r="CG501" s="2474">
        <v>7075</v>
      </c>
      <c r="CH501" s="2449" t="s">
        <v>1217</v>
      </c>
      <c r="CI501" s="2449"/>
      <c r="CJ501" s="2450"/>
      <c r="CK501" s="2450"/>
      <c r="CO501" s="2477">
        <v>-0.27208480565371029</v>
      </c>
      <c r="CP501" s="2478">
        <f t="shared" si="268"/>
        <v>-1925</v>
      </c>
      <c r="CQ501" s="2478"/>
      <c r="CR501" s="2478"/>
      <c r="CS501" s="2478"/>
      <c r="CT501" s="2478"/>
    </row>
    <row r="502" spans="1:98" hidden="1" x14ac:dyDescent="0.2">
      <c r="A502" s="2395">
        <v>295</v>
      </c>
      <c r="B502" s="2440" t="s">
        <v>1214</v>
      </c>
      <c r="C502" s="2396">
        <v>29505</v>
      </c>
      <c r="D502" s="2396">
        <v>53870</v>
      </c>
      <c r="E502" s="2397" t="s">
        <v>1268</v>
      </c>
      <c r="F502" s="2440" t="s">
        <v>1214</v>
      </c>
      <c r="G502" s="2440" t="s">
        <v>1900</v>
      </c>
      <c r="H502" s="2466">
        <v>600</v>
      </c>
      <c r="I502" s="2470"/>
      <c r="J502" s="2466">
        <f>H502+I502</f>
        <v>600</v>
      </c>
      <c r="K502" s="2468">
        <f>IF(H502=0," ",(J502-H502)/H502)</f>
        <v>0</v>
      </c>
      <c r="M502" s="2467">
        <v>600</v>
      </c>
      <c r="N502" s="2467">
        <v>600</v>
      </c>
      <c r="P502" s="2469"/>
      <c r="R502" s="2466">
        <v>600</v>
      </c>
      <c r="S502" s="2466">
        <v>1700</v>
      </c>
      <c r="U502" s="2466">
        <v>600</v>
      </c>
      <c r="V502" s="2470">
        <v>0</v>
      </c>
      <c r="W502" s="2466">
        <f>U502+V502</f>
        <v>600</v>
      </c>
      <c r="X502" s="2468">
        <f>IF(U502=0," ",(W502-U502)/U502)</f>
        <v>0</v>
      </c>
      <c r="Z502" s="2467">
        <v>600</v>
      </c>
      <c r="AA502" s="2467">
        <v>600</v>
      </c>
      <c r="AC502" s="2469"/>
      <c r="AE502" s="2466">
        <v>600</v>
      </c>
      <c r="AF502" s="2471">
        <v>2912</v>
      </c>
      <c r="AH502" s="2466">
        <v>600</v>
      </c>
      <c r="AI502" s="2470"/>
      <c r="AJ502" s="2466">
        <f>AH502+AI502</f>
        <v>600</v>
      </c>
      <c r="AK502" s="2468">
        <f>IF(AH502=0," ",(AJ502-AH502)/AH502)</f>
        <v>0</v>
      </c>
      <c r="AM502" s="2467">
        <v>600</v>
      </c>
      <c r="AN502" s="2467">
        <v>600</v>
      </c>
      <c r="AP502" s="2469"/>
      <c r="AR502" s="2466">
        <v>600</v>
      </c>
      <c r="AS502" s="2466">
        <v>0</v>
      </c>
      <c r="AT502" s="2466"/>
      <c r="AU502" s="2466">
        <v>600</v>
      </c>
      <c r="AX502" s="2466">
        <v>600</v>
      </c>
      <c r="AY502" s="2470"/>
      <c r="AZ502" s="2466">
        <f>AX502+AY502</f>
        <v>600</v>
      </c>
      <c r="BA502" s="2468">
        <f>IF(AX502=0," ",(AZ502-AX502)/AX502)</f>
        <v>0</v>
      </c>
      <c r="BC502" s="2467">
        <v>600</v>
      </c>
      <c r="BD502" s="2467">
        <v>600</v>
      </c>
      <c r="BF502" s="2469"/>
      <c r="BH502" s="2467">
        <v>600</v>
      </c>
      <c r="BM502" s="2466">
        <v>600</v>
      </c>
      <c r="BN502" s="2470"/>
      <c r="BO502" s="2472">
        <f>BM502+BN502</f>
        <v>600</v>
      </c>
      <c r="BP502" s="2473">
        <f>IF(BM502=0," ",(BO502-BM502)/BM502)</f>
        <v>0</v>
      </c>
      <c r="BR502" s="2474">
        <v>600</v>
      </c>
      <c r="BS502" s="2474">
        <v>600</v>
      </c>
      <c r="BU502" s="2475"/>
      <c r="BW502" s="2474">
        <v>600</v>
      </c>
      <c r="BZ502" s="2474">
        <v>600</v>
      </c>
      <c r="CA502" s="2470"/>
      <c r="CB502" s="2472">
        <f>BZ502+CA502</f>
        <v>600</v>
      </c>
      <c r="CC502" s="2473">
        <f>IF(BZ502=0," ",(CB502-BZ502)/BZ502)</f>
        <v>0</v>
      </c>
      <c r="CE502" s="2474">
        <v>600</v>
      </c>
      <c r="CF502" s="2476">
        <f>IF(CB502=0," ",(CE502-CB502)/CB502)</f>
        <v>0</v>
      </c>
      <c r="CG502" s="2474">
        <v>600</v>
      </c>
      <c r="CH502" s="2449" t="s">
        <v>1217</v>
      </c>
      <c r="CI502" s="2449"/>
      <c r="CJ502" s="2450"/>
      <c r="CK502" s="2450"/>
      <c r="CO502" s="2477" t="s">
        <v>1218</v>
      </c>
      <c r="CP502" s="2478">
        <f t="shared" si="268"/>
        <v>-600</v>
      </c>
      <c r="CQ502" s="2478"/>
      <c r="CR502" s="2478"/>
      <c r="CS502" s="2478"/>
      <c r="CT502" s="2478"/>
    </row>
    <row r="503" spans="1:98" hidden="1" x14ac:dyDescent="0.2">
      <c r="A503" s="2395">
        <v>295</v>
      </c>
      <c r="B503" s="2440" t="s">
        <v>1214</v>
      </c>
      <c r="C503" s="2396">
        <v>29505</v>
      </c>
      <c r="D503" s="2396">
        <v>55800</v>
      </c>
      <c r="E503" s="2397" t="s">
        <v>1268</v>
      </c>
      <c r="F503" s="2440" t="s">
        <v>1214</v>
      </c>
      <c r="G503" s="2440" t="s">
        <v>1901</v>
      </c>
      <c r="H503" s="2466">
        <v>1120</v>
      </c>
      <c r="I503" s="2470"/>
      <c r="J503" s="2466">
        <f>H503+I503</f>
        <v>1120</v>
      </c>
      <c r="K503" s="2468">
        <f>IF(H503=0," ",(J503-H503)/H503)</f>
        <v>0</v>
      </c>
      <c r="M503" s="2467">
        <v>1120</v>
      </c>
      <c r="N503" s="2467">
        <v>1120</v>
      </c>
      <c r="P503" s="2469"/>
      <c r="R503" s="2466">
        <v>1120</v>
      </c>
      <c r="S503" s="2466">
        <v>5855.65</v>
      </c>
      <c r="U503" s="2466">
        <v>1120</v>
      </c>
      <c r="V503" s="2470">
        <v>0</v>
      </c>
      <c r="W503" s="2466">
        <f>U503+V503</f>
        <v>1120</v>
      </c>
      <c r="X503" s="2468">
        <f>IF(U503=0," ",(W503-U503)/U503)</f>
        <v>0</v>
      </c>
      <c r="Z503" s="2467">
        <v>1120</v>
      </c>
      <c r="AA503" s="2467">
        <v>1120</v>
      </c>
      <c r="AC503" s="2469"/>
      <c r="AE503" s="2466">
        <v>1120</v>
      </c>
      <c r="AF503" s="2471">
        <v>0</v>
      </c>
      <c r="AH503" s="2466">
        <v>1120</v>
      </c>
      <c r="AI503" s="2470"/>
      <c r="AJ503" s="2466">
        <f>AH503+AI503</f>
        <v>1120</v>
      </c>
      <c r="AK503" s="2468">
        <f>IF(AH503=0," ",(AJ503-AH503)/AH503)</f>
        <v>0</v>
      </c>
      <c r="AM503" s="2467">
        <v>1120</v>
      </c>
      <c r="AN503" s="2467">
        <v>1120</v>
      </c>
      <c r="AP503" s="2469"/>
      <c r="AR503" s="2466">
        <v>1120</v>
      </c>
      <c r="AS503" s="2466">
        <v>693.47</v>
      </c>
      <c r="AT503" s="2466"/>
      <c r="AU503" s="2466">
        <v>1120</v>
      </c>
      <c r="AV503" s="2466">
        <v>462.33</v>
      </c>
      <c r="AX503" s="2466">
        <v>1120</v>
      </c>
      <c r="AY503" s="2470"/>
      <c r="AZ503" s="2466">
        <f>AX503+AY503</f>
        <v>1120</v>
      </c>
      <c r="BA503" s="2468">
        <f>IF(AX503=0," ",(AZ503-AX503)/AX503)</f>
        <v>0</v>
      </c>
      <c r="BC503" s="2467">
        <v>1120</v>
      </c>
      <c r="BD503" s="2467">
        <v>1120</v>
      </c>
      <c r="BF503" s="2469"/>
      <c r="BH503" s="2467">
        <v>1120</v>
      </c>
      <c r="BM503" s="2466">
        <v>1120</v>
      </c>
      <c r="BN503" s="2470"/>
      <c r="BO503" s="2472">
        <f>BM503+BN503</f>
        <v>1120</v>
      </c>
      <c r="BP503" s="2473">
        <f>IF(BM503=0," ",(BO503-BM503)/BM503)</f>
        <v>0</v>
      </c>
      <c r="BR503" s="2474">
        <v>1120</v>
      </c>
      <c r="BS503" s="2474">
        <v>1120</v>
      </c>
      <c r="BU503" s="2475"/>
      <c r="BW503" s="2474">
        <v>1120</v>
      </c>
      <c r="BZ503" s="2474">
        <v>1120</v>
      </c>
      <c r="CA503" s="2470"/>
      <c r="CB503" s="2472">
        <f>BZ503+CA503</f>
        <v>1120</v>
      </c>
      <c r="CC503" s="2473">
        <f>IF(BZ503=0," ",(CB503-BZ503)/BZ503)</f>
        <v>0</v>
      </c>
      <c r="CE503" s="2653">
        <v>500</v>
      </c>
      <c r="CF503" s="2476">
        <f>IF(CB503=0," ",(CE503-CB503)/CB503)</f>
        <v>-0.5535714285714286</v>
      </c>
      <c r="CG503" s="2653">
        <v>500</v>
      </c>
      <c r="CH503" s="2449" t="s">
        <v>1217</v>
      </c>
      <c r="CI503" s="2449"/>
      <c r="CJ503" s="2450"/>
      <c r="CK503" s="2450"/>
      <c r="CO503" s="2477" t="s">
        <v>1218</v>
      </c>
      <c r="CP503" s="2478">
        <f t="shared" si="268"/>
        <v>-1120</v>
      </c>
      <c r="CQ503" s="2478"/>
      <c r="CR503" s="2478"/>
      <c r="CS503" s="2478"/>
      <c r="CT503" s="2478"/>
    </row>
    <row r="504" spans="1:98" hidden="1" x14ac:dyDescent="0.2">
      <c r="A504" s="2395">
        <v>295</v>
      </c>
      <c r="B504" s="2440" t="s">
        <v>1214</v>
      </c>
      <c r="C504" s="2396">
        <v>29505</v>
      </c>
      <c r="D504" s="2396">
        <v>57300</v>
      </c>
      <c r="E504" s="2397" t="s">
        <v>1268</v>
      </c>
      <c r="F504" s="2440" t="s">
        <v>1214</v>
      </c>
      <c r="G504" s="2440" t="s">
        <v>1902</v>
      </c>
      <c r="H504" s="2466">
        <v>50</v>
      </c>
      <c r="I504" s="2470"/>
      <c r="J504" s="2466">
        <f>H504+I504</f>
        <v>50</v>
      </c>
      <c r="K504" s="2468">
        <f>IF(H504=0," ",(J504-H504)/H504)</f>
        <v>0</v>
      </c>
      <c r="M504" s="2467">
        <v>50</v>
      </c>
      <c r="N504" s="2467">
        <v>50</v>
      </c>
      <c r="P504" s="2469"/>
      <c r="R504" s="2466">
        <v>50</v>
      </c>
      <c r="S504" s="2466">
        <v>85</v>
      </c>
      <c r="U504" s="2466">
        <v>50</v>
      </c>
      <c r="V504" s="2470">
        <v>0</v>
      </c>
      <c r="W504" s="2466">
        <f>U504+V504</f>
        <v>50</v>
      </c>
      <c r="X504" s="2468">
        <f>IF(U504=0," ",(W504-U504)/U504)</f>
        <v>0</v>
      </c>
      <c r="Z504" s="2467">
        <v>50</v>
      </c>
      <c r="AA504" s="2467">
        <v>50</v>
      </c>
      <c r="AC504" s="2469"/>
      <c r="AE504" s="2466">
        <v>50</v>
      </c>
      <c r="AF504" s="2471">
        <v>85</v>
      </c>
      <c r="AH504" s="2466">
        <v>50</v>
      </c>
      <c r="AI504" s="2470"/>
      <c r="AJ504" s="2466">
        <f>AH504+AI504</f>
        <v>50</v>
      </c>
      <c r="AK504" s="2468">
        <f>IF(AH504=0," ",(AJ504-AH504)/AH504)</f>
        <v>0</v>
      </c>
      <c r="AM504" s="2467">
        <v>50</v>
      </c>
      <c r="AN504" s="2467">
        <v>50</v>
      </c>
      <c r="AP504" s="2469"/>
      <c r="AR504" s="2466">
        <v>50</v>
      </c>
      <c r="AS504" s="2466">
        <v>85</v>
      </c>
      <c r="AT504" s="2466"/>
      <c r="AU504" s="2466">
        <f>50+35</f>
        <v>85</v>
      </c>
      <c r="AV504" s="2466">
        <v>85</v>
      </c>
      <c r="AX504" s="2466">
        <f>50+35</f>
        <v>85</v>
      </c>
      <c r="AY504" s="2470"/>
      <c r="AZ504" s="2466">
        <f>AX504+AY504</f>
        <v>85</v>
      </c>
      <c r="BA504" s="2468">
        <f>IF(AX504=0," ",(AZ504-AX504)/AX504)</f>
        <v>0</v>
      </c>
      <c r="BC504" s="2467">
        <v>85</v>
      </c>
      <c r="BD504" s="2467">
        <v>85</v>
      </c>
      <c r="BF504" s="2469"/>
      <c r="BH504" s="2467">
        <v>85</v>
      </c>
      <c r="BI504" s="2466">
        <v>85</v>
      </c>
      <c r="BM504" s="2466">
        <f>50+35</f>
        <v>85</v>
      </c>
      <c r="BN504" s="2470"/>
      <c r="BO504" s="2472">
        <f>BM504+BN504</f>
        <v>85</v>
      </c>
      <c r="BP504" s="2473">
        <f>IF(BM504=0," ",(BO504-BM504)/BM504)</f>
        <v>0</v>
      </c>
      <c r="BR504" s="2474">
        <v>85</v>
      </c>
      <c r="BS504" s="2474">
        <v>85</v>
      </c>
      <c r="BU504" s="2475"/>
      <c r="BW504" s="2474">
        <v>85</v>
      </c>
      <c r="BZ504" s="2474">
        <v>85</v>
      </c>
      <c r="CA504" s="2470"/>
      <c r="CB504" s="2472">
        <f>BZ504+CA504</f>
        <v>85</v>
      </c>
      <c r="CC504" s="2473">
        <f>IF(BZ504=0," ",(CB504-BZ504)/BZ504)</f>
        <v>0</v>
      </c>
      <c r="CE504" s="2474">
        <v>85</v>
      </c>
      <c r="CF504" s="2476">
        <f>IF(CB504=0," ",(CE504-CB504)/CB504)</f>
        <v>0</v>
      </c>
      <c r="CG504" s="2474">
        <v>85</v>
      </c>
      <c r="CH504" s="2449" t="s">
        <v>1217</v>
      </c>
      <c r="CI504" s="2449"/>
      <c r="CJ504" s="2450"/>
      <c r="CK504" s="2450"/>
      <c r="CO504" s="2477">
        <v>0</v>
      </c>
      <c r="CP504" s="2478">
        <f t="shared" si="268"/>
        <v>0</v>
      </c>
      <c r="CQ504" s="2478"/>
      <c r="CR504" s="2478"/>
      <c r="CS504" s="2478"/>
      <c r="CT504" s="2478"/>
    </row>
    <row r="505" spans="1:98" s="2485" customFormat="1" hidden="1" x14ac:dyDescent="0.2">
      <c r="A505" s="2532"/>
      <c r="B505" s="2533"/>
      <c r="C505" s="2534"/>
      <c r="D505" s="2534"/>
      <c r="E505" s="2535"/>
      <c r="F505" s="2533"/>
      <c r="G505" s="2654" t="s">
        <v>1903</v>
      </c>
      <c r="H505" s="2536">
        <f>SUM(H501:H504)</f>
        <v>8670</v>
      </c>
      <c r="I505" s="2536">
        <f>SUM(I501:I504)</f>
        <v>175</v>
      </c>
      <c r="J505" s="2536">
        <f>SUM(J501:J504)</f>
        <v>8845</v>
      </c>
      <c r="K505" s="2484">
        <f>IF(H505=0," ",(J505-H505)/H505)</f>
        <v>2.0184544405997693E-2</v>
      </c>
      <c r="M505" s="2536">
        <f>SUM(M501:M504)</f>
        <v>8845</v>
      </c>
      <c r="N505" s="2536">
        <f>SUM(N501:N504)</f>
        <v>8845</v>
      </c>
      <c r="P505" s="2536">
        <f>SUM(P501:P504)</f>
        <v>0</v>
      </c>
      <c r="R505" s="2536">
        <f>SUM(R501:R504)</f>
        <v>8845</v>
      </c>
      <c r="S505" s="2536">
        <f>SUM(S501:S504)</f>
        <v>27140.65</v>
      </c>
      <c r="U505" s="2536">
        <f>SUM(U501:U504)</f>
        <v>8845</v>
      </c>
      <c r="V505" s="2536">
        <f>SUM(V501:V504)</f>
        <v>0</v>
      </c>
      <c r="W505" s="2536">
        <f>SUM(W501:W504)</f>
        <v>8845</v>
      </c>
      <c r="X505" s="2484">
        <f>IF(U505=0," ",(W505-U505)/U505)</f>
        <v>0</v>
      </c>
      <c r="Z505" s="2536">
        <f>SUM(Z501:Z504)</f>
        <v>8845</v>
      </c>
      <c r="AA505" s="2536">
        <f>SUM(AA501:AA504)</f>
        <v>8845</v>
      </c>
      <c r="AC505" s="2537"/>
      <c r="AE505" s="2536">
        <f>SUM(AE501:AE504)</f>
        <v>8845</v>
      </c>
      <c r="AF505" s="2536">
        <f>SUM(AF501:AF504)</f>
        <v>18622</v>
      </c>
      <c r="AH505" s="2536">
        <f>SUM(AH501:AH504)</f>
        <v>8845</v>
      </c>
      <c r="AI505" s="2536">
        <f>SUM(AI501:AI504)</f>
        <v>0</v>
      </c>
      <c r="AJ505" s="2536">
        <f>SUM(AJ501:AJ504)</f>
        <v>8845</v>
      </c>
      <c r="AK505" s="2484">
        <f>IF(AH505=0," ",(AJ505-AH505)/AH505)</f>
        <v>0</v>
      </c>
      <c r="AM505" s="2536">
        <f>SUM(AM501:AM504)</f>
        <v>8845</v>
      </c>
      <c r="AN505" s="2536">
        <f>SUM(AN501:AN504)</f>
        <v>8845</v>
      </c>
      <c r="AP505" s="2537"/>
      <c r="AR505" s="2536">
        <f>SUM(AR501:AR504)</f>
        <v>8845</v>
      </c>
      <c r="AS505" s="2536">
        <f>SUM(AS501:AS504)</f>
        <v>8178.47</v>
      </c>
      <c r="AT505" s="2536"/>
      <c r="AU505" s="2536">
        <f>SUM(AU501:AU504)</f>
        <v>8880</v>
      </c>
      <c r="AV505" s="2536">
        <f>SUM(AV501:AV504)</f>
        <v>8380</v>
      </c>
      <c r="AX505" s="2536">
        <f>SUM(AX501:AX504)</f>
        <v>8880</v>
      </c>
      <c r="AY505" s="2536">
        <f>SUM(AY501:AY504)</f>
        <v>0</v>
      </c>
      <c r="AZ505" s="2536">
        <f>SUM(AZ501:AZ504)</f>
        <v>8880</v>
      </c>
      <c r="BA505" s="2484">
        <f>IF(AX505=0," ",(AZ505-AX505)/AX505)</f>
        <v>0</v>
      </c>
      <c r="BC505" s="2536">
        <f>SUM(BC501:BC504)</f>
        <v>8880</v>
      </c>
      <c r="BD505" s="2536">
        <f>SUM(BD501:BD504)</f>
        <v>8880</v>
      </c>
      <c r="BF505" s="2537"/>
      <c r="BH505" s="2536">
        <f>SUM(BH501:BH504)</f>
        <v>8880</v>
      </c>
      <c r="BI505" s="2536">
        <f>SUM(BI501:BI504)</f>
        <v>5235</v>
      </c>
      <c r="BJ505" s="2536"/>
      <c r="BK505" s="2536"/>
      <c r="BM505" s="2536">
        <f>SUM(BM501:BM504)</f>
        <v>8880</v>
      </c>
      <c r="BN505" s="2539">
        <f>SUM(BN501:BN504)</f>
        <v>0</v>
      </c>
      <c r="BO505" s="2540">
        <f>SUM(BO501:BO504)</f>
        <v>8880</v>
      </c>
      <c r="BP505" s="2490">
        <f>IF(BM505=0," ",(BO505-BM505)/BM505)</f>
        <v>0</v>
      </c>
      <c r="BQ505" s="2491"/>
      <c r="BR505" s="2540">
        <f>SUM(BR501:BR504)</f>
        <v>8880</v>
      </c>
      <c r="BS505" s="2540">
        <f>SUM(BS501:BS504)</f>
        <v>8880</v>
      </c>
      <c r="BT505" s="2491"/>
      <c r="BU505" s="2541"/>
      <c r="BV505" s="2491"/>
      <c r="BW505" s="2540">
        <f>SUM(BW501:BW504)</f>
        <v>8880</v>
      </c>
      <c r="BX505" s="2536">
        <f>SUM(BX501:BX504)</f>
        <v>0</v>
      </c>
      <c r="BZ505" s="2540">
        <f>SUM(BZ501:BZ504)</f>
        <v>8880</v>
      </c>
      <c r="CA505" s="2540">
        <f>SUM(CA501:CA504)</f>
        <v>0</v>
      </c>
      <c r="CB505" s="2540">
        <f>SUM(CB501:CB504)</f>
        <v>8880</v>
      </c>
      <c r="CC505" s="2490">
        <f>IF(BZ505=0," ",(CB505-BZ505)/BZ505)</f>
        <v>0</v>
      </c>
      <c r="CD505" s="2491"/>
      <c r="CE505" s="2540">
        <f>SUM(CE501:CE504)</f>
        <v>8260</v>
      </c>
      <c r="CF505" s="2490">
        <f>IF(CB505=0," ",(CE505-CB505)/CB505)</f>
        <v>-6.9819819819819814E-2</v>
      </c>
      <c r="CG505" s="2540">
        <f>SUM(CG501:CG504)</f>
        <v>8260</v>
      </c>
      <c r="CH505" s="2449" t="s">
        <v>1220</v>
      </c>
      <c r="CI505" s="2449"/>
      <c r="CJ505" s="2450"/>
      <c r="CK505" s="2450"/>
      <c r="CL505" s="2451"/>
      <c r="CM505" s="2451"/>
      <c r="CN505" s="2451"/>
      <c r="CO505" s="2477">
        <v>-0.41047297297297303</v>
      </c>
      <c r="CP505" s="2478">
        <f t="shared" si="268"/>
        <v>-3645</v>
      </c>
      <c r="CQ505" s="2478"/>
      <c r="CR505" s="2478"/>
      <c r="CS505" s="2478"/>
      <c r="CT505" s="2478"/>
    </row>
    <row r="506" spans="1:98" ht="9.9499999999999993" hidden="1" customHeight="1" x14ac:dyDescent="0.2">
      <c r="AS506" s="2466"/>
      <c r="AT506" s="2466"/>
      <c r="BZ506" s="2472"/>
      <c r="CH506" s="2449" t="s">
        <v>1091</v>
      </c>
      <c r="CI506" s="2449"/>
      <c r="CJ506" s="2450"/>
      <c r="CK506" s="2450"/>
      <c r="CP506" s="2478">
        <f t="shared" si="268"/>
        <v>0</v>
      </c>
      <c r="CQ506" s="2478"/>
      <c r="CR506" s="2478"/>
      <c r="CS506" s="2478"/>
      <c r="CT506" s="2478"/>
    </row>
    <row r="507" spans="1:98" x14ac:dyDescent="0.2">
      <c r="A507" s="2495"/>
      <c r="B507" s="2496"/>
      <c r="C507" s="2497"/>
      <c r="D507" s="2497"/>
      <c r="E507" s="2498"/>
      <c r="F507" s="2496"/>
      <c r="G507" s="2499" t="s">
        <v>1904</v>
      </c>
      <c r="H507" s="2500">
        <f>H499+H505</f>
        <v>15422</v>
      </c>
      <c r="I507" s="2500">
        <f>I499+I505</f>
        <v>239.44</v>
      </c>
      <c r="J507" s="2500">
        <f>J499+J505</f>
        <v>15661.44</v>
      </c>
      <c r="K507" s="2501">
        <f>IF(H507=0," ",(J507-H507)/H507)</f>
        <v>1.5525872130722377E-2</v>
      </c>
      <c r="M507" s="2500">
        <f>M499+M505</f>
        <v>15662</v>
      </c>
      <c r="N507" s="2500">
        <f>N499+N505</f>
        <v>15662</v>
      </c>
      <c r="P507" s="2502">
        <f>P499+P505</f>
        <v>0</v>
      </c>
      <c r="R507" s="2500">
        <f>R499+R505</f>
        <v>15662</v>
      </c>
      <c r="S507" s="2500">
        <f>S499+S505</f>
        <v>33680.270000000004</v>
      </c>
      <c r="U507" s="2500">
        <f>U499+U505</f>
        <v>15662</v>
      </c>
      <c r="V507" s="2500">
        <f>V499+V505</f>
        <v>0</v>
      </c>
      <c r="W507" s="2500">
        <f>W499+W505</f>
        <v>15662</v>
      </c>
      <c r="X507" s="2501">
        <f>IF(U507=0," ",(W507-U507)/U507)</f>
        <v>0</v>
      </c>
      <c r="Z507" s="2500">
        <f>Z499+Z505</f>
        <v>15662</v>
      </c>
      <c r="AA507" s="2500">
        <f>AA499+AA505</f>
        <v>15662</v>
      </c>
      <c r="AC507" s="2502"/>
      <c r="AE507" s="2500">
        <f>AE499+AE505</f>
        <v>15662</v>
      </c>
      <c r="AF507" s="2503">
        <f>AF499+AF505</f>
        <v>24004.33</v>
      </c>
      <c r="AH507" s="2500">
        <v>15662</v>
      </c>
      <c r="AI507" s="2500">
        <f>AI499+AI505</f>
        <v>65</v>
      </c>
      <c r="AJ507" s="2500">
        <f>AJ499+AJ505</f>
        <v>15727</v>
      </c>
      <c r="AK507" s="2501">
        <f>IF(AH507=0," ",(AJ507-AH507)/AH507)</f>
        <v>4.1501723917762735E-3</v>
      </c>
      <c r="AM507" s="2500">
        <f>AM499+AM505</f>
        <v>15727</v>
      </c>
      <c r="AN507" s="2500">
        <f>AN499+AN505</f>
        <v>15727</v>
      </c>
      <c r="AP507" s="2502"/>
      <c r="AR507" s="2500">
        <f>AR499+AR505</f>
        <v>15727</v>
      </c>
      <c r="AS507" s="2500">
        <f>AS499+AS505</f>
        <v>13436.09</v>
      </c>
      <c r="AT507" s="2500"/>
      <c r="AU507" s="2500">
        <f>AU499+AU505</f>
        <v>15762</v>
      </c>
      <c r="AV507" s="2500">
        <f>AV499+AV505</f>
        <v>15417.73</v>
      </c>
      <c r="AX507" s="2500">
        <f>AX499+AX505</f>
        <v>15762</v>
      </c>
      <c r="AY507" s="2500">
        <f>AY499+AY505</f>
        <v>0</v>
      </c>
      <c r="AZ507" s="2500">
        <f>AZ499+AZ505</f>
        <v>15762</v>
      </c>
      <c r="BA507" s="2501">
        <f>IF(AX507=0," ",(AZ507-AX507)/AX507)</f>
        <v>0</v>
      </c>
      <c r="BC507" s="2500">
        <f>BC499+BC505</f>
        <v>15762</v>
      </c>
      <c r="BD507" s="2500">
        <f>BD499+BD505</f>
        <v>15762</v>
      </c>
      <c r="BF507" s="2502"/>
      <c r="BH507" s="2500">
        <f>BH499+BH505</f>
        <v>15762</v>
      </c>
      <c r="BI507" s="2500">
        <f>BI499+BI505</f>
        <v>11533.59</v>
      </c>
      <c r="BJ507" s="2500"/>
      <c r="BK507" s="2500"/>
      <c r="BM507" s="2500">
        <f>BM499+BM505</f>
        <v>15762</v>
      </c>
      <c r="BN507" s="2504">
        <f>BN499+BN505</f>
        <v>0</v>
      </c>
      <c r="BO507" s="2505">
        <f>BO499+BO505</f>
        <v>15762</v>
      </c>
      <c r="BP507" s="2506">
        <f>IF(BM507=0," ",(BO507-BM507)/BM507)</f>
        <v>0</v>
      </c>
      <c r="BR507" s="2505">
        <f>BR499+BR505</f>
        <v>15762</v>
      </c>
      <c r="BS507" s="2505">
        <f>BS499+BS505</f>
        <v>15762</v>
      </c>
      <c r="BU507" s="2507"/>
      <c r="BW507" s="2505">
        <f>BW499+BW505</f>
        <v>15762</v>
      </c>
      <c r="BX507" s="2500">
        <f>BX499+BX505</f>
        <v>3386.3199999999997</v>
      </c>
      <c r="BZ507" s="2505">
        <f>BZ499+BZ505</f>
        <v>15762</v>
      </c>
      <c r="CA507" s="2505">
        <f>CA499+CA505</f>
        <v>0</v>
      </c>
      <c r="CB507" s="2505">
        <f>CB499+CB505</f>
        <v>15762</v>
      </c>
      <c r="CC507" s="2506">
        <f>IF(BZ507=0," ",(CB507-BZ507)/BZ507)</f>
        <v>0</v>
      </c>
      <c r="CE507" s="2505">
        <f>CE499+CE505</f>
        <v>15142</v>
      </c>
      <c r="CF507" s="2506">
        <f>IF(CB507=0," ",(CE507-CB507)/CB507)</f>
        <v>-3.9335109757644968E-2</v>
      </c>
      <c r="CG507" s="2505">
        <f>CG499+CG505</f>
        <v>15142</v>
      </c>
      <c r="CH507" s="2449" t="s">
        <v>1222</v>
      </c>
      <c r="CI507" s="2508" t="str">
        <f>IF(CG507-CE507=0,"",CG507-CE507)</f>
        <v/>
      </c>
      <c r="CJ507" s="2509"/>
      <c r="CK507" s="2509"/>
      <c r="CL507" s="2451" t="str">
        <f>IF(CO507&lt;-1*CM$2,"examine","ignore")</f>
        <v>examine</v>
      </c>
      <c r="CM507" s="2545">
        <f>IF(CL507="examine",CP507+CM$2*CP507/CO507,"")</f>
        <v>-3597.93</v>
      </c>
      <c r="CN507" s="2545">
        <f>IF(CI507="",CM507,CM507-CI507)</f>
        <v>-3597.93</v>
      </c>
      <c r="CO507" s="2477">
        <v>-0.26826608298439281</v>
      </c>
      <c r="CP507" s="2510">
        <f t="shared" si="268"/>
        <v>-4228.41</v>
      </c>
      <c r="CQ507" s="2510">
        <f>AV507-AU507</f>
        <v>-344.27000000000044</v>
      </c>
      <c r="CR507" s="2510">
        <f>AS507-AR507</f>
        <v>-2290.91</v>
      </c>
      <c r="CS507" s="2510">
        <f>AF507-AE507</f>
        <v>8342.3300000000017</v>
      </c>
    </row>
    <row r="508" spans="1:98" ht="20.100000000000001" hidden="1" customHeight="1" x14ac:dyDescent="0.2">
      <c r="AS508" s="2466"/>
      <c r="AT508" s="2466"/>
      <c r="BZ508" s="2472"/>
      <c r="CH508" s="2449" t="s">
        <v>1091</v>
      </c>
      <c r="CI508" s="2449"/>
      <c r="CJ508" s="2450"/>
      <c r="CK508" s="2450"/>
      <c r="CP508" s="2478">
        <f t="shared" si="268"/>
        <v>0</v>
      </c>
      <c r="CQ508" s="2478"/>
      <c r="CR508" s="2478"/>
      <c r="CS508" s="2478"/>
      <c r="CT508" s="2478"/>
    </row>
    <row r="509" spans="1:98" ht="20.100000000000001" hidden="1" customHeight="1" x14ac:dyDescent="0.2">
      <c r="A509" s="2604" t="s">
        <v>1905</v>
      </c>
      <c r="B509" s="2435"/>
      <c r="C509" s="2436"/>
      <c r="D509" s="2436"/>
      <c r="E509" s="2437"/>
      <c r="F509" s="2435"/>
      <c r="G509" s="2435"/>
      <c r="H509" s="2438">
        <f>H507+H489+H478+H469+H463+H434+H371</f>
        <v>2471661</v>
      </c>
      <c r="I509" s="2438">
        <f>I507+I489+I478+I469+I463+I434+I371</f>
        <v>-3885.8999999999996</v>
      </c>
      <c r="J509" s="2438">
        <f>J507+J489+J478+J469+J463+J434+J371</f>
        <v>2467775.1</v>
      </c>
      <c r="K509" s="2439">
        <f>IF(H509=0," ",(J509-H509)/H509)</f>
        <v>-1.5721816219942406E-3</v>
      </c>
      <c r="M509" s="2438">
        <f>M507+M489+M478+M469+M463+M434+M371</f>
        <v>2467778</v>
      </c>
      <c r="N509" s="2438">
        <f>N507+N489+N478+N469+N463+N434+N371</f>
        <v>2489201</v>
      </c>
      <c r="P509" s="2441">
        <f>P489+P478+P469+P463+P434+P371</f>
        <v>0</v>
      </c>
      <c r="R509" s="2438">
        <f>R507+R489+R478+R469+R463+R434+R371</f>
        <v>2489201</v>
      </c>
      <c r="S509" s="2438">
        <f>S507+S489+S478+S469+S463+S434+S371</f>
        <v>2405088.7400000002</v>
      </c>
      <c r="U509" s="2438">
        <f>U507+U489+U478+U469+U463+U434+U371</f>
        <v>2489201</v>
      </c>
      <c r="V509" s="2438">
        <f>V507+V489+V478+V469+V463+V434+V371</f>
        <v>43186</v>
      </c>
      <c r="W509" s="2438">
        <f>W507+W489+W478+W469+W463+W434+W371</f>
        <v>2517387</v>
      </c>
      <c r="X509" s="2439">
        <f>IF(U509=0," ",(W509-U509)/U509)</f>
        <v>1.132331217928966E-2</v>
      </c>
      <c r="Z509" s="2438">
        <f>Z507+Z489+Z478+Z469+Z463+Z434+Z371</f>
        <v>2532387</v>
      </c>
      <c r="AA509" s="2438">
        <f>AA507+AA489+AA478+AA469+AA463+AA434+AA371</f>
        <v>2613676</v>
      </c>
      <c r="AC509" s="2441"/>
      <c r="AE509" s="2438">
        <f>AE507+AE489+AE478+AE469+AE463+AE434+AE371</f>
        <v>2613676</v>
      </c>
      <c r="AF509" s="2442">
        <f>AF507+AF489+AF478+AF469+AF463+AF434+AF371</f>
        <v>2568134.9900000002</v>
      </c>
      <c r="AH509" s="2438">
        <f>AH507+AH489+AH478+AH469+AH463+AH434+AH371</f>
        <v>2613676</v>
      </c>
      <c r="AI509" s="2438">
        <f>AI507+AI489+AI478+AI469+AI463+AI434+AI371</f>
        <v>37608</v>
      </c>
      <c r="AJ509" s="2438">
        <f>AJ507+AJ489+AJ478+AJ469+AJ463+AJ434+AJ371</f>
        <v>2651282</v>
      </c>
      <c r="AK509" s="2439">
        <f>IF(AH509=0," ",(AJ509-AH509)/AH509)</f>
        <v>1.4388164409054527E-2</v>
      </c>
      <c r="AM509" s="2438">
        <f>AM507+AM489+AM478+AM469+AM463+AM434+AM371</f>
        <v>2696952</v>
      </c>
      <c r="AN509" s="2438">
        <f>AN507+AN489+AN478+AN469+AN463+AN434+AN371</f>
        <v>2696952</v>
      </c>
      <c r="AP509" s="2441"/>
      <c r="AR509" s="2438">
        <f>AR507+AR489+AR478+AR469+AR463+AR434+AR371</f>
        <v>2696952</v>
      </c>
      <c r="AS509" s="2438">
        <f>AS507+AS489+AS478+AS469+AS463+AS434+AS371</f>
        <v>2472805.5</v>
      </c>
      <c r="AT509" s="2438"/>
      <c r="AU509" s="2438">
        <f>AU507+AU489+AU478+AU469+AU463+AU434+AU371</f>
        <v>2871188</v>
      </c>
      <c r="AV509" s="2438">
        <f>AV507+AV489+AV478+AV469+AV463+AV434+AV371</f>
        <v>2602172.87</v>
      </c>
      <c r="AX509" s="2438">
        <f>AX507+AX489+AX478+AX469+AX463+AX434+AX371</f>
        <v>2871188</v>
      </c>
      <c r="AY509" s="2438">
        <f>AY507+AY489+AY478+AY469+AY463+AY434+AY371</f>
        <v>9944</v>
      </c>
      <c r="AZ509" s="2438">
        <f>AZ507+AZ489+AZ478+AZ469+AZ463+AZ434+AZ371</f>
        <v>2881132</v>
      </c>
      <c r="BA509" s="2439">
        <f>IF(AX509=0," ",(AZ509-AX509)/AX509)</f>
        <v>3.4633747424411081E-3</v>
      </c>
      <c r="BC509" s="2438">
        <f>BC507+BC489+BC478+BC469+BC463+BC434+BC371</f>
        <v>2879601</v>
      </c>
      <c r="BD509" s="2438">
        <f>BD507+BD489+BD478+BD469+BD463+BD434+BD371</f>
        <v>2926406</v>
      </c>
      <c r="BF509" s="2443"/>
      <c r="BH509" s="2438">
        <f>BH507+BH489+BH478+BH469+BH463+BH434+BH371</f>
        <v>2926406</v>
      </c>
      <c r="BI509" s="2438">
        <f>BI507+BI489+BI478+BI469+BI463+BI434+BI371</f>
        <v>2717864.08</v>
      </c>
      <c r="BJ509" s="2438"/>
      <c r="BK509" s="2438"/>
      <c r="BM509" s="2438">
        <f>BM507+BM489+BM478+BM469+BM463+BM434+BM371</f>
        <v>2926406</v>
      </c>
      <c r="BN509" s="2438">
        <f>BN507+BN489+BN478+BN469+BN463+BN434+BN371</f>
        <v>18558</v>
      </c>
      <c r="BO509" s="2438">
        <f>BO507+BO489+BO478+BO469+BO463+BO434+BO371</f>
        <v>2944964</v>
      </c>
      <c r="BP509" s="2439">
        <f>IF(BM509=0," ",(BO509-BM509)/BM509)</f>
        <v>6.3415670962949089E-3</v>
      </c>
      <c r="BR509" s="2438">
        <f>BR507+BR489+BR478+BR469+BR463+BR434+BR371</f>
        <v>2944964</v>
      </c>
      <c r="BS509" s="2438">
        <f>BS507+BS489+BS478+BS469+BS463+BS434+BS371</f>
        <v>3082797</v>
      </c>
      <c r="BU509" s="2448"/>
      <c r="BW509" s="2438">
        <f>BW507+BW489+BW478+BW469+BW463+BW434+BW371</f>
        <v>3082797</v>
      </c>
      <c r="BX509" s="2438">
        <f>BX507+BX489+BX478+BX469+BX463+BX434+BX371</f>
        <v>1344638.77</v>
      </c>
      <c r="BZ509" s="2438">
        <f>BZ507+BZ489+BZ478+BZ469+BZ463+BZ434+BZ371</f>
        <v>3082797</v>
      </c>
      <c r="CA509" s="2438">
        <f>CA507+CA489+CA478+CA469+CA463+CA434+CA371</f>
        <v>17343</v>
      </c>
      <c r="CB509" s="2438">
        <f>CB507+CB489+CB478+CB469+CB463+CB434+CB371</f>
        <v>3100140</v>
      </c>
      <c r="CC509" s="2439">
        <f>IF(BZ509=0," ",(CB509-BZ509)/BZ509)</f>
        <v>5.6257353306104815E-3</v>
      </c>
      <c r="CE509" s="2438">
        <f>CE507+CE489+CE478+CE469+CE463+CE434+CE371</f>
        <v>3105737</v>
      </c>
      <c r="CF509" s="2439">
        <f>IF(CB509=0," ",(CE509-CB509)/CB509)</f>
        <v>1.8054023366686665E-3</v>
      </c>
      <c r="CG509" s="2438">
        <f>CG507+CG489+CG478+CG469+CG463+CG434+CG371</f>
        <v>3075737</v>
      </c>
      <c r="CH509" s="2449" t="s">
        <v>1602</v>
      </c>
      <c r="CI509" s="2449"/>
      <c r="CJ509" s="2450"/>
      <c r="CK509" s="2450"/>
      <c r="CO509" s="2477">
        <v>-7.1262128358129395E-2</v>
      </c>
      <c r="CP509" s="2478">
        <f t="shared" si="268"/>
        <v>-208541.91999999993</v>
      </c>
      <c r="CQ509" s="2478"/>
      <c r="CR509" s="2478"/>
      <c r="CS509" s="2478"/>
      <c r="CT509" s="2478"/>
    </row>
    <row r="510" spans="1:98" ht="20.100000000000001" hidden="1" customHeight="1" x14ac:dyDescent="0.2">
      <c r="A510" s="2605"/>
      <c r="B510" s="2606"/>
      <c r="C510" s="2607"/>
      <c r="D510" s="2607"/>
      <c r="E510" s="2608"/>
      <c r="F510" s="2606"/>
      <c r="G510" s="2606"/>
      <c r="H510" s="2609"/>
      <c r="I510" s="2609"/>
      <c r="J510" s="2609"/>
      <c r="K510" s="2610"/>
      <c r="M510" s="2611"/>
      <c r="N510" s="2611"/>
      <c r="P510" s="2612"/>
      <c r="R510" s="2611"/>
      <c r="S510" s="2611"/>
      <c r="U510" s="2611"/>
      <c r="V510" s="2609"/>
      <c r="W510" s="2609"/>
      <c r="X510" s="2610"/>
      <c r="Z510" s="2611"/>
      <c r="AA510" s="2611"/>
      <c r="AC510" s="2612"/>
      <c r="AE510" s="2611"/>
      <c r="AF510" s="2613"/>
      <c r="AH510" s="2611"/>
      <c r="AI510" s="2609"/>
      <c r="AJ510" s="2609"/>
      <c r="AK510" s="2610"/>
      <c r="AM510" s="2611"/>
      <c r="AN510" s="2611"/>
      <c r="AP510" s="2612"/>
      <c r="AR510" s="2611"/>
      <c r="AS510" s="2611"/>
      <c r="AT510" s="2611"/>
      <c r="AU510" s="2611"/>
      <c r="AV510" s="2611"/>
      <c r="AX510" s="2611"/>
      <c r="AY510" s="2609"/>
      <c r="AZ510" s="2609"/>
      <c r="BA510" s="2610"/>
      <c r="BC510" s="2611"/>
      <c r="BD510" s="2611"/>
      <c r="BF510" s="2551"/>
      <c r="BH510" s="2611"/>
      <c r="BI510" s="2611"/>
      <c r="BJ510" s="2611"/>
      <c r="BK510" s="2611"/>
      <c r="BM510" s="2611"/>
      <c r="BN510" s="2614"/>
      <c r="BO510" s="2553"/>
      <c r="BP510" s="2554"/>
      <c r="BR510" s="2553"/>
      <c r="BS510" s="2553"/>
      <c r="BU510" s="2555"/>
      <c r="BW510" s="2553"/>
      <c r="BX510" s="2611"/>
      <c r="BZ510" s="2553"/>
      <c r="CA510" s="2614"/>
      <c r="CB510" s="2553"/>
      <c r="CC510" s="2554"/>
      <c r="CE510" s="2553"/>
      <c r="CF510" s="2554"/>
      <c r="CG510" s="2553"/>
      <c r="CH510" s="2449" t="s">
        <v>1091</v>
      </c>
      <c r="CI510" s="2449"/>
      <c r="CJ510" s="2450"/>
      <c r="CK510" s="2450"/>
      <c r="CP510" s="2478">
        <f t="shared" si="268"/>
        <v>0</v>
      </c>
      <c r="CQ510" s="2478"/>
      <c r="CR510" s="2478"/>
      <c r="CS510" s="2478"/>
      <c r="CT510" s="2478"/>
    </row>
    <row r="511" spans="1:98" ht="20.100000000000001" hidden="1" customHeight="1" x14ac:dyDescent="0.2">
      <c r="A511" s="2605"/>
      <c r="B511" s="2606"/>
      <c r="C511" s="2607"/>
      <c r="D511" s="2607"/>
      <c r="E511" s="2608"/>
      <c r="F511" s="2606"/>
      <c r="G511" s="2606"/>
      <c r="H511" s="2609"/>
      <c r="I511" s="2609"/>
      <c r="J511" s="2609"/>
      <c r="K511" s="2610"/>
      <c r="M511" s="2609"/>
      <c r="N511" s="2609"/>
      <c r="P511" s="2612"/>
      <c r="R511" s="2609"/>
      <c r="S511" s="2609"/>
      <c r="U511" s="2609"/>
      <c r="V511" s="2609"/>
      <c r="W511" s="2609"/>
      <c r="X511" s="2610"/>
      <c r="Z511" s="2609"/>
      <c r="AA511" s="2609"/>
      <c r="AC511" s="2612"/>
      <c r="AE511" s="2609"/>
      <c r="AF511" s="2656"/>
      <c r="AH511" s="2609"/>
      <c r="AI511" s="2609"/>
      <c r="AJ511" s="2609"/>
      <c r="AK511" s="2610"/>
      <c r="AM511" s="2609"/>
      <c r="AN511" s="2609"/>
      <c r="AP511" s="2612"/>
      <c r="AR511" s="2609"/>
      <c r="AS511" s="2609"/>
      <c r="AT511" s="2609"/>
      <c r="AU511" s="2609"/>
      <c r="AV511" s="2609"/>
      <c r="AX511" s="2609"/>
      <c r="AY511" s="2609"/>
      <c r="AZ511" s="2609"/>
      <c r="BA511" s="2610"/>
      <c r="BC511" s="2609"/>
      <c r="BD511" s="2609"/>
      <c r="BF511" s="2551"/>
      <c r="BH511" s="2609"/>
      <c r="BI511" s="2609"/>
      <c r="BJ511" s="2609"/>
      <c r="BK511" s="2609"/>
      <c r="BM511" s="2609"/>
      <c r="BN511" s="2614"/>
      <c r="BO511" s="2553"/>
      <c r="BP511" s="2554"/>
      <c r="BR511" s="2553"/>
      <c r="BS511" s="2553"/>
      <c r="BU511" s="2555"/>
      <c r="BW511" s="2553"/>
      <c r="BX511" s="2609"/>
      <c r="BZ511" s="2553"/>
      <c r="CA511" s="2614"/>
      <c r="CB511" s="2553"/>
      <c r="CC511" s="2554"/>
      <c r="CE511" s="2553"/>
      <c r="CF511" s="2554"/>
      <c r="CG511" s="2553"/>
      <c r="CH511" s="2449" t="s">
        <v>1091</v>
      </c>
      <c r="CI511" s="2449"/>
      <c r="CJ511" s="2450"/>
      <c r="CK511" s="2450"/>
      <c r="CP511" s="2478">
        <f t="shared" si="268"/>
        <v>0</v>
      </c>
      <c r="CQ511" s="2478"/>
      <c r="CR511" s="2478"/>
      <c r="CS511" s="2478"/>
      <c r="CT511" s="2478"/>
    </row>
    <row r="512" spans="1:98" ht="20.100000000000001" hidden="1" customHeight="1" x14ac:dyDescent="0.2">
      <c r="A512" s="2434" t="s">
        <v>1906</v>
      </c>
      <c r="B512" s="2435"/>
      <c r="C512" s="2436"/>
      <c r="D512" s="2436"/>
      <c r="E512" s="2437"/>
      <c r="F512" s="2435"/>
      <c r="G512" s="2435"/>
      <c r="H512" s="2438"/>
      <c r="I512" s="2438"/>
      <c r="J512" s="2438"/>
      <c r="K512" s="2439"/>
      <c r="M512" s="2438"/>
      <c r="N512" s="2438"/>
      <c r="P512" s="2441"/>
      <c r="R512" s="2438"/>
      <c r="S512" s="2438"/>
      <c r="U512" s="2438"/>
      <c r="V512" s="2438"/>
      <c r="W512" s="2438"/>
      <c r="X512" s="2439"/>
      <c r="Z512" s="2438"/>
      <c r="AA512" s="2438"/>
      <c r="AC512" s="2441"/>
      <c r="AE512" s="2438"/>
      <c r="AF512" s="2442"/>
      <c r="AH512" s="2438"/>
      <c r="AI512" s="2438"/>
      <c r="AJ512" s="2438"/>
      <c r="AK512" s="2439"/>
      <c r="AM512" s="2438"/>
      <c r="AN512" s="2438"/>
      <c r="AP512" s="2441"/>
      <c r="AR512" s="2438"/>
      <c r="AS512" s="2438"/>
      <c r="AT512" s="2438"/>
      <c r="AU512" s="2438"/>
      <c r="AV512" s="2438"/>
      <c r="AX512" s="2438"/>
      <c r="AY512" s="2438"/>
      <c r="AZ512" s="2438"/>
      <c r="BA512" s="2439"/>
      <c r="BC512" s="2438"/>
      <c r="BD512" s="2438"/>
      <c r="BF512" s="2443"/>
      <c r="BH512" s="2438"/>
      <c r="BI512" s="2438"/>
      <c r="BJ512" s="2438"/>
      <c r="BK512" s="2438"/>
      <c r="BM512" s="2438"/>
      <c r="BN512" s="2444"/>
      <c r="BO512" s="2445"/>
      <c r="BP512" s="2446"/>
      <c r="BR512" s="2445"/>
      <c r="BS512" s="2445"/>
      <c r="BU512" s="2448"/>
      <c r="BW512" s="2445"/>
      <c r="BX512" s="2438"/>
      <c r="BZ512" s="2445"/>
      <c r="CA512" s="2444"/>
      <c r="CB512" s="2445"/>
      <c r="CC512" s="2446"/>
      <c r="CE512" s="2445"/>
      <c r="CF512" s="2446"/>
      <c r="CG512" s="2445"/>
      <c r="CH512" s="2449" t="s">
        <v>1212</v>
      </c>
      <c r="CI512" s="2449"/>
      <c r="CJ512" s="2450"/>
      <c r="CK512" s="2450"/>
      <c r="CP512" s="2478">
        <f t="shared" si="268"/>
        <v>0</v>
      </c>
      <c r="CQ512" s="2478"/>
      <c r="CR512" s="2478"/>
      <c r="CS512" s="2478"/>
      <c r="CT512" s="2478"/>
    </row>
    <row r="513" spans="1:100" ht="15.75" hidden="1" x14ac:dyDescent="0.2">
      <c r="A513" s="2453" t="s">
        <v>1906</v>
      </c>
      <c r="B513" s="2454"/>
      <c r="C513" s="2455"/>
      <c r="D513" s="2455"/>
      <c r="E513" s="2456"/>
      <c r="F513" s="2454"/>
      <c r="G513" s="2454"/>
      <c r="H513" s="2457"/>
      <c r="I513" s="2457"/>
      <c r="J513" s="2457"/>
      <c r="K513" s="2458"/>
      <c r="M513" s="2457"/>
      <c r="N513" s="2457"/>
      <c r="P513" s="2459"/>
      <c r="R513" s="2457"/>
      <c r="S513" s="2457"/>
      <c r="U513" s="2457"/>
      <c r="V513" s="2457"/>
      <c r="W513" s="2457"/>
      <c r="X513" s="2458"/>
      <c r="Z513" s="2457"/>
      <c r="AA513" s="2457"/>
      <c r="AC513" s="2459"/>
      <c r="AE513" s="2457"/>
      <c r="AF513" s="2460"/>
      <c r="AH513" s="2457"/>
      <c r="AI513" s="2457"/>
      <c r="AJ513" s="2457"/>
      <c r="AK513" s="2458"/>
      <c r="AM513" s="2457"/>
      <c r="AN513" s="2457"/>
      <c r="AP513" s="2459"/>
      <c r="AR513" s="2457"/>
      <c r="AS513" s="2457"/>
      <c r="AT513" s="2457"/>
      <c r="AU513" s="2457"/>
      <c r="AV513" s="2457"/>
      <c r="AX513" s="2457"/>
      <c r="AY513" s="2457"/>
      <c r="AZ513" s="2457"/>
      <c r="BA513" s="2458"/>
      <c r="BC513" s="2457"/>
      <c r="BD513" s="2457"/>
      <c r="BF513" s="2461"/>
      <c r="BH513" s="2457"/>
      <c r="BI513" s="2457"/>
      <c r="BJ513" s="2457"/>
      <c r="BK513" s="2457"/>
      <c r="BM513" s="2457"/>
      <c r="BN513" s="2462"/>
      <c r="BO513" s="2463"/>
      <c r="BP513" s="2464"/>
      <c r="BR513" s="2463"/>
      <c r="BS513" s="2463"/>
      <c r="BU513" s="2465"/>
      <c r="BW513" s="2463"/>
      <c r="BX513" s="2457"/>
      <c r="BZ513" s="2463"/>
      <c r="CA513" s="2462"/>
      <c r="CB513" s="2463"/>
      <c r="CC513" s="2464"/>
      <c r="CE513" s="2463"/>
      <c r="CF513" s="2464"/>
      <c r="CG513" s="2463"/>
      <c r="CH513" s="2449" t="s">
        <v>1212</v>
      </c>
      <c r="CI513" s="2449"/>
      <c r="CJ513" s="2450"/>
      <c r="CK513" s="2450"/>
      <c r="CP513" s="2478">
        <f t="shared" si="268"/>
        <v>0</v>
      </c>
      <c r="CQ513" s="2478"/>
      <c r="CR513" s="2478"/>
      <c r="CS513" s="2478"/>
      <c r="CT513" s="2478"/>
    </row>
    <row r="514" spans="1:100" hidden="1" x14ac:dyDescent="0.2">
      <c r="A514" s="2395">
        <v>300</v>
      </c>
      <c r="B514" s="2440" t="s">
        <v>1214</v>
      </c>
      <c r="F514" s="2440" t="s">
        <v>1214</v>
      </c>
      <c r="G514" s="2440" t="s">
        <v>1907</v>
      </c>
      <c r="H514" s="2466">
        <v>7602224</v>
      </c>
      <c r="I514" s="2470">
        <v>224947</v>
      </c>
      <c r="J514" s="2466">
        <f>H514+I514</f>
        <v>7827171</v>
      </c>
      <c r="K514" s="2657">
        <f>IF(H514=0," ",(J514-H514)/H514)</f>
        <v>2.9589630613357353E-2</v>
      </c>
      <c r="M514" s="2467">
        <v>7827171</v>
      </c>
      <c r="N514" s="2467">
        <v>7827171</v>
      </c>
      <c r="P514" s="2469"/>
      <c r="R514" s="2466">
        <v>7827171</v>
      </c>
      <c r="S514" s="2466">
        <v>7771719.7400000002</v>
      </c>
      <c r="U514" s="2466">
        <v>7827171</v>
      </c>
      <c r="V514" s="2470">
        <v>234816</v>
      </c>
      <c r="W514" s="2466">
        <f>U514+V514</f>
        <v>8061987</v>
      </c>
      <c r="X514" s="2657">
        <f>IF(U514=0," ",(W514-U514)/U514)</f>
        <v>3.0000111151270364E-2</v>
      </c>
      <c r="Z514" s="2467">
        <v>8308071</v>
      </c>
      <c r="AA514" s="2467">
        <v>8108071</v>
      </c>
      <c r="AC514" s="2469" t="s">
        <v>1908</v>
      </c>
      <c r="AE514" s="2466">
        <v>8108071</v>
      </c>
      <c r="AF514" s="2471">
        <v>7989051.0499999998</v>
      </c>
      <c r="AH514" s="2466">
        <v>8108071</v>
      </c>
      <c r="AI514" s="2470"/>
      <c r="AJ514" s="2466">
        <f>AH514+AI514</f>
        <v>8108071</v>
      </c>
      <c r="AK514" s="2657">
        <f>IF(AH514=0," ",(AJ514-AH514)/AH514)</f>
        <v>0</v>
      </c>
      <c r="AM514" s="2467">
        <v>8320162</v>
      </c>
      <c r="AN514" s="2467">
        <v>8320162</v>
      </c>
      <c r="AP514" s="2469" t="s">
        <v>1909</v>
      </c>
      <c r="AR514" s="2466">
        <f>8320162+593068</f>
        <v>8913230</v>
      </c>
      <c r="AS514" s="2466">
        <v>8695951.5600000005</v>
      </c>
      <c r="AT514" s="2466"/>
      <c r="AU514" s="2466">
        <v>9117902</v>
      </c>
      <c r="AV514" s="2466">
        <v>9013437.1799999997</v>
      </c>
      <c r="AX514" s="2466">
        <v>9117902</v>
      </c>
      <c r="AY514" s="2470">
        <v>250753</v>
      </c>
      <c r="AZ514" s="2466">
        <f>AX514+AY514</f>
        <v>9368655</v>
      </c>
      <c r="BA514" s="2657">
        <f>IF(AX514=0," ",(AZ514-AX514)/AX514)</f>
        <v>2.7501172967202323E-2</v>
      </c>
      <c r="BC514" s="2467">
        <v>9368645</v>
      </c>
      <c r="BD514" s="2467">
        <v>9368644</v>
      </c>
      <c r="BF514" s="2469" t="s">
        <v>1910</v>
      </c>
      <c r="BH514" s="2467">
        <v>9368644</v>
      </c>
      <c r="BM514" s="2466">
        <v>9368644</v>
      </c>
      <c r="BN514" s="2470">
        <f>ROUNDUP(BM514*3%,0)</f>
        <v>281060</v>
      </c>
      <c r="BO514" s="2472">
        <f>BM514+BN514</f>
        <v>9649704</v>
      </c>
      <c r="BP514" s="2473">
        <f>IF(BM514=0," ",(BO514-BM514)/BM514)</f>
        <v>3.0000072582542361E-2</v>
      </c>
      <c r="BR514" s="2474">
        <v>9649704</v>
      </c>
      <c r="BS514" s="2474">
        <v>9735523</v>
      </c>
      <c r="BU514" s="2475" t="s">
        <v>1911</v>
      </c>
      <c r="BW514" s="2474">
        <v>9735523</v>
      </c>
      <c r="BX514" s="2466">
        <v>3924081.75</v>
      </c>
      <c r="BZ514" s="2474">
        <v>9735523</v>
      </c>
      <c r="CA514" s="2470">
        <v>243500</v>
      </c>
      <c r="CB514" s="2472">
        <f>BZ514+CA514</f>
        <v>9979023</v>
      </c>
      <c r="CC514" s="2473">
        <f>IF(BZ514=0," ",(CB514-BZ514)/BZ514)</f>
        <v>2.5011496557503895E-2</v>
      </c>
      <c r="CE514" s="2474">
        <v>9979342</v>
      </c>
      <c r="CF514" s="2658">
        <f>(CE514-CB514)/CB514</f>
        <v>3.1967057296090006E-5</v>
      </c>
      <c r="CG514" s="2474">
        <v>9979342</v>
      </c>
      <c r="CH514" s="2449" t="s">
        <v>1912</v>
      </c>
      <c r="CI514" s="2449"/>
      <c r="CJ514" s="2450"/>
      <c r="CK514" s="2450"/>
      <c r="CO514" s="2477" t="s">
        <v>1218</v>
      </c>
      <c r="CP514" s="2478">
        <f t="shared" si="268"/>
        <v>-9368644</v>
      </c>
      <c r="CQ514" s="2478"/>
      <c r="CR514" s="2478"/>
      <c r="CS514" s="2478"/>
      <c r="CT514" s="2478"/>
    </row>
    <row r="515" spans="1:100" s="2485" customFormat="1" hidden="1" x14ac:dyDescent="0.2">
      <c r="A515" s="2532"/>
      <c r="B515" s="2533"/>
      <c r="C515" s="2534"/>
      <c r="D515" s="2534"/>
      <c r="E515" s="2535"/>
      <c r="F515" s="2533"/>
      <c r="G515" s="2654" t="s">
        <v>1913</v>
      </c>
      <c r="H515" s="2536">
        <f t="shared" ref="H515:P515" si="277">SUM(H514)</f>
        <v>7602224</v>
      </c>
      <c r="I515" s="2536">
        <f t="shared" si="277"/>
        <v>224947</v>
      </c>
      <c r="J515" s="2536">
        <f t="shared" si="277"/>
        <v>7827171</v>
      </c>
      <c r="K515" s="2484">
        <f>IF(H515=0," ",(J515-H515)/H515)</f>
        <v>2.9589630613357353E-2</v>
      </c>
      <c r="M515" s="2536">
        <f t="shared" si="277"/>
        <v>7827171</v>
      </c>
      <c r="N515" s="2536">
        <f t="shared" si="277"/>
        <v>7827171</v>
      </c>
      <c r="P515" s="2537">
        <f t="shared" si="277"/>
        <v>0</v>
      </c>
      <c r="R515" s="2536">
        <f>SUM(R514)</f>
        <v>7827171</v>
      </c>
      <c r="S515" s="2536">
        <f>SUM(S514)</f>
        <v>7771719.7400000002</v>
      </c>
      <c r="U515" s="2536">
        <f>SUM(U514)</f>
        <v>7827171</v>
      </c>
      <c r="V515" s="2536">
        <f>SUM(V514)</f>
        <v>234816</v>
      </c>
      <c r="W515" s="2536">
        <f>SUM(W514)</f>
        <v>8061987</v>
      </c>
      <c r="X515" s="2484">
        <f>IF(U515=0," ",(W515-U515)/U515)</f>
        <v>3.0000111151270364E-2</v>
      </c>
      <c r="Z515" s="2536">
        <f>SUM(Z514)</f>
        <v>8308071</v>
      </c>
      <c r="AA515" s="2536">
        <f>SUM(AA514)</f>
        <v>8108071</v>
      </c>
      <c r="AC515" s="2537"/>
      <c r="AE515" s="2536">
        <f>SUM(AE514)</f>
        <v>8108071</v>
      </c>
      <c r="AF515" s="2538">
        <f>SUM(AF514)</f>
        <v>7989051.0499999998</v>
      </c>
      <c r="AH515" s="2536">
        <v>8108071</v>
      </c>
      <c r="AI515" s="2536">
        <f>SUM(AI514)</f>
        <v>0</v>
      </c>
      <c r="AJ515" s="2536">
        <f>SUM(AJ514)</f>
        <v>8108071</v>
      </c>
      <c r="AK515" s="2484">
        <f>IF(AH515=0," ",(AJ515-AH515)/AH515)</f>
        <v>0</v>
      </c>
      <c r="AM515" s="2536">
        <f>SUM(AM514)</f>
        <v>8320162</v>
      </c>
      <c r="AN515" s="2536">
        <f>SUM(AN514)</f>
        <v>8320162</v>
      </c>
      <c r="AP515" s="2537"/>
      <c r="AR515" s="2536">
        <f>SUM(AR514)</f>
        <v>8913230</v>
      </c>
      <c r="AS515" s="2536">
        <f>SUM(AS514)</f>
        <v>8695951.5600000005</v>
      </c>
      <c r="AT515" s="2536"/>
      <c r="AU515" s="2536">
        <f>SUM(AU514)</f>
        <v>9117902</v>
      </c>
      <c r="AV515" s="2536">
        <f>SUM(AV514)</f>
        <v>9013437.1799999997</v>
      </c>
      <c r="AX515" s="2536">
        <f>SUM(AX514)</f>
        <v>9117902</v>
      </c>
      <c r="AY515" s="2536">
        <f>SUM(AY514)</f>
        <v>250753</v>
      </c>
      <c r="AZ515" s="2536">
        <f>SUM(AZ514)</f>
        <v>9368655</v>
      </c>
      <c r="BA515" s="2484">
        <f>IF(AX515=0," ",(AZ515-AX515)/AX515)</f>
        <v>2.7501172967202323E-2</v>
      </c>
      <c r="BC515" s="2536">
        <f>SUM(BC514)</f>
        <v>9368645</v>
      </c>
      <c r="BD515" s="2536">
        <f>SUM(BD514)</f>
        <v>9368644</v>
      </c>
      <c r="BF515" s="2537"/>
      <c r="BH515" s="2536">
        <f>SUM(BH514)</f>
        <v>9368644</v>
      </c>
      <c r="BI515" s="2536">
        <f>SUM(BI514)</f>
        <v>0</v>
      </c>
      <c r="BJ515" s="2536"/>
      <c r="BK515" s="2536"/>
      <c r="BM515" s="2536">
        <f>SUM(BM514)</f>
        <v>9368644</v>
      </c>
      <c r="BN515" s="2539">
        <f>SUM(BN514)</f>
        <v>281060</v>
      </c>
      <c r="BO515" s="2540">
        <f>SUM(BO514)</f>
        <v>9649704</v>
      </c>
      <c r="BP515" s="2490">
        <f>IF(BM515=0," ",(BO515-BM515)/BM515)</f>
        <v>3.0000072582542361E-2</v>
      </c>
      <c r="BQ515" s="2491"/>
      <c r="BR515" s="2540">
        <f>SUM(BR514)</f>
        <v>9649704</v>
      </c>
      <c r="BS515" s="2540">
        <f>SUM(BS514)</f>
        <v>9735523</v>
      </c>
      <c r="BT515" s="2491"/>
      <c r="BU515" s="2541"/>
      <c r="BV515" s="2491"/>
      <c r="BW515" s="2540">
        <f>SUM(BW514)</f>
        <v>9735523</v>
      </c>
      <c r="BX515" s="2536">
        <f>SUM(BX514)</f>
        <v>3924081.75</v>
      </c>
      <c r="BZ515" s="2540">
        <f>SUM(BZ514)</f>
        <v>9735523</v>
      </c>
      <c r="CA515" s="2540">
        <f>SUM(CA514)</f>
        <v>243500</v>
      </c>
      <c r="CB515" s="2540">
        <f>SUM(CB514)</f>
        <v>9979023</v>
      </c>
      <c r="CC515" s="2490">
        <f>IF(BZ515=0," ",(CB515-BZ515)/BZ515)</f>
        <v>2.5011496557503895E-2</v>
      </c>
      <c r="CD515" s="2491"/>
      <c r="CE515" s="2540">
        <f>SUM(CE514)</f>
        <v>9979342</v>
      </c>
      <c r="CF515" s="2490">
        <f>IF(CB515=0," ",(CE515-CB515)/CB515)</f>
        <v>3.1967057296090006E-5</v>
      </c>
      <c r="CG515" s="2540">
        <f>SUM(CG514)</f>
        <v>9979342</v>
      </c>
      <c r="CH515" s="2449" t="s">
        <v>1220</v>
      </c>
      <c r="CI515" s="2449"/>
      <c r="CJ515" s="2450"/>
      <c r="CK515" s="2450"/>
      <c r="CL515" s="2451"/>
      <c r="CM515" s="2451"/>
      <c r="CN515" s="2451"/>
      <c r="CO515" s="2477" t="s">
        <v>1218</v>
      </c>
      <c r="CP515" s="2478">
        <f t="shared" si="268"/>
        <v>-9368644</v>
      </c>
      <c r="CQ515" s="2478"/>
      <c r="CR515" s="2478"/>
      <c r="CS515" s="2478"/>
      <c r="CT515" s="2478"/>
      <c r="CU515" s="2440"/>
      <c r="CV515" s="2440"/>
    </row>
    <row r="516" spans="1:100" hidden="1" x14ac:dyDescent="0.2">
      <c r="AS516" s="2466"/>
      <c r="AT516" s="2466"/>
      <c r="BZ516" s="2472"/>
      <c r="CH516" s="2449" t="s">
        <v>1091</v>
      </c>
      <c r="CI516" s="2449"/>
      <c r="CJ516" s="2450"/>
      <c r="CK516" s="2450"/>
      <c r="CP516" s="2478">
        <f t="shared" si="268"/>
        <v>0</v>
      </c>
      <c r="CQ516" s="2478"/>
      <c r="CR516" s="2478"/>
      <c r="CS516" s="2478"/>
      <c r="CT516" s="2478"/>
    </row>
    <row r="517" spans="1:100" hidden="1" x14ac:dyDescent="0.2">
      <c r="A517" s="2395">
        <v>300</v>
      </c>
      <c r="B517" s="2440" t="s">
        <v>1214</v>
      </c>
      <c r="C517" s="2396">
        <v>30205</v>
      </c>
      <c r="D517" s="2396">
        <v>56950</v>
      </c>
      <c r="E517" s="2397" t="s">
        <v>1914</v>
      </c>
      <c r="F517" s="2440" t="s">
        <v>1214</v>
      </c>
      <c r="G517" s="2440" t="s">
        <v>1915</v>
      </c>
      <c r="H517" s="2466">
        <v>6739123</v>
      </c>
      <c r="I517" s="2470">
        <v>210404</v>
      </c>
      <c r="J517" s="2466">
        <f>H517+I517</f>
        <v>6949527</v>
      </c>
      <c r="K517" s="2468">
        <f>IF(H517=0," ",(J517-H517)/H517)</f>
        <v>3.1221273153791675E-2</v>
      </c>
      <c r="M517" s="2467">
        <v>6910110</v>
      </c>
      <c r="N517" s="2467">
        <v>6910110</v>
      </c>
      <c r="P517" s="2469"/>
      <c r="R517" s="2466">
        <v>6910110</v>
      </c>
      <c r="S517" s="2466">
        <v>6910110</v>
      </c>
      <c r="U517" s="2466">
        <v>6910110</v>
      </c>
      <c r="V517" s="2470">
        <v>207304</v>
      </c>
      <c r="W517" s="2466">
        <f>U517+V517</f>
        <v>7117414</v>
      </c>
      <c r="X517" s="2468">
        <f>IF(U517=0," ",(W517-U517)/U517)</f>
        <v>3.0000101300847598E-2</v>
      </c>
      <c r="Z517" s="2467">
        <v>7286699</v>
      </c>
      <c r="AA517" s="2467">
        <v>7286699</v>
      </c>
      <c r="AC517" s="2469" t="s">
        <v>1916</v>
      </c>
      <c r="AE517" s="2466">
        <v>7286699</v>
      </c>
      <c r="AF517" s="2471">
        <v>7286698.8399999999</v>
      </c>
      <c r="AH517" s="2466">
        <v>7286699</v>
      </c>
      <c r="AI517" s="2470">
        <f>7505300-AH517</f>
        <v>218601</v>
      </c>
      <c r="AJ517" s="2466">
        <f>AH517+AI517</f>
        <v>7505300</v>
      </c>
      <c r="AK517" s="2468">
        <f>IF(AH517=0," ",(AJ517-AH517)/AH517)</f>
        <v>3.0000004117090605E-2</v>
      </c>
      <c r="AM517" s="2467">
        <v>7408262</v>
      </c>
      <c r="AN517" s="2467">
        <v>7408262</v>
      </c>
      <c r="AP517" s="2469"/>
      <c r="AR517" s="2466">
        <v>7408262</v>
      </c>
      <c r="AS517" s="2466">
        <v>7408262</v>
      </c>
      <c r="AT517" s="2466"/>
      <c r="AU517" s="2466">
        <v>7745305</v>
      </c>
      <c r="AV517" s="2466">
        <v>7745305</v>
      </c>
      <c r="AX517" s="2466">
        <v>7745305</v>
      </c>
      <c r="AY517" s="2470">
        <v>232360</v>
      </c>
      <c r="AZ517" s="2466">
        <f>AX517+AY517</f>
        <v>7977665</v>
      </c>
      <c r="BA517" s="2468">
        <f>IF(AX517=0," ",(AZ517-AX517)/AX517)</f>
        <v>3.0000109743902919E-2</v>
      </c>
      <c r="BC517" s="2467">
        <f>8165129+256022</f>
        <v>8421151</v>
      </c>
      <c r="BD517" s="2467">
        <v>8394366</v>
      </c>
      <c r="BF517" s="2598" t="s">
        <v>1917</v>
      </c>
      <c r="BH517" s="2467">
        <v>8394366</v>
      </c>
      <c r="BI517" s="2466">
        <v>8394366</v>
      </c>
      <c r="BM517" s="2466">
        <v>8394366</v>
      </c>
      <c r="BN517" s="2470">
        <f>ROUNDUP(BM517*2.75%,0)</f>
        <v>230846</v>
      </c>
      <c r="BO517" s="2472">
        <f>BM517+BN517</f>
        <v>8625212</v>
      </c>
      <c r="BP517" s="2473">
        <f>IF(BM517=0," ",(BO517-BM517)/BM517)</f>
        <v>2.7500111384230804E-2</v>
      </c>
      <c r="BR517" s="2474">
        <v>8625212</v>
      </c>
      <c r="BS517" s="2659">
        <v>8776844</v>
      </c>
      <c r="BU517" s="2475" t="s">
        <v>1918</v>
      </c>
      <c r="BW517" s="2659">
        <v>8776844</v>
      </c>
      <c r="BX517" s="2466">
        <v>4388421.5</v>
      </c>
      <c r="BZ517" s="2659">
        <v>8776844</v>
      </c>
      <c r="CA517" s="2470">
        <v>197500</v>
      </c>
      <c r="CB517" s="2472">
        <f>BZ517+CA517</f>
        <v>8974344</v>
      </c>
      <c r="CC517" s="2473">
        <f>IF(BZ517=0," ",(CB517-BZ517)/BZ517)</f>
        <v>2.2502393798955526E-2</v>
      </c>
      <c r="CE517" s="2474">
        <v>8974344</v>
      </c>
      <c r="CF517" s="2476">
        <f>IF(CB517=0," ",(CE517-CB517)/CB517)</f>
        <v>0</v>
      </c>
      <c r="CG517" s="2474">
        <v>8974344</v>
      </c>
      <c r="CH517" s="2449" t="s">
        <v>1217</v>
      </c>
      <c r="CI517" s="2449"/>
      <c r="CJ517" s="2450"/>
      <c r="CK517" s="2450"/>
      <c r="CO517" s="2477">
        <v>0</v>
      </c>
      <c r="CP517" s="2478">
        <f t="shared" si="268"/>
        <v>0</v>
      </c>
      <c r="CQ517" s="2478"/>
      <c r="CR517" s="2478"/>
      <c r="CS517" s="2478"/>
      <c r="CT517" s="2478"/>
    </row>
    <row r="518" spans="1:100" hidden="1" x14ac:dyDescent="0.2">
      <c r="A518" s="2395">
        <v>300</v>
      </c>
      <c r="B518" s="2440" t="s">
        <v>1214</v>
      </c>
      <c r="C518" s="2396">
        <v>30205</v>
      </c>
      <c r="D518" s="2396">
        <v>56951</v>
      </c>
      <c r="E518" s="2397" t="s">
        <v>1914</v>
      </c>
      <c r="F518" s="2440" t="s">
        <v>1214</v>
      </c>
      <c r="G518" s="2440" t="s">
        <v>1919</v>
      </c>
      <c r="H518" s="2466">
        <v>286226</v>
      </c>
      <c r="I518" s="2470">
        <v>11130</v>
      </c>
      <c r="J518" s="2466">
        <f>H518+I518</f>
        <v>297356</v>
      </c>
      <c r="K518" s="2468">
        <f>IF(H518=0," ",(J518-H518)/H518)</f>
        <v>3.8885356326818665E-2</v>
      </c>
      <c r="M518" s="2467">
        <v>297356</v>
      </c>
      <c r="N518" s="2467">
        <v>289403</v>
      </c>
      <c r="P518" s="2469"/>
      <c r="R518" s="2466">
        <v>289403</v>
      </c>
      <c r="S518" s="2466">
        <v>289403</v>
      </c>
      <c r="U518" s="2466">
        <v>289403</v>
      </c>
      <c r="V518" s="2470"/>
      <c r="W518" s="2466">
        <f>U518+V518</f>
        <v>289403</v>
      </c>
      <c r="X518" s="2468">
        <f>IF(U518=0," ",(W518-U518)/U518)</f>
        <v>0</v>
      </c>
      <c r="Z518" s="2467">
        <v>292714</v>
      </c>
      <c r="AA518" s="2467">
        <v>292714</v>
      </c>
      <c r="AC518" s="2469" t="s">
        <v>1916</v>
      </c>
      <c r="AE518" s="2466">
        <v>292714</v>
      </c>
      <c r="AF518" s="2471">
        <v>292714</v>
      </c>
      <c r="AH518" s="2466">
        <v>292714</v>
      </c>
      <c r="AI518" s="2470">
        <f>285305-AH518</f>
        <v>-7409</v>
      </c>
      <c r="AJ518" s="2466">
        <f>AH518+AI518</f>
        <v>285305</v>
      </c>
      <c r="AK518" s="2468">
        <f>IF(AH518=0," ",(AJ518-AH518)/AH518)</f>
        <v>-2.5311396106779998E-2</v>
      </c>
      <c r="AM518" s="2467">
        <v>285306</v>
      </c>
      <c r="AN518" s="2467">
        <v>285306</v>
      </c>
      <c r="AP518" s="2469"/>
      <c r="AR518" s="2466">
        <v>285306</v>
      </c>
      <c r="AS518" s="2466">
        <v>285305.31</v>
      </c>
      <c r="AT518" s="2466"/>
      <c r="AU518" s="2466">
        <v>80537</v>
      </c>
      <c r="AV518" s="2466">
        <v>80537</v>
      </c>
      <c r="AX518" s="2466">
        <v>80537</v>
      </c>
      <c r="AY518" s="2470"/>
      <c r="AZ518" s="2466">
        <f>AX518+AY518</f>
        <v>80537</v>
      </c>
      <c r="BA518" s="2468">
        <f>IF(AX518=0," ",(AZ518-AX518)/AX518)</f>
        <v>0</v>
      </c>
      <c r="BC518" s="2467">
        <v>82467</v>
      </c>
      <c r="BD518" s="2467">
        <v>82467</v>
      </c>
      <c r="BF518" s="2469"/>
      <c r="BH518" s="2467">
        <v>82467</v>
      </c>
      <c r="BI518" s="2466">
        <v>82467</v>
      </c>
      <c r="BM518" s="2466">
        <v>82467</v>
      </c>
      <c r="BN518" s="2470">
        <v>139503</v>
      </c>
      <c r="BO518" s="2472">
        <f>BM518+BN518</f>
        <v>221970</v>
      </c>
      <c r="BP518" s="2473">
        <f>IF(BM518=0," ",(BO518-BM518)/BM518)</f>
        <v>1.6916221033868093</v>
      </c>
      <c r="BR518" s="2474">
        <v>221970</v>
      </c>
      <c r="BS518" s="2474"/>
      <c r="BU518" s="2475"/>
      <c r="BW518" s="2474"/>
      <c r="BZ518" s="2474"/>
      <c r="CA518" s="2470"/>
      <c r="CB518" s="2472">
        <f>BZ518+CA518</f>
        <v>0</v>
      </c>
      <c r="CC518" s="2473" t="str">
        <f>IF(BZ518=0," ",(CB518-BZ518)/BZ518)</f>
        <v xml:space="preserve"> </v>
      </c>
      <c r="CE518" s="2474">
        <v>0</v>
      </c>
      <c r="CF518" s="2476" t="str">
        <f>IF(CB518=0," ",(CE518-CB518)/CB518)</f>
        <v xml:space="preserve"> </v>
      </c>
      <c r="CG518" s="2474">
        <v>0</v>
      </c>
      <c r="CH518" s="2449" t="s">
        <v>1217</v>
      </c>
      <c r="CI518" s="2449"/>
      <c r="CJ518" s="2450"/>
      <c r="CK518" s="2450"/>
      <c r="CO518" s="2477">
        <v>0</v>
      </c>
      <c r="CP518" s="2478">
        <f t="shared" ref="CP518:CP581" si="278">IFERROR(BI518-BH518,"")</f>
        <v>0</v>
      </c>
      <c r="CQ518" s="2478"/>
      <c r="CR518" s="2478"/>
      <c r="CS518" s="2478"/>
      <c r="CT518" s="2478"/>
    </row>
    <row r="519" spans="1:100" s="2485" customFormat="1" hidden="1" x14ac:dyDescent="0.2">
      <c r="A519" s="2532"/>
      <c r="B519" s="2533"/>
      <c r="C519" s="2534"/>
      <c r="D519" s="2534"/>
      <c r="E519" s="2535"/>
      <c r="F519" s="2533"/>
      <c r="G519" s="2654" t="s">
        <v>1920</v>
      </c>
      <c r="H519" s="2536">
        <f t="shared" ref="H519:P519" si="279">SUM(H517:H518)</f>
        <v>7025349</v>
      </c>
      <c r="I519" s="2536">
        <f t="shared" si="279"/>
        <v>221534</v>
      </c>
      <c r="J519" s="2536">
        <f t="shared" si="279"/>
        <v>7246883</v>
      </c>
      <c r="K519" s="2484">
        <f>IF(H519=0," ",(J519-H519)/H519)</f>
        <v>3.1533522391556636E-2</v>
      </c>
      <c r="M519" s="2536">
        <f>SUM(M517:M518)</f>
        <v>7207466</v>
      </c>
      <c r="N519" s="2536">
        <f t="shared" si="279"/>
        <v>7199513</v>
      </c>
      <c r="P519" s="2537">
        <f t="shared" si="279"/>
        <v>0</v>
      </c>
      <c r="R519" s="2536">
        <f>SUM(R517:R518)</f>
        <v>7199513</v>
      </c>
      <c r="S519" s="2536">
        <f>SUM(S517:S518)</f>
        <v>7199513</v>
      </c>
      <c r="U519" s="2536">
        <f>SUM(U517:U518)</f>
        <v>7199513</v>
      </c>
      <c r="V519" s="2536">
        <f>SUM(V517:V518)</f>
        <v>207304</v>
      </c>
      <c r="W519" s="2536">
        <f>SUM(W517:W518)</f>
        <v>7406817</v>
      </c>
      <c r="X519" s="2484">
        <f>IF(U519=0," ",(W519-U519)/U519)</f>
        <v>2.8794169827875856E-2</v>
      </c>
      <c r="Z519" s="2536">
        <f>SUM(Z517:Z518)</f>
        <v>7579413</v>
      </c>
      <c r="AA519" s="2536">
        <f>SUM(AA517:AA518)</f>
        <v>7579413</v>
      </c>
      <c r="AC519" s="2537"/>
      <c r="AE519" s="2536">
        <f>SUM(AE517:AE518)</f>
        <v>7579413</v>
      </c>
      <c r="AF519" s="2538">
        <f>SUM(AF517:AF518)</f>
        <v>7579412.8399999999</v>
      </c>
      <c r="AH519" s="2536">
        <v>7579413</v>
      </c>
      <c r="AI519" s="2536">
        <f>SUM(AI517:AI518)</f>
        <v>211192</v>
      </c>
      <c r="AJ519" s="2536">
        <f>SUM(AJ517:AJ518)</f>
        <v>7790605</v>
      </c>
      <c r="AK519" s="2484">
        <f>IF(AH519=0," ",(AJ519-AH519)/AH519)</f>
        <v>2.7863899222802611E-2</v>
      </c>
      <c r="AM519" s="2536">
        <f>SUM(AM517:AM518)</f>
        <v>7693568</v>
      </c>
      <c r="AN519" s="2536">
        <f>SUM(AN517:AN518)</f>
        <v>7693568</v>
      </c>
      <c r="AP519" s="2537"/>
      <c r="AR519" s="2536">
        <f>SUM(AR517:AR518)</f>
        <v>7693568</v>
      </c>
      <c r="AS519" s="2536">
        <f>SUM(AS517:AS518)</f>
        <v>7693567.3099999996</v>
      </c>
      <c r="AT519" s="2536"/>
      <c r="AU519" s="2536">
        <f>SUM(AU517:AU518)</f>
        <v>7825842</v>
      </c>
      <c r="AV519" s="2536">
        <f>SUM(AV517:AV518)</f>
        <v>7825842</v>
      </c>
      <c r="AX519" s="2536">
        <f>SUM(AX517:AX518)</f>
        <v>7825842</v>
      </c>
      <c r="AY519" s="2536">
        <f>SUM(AY517:AY518)</f>
        <v>232360</v>
      </c>
      <c r="AZ519" s="2536">
        <f>SUM(AZ517:AZ518)</f>
        <v>8058202</v>
      </c>
      <c r="BA519" s="2484">
        <f>IF(AX519=0," ",(AZ519-AX519)/AX519)</f>
        <v>2.9691373784443899E-2</v>
      </c>
      <c r="BC519" s="2536">
        <f>SUM(BC517:BC518)</f>
        <v>8503618</v>
      </c>
      <c r="BD519" s="2536">
        <f>SUM(BD517:BD518)</f>
        <v>8476833</v>
      </c>
      <c r="BF519" s="2537"/>
      <c r="BH519" s="2536">
        <f>SUM(BH517:BH518)</f>
        <v>8476833</v>
      </c>
      <c r="BI519" s="2536">
        <f>SUM(BI517:BI518)</f>
        <v>8476833</v>
      </c>
      <c r="BJ519" s="2536"/>
      <c r="BK519" s="2536"/>
      <c r="BM519" s="2536">
        <f>SUM(BM517:BM518)</f>
        <v>8476833</v>
      </c>
      <c r="BN519" s="2539">
        <f>SUM(BN517:BN518)</f>
        <v>370349</v>
      </c>
      <c r="BO519" s="2540">
        <f>SUM(BO517:BO518)</f>
        <v>8847182</v>
      </c>
      <c r="BP519" s="2490">
        <f>IF(BM519=0," ",(BO519-BM519)/BM519)</f>
        <v>4.3689547735575304E-2</v>
      </c>
      <c r="BQ519" s="2491"/>
      <c r="BR519" s="2540">
        <f>SUM(BR517:BR518)</f>
        <v>8847182</v>
      </c>
      <c r="BS519" s="2540">
        <f>SUM(BS517:BS518)</f>
        <v>8776844</v>
      </c>
      <c r="BT519" s="2491"/>
      <c r="BU519" s="2541"/>
      <c r="BV519" s="2491"/>
      <c r="BW519" s="2540">
        <f>SUM(BW517:BW518)</f>
        <v>8776844</v>
      </c>
      <c r="BX519" s="2536">
        <f>SUM(BX517:BX518)</f>
        <v>4388421.5</v>
      </c>
      <c r="BZ519" s="2540">
        <f>SUM(BZ517:BZ518)</f>
        <v>8776844</v>
      </c>
      <c r="CA519" s="2540">
        <f>SUM(CA517:CA518)</f>
        <v>197500</v>
      </c>
      <c r="CB519" s="2540">
        <f>SUM(CB517:CB518)</f>
        <v>8974344</v>
      </c>
      <c r="CC519" s="2490">
        <f>IF(BZ519=0," ",(CB519-BZ519)/BZ519)</f>
        <v>2.2502393798955526E-2</v>
      </c>
      <c r="CD519" s="2491"/>
      <c r="CE519" s="2540">
        <f>SUM(CE517:CE518)</f>
        <v>8974344</v>
      </c>
      <c r="CF519" s="2490">
        <f>IF(CB519=0," ",(CE519-CB519)/CB519)</f>
        <v>0</v>
      </c>
      <c r="CG519" s="2540">
        <f>SUM(CG517:CG518)</f>
        <v>8974344</v>
      </c>
      <c r="CH519" s="2449" t="s">
        <v>1220</v>
      </c>
      <c r="CI519" s="2449"/>
      <c r="CJ519" s="2450"/>
      <c r="CK519" s="2450"/>
      <c r="CL519" s="2451"/>
      <c r="CM519" s="2451"/>
      <c r="CN519" s="2451"/>
      <c r="CO519" s="2477">
        <v>0</v>
      </c>
      <c r="CP519" s="2478">
        <f t="shared" si="278"/>
        <v>0</v>
      </c>
      <c r="CQ519" s="2478"/>
      <c r="CR519" s="2478"/>
      <c r="CS519" s="2478"/>
      <c r="CT519" s="2478"/>
    </row>
    <row r="520" spans="1:100" hidden="1" x14ac:dyDescent="0.2">
      <c r="AS520" s="2466"/>
      <c r="AT520" s="2466"/>
      <c r="BZ520" s="2472"/>
      <c r="CH520" s="2449" t="s">
        <v>1091</v>
      </c>
      <c r="CI520" s="2449"/>
      <c r="CJ520" s="2450"/>
      <c r="CK520" s="2450"/>
      <c r="CP520" s="2478">
        <f t="shared" si="278"/>
        <v>0</v>
      </c>
      <c r="CQ520" s="2478"/>
      <c r="CR520" s="2478"/>
      <c r="CS520" s="2478"/>
      <c r="CT520" s="2478"/>
    </row>
    <row r="521" spans="1:100" hidden="1" x14ac:dyDescent="0.2">
      <c r="A521" s="2395">
        <v>300</v>
      </c>
      <c r="B521" s="2440" t="s">
        <v>1214</v>
      </c>
      <c r="C521" s="2396">
        <v>30405</v>
      </c>
      <c r="D521" s="2396">
        <v>56900</v>
      </c>
      <c r="E521" s="2397" t="s">
        <v>1914</v>
      </c>
      <c r="F521" s="2440" t="s">
        <v>1214</v>
      </c>
      <c r="G521" s="2440" t="s">
        <v>1921</v>
      </c>
      <c r="H521" s="2466">
        <v>191263</v>
      </c>
      <c r="I521" s="2470">
        <v>39679</v>
      </c>
      <c r="J521" s="2466">
        <f>H521+I521</f>
        <v>230942</v>
      </c>
      <c r="K521" s="2468">
        <f>IF(H521=0," ",(J521-H521)/H521)</f>
        <v>0.20745779371859691</v>
      </c>
      <c r="M521" s="2467">
        <v>230942</v>
      </c>
      <c r="N521" s="2467">
        <v>230942</v>
      </c>
      <c r="P521" s="2469"/>
      <c r="R521" s="2466">
        <v>230942</v>
      </c>
      <c r="S521" s="2466">
        <v>220690</v>
      </c>
      <c r="U521" s="2466">
        <v>230942</v>
      </c>
      <c r="V521" s="2470">
        <v>6929</v>
      </c>
      <c r="W521" s="2466">
        <f>U521+V521</f>
        <v>237871</v>
      </c>
      <c r="X521" s="2468">
        <f>IF(U521=0," ",(W521-U521)/U521)</f>
        <v>3.0003204267738219E-2</v>
      </c>
      <c r="Z521" s="2467">
        <v>262439</v>
      </c>
      <c r="AA521" s="2467">
        <v>260101</v>
      </c>
      <c r="AC521" s="2469" t="s">
        <v>1922</v>
      </c>
      <c r="AE521" s="2466">
        <v>260101</v>
      </c>
      <c r="AF521" s="2471">
        <v>256915</v>
      </c>
      <c r="AH521" s="2466">
        <v>260101</v>
      </c>
      <c r="AI521" s="2470">
        <f>267905-260101</f>
        <v>7804</v>
      </c>
      <c r="AJ521" s="2466">
        <f>AH521+AI521</f>
        <v>267905</v>
      </c>
      <c r="AK521" s="2468">
        <f>IF(AH521=0," ",(AJ521-AH521)/AH521)</f>
        <v>3.0003729320533176E-2</v>
      </c>
      <c r="AM521" s="2467">
        <v>302815</v>
      </c>
      <c r="AN521" s="2467">
        <v>302815</v>
      </c>
      <c r="AP521" s="2469"/>
      <c r="AR521" s="2466">
        <v>302815</v>
      </c>
      <c r="AS521" s="2466">
        <v>301595</v>
      </c>
      <c r="AT521" s="2466"/>
      <c r="AU521" s="2466">
        <v>364498</v>
      </c>
      <c r="AV521" s="2466">
        <v>361812</v>
      </c>
      <c r="AX521" s="2466">
        <v>364498</v>
      </c>
      <c r="AY521" s="2470">
        <v>10934</v>
      </c>
      <c r="AZ521" s="2466">
        <f>AX521+AY521</f>
        <v>375432</v>
      </c>
      <c r="BA521" s="2468">
        <f>IF(AX521=0," ",(AZ521-AX521)/AX521)</f>
        <v>2.9997421110678248E-2</v>
      </c>
      <c r="BC521" s="2467">
        <v>419370</v>
      </c>
      <c r="BD521" s="2467">
        <v>419370</v>
      </c>
      <c r="BF521" s="2469" t="s">
        <v>1923</v>
      </c>
      <c r="BH521" s="2467">
        <v>419370</v>
      </c>
      <c r="BI521" s="2466">
        <v>419370</v>
      </c>
      <c r="BM521" s="2466">
        <v>419370</v>
      </c>
      <c r="BN521" s="2470">
        <f>ROUNDUP(BM521*3%,0)</f>
        <v>12582</v>
      </c>
      <c r="BO521" s="2472">
        <f>BM521+BN521</f>
        <v>431952</v>
      </c>
      <c r="BP521" s="2473">
        <f>IF(BM521=0," ",(BO521-BM521)/BM521)</f>
        <v>3.0002146076257244E-2</v>
      </c>
      <c r="BR521" s="2474">
        <v>431952</v>
      </c>
      <c r="BS521" s="2659">
        <v>442571</v>
      </c>
      <c r="BU521" s="2475" t="s">
        <v>1924</v>
      </c>
      <c r="BW521" s="2659">
        <v>442571</v>
      </c>
      <c r="BX521" s="2466">
        <v>331928.25</v>
      </c>
      <c r="BZ521" s="2659">
        <v>442571</v>
      </c>
      <c r="CA521" s="2470">
        <v>44257</v>
      </c>
      <c r="CB521" s="2472">
        <f>BZ521+CA521</f>
        <v>486828</v>
      </c>
      <c r="CC521" s="2473">
        <f>IF(BZ521=0," ",(CB521-BZ521)/BZ521)</f>
        <v>9.9999774047553946E-2</v>
      </c>
      <c r="CE521" s="2474">
        <v>486828</v>
      </c>
      <c r="CF521" s="2476">
        <f>IF(CB521=0," ",(CE521-CB521)/CB521)</f>
        <v>0</v>
      </c>
      <c r="CG521" s="2474">
        <v>486828</v>
      </c>
      <c r="CH521" s="2449" t="s">
        <v>1217</v>
      </c>
      <c r="CI521" s="2449"/>
      <c r="CJ521" s="2450"/>
      <c r="CK521" s="2450"/>
      <c r="CO521" s="2477">
        <v>0</v>
      </c>
      <c r="CP521" s="2478">
        <f t="shared" si="278"/>
        <v>0</v>
      </c>
      <c r="CQ521" s="2478"/>
      <c r="CR521" s="2478"/>
      <c r="CS521" s="2478"/>
      <c r="CT521" s="2478"/>
    </row>
    <row r="522" spans="1:100" s="2485" customFormat="1" hidden="1" x14ac:dyDescent="0.2">
      <c r="A522" s="2532"/>
      <c r="B522" s="2533"/>
      <c r="C522" s="2534"/>
      <c r="D522" s="2534"/>
      <c r="E522" s="2535"/>
      <c r="F522" s="2533"/>
      <c r="G522" s="2588" t="s">
        <v>1925</v>
      </c>
      <c r="H522" s="2536">
        <f>SUM(H521:H521)</f>
        <v>191263</v>
      </c>
      <c r="I522" s="2536">
        <f>SUM(I521:I521)</f>
        <v>39679</v>
      </c>
      <c r="J522" s="2536">
        <f>SUM(J521:J521)</f>
        <v>230942</v>
      </c>
      <c r="K522" s="2484">
        <f>IF(H522=0," ",(J522-H522)/H522)</f>
        <v>0.20745779371859691</v>
      </c>
      <c r="M522" s="2536">
        <f>SUM(M521:M521)</f>
        <v>230942</v>
      </c>
      <c r="N522" s="2536">
        <f>SUM(N521:N521)</f>
        <v>230942</v>
      </c>
      <c r="P522" s="2537">
        <f>SUM(P521:P521)</f>
        <v>0</v>
      </c>
      <c r="R522" s="2536">
        <f>SUM(R521:R521)</f>
        <v>230942</v>
      </c>
      <c r="S522" s="2536">
        <f>SUM(S521:S521)</f>
        <v>220690</v>
      </c>
      <c r="U522" s="2536">
        <f>SUM(U521:U521)</f>
        <v>230942</v>
      </c>
      <c r="V522" s="2536">
        <f>SUM(V521:V521)</f>
        <v>6929</v>
      </c>
      <c r="W522" s="2536">
        <f>SUM(W521:W521)</f>
        <v>237871</v>
      </c>
      <c r="X522" s="2484">
        <f>IF(U522=0," ",(W522-U522)/U522)</f>
        <v>3.0003204267738219E-2</v>
      </c>
      <c r="Z522" s="2536">
        <f>SUM(Z521:Z521)</f>
        <v>262439</v>
      </c>
      <c r="AA522" s="2536">
        <f>SUM(AA521:AA521)</f>
        <v>260101</v>
      </c>
      <c r="AC522" s="2537"/>
      <c r="AE522" s="2536">
        <f>SUM(AE521:AE521)</f>
        <v>260101</v>
      </c>
      <c r="AF522" s="2538">
        <f>SUM(AF521:AF521)</f>
        <v>256915</v>
      </c>
      <c r="AH522" s="2536">
        <v>260101</v>
      </c>
      <c r="AI522" s="2536">
        <f>SUM(AI521:AI521)</f>
        <v>7804</v>
      </c>
      <c r="AJ522" s="2536">
        <f>SUM(AJ521:AJ521)</f>
        <v>267905</v>
      </c>
      <c r="AK522" s="2484">
        <f>IF(AH522=0," ",(AJ522-AH522)/AH522)</f>
        <v>3.0003729320533176E-2</v>
      </c>
      <c r="AM522" s="2536">
        <f>SUM(AM521:AM521)</f>
        <v>302815</v>
      </c>
      <c r="AN522" s="2536">
        <f>SUM(AN521:AN521)</f>
        <v>302815</v>
      </c>
      <c r="AP522" s="2537"/>
      <c r="AR522" s="2536">
        <f>SUM(AR521:AR521)</f>
        <v>302815</v>
      </c>
      <c r="AS522" s="2536">
        <f>SUM(AS521:AS521)</f>
        <v>301595</v>
      </c>
      <c r="AT522" s="2536"/>
      <c r="AU522" s="2536">
        <f>SUM(AU521:AU521)</f>
        <v>364498</v>
      </c>
      <c r="AV522" s="2536">
        <f>SUM(AV521:AV521)</f>
        <v>361812</v>
      </c>
      <c r="AX522" s="2536">
        <f>SUM(AX521:AX521)</f>
        <v>364498</v>
      </c>
      <c r="AY522" s="2536">
        <f>SUM(AY521:AY521)</f>
        <v>10934</v>
      </c>
      <c r="AZ522" s="2536">
        <f>SUM(AZ521:AZ521)</f>
        <v>375432</v>
      </c>
      <c r="BA522" s="2484">
        <f>IF(AX522=0," ",(AZ522-AX522)/AX522)</f>
        <v>2.9997421110678248E-2</v>
      </c>
      <c r="BC522" s="2536">
        <f>SUM(BC521:BC521)</f>
        <v>419370</v>
      </c>
      <c r="BD522" s="2536">
        <f>SUM(BD521:BD521)</f>
        <v>419370</v>
      </c>
      <c r="BF522" s="2537"/>
      <c r="BH522" s="2536">
        <f>SUM(BH521:BH521)</f>
        <v>419370</v>
      </c>
      <c r="BI522" s="2536">
        <f>SUM(BI521:BI521)</f>
        <v>419370</v>
      </c>
      <c r="BJ522" s="2536"/>
      <c r="BK522" s="2536"/>
      <c r="BM522" s="2536">
        <f>SUM(BM521:BM521)</f>
        <v>419370</v>
      </c>
      <c r="BN522" s="2539">
        <f>SUM(BN521:BN521)</f>
        <v>12582</v>
      </c>
      <c r="BO522" s="2540">
        <f>SUM(BO521:BO521)</f>
        <v>431952</v>
      </c>
      <c r="BP522" s="2490">
        <f>IF(BM522=0," ",(BO522-BM522)/BM522)</f>
        <v>3.0002146076257244E-2</v>
      </c>
      <c r="BQ522" s="2491"/>
      <c r="BR522" s="2540">
        <f>SUM(BR521:BR521)</f>
        <v>431952</v>
      </c>
      <c r="BS522" s="2540">
        <f>SUM(BS521:BS521)</f>
        <v>442571</v>
      </c>
      <c r="BT522" s="2491"/>
      <c r="BU522" s="2541"/>
      <c r="BV522" s="2491"/>
      <c r="BW522" s="2540">
        <f>SUM(BW521:BW521)</f>
        <v>442571</v>
      </c>
      <c r="BX522" s="2536">
        <f>SUM(BX521:BX521)</f>
        <v>331928.25</v>
      </c>
      <c r="BZ522" s="2540">
        <f>SUM(BZ521:BZ521)</f>
        <v>442571</v>
      </c>
      <c r="CA522" s="2540">
        <f>SUM(CA521:CA521)</f>
        <v>44257</v>
      </c>
      <c r="CB522" s="2540">
        <f>SUM(CB521:CB521)</f>
        <v>486828</v>
      </c>
      <c r="CC522" s="2490">
        <f>IF(BZ522=0," ",(CB522-BZ522)/BZ522)</f>
        <v>9.9999774047553946E-2</v>
      </c>
      <c r="CD522" s="2491"/>
      <c r="CE522" s="2540">
        <f>SUM(CE521:CE521)</f>
        <v>486828</v>
      </c>
      <c r="CF522" s="2490">
        <f>IF(CB522=0," ",(CE522-CB522)/CB522)</f>
        <v>0</v>
      </c>
      <c r="CG522" s="2540">
        <f>SUM(CG521:CG521)</f>
        <v>486828</v>
      </c>
      <c r="CH522" s="2449" t="s">
        <v>1220</v>
      </c>
      <c r="CI522" s="2449"/>
      <c r="CJ522" s="2450"/>
      <c r="CK522" s="2450"/>
      <c r="CL522" s="2451"/>
      <c r="CM522" s="2451"/>
      <c r="CN522" s="2451"/>
      <c r="CO522" s="2477">
        <v>0</v>
      </c>
      <c r="CP522" s="2478">
        <f t="shared" si="278"/>
        <v>0</v>
      </c>
      <c r="CQ522" s="2478"/>
      <c r="CR522" s="2478"/>
      <c r="CS522" s="2478"/>
      <c r="CT522" s="2478"/>
    </row>
    <row r="523" spans="1:100" ht="9.9499999999999993" hidden="1" customHeight="1" x14ac:dyDescent="0.2">
      <c r="AS523" s="2466"/>
      <c r="AT523" s="2466"/>
      <c r="BZ523" s="2472"/>
      <c r="CH523" s="2449" t="s">
        <v>1091</v>
      </c>
      <c r="CI523" s="2449"/>
      <c r="CJ523" s="2450"/>
      <c r="CK523" s="2450"/>
      <c r="CP523" s="2478">
        <f t="shared" si="278"/>
        <v>0</v>
      </c>
      <c r="CQ523" s="2478"/>
      <c r="CR523" s="2478"/>
      <c r="CS523" s="2478"/>
      <c r="CT523" s="2478"/>
    </row>
    <row r="524" spans="1:100" hidden="1" x14ac:dyDescent="0.2">
      <c r="A524" s="2495"/>
      <c r="B524" s="2496"/>
      <c r="C524" s="2497"/>
      <c r="D524" s="2497"/>
      <c r="E524" s="2498"/>
      <c r="F524" s="2496"/>
      <c r="G524" s="2499" t="s">
        <v>1926</v>
      </c>
      <c r="H524" s="2500">
        <f>H515+H519+H522</f>
        <v>14818836</v>
      </c>
      <c r="I524" s="2500">
        <f>I515+I519+I522</f>
        <v>486160</v>
      </c>
      <c r="J524" s="2500">
        <f>J515+J519+J522</f>
        <v>15304996</v>
      </c>
      <c r="K524" s="2501">
        <f>IF(H524=0," ",(J524-H524)/H524)</f>
        <v>3.2806895224429235E-2</v>
      </c>
      <c r="M524" s="2500">
        <f>M515+M519+M522</f>
        <v>15265579</v>
      </c>
      <c r="N524" s="2500">
        <f>N515+N519+N522</f>
        <v>15257626</v>
      </c>
      <c r="P524" s="2502">
        <f>P515+P519+P522</f>
        <v>0</v>
      </c>
      <c r="R524" s="2500">
        <f>R515+R519+R522</f>
        <v>15257626</v>
      </c>
      <c r="S524" s="2500">
        <f>S515+S519+S522</f>
        <v>15191922.74</v>
      </c>
      <c r="U524" s="2500">
        <f>U515+U519+U522</f>
        <v>15257626</v>
      </c>
      <c r="V524" s="2500">
        <f>V515+V519+V522</f>
        <v>449049</v>
      </c>
      <c r="W524" s="2500">
        <f>W515+W519+W522</f>
        <v>15706675</v>
      </c>
      <c r="X524" s="2501">
        <f>IF(U524=0," ",(W524-U524)/U524)</f>
        <v>2.9431118576376168E-2</v>
      </c>
      <c r="Z524" s="2500">
        <f>Z515+Z519+Z522</f>
        <v>16149923</v>
      </c>
      <c r="AA524" s="2500">
        <f>AA515+AA519+AA522</f>
        <v>15947585</v>
      </c>
      <c r="AC524" s="2502"/>
      <c r="AE524" s="2500">
        <f>AE515+AE519+AE522</f>
        <v>15947585</v>
      </c>
      <c r="AF524" s="2503">
        <f>AF515+AF519+AF522</f>
        <v>15825378.890000001</v>
      </c>
      <c r="AH524" s="2500">
        <v>15947585</v>
      </c>
      <c r="AI524" s="2500">
        <f>AI515+AI519+AI522</f>
        <v>218996</v>
      </c>
      <c r="AJ524" s="2500">
        <f>AJ515+AJ519+AJ522</f>
        <v>16166581</v>
      </c>
      <c r="AK524" s="2501">
        <f>IF(AH524=0," ",(AJ524-AH524)/AH524)</f>
        <v>1.3732235946696631E-2</v>
      </c>
      <c r="AM524" s="2500">
        <f>AM515+AM519+AM522</f>
        <v>16316545</v>
      </c>
      <c r="AN524" s="2500">
        <f>AN515+AN519+AN522</f>
        <v>16316545</v>
      </c>
      <c r="AP524" s="2502"/>
      <c r="AR524" s="2500">
        <f>AR515+AR519+AR522</f>
        <v>16909613</v>
      </c>
      <c r="AS524" s="2500">
        <f>AS515+AS519+AS522</f>
        <v>16691113.870000001</v>
      </c>
      <c r="AT524" s="2500"/>
      <c r="AU524" s="2500">
        <f>AU515+AU519+AU522</f>
        <v>17308242</v>
      </c>
      <c r="AV524" s="2500">
        <f>AV515+AV519+AV522</f>
        <v>17201091.18</v>
      </c>
      <c r="AX524" s="2500">
        <f>AX515+AX519+AX522</f>
        <v>17308242</v>
      </c>
      <c r="AY524" s="2500">
        <f>AY515+AY519+AY522</f>
        <v>494047</v>
      </c>
      <c r="AZ524" s="2500">
        <f>AZ515+AZ519+AZ522</f>
        <v>17802289</v>
      </c>
      <c r="BA524" s="2501">
        <f>IF(AX524=0," ",(AZ524-AX524)/AX524)</f>
        <v>2.854403121934625E-2</v>
      </c>
      <c r="BC524" s="2500">
        <f>BC515+BC519+BC522</f>
        <v>18291633</v>
      </c>
      <c r="BD524" s="2500">
        <f>BD515+BD519+BD522</f>
        <v>18264847</v>
      </c>
      <c r="BF524" s="2502"/>
      <c r="BH524" s="2500">
        <f>BH515+BH519+BH522</f>
        <v>18264847</v>
      </c>
      <c r="BI524" s="2500">
        <f>BI515+BI519+BI522</f>
        <v>8896203</v>
      </c>
      <c r="BJ524" s="2500"/>
      <c r="BK524" s="2500"/>
      <c r="BM524" s="2500">
        <f>BM515+BM519+BM522</f>
        <v>18264847</v>
      </c>
      <c r="BN524" s="2504">
        <f>BN515+BN519+BN522</f>
        <v>663991</v>
      </c>
      <c r="BO524" s="2505">
        <f>BO515+BO519+BO522</f>
        <v>18928838</v>
      </c>
      <c r="BP524" s="2506">
        <f>IF(BM524=0," ",(BO524-BM524)/BM524)</f>
        <v>3.6353493681058481E-2</v>
      </c>
      <c r="BR524" s="2505">
        <f>BR515+BR519+BR522</f>
        <v>18928838</v>
      </c>
      <c r="BS524" s="2505">
        <f>BS515+BS519+BS522</f>
        <v>18954938</v>
      </c>
      <c r="BU524" s="2507"/>
      <c r="BW524" s="2505">
        <f>BW515+BW519+BW522</f>
        <v>18954938</v>
      </c>
      <c r="BX524" s="2500">
        <f>BX515+BX519+BX522</f>
        <v>8644431.5</v>
      </c>
      <c r="BZ524" s="2505">
        <f>BZ515+BZ519+BZ522</f>
        <v>18954938</v>
      </c>
      <c r="CA524" s="2505">
        <f>CA515+CA519+CA522</f>
        <v>485257</v>
      </c>
      <c r="CB524" s="2505">
        <f>CB515+CB519+CB522</f>
        <v>19440195</v>
      </c>
      <c r="CC524" s="2506">
        <f>IF(BZ524=0," ",(CB524-BZ524)/BZ524)</f>
        <v>2.5600558545746759E-2</v>
      </c>
      <c r="CE524" s="2505">
        <f>CE515+CE519+CE522</f>
        <v>19440514</v>
      </c>
      <c r="CF524" s="2506">
        <f>IF(CB524=0," ",(CE524-CB524)/CB524)</f>
        <v>1.6409300421112031E-5</v>
      </c>
      <c r="CG524" s="2505">
        <f>CG515+CG519+CG522</f>
        <v>19440514</v>
      </c>
      <c r="CH524" s="2449" t="s">
        <v>1927</v>
      </c>
      <c r="CI524" s="2449"/>
      <c r="CJ524" s="2450"/>
      <c r="CK524" s="2450"/>
      <c r="CO524" s="2477">
        <v>-0.5129330675477326</v>
      </c>
      <c r="CP524" s="2478">
        <f t="shared" si="278"/>
        <v>-9368644</v>
      </c>
      <c r="CQ524" s="2478"/>
      <c r="CR524" s="2478"/>
      <c r="CS524" s="2478"/>
      <c r="CT524" s="2478"/>
    </row>
    <row r="525" spans="1:100" ht="20.100000000000001" hidden="1" customHeight="1" x14ac:dyDescent="0.2">
      <c r="AS525" s="2466"/>
      <c r="AT525" s="2466"/>
      <c r="BZ525" s="2472"/>
      <c r="CH525" s="2449" t="s">
        <v>1091</v>
      </c>
      <c r="CI525" s="2449"/>
      <c r="CJ525" s="2450"/>
      <c r="CK525" s="2450"/>
      <c r="CP525" s="2478">
        <f t="shared" si="278"/>
        <v>0</v>
      </c>
      <c r="CQ525" s="2478"/>
      <c r="CR525" s="2478"/>
      <c r="CS525" s="2478"/>
      <c r="CT525" s="2478"/>
    </row>
    <row r="526" spans="1:100" ht="20.100000000000001" hidden="1" customHeight="1" x14ac:dyDescent="0.2">
      <c r="A526" s="2604" t="s">
        <v>1928</v>
      </c>
      <c r="B526" s="2435"/>
      <c r="C526" s="2436"/>
      <c r="D526" s="2436"/>
      <c r="E526" s="2437"/>
      <c r="F526" s="2435"/>
      <c r="G526" s="2435"/>
      <c r="H526" s="2438">
        <f>SUM(H524)</f>
        <v>14818836</v>
      </c>
      <c r="I526" s="2438">
        <f>SUM(I524)</f>
        <v>486160</v>
      </c>
      <c r="J526" s="2438">
        <f>SUM(J524)</f>
        <v>15304996</v>
      </c>
      <c r="K526" s="2439">
        <f>IF(H526=0," ",(J526-H526)/H526)</f>
        <v>3.2806895224429235E-2</v>
      </c>
      <c r="M526" s="2438">
        <f>SUM(M524)</f>
        <v>15265579</v>
      </c>
      <c r="N526" s="2438">
        <f>SUM(N524)</f>
        <v>15257626</v>
      </c>
      <c r="P526" s="2441">
        <f>SUM(P524)</f>
        <v>0</v>
      </c>
      <c r="R526" s="2438">
        <f>SUM(R524)</f>
        <v>15257626</v>
      </c>
      <c r="S526" s="2438">
        <f>SUM(S524)</f>
        <v>15191922.74</v>
      </c>
      <c r="U526" s="2438">
        <f>SUM(U524)</f>
        <v>15257626</v>
      </c>
      <c r="V526" s="2438">
        <f>SUM(V524)</f>
        <v>449049</v>
      </c>
      <c r="W526" s="2438">
        <f>SUM(W524)</f>
        <v>15706675</v>
      </c>
      <c r="X526" s="2439">
        <f>IF(U526=0," ",(W526-U526)/U526)</f>
        <v>2.9431118576376168E-2</v>
      </c>
      <c r="Z526" s="2438">
        <f>SUM(Z524)</f>
        <v>16149923</v>
      </c>
      <c r="AA526" s="2438">
        <f>SUM(AA524)</f>
        <v>15947585</v>
      </c>
      <c r="AC526" s="2441"/>
      <c r="AE526" s="2438">
        <f>SUM(AE524)</f>
        <v>15947585</v>
      </c>
      <c r="AF526" s="2442">
        <f>SUM(AF524)</f>
        <v>15825378.890000001</v>
      </c>
      <c r="AH526" s="2438">
        <v>15947585</v>
      </c>
      <c r="AI526" s="2438">
        <f>SUM(AI524)</f>
        <v>218996</v>
      </c>
      <c r="AJ526" s="2438">
        <f>SUM(AJ524)</f>
        <v>16166581</v>
      </c>
      <c r="AK526" s="2439">
        <f>IF(AH526=0," ",(AJ526-AH526)/AH526)</f>
        <v>1.3732235946696631E-2</v>
      </c>
      <c r="AM526" s="2438">
        <f>SUM(AM524)</f>
        <v>16316545</v>
      </c>
      <c r="AN526" s="2438">
        <f>SUM(AN524)</f>
        <v>16316545</v>
      </c>
      <c r="AP526" s="2441"/>
      <c r="AR526" s="2438">
        <f>SUM(AR524)</f>
        <v>16909613</v>
      </c>
      <c r="AS526" s="2438">
        <f>SUM(AS524)</f>
        <v>16691113.870000001</v>
      </c>
      <c r="AT526" s="2438"/>
      <c r="AU526" s="2438">
        <f>SUM(AU524)</f>
        <v>17308242</v>
      </c>
      <c r="AV526" s="2438">
        <f>SUM(AV524)</f>
        <v>17201091.18</v>
      </c>
      <c r="AX526" s="2438">
        <f>SUM(AX524)</f>
        <v>17308242</v>
      </c>
      <c r="AY526" s="2438">
        <f>SUM(AY524)</f>
        <v>494047</v>
      </c>
      <c r="AZ526" s="2438">
        <f>SUM(AZ524)</f>
        <v>17802289</v>
      </c>
      <c r="BA526" s="2439">
        <f>IF(AX526=0," ",(AZ526-AX526)/AX526)</f>
        <v>2.854403121934625E-2</v>
      </c>
      <c r="BC526" s="2438">
        <f>SUM(BC524)</f>
        <v>18291633</v>
      </c>
      <c r="BD526" s="2438">
        <f>SUM(BD524)</f>
        <v>18264847</v>
      </c>
      <c r="BF526" s="2443"/>
      <c r="BH526" s="2438">
        <f>SUM(BH524)</f>
        <v>18264847</v>
      </c>
      <c r="BI526" s="2438">
        <f>SUM(BI524)</f>
        <v>8896203</v>
      </c>
      <c r="BJ526" s="2438"/>
      <c r="BK526" s="2438"/>
      <c r="BM526" s="2438">
        <f>SUM(BM524)</f>
        <v>18264847</v>
      </c>
      <c r="BN526" s="2438">
        <f>SUM(BN524)</f>
        <v>663991</v>
      </c>
      <c r="BO526" s="2438">
        <f>SUM(BO524)</f>
        <v>18928838</v>
      </c>
      <c r="BP526" s="2439">
        <f>IF(BM526=0," ",(BO526-BM526)/BM526)</f>
        <v>3.6353493681058481E-2</v>
      </c>
      <c r="BR526" s="2438">
        <f>SUM(BR524)</f>
        <v>18928838</v>
      </c>
      <c r="BS526" s="2438">
        <f>SUM(BS524)</f>
        <v>18954938</v>
      </c>
      <c r="BU526" s="2448"/>
      <c r="BW526" s="2438">
        <f>SUM(BW524)</f>
        <v>18954938</v>
      </c>
      <c r="BX526" s="2438">
        <f>SUM(BX524)</f>
        <v>8644431.5</v>
      </c>
      <c r="BZ526" s="2438">
        <f>SUM(BZ524)</f>
        <v>18954938</v>
      </c>
      <c r="CA526" s="2438">
        <f>SUM(CA524)</f>
        <v>485257</v>
      </c>
      <c r="CB526" s="2438">
        <f>SUM(CB524)</f>
        <v>19440195</v>
      </c>
      <c r="CC526" s="2439">
        <f>IF(BZ526=0," ",(CB526-BZ526)/BZ526)</f>
        <v>2.5600558545746759E-2</v>
      </c>
      <c r="CE526" s="2438">
        <f>SUM(CE524)</f>
        <v>19440514</v>
      </c>
      <c r="CF526" s="2439">
        <f>IF(CB526=0," ",(CE526-CB526)/CB526)</f>
        <v>1.6409300421112031E-5</v>
      </c>
      <c r="CG526" s="2438">
        <f>SUM(CG524)</f>
        <v>19440514</v>
      </c>
      <c r="CH526" s="2449" t="s">
        <v>1602</v>
      </c>
      <c r="CI526" s="2449"/>
      <c r="CJ526" s="2450"/>
      <c r="CK526" s="2450"/>
      <c r="CO526" s="2477">
        <v>-0.5129330675477326</v>
      </c>
      <c r="CP526" s="2478">
        <f t="shared" si="278"/>
        <v>-9368644</v>
      </c>
      <c r="CQ526" s="2478"/>
      <c r="CR526" s="2478"/>
      <c r="CS526" s="2478"/>
      <c r="CT526" s="2478"/>
    </row>
    <row r="527" spans="1:100" ht="20.100000000000001" hidden="1" customHeight="1" x14ac:dyDescent="0.2">
      <c r="A527" s="2605"/>
      <c r="B527" s="2606"/>
      <c r="C527" s="2607"/>
      <c r="D527" s="2607"/>
      <c r="E527" s="2608"/>
      <c r="F527" s="2606"/>
      <c r="G527" s="2606"/>
      <c r="H527" s="2609"/>
      <c r="I527" s="2609"/>
      <c r="J527" s="2609"/>
      <c r="K527" s="2610"/>
      <c r="M527" s="2609"/>
      <c r="N527" s="2609"/>
      <c r="P527" s="2612"/>
      <c r="R527" s="2609"/>
      <c r="S527" s="2609"/>
      <c r="U527" s="2609"/>
      <c r="V527" s="2609"/>
      <c r="W527" s="2609"/>
      <c r="X527" s="2610"/>
      <c r="Z527" s="2609"/>
      <c r="AA527" s="2609"/>
      <c r="AC527" s="2612"/>
      <c r="AE527" s="2609"/>
      <c r="AF527" s="2656"/>
      <c r="AH527" s="2609"/>
      <c r="AI527" s="2609"/>
      <c r="AJ527" s="2609"/>
      <c r="AK527" s="2610"/>
      <c r="AM527" s="2609"/>
      <c r="AN527" s="2609"/>
      <c r="AP527" s="2612"/>
      <c r="AR527" s="2609"/>
      <c r="AS527" s="2609"/>
      <c r="AT527" s="2609"/>
      <c r="AU527" s="2609"/>
      <c r="AV527" s="2609"/>
      <c r="AX527" s="2609"/>
      <c r="AY527" s="2609"/>
      <c r="AZ527" s="2609"/>
      <c r="BA527" s="2610"/>
      <c r="BC527" s="2609"/>
      <c r="BD527" s="2609"/>
      <c r="BF527" s="2551"/>
      <c r="BH527" s="2609"/>
      <c r="BI527" s="2609"/>
      <c r="BJ527" s="2609"/>
      <c r="BK527" s="2609"/>
      <c r="BM527" s="2609"/>
      <c r="BN527" s="2614"/>
      <c r="BO527" s="2553"/>
      <c r="BP527" s="2554"/>
      <c r="BR527" s="2553"/>
      <c r="BS527" s="2553"/>
      <c r="BU527" s="2555"/>
      <c r="BW527" s="2553"/>
      <c r="BX527" s="2609"/>
      <c r="BZ527" s="2553"/>
      <c r="CA527" s="2614"/>
      <c r="CB527" s="2553"/>
      <c r="CC527" s="2554"/>
      <c r="CE527" s="2553"/>
      <c r="CF527" s="2554"/>
      <c r="CG527" s="2553"/>
      <c r="CH527" s="2449" t="s">
        <v>1091</v>
      </c>
      <c r="CI527" s="2449"/>
      <c r="CJ527" s="2450"/>
      <c r="CK527" s="2450"/>
      <c r="CP527" s="2478">
        <f t="shared" si="278"/>
        <v>0</v>
      </c>
      <c r="CQ527" s="2478"/>
      <c r="CR527" s="2478"/>
      <c r="CS527" s="2478"/>
      <c r="CT527" s="2478"/>
    </row>
    <row r="528" spans="1:100" ht="20.100000000000001" hidden="1" customHeight="1" x14ac:dyDescent="0.2">
      <c r="A528" s="2434" t="s">
        <v>1929</v>
      </c>
      <c r="B528" s="2435"/>
      <c r="C528" s="2436"/>
      <c r="D528" s="2436"/>
      <c r="E528" s="2437"/>
      <c r="F528" s="2435"/>
      <c r="G528" s="2435"/>
      <c r="H528" s="2438"/>
      <c r="I528" s="2438"/>
      <c r="J528" s="2438"/>
      <c r="K528" s="2439"/>
      <c r="M528" s="2438"/>
      <c r="N528" s="2438"/>
      <c r="P528" s="2441"/>
      <c r="R528" s="2438"/>
      <c r="S528" s="2438"/>
      <c r="U528" s="2438"/>
      <c r="V528" s="2438"/>
      <c r="W528" s="2438"/>
      <c r="X528" s="2439"/>
      <c r="Z528" s="2438"/>
      <c r="AA528" s="2438"/>
      <c r="AC528" s="2441"/>
      <c r="AE528" s="2438"/>
      <c r="AF528" s="2442"/>
      <c r="AH528" s="2438"/>
      <c r="AI528" s="2438"/>
      <c r="AJ528" s="2438"/>
      <c r="AK528" s="2439"/>
      <c r="AM528" s="2438"/>
      <c r="AN528" s="2438"/>
      <c r="AP528" s="2441"/>
      <c r="AR528" s="2438"/>
      <c r="AS528" s="2438"/>
      <c r="AT528" s="2438"/>
      <c r="AU528" s="2438"/>
      <c r="AV528" s="2438"/>
      <c r="AX528" s="2438"/>
      <c r="AY528" s="2438"/>
      <c r="AZ528" s="2438"/>
      <c r="BA528" s="2439"/>
      <c r="BC528" s="2438"/>
      <c r="BD528" s="2438"/>
      <c r="BF528" s="2443"/>
      <c r="BH528" s="2438"/>
      <c r="BI528" s="2438"/>
      <c r="BJ528" s="2438"/>
      <c r="BK528" s="2438"/>
      <c r="BM528" s="2438"/>
      <c r="BN528" s="2444"/>
      <c r="BO528" s="2445"/>
      <c r="BP528" s="2446"/>
      <c r="BR528" s="2445"/>
      <c r="BS528" s="2445"/>
      <c r="BU528" s="2448"/>
      <c r="BW528" s="2445"/>
      <c r="BX528" s="2438"/>
      <c r="BZ528" s="2445"/>
      <c r="CA528" s="2444"/>
      <c r="CB528" s="2445"/>
      <c r="CC528" s="2446"/>
      <c r="CE528" s="2445"/>
      <c r="CF528" s="2446"/>
      <c r="CG528" s="2445"/>
      <c r="CH528" s="2449" t="s">
        <v>1212</v>
      </c>
      <c r="CI528" s="2449"/>
      <c r="CJ528" s="2450"/>
      <c r="CK528" s="2450"/>
      <c r="CP528" s="2478">
        <f t="shared" si="278"/>
        <v>0</v>
      </c>
      <c r="CQ528" s="2478"/>
      <c r="CR528" s="2478"/>
      <c r="CS528" s="2478"/>
      <c r="CT528" s="2478"/>
    </row>
    <row r="529" spans="1:98" ht="15.75" hidden="1" x14ac:dyDescent="0.2">
      <c r="A529" s="2453" t="s">
        <v>1930</v>
      </c>
      <c r="B529" s="2454"/>
      <c r="C529" s="2455"/>
      <c r="D529" s="2455"/>
      <c r="E529" s="2456"/>
      <c r="F529" s="2454"/>
      <c r="G529" s="2454"/>
      <c r="H529" s="2457"/>
      <c r="I529" s="2457"/>
      <c r="J529" s="2457"/>
      <c r="K529" s="2458"/>
      <c r="M529" s="2457"/>
      <c r="N529" s="2457"/>
      <c r="P529" s="2459"/>
      <c r="R529" s="2457"/>
      <c r="S529" s="2457"/>
      <c r="U529" s="2457"/>
      <c r="V529" s="2457"/>
      <c r="W529" s="2457"/>
      <c r="X529" s="2458"/>
      <c r="Z529" s="2457"/>
      <c r="AA529" s="2457"/>
      <c r="AC529" s="2459"/>
      <c r="AE529" s="2457"/>
      <c r="AF529" s="2460"/>
      <c r="AH529" s="2457"/>
      <c r="AI529" s="2457"/>
      <c r="AJ529" s="2457"/>
      <c r="AK529" s="2458"/>
      <c r="AM529" s="2457"/>
      <c r="AN529" s="2457"/>
      <c r="AP529" s="2459"/>
      <c r="AR529" s="2457"/>
      <c r="AS529" s="2457"/>
      <c r="AT529" s="2457"/>
      <c r="AU529" s="2457"/>
      <c r="AV529" s="2457"/>
      <c r="AX529" s="2457"/>
      <c r="AY529" s="2457"/>
      <c r="AZ529" s="2457"/>
      <c r="BA529" s="2458"/>
      <c r="BC529" s="2457"/>
      <c r="BD529" s="2457"/>
      <c r="BF529" s="2461"/>
      <c r="BH529" s="2457"/>
      <c r="BI529" s="2457"/>
      <c r="BJ529" s="2457"/>
      <c r="BK529" s="2457"/>
      <c r="BM529" s="2457"/>
      <c r="BN529" s="2462"/>
      <c r="BO529" s="2463"/>
      <c r="BP529" s="2464"/>
      <c r="BR529" s="2463"/>
      <c r="BS529" s="2463"/>
      <c r="BU529" s="2465"/>
      <c r="BW529" s="2463"/>
      <c r="BX529" s="2457"/>
      <c r="BZ529" s="2463"/>
      <c r="CA529" s="2462"/>
      <c r="CB529" s="2463"/>
      <c r="CC529" s="2464"/>
      <c r="CE529" s="2463"/>
      <c r="CF529" s="2464"/>
      <c r="CG529" s="2463"/>
      <c r="CH529" s="2449" t="s">
        <v>1212</v>
      </c>
      <c r="CI529" s="2449"/>
      <c r="CJ529" s="2450"/>
      <c r="CK529" s="2450"/>
      <c r="CP529" s="2478">
        <f t="shared" si="278"/>
        <v>0</v>
      </c>
      <c r="CQ529" s="2478"/>
      <c r="CR529" s="2478"/>
      <c r="CS529" s="2478"/>
      <c r="CT529" s="2478"/>
    </row>
    <row r="530" spans="1:98" hidden="1" x14ac:dyDescent="0.2">
      <c r="A530" s="2395">
        <v>411</v>
      </c>
      <c r="B530" s="2440" t="s">
        <v>1214</v>
      </c>
      <c r="C530" s="2396">
        <v>41102</v>
      </c>
      <c r="E530" s="2397" t="s">
        <v>319</v>
      </c>
      <c r="F530" s="2440" t="s">
        <v>1214</v>
      </c>
      <c r="G530" s="2440" t="s">
        <v>1931</v>
      </c>
      <c r="I530" s="2470"/>
      <c r="J530" s="2466">
        <f>H530+I530</f>
        <v>0</v>
      </c>
      <c r="K530" s="2468" t="str">
        <f>IF(H530=0," ",(J530-H530)/H530)</f>
        <v xml:space="preserve"> </v>
      </c>
      <c r="M530" s="2467">
        <v>5306</v>
      </c>
      <c r="N530" s="2467">
        <v>5306</v>
      </c>
      <c r="P530" s="2469" t="s">
        <v>1932</v>
      </c>
      <c r="R530" s="2466">
        <v>5306</v>
      </c>
      <c r="S530" s="2466">
        <v>5306</v>
      </c>
      <c r="U530" s="2466">
        <v>5306</v>
      </c>
      <c r="V530" s="2470">
        <v>0</v>
      </c>
      <c r="W530" s="2466">
        <f>U530+V530</f>
        <v>5306</v>
      </c>
      <c r="X530" s="2468">
        <f>IF(U530=0," ",(W530-U530)/U530)</f>
        <v>0</v>
      </c>
      <c r="Z530" s="2467">
        <f>W530</f>
        <v>5306</v>
      </c>
      <c r="AA530" s="2467">
        <v>5306</v>
      </c>
      <c r="AC530" s="2469"/>
      <c r="AE530" s="2466">
        <v>5306</v>
      </c>
      <c r="AF530" s="2471">
        <v>5306</v>
      </c>
      <c r="AH530" s="2466">
        <v>5306</v>
      </c>
      <c r="AI530" s="2470">
        <v>107</v>
      </c>
      <c r="AJ530" s="2466">
        <f>AH530+AI530</f>
        <v>5413</v>
      </c>
      <c r="AK530" s="2468">
        <f>IF(AH530=0," ",(AJ530-AH530)/AH530)</f>
        <v>2.0165849981153412E-2</v>
      </c>
      <c r="AM530" s="2467">
        <v>5413</v>
      </c>
      <c r="AN530" s="2467">
        <v>5413</v>
      </c>
      <c r="AP530" s="2469" t="s">
        <v>1873</v>
      </c>
      <c r="AR530" s="2466">
        <v>5413</v>
      </c>
      <c r="AS530" s="2466">
        <v>5412.96</v>
      </c>
      <c r="AT530" s="2466"/>
      <c r="AU530" s="2466">
        <v>5413</v>
      </c>
      <c r="AV530" s="2466">
        <v>5413</v>
      </c>
      <c r="AX530" s="2466">
        <v>5413</v>
      </c>
      <c r="AY530" s="2470"/>
      <c r="AZ530" s="2466">
        <f>AX530+AY530</f>
        <v>5413</v>
      </c>
      <c r="BA530" s="2468">
        <f>IF(AX530=0," ",(AZ530-AX530)/AX530)</f>
        <v>0</v>
      </c>
      <c r="BC530" s="2467">
        <v>5413</v>
      </c>
      <c r="BD530" s="2467">
        <v>5413</v>
      </c>
      <c r="BF530" s="2469"/>
      <c r="BH530" s="2467">
        <v>5413</v>
      </c>
      <c r="BI530" s="2466">
        <v>5413</v>
      </c>
      <c r="BM530" s="2466">
        <v>5413</v>
      </c>
      <c r="BN530" s="2470"/>
      <c r="BO530" s="2472">
        <f>BM530+BN530</f>
        <v>5413</v>
      </c>
      <c r="BP530" s="2473">
        <f>IF(BM530=0," ",(BO530-BM530)/BM530)</f>
        <v>0</v>
      </c>
      <c r="BR530" s="2474">
        <v>5413</v>
      </c>
      <c r="BS530" s="2474">
        <v>5413</v>
      </c>
      <c r="BU530" s="2475"/>
      <c r="BW530" s="2474">
        <v>5413</v>
      </c>
      <c r="BX530" s="2466">
        <v>2706.48</v>
      </c>
      <c r="BZ530" s="2474">
        <v>5413</v>
      </c>
      <c r="CA530" s="2470"/>
      <c r="CB530" s="2472">
        <f>BZ530+CA530</f>
        <v>5413</v>
      </c>
      <c r="CC530" s="2473">
        <f>IF(BZ530=0," ",(CB530-BZ530)/BZ530)</f>
        <v>0</v>
      </c>
      <c r="CE530" s="2474">
        <v>5413</v>
      </c>
      <c r="CF530" s="2476">
        <f>IF(CB530=0," ",(CE530-CB530)/CB530)</f>
        <v>0</v>
      </c>
      <c r="CG530" s="2474">
        <v>5413</v>
      </c>
      <c r="CH530" s="2449" t="s">
        <v>1912</v>
      </c>
      <c r="CI530" s="2449"/>
      <c r="CJ530" s="2450"/>
      <c r="CK530" s="2450"/>
      <c r="CO530" s="2477">
        <v>0</v>
      </c>
      <c r="CP530" s="2478">
        <f t="shared" si="278"/>
        <v>0</v>
      </c>
      <c r="CQ530" s="2478"/>
      <c r="CR530" s="2478"/>
      <c r="CS530" s="2478"/>
      <c r="CT530" s="2478"/>
    </row>
    <row r="531" spans="1:98" s="2485" customFormat="1" hidden="1" x14ac:dyDescent="0.2">
      <c r="A531" s="2532"/>
      <c r="B531" s="2533"/>
      <c r="C531" s="2534"/>
      <c r="D531" s="2534"/>
      <c r="E531" s="2535"/>
      <c r="F531" s="2533"/>
      <c r="G531" s="2654" t="s">
        <v>1933</v>
      </c>
      <c r="H531" s="2536">
        <f>SUM(H530:H530)</f>
        <v>0</v>
      </c>
      <c r="I531" s="2536">
        <f>SUM(I530:I530)</f>
        <v>0</v>
      </c>
      <c r="J531" s="2536">
        <f>SUM(J530:J530)</f>
        <v>0</v>
      </c>
      <c r="K531" s="2484" t="str">
        <f>IF(H531=0," ",(J531-H531)/H531)</f>
        <v xml:space="preserve"> </v>
      </c>
      <c r="M531" s="2536">
        <f>SUM(M530:M530)</f>
        <v>5306</v>
      </c>
      <c r="N531" s="2536">
        <f>SUM(N530:N530)</f>
        <v>5306</v>
      </c>
      <c r="P531" s="2537">
        <f>SUM(P530:P530)</f>
        <v>0</v>
      </c>
      <c r="R531" s="2536">
        <f>SUM(R530:R530)</f>
        <v>5306</v>
      </c>
      <c r="S531" s="2536">
        <f>SUM(S530:S530)</f>
        <v>5306</v>
      </c>
      <c r="U531" s="2536">
        <f>SUM(U530:U530)</f>
        <v>5306</v>
      </c>
      <c r="V531" s="2536">
        <f>SUM(V530:V530)</f>
        <v>0</v>
      </c>
      <c r="W531" s="2536">
        <f>SUM(W530:W530)</f>
        <v>5306</v>
      </c>
      <c r="X531" s="2484">
        <f>IF(U531=0," ",(W531-U531)/U531)</f>
        <v>0</v>
      </c>
      <c r="Z531" s="2536">
        <f>SUM(Z530:Z530)</f>
        <v>5306</v>
      </c>
      <c r="AA531" s="2536">
        <f>SUM(AA530:AA530)</f>
        <v>5306</v>
      </c>
      <c r="AC531" s="2537"/>
      <c r="AE531" s="2536">
        <f>SUM(AE530:AE530)</f>
        <v>5306</v>
      </c>
      <c r="AF531" s="2538">
        <f>SUM(AF530:AF530)</f>
        <v>5306</v>
      </c>
      <c r="AH531" s="2536">
        <v>5306</v>
      </c>
      <c r="AI531" s="2536">
        <f>SUM(AI530:AI530)</f>
        <v>107</v>
      </c>
      <c r="AJ531" s="2536">
        <f>SUM(AJ530:AJ530)</f>
        <v>5413</v>
      </c>
      <c r="AK531" s="2484">
        <f>IF(AH531=0," ",(AJ531-AH531)/AH531)</f>
        <v>2.0165849981153412E-2</v>
      </c>
      <c r="AM531" s="2536">
        <f>SUM(AM530:AM530)</f>
        <v>5413</v>
      </c>
      <c r="AN531" s="2536">
        <f>SUM(AN530:AN530)</f>
        <v>5413</v>
      </c>
      <c r="AP531" s="2537"/>
      <c r="AR531" s="2536">
        <f>SUM(AR530:AR530)</f>
        <v>5413</v>
      </c>
      <c r="AS531" s="2536">
        <f>SUM(AS530:AS530)</f>
        <v>5412.96</v>
      </c>
      <c r="AT531" s="2536"/>
      <c r="AU531" s="2536">
        <f>SUM(AU530:AU530)</f>
        <v>5413</v>
      </c>
      <c r="AV531" s="2536">
        <f>SUM(AV530:AV530)</f>
        <v>5413</v>
      </c>
      <c r="AX531" s="2536">
        <f>SUM(AX530:AX530)</f>
        <v>5413</v>
      </c>
      <c r="AY531" s="2536">
        <f>SUM(AY530:AY530)</f>
        <v>0</v>
      </c>
      <c r="AZ531" s="2536">
        <f>SUM(AZ530:AZ530)</f>
        <v>5413</v>
      </c>
      <c r="BA531" s="2484">
        <f>IF(AX531=0," ",(AZ531-AX531)/AX531)</f>
        <v>0</v>
      </c>
      <c r="BC531" s="2536">
        <f>SUM(BC530:BC530)</f>
        <v>5413</v>
      </c>
      <c r="BD531" s="2536">
        <f>SUM(BD530:BD530)</f>
        <v>5413</v>
      </c>
      <c r="BF531" s="2537"/>
      <c r="BH531" s="2536">
        <f>SUM(BH530:BH530)</f>
        <v>5413</v>
      </c>
      <c r="BI531" s="2536">
        <f>SUM(BI530:BI530)</f>
        <v>5413</v>
      </c>
      <c r="BJ531" s="2536"/>
      <c r="BK531" s="2536"/>
      <c r="BM531" s="2536">
        <f>SUM(BM530:BM530)</f>
        <v>5413</v>
      </c>
      <c r="BN531" s="2539">
        <f>SUM(BN530:BN530)</f>
        <v>0</v>
      </c>
      <c r="BO531" s="2540">
        <f>SUM(BO530:BO530)</f>
        <v>5413</v>
      </c>
      <c r="BP531" s="2490">
        <f>IF(BM531=0," ",(BO531-BM531)/BM531)</f>
        <v>0</v>
      </c>
      <c r="BQ531" s="2491"/>
      <c r="BR531" s="2540">
        <f>SUM(BR530:BR530)</f>
        <v>5413</v>
      </c>
      <c r="BS531" s="2540">
        <f>SUM(BS530:BS530)</f>
        <v>5413</v>
      </c>
      <c r="BT531" s="2491"/>
      <c r="BU531" s="2541"/>
      <c r="BV531" s="2491"/>
      <c r="BW531" s="2540">
        <f>SUM(BW530:BW530)</f>
        <v>5413</v>
      </c>
      <c r="BX531" s="2536">
        <f>SUM(BX530:BX530)</f>
        <v>2706.48</v>
      </c>
      <c r="BZ531" s="2540">
        <f>SUM(BZ530)</f>
        <v>5413</v>
      </c>
      <c r="CA531" s="2540">
        <f>SUM(CA530)</f>
        <v>0</v>
      </c>
      <c r="CB531" s="2540">
        <f>SUM(CB530)</f>
        <v>5413</v>
      </c>
      <c r="CC531" s="2490">
        <f>IF(BZ531=0," ",(CB531-BZ531)/BZ531)</f>
        <v>0</v>
      </c>
      <c r="CD531" s="2491"/>
      <c r="CE531" s="2540">
        <f>SUM(CE530)</f>
        <v>5413</v>
      </c>
      <c r="CF531" s="2490">
        <f>IF(CB531=0," ",(CE531-CB531)/CB531)</f>
        <v>0</v>
      </c>
      <c r="CG531" s="2540">
        <f>SUM(CG530)</f>
        <v>5413</v>
      </c>
      <c r="CH531" s="2449" t="s">
        <v>1220</v>
      </c>
      <c r="CI531" s="2449"/>
      <c r="CJ531" s="2450"/>
      <c r="CK531" s="2450"/>
      <c r="CL531" s="2451"/>
      <c r="CM531" s="2451"/>
      <c r="CN531" s="2451"/>
      <c r="CO531" s="2477">
        <v>0</v>
      </c>
      <c r="CP531" s="2478">
        <f t="shared" si="278"/>
        <v>0</v>
      </c>
      <c r="CQ531" s="2478"/>
      <c r="CR531" s="2478"/>
      <c r="CS531" s="2478"/>
      <c r="CT531" s="2478"/>
    </row>
    <row r="532" spans="1:98" hidden="1" x14ac:dyDescent="0.2">
      <c r="AS532" s="2466"/>
      <c r="AT532" s="2466"/>
      <c r="BZ532" s="2472"/>
      <c r="CH532" s="2449" t="s">
        <v>1091</v>
      </c>
      <c r="CI532" s="2449"/>
      <c r="CJ532" s="2450"/>
      <c r="CK532" s="2450"/>
      <c r="CP532" s="2478">
        <f t="shared" si="278"/>
        <v>0</v>
      </c>
      <c r="CQ532" s="2478"/>
      <c r="CR532" s="2478"/>
      <c r="CS532" s="2478"/>
      <c r="CT532" s="2478"/>
    </row>
    <row r="533" spans="1:98" hidden="1" x14ac:dyDescent="0.2">
      <c r="A533" s="2395">
        <v>411</v>
      </c>
      <c r="B533" s="2440" t="s">
        <v>1214</v>
      </c>
      <c r="C533" s="2396">
        <v>41105</v>
      </c>
      <c r="E533" s="2397" t="s">
        <v>1268</v>
      </c>
      <c r="F533" s="2440" t="s">
        <v>1214</v>
      </c>
      <c r="G533" s="2440" t="s">
        <v>1934</v>
      </c>
      <c r="I533" s="2470"/>
      <c r="J533" s="2466">
        <f>H533+I533</f>
        <v>0</v>
      </c>
      <c r="K533" s="2468" t="str">
        <f>IF(H533=0," ",(J533-H533)/H533)</f>
        <v xml:space="preserve"> </v>
      </c>
      <c r="M533" s="2467">
        <v>10000</v>
      </c>
      <c r="N533" s="2467">
        <v>10000</v>
      </c>
      <c r="P533" s="2469"/>
      <c r="R533" s="2466">
        <v>10000</v>
      </c>
      <c r="S533" s="2466">
        <v>0</v>
      </c>
      <c r="U533" s="2466">
        <v>10000</v>
      </c>
      <c r="V533" s="2470">
        <v>0</v>
      </c>
      <c r="W533" s="2466">
        <f>U533+V533</f>
        <v>10000</v>
      </c>
      <c r="X533" s="2468">
        <f>IF(U533=0," ",(W533-U533)/U533)</f>
        <v>0</v>
      </c>
      <c r="Z533" s="2467">
        <f>W533</f>
        <v>10000</v>
      </c>
      <c r="AA533" s="2467">
        <v>10000</v>
      </c>
      <c r="AC533" s="2469"/>
      <c r="AE533" s="2466">
        <v>10000</v>
      </c>
      <c r="AF533" s="2471">
        <v>2627.5</v>
      </c>
      <c r="AH533" s="2466">
        <v>10000</v>
      </c>
      <c r="AI533" s="2470"/>
      <c r="AJ533" s="2466">
        <f>AH533+AI533</f>
        <v>10000</v>
      </c>
      <c r="AK533" s="2468">
        <f>IF(AH533=0," ",(AJ533-AH533)/AH533)</f>
        <v>0</v>
      </c>
      <c r="AM533" s="2467">
        <v>10000</v>
      </c>
      <c r="AN533" s="2467">
        <v>10000</v>
      </c>
      <c r="AP533" s="2469"/>
      <c r="AR533" s="2466">
        <v>10000</v>
      </c>
      <c r="AS533" s="2466">
        <v>3669.95</v>
      </c>
      <c r="AT533" s="2466"/>
      <c r="AU533" s="2466">
        <v>10000</v>
      </c>
      <c r="AV533" s="2466">
        <v>5921.95</v>
      </c>
      <c r="AX533" s="2466">
        <v>10000</v>
      </c>
      <c r="AY533" s="2470"/>
      <c r="AZ533" s="2466">
        <f>AX533+AY533</f>
        <v>10000</v>
      </c>
      <c r="BA533" s="2468">
        <f>IF(AX533=0," ",(AZ533-AX533)/AX533)</f>
        <v>0</v>
      </c>
      <c r="BC533" s="2467">
        <v>10000</v>
      </c>
      <c r="BD533" s="2467">
        <v>10000</v>
      </c>
      <c r="BF533" s="2469"/>
      <c r="BH533" s="2467">
        <v>10000</v>
      </c>
      <c r="BI533" s="2466">
        <v>3767.5</v>
      </c>
      <c r="BM533" s="2466">
        <v>10000</v>
      </c>
      <c r="BN533" s="2470"/>
      <c r="BO533" s="2472">
        <f>BM533+BN533</f>
        <v>10000</v>
      </c>
      <c r="BP533" s="2473">
        <f>IF(BM533=0," ",(BO533-BM533)/BM533)</f>
        <v>0</v>
      </c>
      <c r="BR533" s="2474">
        <v>10000</v>
      </c>
      <c r="BS533" s="2474">
        <v>10000</v>
      </c>
      <c r="BU533" s="2547" t="s">
        <v>1935</v>
      </c>
      <c r="BW533" s="2474">
        <v>10000</v>
      </c>
      <c r="BZ533" s="2474">
        <v>10000</v>
      </c>
      <c r="CA533" s="2470"/>
      <c r="CB533" s="2472">
        <f>BZ533+CA533</f>
        <v>10000</v>
      </c>
      <c r="CC533" s="2473">
        <f>IF(BZ533=0," ",(CB533-BZ533)/BZ533)</f>
        <v>0</v>
      </c>
      <c r="CE533" s="2474">
        <v>10000</v>
      </c>
      <c r="CF533" s="2476">
        <f>IF(CB533=0," ",(CE533-CB533)/CB533)</f>
        <v>0</v>
      </c>
      <c r="CG533" s="2474">
        <v>10000</v>
      </c>
      <c r="CH533" s="2449" t="s">
        <v>1912</v>
      </c>
      <c r="CI533" s="2449"/>
      <c r="CJ533" s="2450"/>
      <c r="CK533" s="2450"/>
      <c r="CO533" s="2477">
        <v>-0.62325000000000008</v>
      </c>
      <c r="CP533" s="2478">
        <f t="shared" si="278"/>
        <v>-6232.5</v>
      </c>
      <c r="CQ533" s="2478"/>
      <c r="CR533" s="2478"/>
      <c r="CS533" s="2478"/>
      <c r="CT533" s="2478"/>
    </row>
    <row r="534" spans="1:98" s="2485" customFormat="1" hidden="1" x14ac:dyDescent="0.2">
      <c r="A534" s="2532"/>
      <c r="B534" s="2533"/>
      <c r="C534" s="2534"/>
      <c r="D534" s="2534"/>
      <c r="E534" s="2535"/>
      <c r="F534" s="2533"/>
      <c r="G534" s="2654" t="s">
        <v>1936</v>
      </c>
      <c r="H534" s="2536">
        <f>SUM(H533:H533)</f>
        <v>0</v>
      </c>
      <c r="I534" s="2536">
        <f>SUM(I533:I533)</f>
        <v>0</v>
      </c>
      <c r="J534" s="2536">
        <f>SUM(J533:J533)</f>
        <v>0</v>
      </c>
      <c r="K534" s="2484" t="str">
        <f>IF(H534=0," ",(J534-H534)/H534)</f>
        <v xml:space="preserve"> </v>
      </c>
      <c r="M534" s="2536">
        <f>SUM(M533:M533)</f>
        <v>10000</v>
      </c>
      <c r="N534" s="2536">
        <f>SUM(N533:N533)</f>
        <v>10000</v>
      </c>
      <c r="P534" s="2537">
        <f>SUM(P533:P533)</f>
        <v>0</v>
      </c>
      <c r="R534" s="2536">
        <f>SUM(R533:R533)</f>
        <v>10000</v>
      </c>
      <c r="S534" s="2536">
        <f>SUM(S533:S533)</f>
        <v>0</v>
      </c>
      <c r="U534" s="2536">
        <f>SUM(U533:U533)</f>
        <v>10000</v>
      </c>
      <c r="V534" s="2536">
        <f>SUM(V533:V533)</f>
        <v>0</v>
      </c>
      <c r="W534" s="2536">
        <f>SUM(W533:W533)</f>
        <v>10000</v>
      </c>
      <c r="X534" s="2484">
        <f>IF(U534=0," ",(W534-U534)/U534)</f>
        <v>0</v>
      </c>
      <c r="Z534" s="2536">
        <f>SUM(Z533:Z533)</f>
        <v>10000</v>
      </c>
      <c r="AA534" s="2536">
        <f>SUM(AA533:AA533)</f>
        <v>10000</v>
      </c>
      <c r="AC534" s="2537"/>
      <c r="AE534" s="2536">
        <f>SUM(AE533:AE533)</f>
        <v>10000</v>
      </c>
      <c r="AF534" s="2538">
        <f>SUM(AF533:AF533)</f>
        <v>2627.5</v>
      </c>
      <c r="AH534" s="2536">
        <v>10000</v>
      </c>
      <c r="AI534" s="2536">
        <f>SUM(AI533:AI533)</f>
        <v>0</v>
      </c>
      <c r="AJ534" s="2536">
        <f>SUM(AJ533:AJ533)</f>
        <v>10000</v>
      </c>
      <c r="AK534" s="2484">
        <f>IF(AH534=0," ",(AJ534-AH534)/AH534)</f>
        <v>0</v>
      </c>
      <c r="AM534" s="2536">
        <f>SUM(AM533:AM533)</f>
        <v>10000</v>
      </c>
      <c r="AN534" s="2536">
        <f>SUM(AN533:AN533)</f>
        <v>10000</v>
      </c>
      <c r="AP534" s="2537"/>
      <c r="AR534" s="2536">
        <f>SUM(AR533:AR533)</f>
        <v>10000</v>
      </c>
      <c r="AS534" s="2536">
        <f>SUM(AS533:AS533)</f>
        <v>3669.95</v>
      </c>
      <c r="AT534" s="2536"/>
      <c r="AU534" s="2536">
        <f>SUM(AU533:AU533)</f>
        <v>10000</v>
      </c>
      <c r="AV534" s="2536">
        <f>SUM(AV533:AV533)</f>
        <v>5921.95</v>
      </c>
      <c r="AX534" s="2536">
        <f>SUM(AX533:AX533)</f>
        <v>10000</v>
      </c>
      <c r="AY534" s="2536">
        <f>SUM(AY533:AY533)</f>
        <v>0</v>
      </c>
      <c r="AZ534" s="2536">
        <f>SUM(AZ533:AZ533)</f>
        <v>10000</v>
      </c>
      <c r="BA534" s="2484">
        <f>IF(AX534=0," ",(AZ534-AX534)/AX534)</f>
        <v>0</v>
      </c>
      <c r="BC534" s="2536">
        <f>SUM(BC533:BC533)</f>
        <v>10000</v>
      </c>
      <c r="BD534" s="2536">
        <f>SUM(BD533:BD533)</f>
        <v>10000</v>
      </c>
      <c r="BF534" s="2537"/>
      <c r="BH534" s="2536">
        <f>SUM(BH533:BH533)</f>
        <v>10000</v>
      </c>
      <c r="BI534" s="2536">
        <f>SUM(BI533:BI533)</f>
        <v>3767.5</v>
      </c>
      <c r="BJ534" s="2536"/>
      <c r="BK534" s="2536"/>
      <c r="BM534" s="2536">
        <f>SUM(BM533:BM533)</f>
        <v>10000</v>
      </c>
      <c r="BN534" s="2539">
        <f>SUM(BN533:BN533)</f>
        <v>0</v>
      </c>
      <c r="BO534" s="2540">
        <f>SUM(BO533:BO533)</f>
        <v>10000</v>
      </c>
      <c r="BP534" s="2490">
        <f>IF(BM534=0," ",(BO534-BM534)/BM534)</f>
        <v>0</v>
      </c>
      <c r="BQ534" s="2491"/>
      <c r="BR534" s="2540">
        <f>SUM(BR533:BR533)</f>
        <v>10000</v>
      </c>
      <c r="BS534" s="2540">
        <f>SUM(BS533:BS533)</f>
        <v>10000</v>
      </c>
      <c r="BT534" s="2491"/>
      <c r="BU534" s="2541"/>
      <c r="BV534" s="2491"/>
      <c r="BW534" s="2540">
        <f>SUM(BW533:BW533)</f>
        <v>10000</v>
      </c>
      <c r="BX534" s="2536">
        <f>SUM(BX533:BX533)</f>
        <v>0</v>
      </c>
      <c r="BZ534" s="2540">
        <f>SUM(BZ533:BZ533)</f>
        <v>10000</v>
      </c>
      <c r="CA534" s="2540">
        <f>SUM(CA533:CA533)</f>
        <v>0</v>
      </c>
      <c r="CB534" s="2540">
        <f>SUM(CB533:CB533)</f>
        <v>10000</v>
      </c>
      <c r="CC534" s="2490">
        <f>IF(BZ534=0," ",(CB534-BZ534)/BZ534)</f>
        <v>0</v>
      </c>
      <c r="CD534" s="2491"/>
      <c r="CE534" s="2540">
        <f>SUM(CE533:CE533)</f>
        <v>10000</v>
      </c>
      <c r="CF534" s="2490">
        <f>IF(CB534=0," ",(CE534-CB534)/CB534)</f>
        <v>0</v>
      </c>
      <c r="CG534" s="2540">
        <f>SUM(CG533:CG533)</f>
        <v>10000</v>
      </c>
      <c r="CH534" s="2449" t="s">
        <v>1220</v>
      </c>
      <c r="CI534" s="2449"/>
      <c r="CJ534" s="2450"/>
      <c r="CK534" s="2450"/>
      <c r="CL534" s="2451"/>
      <c r="CM534" s="2451"/>
      <c r="CN534" s="2451"/>
      <c r="CO534" s="2477">
        <v>-0.62325000000000008</v>
      </c>
      <c r="CP534" s="2478">
        <f t="shared" si="278"/>
        <v>-6232.5</v>
      </c>
      <c r="CQ534" s="2478"/>
      <c r="CR534" s="2478"/>
      <c r="CS534" s="2478"/>
      <c r="CT534" s="2478"/>
    </row>
    <row r="535" spans="1:98" ht="9.9499999999999993" hidden="1" customHeight="1" x14ac:dyDescent="0.2">
      <c r="AS535" s="2466"/>
      <c r="AT535" s="2466"/>
      <c r="BZ535" s="2472"/>
      <c r="CH535" s="2449" t="s">
        <v>1091</v>
      </c>
      <c r="CI535" s="2449"/>
      <c r="CJ535" s="2450"/>
      <c r="CK535" s="2450"/>
      <c r="CP535" s="2478">
        <f t="shared" si="278"/>
        <v>0</v>
      </c>
      <c r="CQ535" s="2478"/>
      <c r="CR535" s="2478"/>
      <c r="CS535" s="2478"/>
      <c r="CT535" s="2478"/>
    </row>
    <row r="536" spans="1:98" x14ac:dyDescent="0.2">
      <c r="A536" s="2495"/>
      <c r="B536" s="2496"/>
      <c r="C536" s="2497"/>
      <c r="D536" s="2497"/>
      <c r="E536" s="2498"/>
      <c r="F536" s="2496"/>
      <c r="G536" s="2499" t="s">
        <v>1937</v>
      </c>
      <c r="H536" s="2500">
        <f>H531+H534</f>
        <v>0</v>
      </c>
      <c r="I536" s="2500">
        <f>I531+I534</f>
        <v>0</v>
      </c>
      <c r="J536" s="2500">
        <f>J531+J534</f>
        <v>0</v>
      </c>
      <c r="K536" s="2501" t="str">
        <f>IF(H536=0," ",(J536-H536)/H536)</f>
        <v xml:space="preserve"> </v>
      </c>
      <c r="M536" s="2500">
        <f>M531+M534</f>
        <v>15306</v>
      </c>
      <c r="N536" s="2500">
        <f>N531+N534</f>
        <v>15306</v>
      </c>
      <c r="P536" s="2502">
        <f>P531+P534</f>
        <v>0</v>
      </c>
      <c r="R536" s="2500">
        <f>R531+R534</f>
        <v>15306</v>
      </c>
      <c r="S536" s="2500">
        <f>S531+S534</f>
        <v>5306</v>
      </c>
      <c r="U536" s="2500">
        <f>U531+U534</f>
        <v>15306</v>
      </c>
      <c r="V536" s="2500">
        <f>V531+V534</f>
        <v>0</v>
      </c>
      <c r="W536" s="2500">
        <f>W531+W534</f>
        <v>15306</v>
      </c>
      <c r="X536" s="2501">
        <f>IF(U536=0," ",(W536-U536)/U536)</f>
        <v>0</v>
      </c>
      <c r="Z536" s="2500">
        <f>Z531+Z534</f>
        <v>15306</v>
      </c>
      <c r="AA536" s="2500">
        <f>AA531+AA534</f>
        <v>15306</v>
      </c>
      <c r="AC536" s="2502"/>
      <c r="AE536" s="2500">
        <f>AE531+AE534</f>
        <v>15306</v>
      </c>
      <c r="AF536" s="2503">
        <f>AF531+AF534</f>
        <v>7933.5</v>
      </c>
      <c r="AH536" s="2500">
        <v>15306</v>
      </c>
      <c r="AI536" s="2500">
        <f>AI531+AI534</f>
        <v>107</v>
      </c>
      <c r="AJ536" s="2500">
        <f>AJ531+AJ534</f>
        <v>15413</v>
      </c>
      <c r="AK536" s="2501">
        <f>IF(AH536=0," ",(AJ536-AH536)/AH536)</f>
        <v>6.9907225924474067E-3</v>
      </c>
      <c r="AM536" s="2500">
        <f>AM531+AM534</f>
        <v>15413</v>
      </c>
      <c r="AN536" s="2500">
        <f>AN531+AN534</f>
        <v>15413</v>
      </c>
      <c r="AP536" s="2502"/>
      <c r="AR536" s="2500">
        <f>AR531+AR534</f>
        <v>15413</v>
      </c>
      <c r="AS536" s="2500">
        <f>AS531+AS534</f>
        <v>9082.91</v>
      </c>
      <c r="AT536" s="2500"/>
      <c r="AU536" s="2500">
        <f>AU531+AU534</f>
        <v>15413</v>
      </c>
      <c r="AV536" s="2500">
        <f>AV531+AV534</f>
        <v>11334.95</v>
      </c>
      <c r="AX536" s="2500">
        <f>AX531+AX534</f>
        <v>15413</v>
      </c>
      <c r="AY536" s="2500">
        <f>AY531+AY534</f>
        <v>0</v>
      </c>
      <c r="AZ536" s="2500">
        <f>AZ531+AZ534</f>
        <v>15413</v>
      </c>
      <c r="BA536" s="2501">
        <f>IF(AX536=0," ",(AZ536-AX536)/AX536)</f>
        <v>0</v>
      </c>
      <c r="BC536" s="2500">
        <f>BC531+BC534</f>
        <v>15413</v>
      </c>
      <c r="BD536" s="2500">
        <f>BD531+BD534</f>
        <v>15413</v>
      </c>
      <c r="BF536" s="2502"/>
      <c r="BH536" s="2500">
        <f>BH531+BH534</f>
        <v>15413</v>
      </c>
      <c r="BI536" s="2500">
        <f>BI531+BI534</f>
        <v>9180.5</v>
      </c>
      <c r="BJ536" s="2500"/>
      <c r="BK536" s="2500"/>
      <c r="BM536" s="2500">
        <f>BM531+BM534</f>
        <v>15413</v>
      </c>
      <c r="BN536" s="2504">
        <f>BN531+BN534</f>
        <v>0</v>
      </c>
      <c r="BO536" s="2505">
        <f>BO531+BO534</f>
        <v>15413</v>
      </c>
      <c r="BP536" s="2506">
        <f>IF(BM536=0," ",(BO536-BM536)/BM536)</f>
        <v>0</v>
      </c>
      <c r="BR536" s="2505">
        <f>BR531+BR534</f>
        <v>15413</v>
      </c>
      <c r="BS536" s="2505">
        <f>BS531+BS534</f>
        <v>15413</v>
      </c>
      <c r="BU536" s="2507"/>
      <c r="BW536" s="2505">
        <f>BW531+BW534</f>
        <v>15413</v>
      </c>
      <c r="BX536" s="2500">
        <f>BX531+BX534</f>
        <v>2706.48</v>
      </c>
      <c r="BZ536" s="2505">
        <f>BZ531+BZ534</f>
        <v>15413</v>
      </c>
      <c r="CA536" s="2504">
        <f>CA531+CA534</f>
        <v>0</v>
      </c>
      <c r="CB536" s="2505">
        <f>CB531+CB534</f>
        <v>15413</v>
      </c>
      <c r="CC536" s="2506">
        <f>IF(BZ536=0," ",(CB536-BZ536)/BZ536)</f>
        <v>0</v>
      </c>
      <c r="CE536" s="2505">
        <f>CE531+CE534</f>
        <v>15413</v>
      </c>
      <c r="CF536" s="2506">
        <f>IF(CB536=0," ",(CE536-CB536)/CB536)</f>
        <v>0</v>
      </c>
      <c r="CG536" s="2505">
        <f>CG531+CG534</f>
        <v>15413</v>
      </c>
      <c r="CH536" s="2449" t="s">
        <v>1222</v>
      </c>
      <c r="CI536" s="2508" t="str">
        <f>IF(CG536-CE536=0,"",CG536-CE536)</f>
        <v/>
      </c>
      <c r="CJ536" s="2509"/>
      <c r="CK536" s="2509"/>
      <c r="CL536" s="2451" t="str">
        <f>IF(CO536&lt;-1*CM$2,"examine","ignore")</f>
        <v>examine</v>
      </c>
      <c r="CM536" s="2545">
        <f>IF(CL536="examine",CP536+CM$2*CP536/CO536,"")</f>
        <v>-5615.98</v>
      </c>
      <c r="CN536" s="2545">
        <f>IF(CI536="",CM536,CM536-CI536)</f>
        <v>-5615.98</v>
      </c>
      <c r="CO536" s="2477">
        <v>-0.4043664439109842</v>
      </c>
      <c r="CP536" s="2510">
        <f t="shared" si="278"/>
        <v>-6232.5</v>
      </c>
      <c r="CQ536" s="2510">
        <f>AV536-AU536</f>
        <v>-4078.0499999999993</v>
      </c>
      <c r="CR536" s="2510">
        <f>AS536-AR536</f>
        <v>-6330.09</v>
      </c>
      <c r="CS536" s="2510">
        <f>AF536-AE536</f>
        <v>-7372.5</v>
      </c>
    </row>
    <row r="537" spans="1:98" ht="20.100000000000001" hidden="1" customHeight="1" x14ac:dyDescent="0.2">
      <c r="AS537" s="2466"/>
      <c r="AT537" s="2466"/>
      <c r="BZ537" s="2472"/>
      <c r="CH537" s="2449" t="s">
        <v>1091</v>
      </c>
      <c r="CI537" s="2449"/>
      <c r="CJ537" s="2450"/>
      <c r="CK537" s="2450"/>
      <c r="CP537" s="2478">
        <f t="shared" si="278"/>
        <v>0</v>
      </c>
      <c r="CQ537" s="2478"/>
      <c r="CR537" s="2478"/>
      <c r="CS537" s="2478"/>
      <c r="CT537" s="2478"/>
    </row>
    <row r="538" spans="1:98" ht="15.75" hidden="1" x14ac:dyDescent="0.2">
      <c r="A538" s="2453" t="s">
        <v>1938</v>
      </c>
      <c r="B538" s="2454"/>
      <c r="C538" s="2455"/>
      <c r="D538" s="2455"/>
      <c r="E538" s="2456"/>
      <c r="F538" s="2454"/>
      <c r="G538" s="2454"/>
      <c r="H538" s="2457"/>
      <c r="I538" s="2457"/>
      <c r="J538" s="2457"/>
      <c r="K538" s="2458"/>
      <c r="M538" s="2457"/>
      <c r="N538" s="2457"/>
      <c r="P538" s="2459"/>
      <c r="R538" s="2457"/>
      <c r="S538" s="2457"/>
      <c r="U538" s="2457"/>
      <c r="V538" s="2457"/>
      <c r="W538" s="2457"/>
      <c r="X538" s="2458"/>
      <c r="Z538" s="2457"/>
      <c r="AA538" s="2457"/>
      <c r="AC538" s="2459"/>
      <c r="AE538" s="2457"/>
      <c r="AF538" s="2460"/>
      <c r="AH538" s="2457"/>
      <c r="AI538" s="2457"/>
      <c r="AJ538" s="2457"/>
      <c r="AK538" s="2458"/>
      <c r="AM538" s="2457"/>
      <c r="AN538" s="2457"/>
      <c r="AP538" s="2459"/>
      <c r="AR538" s="2457"/>
      <c r="AS538" s="2457"/>
      <c r="AT538" s="2457"/>
      <c r="AU538" s="2457"/>
      <c r="AV538" s="2457"/>
      <c r="AX538" s="2457"/>
      <c r="AY538" s="2457"/>
      <c r="AZ538" s="2457"/>
      <c r="BA538" s="2458"/>
      <c r="BC538" s="2457"/>
      <c r="BD538" s="2457"/>
      <c r="BF538" s="2461"/>
      <c r="BH538" s="2457"/>
      <c r="BI538" s="2457"/>
      <c r="BJ538" s="2457"/>
      <c r="BK538" s="2457"/>
      <c r="BM538" s="2457"/>
      <c r="BN538" s="2462"/>
      <c r="BO538" s="2463"/>
      <c r="BP538" s="2464"/>
      <c r="BR538" s="2463"/>
      <c r="BS538" s="2463"/>
      <c r="BU538" s="2465"/>
      <c r="BW538" s="2463"/>
      <c r="BX538" s="2457"/>
      <c r="BZ538" s="2463"/>
      <c r="CA538" s="2462"/>
      <c r="CB538" s="2463"/>
      <c r="CC538" s="2464"/>
      <c r="CE538" s="2463"/>
      <c r="CF538" s="2464"/>
      <c r="CG538" s="2463"/>
      <c r="CH538" s="2449" t="s">
        <v>1212</v>
      </c>
      <c r="CI538" s="2449"/>
      <c r="CJ538" s="2450"/>
      <c r="CK538" s="2450"/>
      <c r="CP538" s="2478">
        <f t="shared" si="278"/>
        <v>0</v>
      </c>
      <c r="CQ538" s="2478"/>
      <c r="CR538" s="2478"/>
      <c r="CS538" s="2478"/>
      <c r="CT538" s="2478"/>
    </row>
    <row r="539" spans="1:98" hidden="1" x14ac:dyDescent="0.2">
      <c r="A539" s="2395">
        <v>420</v>
      </c>
      <c r="B539" s="2440" t="s">
        <v>1214</v>
      </c>
      <c r="C539" s="2396">
        <v>42001</v>
      </c>
      <c r="D539" s="2396">
        <v>51120</v>
      </c>
      <c r="E539" s="2397" t="s">
        <v>59</v>
      </c>
      <c r="F539" s="2440" t="s">
        <v>1214</v>
      </c>
      <c r="G539" s="2440" t="s">
        <v>1939</v>
      </c>
      <c r="H539" s="2466">
        <v>95150</v>
      </c>
      <c r="I539" s="2470">
        <v>3983</v>
      </c>
      <c r="J539" s="2466">
        <f>H539+I539</f>
        <v>99133</v>
      </c>
      <c r="K539" s="2468">
        <f>IF(H539=0," ",(J539-H539)/H539)</f>
        <v>4.1860220704151338E-2</v>
      </c>
      <c r="M539" s="2467">
        <v>99133</v>
      </c>
      <c r="N539" s="2467">
        <v>99133</v>
      </c>
      <c r="P539" s="2469" t="s">
        <v>1940</v>
      </c>
      <c r="R539" s="2466">
        <v>99133</v>
      </c>
      <c r="S539" s="2466">
        <v>99132.800000000003</v>
      </c>
      <c r="U539" s="2466">
        <v>99133</v>
      </c>
      <c r="V539" s="2470">
        <v>4763</v>
      </c>
      <c r="W539" s="2466">
        <f>U539+V539</f>
        <v>103896</v>
      </c>
      <c r="X539" s="2468">
        <f>IF(U539=0," ",(W539-U539)/U539)</f>
        <v>4.8046563707342664E-2</v>
      </c>
      <c r="Z539" s="2467">
        <f>W539</f>
        <v>103896</v>
      </c>
      <c r="AA539" s="2467">
        <v>103896</v>
      </c>
      <c r="AC539" s="2469" t="s">
        <v>1941</v>
      </c>
      <c r="AE539" s="2466">
        <v>103896</v>
      </c>
      <c r="AF539" s="2471">
        <v>103896</v>
      </c>
      <c r="AH539" s="2466">
        <v>103896</v>
      </c>
      <c r="AI539" s="2470">
        <v>5851</v>
      </c>
      <c r="AJ539" s="2466">
        <f>AH539+AI539</f>
        <v>109747</v>
      </c>
      <c r="AK539" s="2468">
        <f>IF(AH539=0," ",(AJ539-AH539)/AH539)</f>
        <v>5.6315931315931315E-2</v>
      </c>
      <c r="AM539" s="2467">
        <v>109747</v>
      </c>
      <c r="AN539" s="2467">
        <v>109747</v>
      </c>
      <c r="AP539" s="2469" t="s">
        <v>1942</v>
      </c>
      <c r="AR539" s="2466">
        <v>109747</v>
      </c>
      <c r="AS539" s="2466">
        <v>100304</v>
      </c>
      <c r="AT539" s="2466"/>
      <c r="AU539" s="2466">
        <v>92875</v>
      </c>
      <c r="AV539" s="2466">
        <v>79367.240000000005</v>
      </c>
      <c r="AX539" s="2466">
        <v>92875</v>
      </c>
      <c r="AY539" s="2470">
        <v>-27779</v>
      </c>
      <c r="AZ539" s="2466">
        <f>AX539+AY539</f>
        <v>65096</v>
      </c>
      <c r="BA539" s="2468">
        <f>IF(AX539=0," ",(AZ539-AX539)/AX539)</f>
        <v>-0.29910094212651411</v>
      </c>
      <c r="BC539" s="2467">
        <v>65096</v>
      </c>
      <c r="BD539" s="2467">
        <v>65096</v>
      </c>
      <c r="BF539" s="2511" t="s">
        <v>1943</v>
      </c>
      <c r="BH539" s="2467">
        <v>65096</v>
      </c>
      <c r="BI539" s="2466">
        <v>62611.8</v>
      </c>
      <c r="BM539" s="2466">
        <v>65096</v>
      </c>
      <c r="BN539" s="2470">
        <v>1260</v>
      </c>
      <c r="BO539" s="2472">
        <f>BM539+BN539</f>
        <v>66356</v>
      </c>
      <c r="BP539" s="2473">
        <f>IF(BM539=0," ",(BO539-BM539)/BM539)</f>
        <v>1.9356028020154847E-2</v>
      </c>
      <c r="BR539" s="2474">
        <v>66356</v>
      </c>
      <c r="BS539" s="2474">
        <v>66356</v>
      </c>
      <c r="BU539" s="2512" t="s">
        <v>1944</v>
      </c>
      <c r="BW539" s="2474">
        <v>66356</v>
      </c>
      <c r="BX539" s="2466">
        <v>32065</v>
      </c>
      <c r="BZ539" s="2474">
        <v>66356</v>
      </c>
      <c r="CA539" s="2470">
        <v>-212</v>
      </c>
      <c r="CB539" s="2472">
        <f>BZ539+CA539</f>
        <v>66144</v>
      </c>
      <c r="CC539" s="2473">
        <f>IF(BZ539=0," ",(CB539-BZ539)/BZ539)</f>
        <v>-3.1948881789137379E-3</v>
      </c>
      <c r="CE539" s="2474">
        <v>69327</v>
      </c>
      <c r="CF539" s="2476">
        <f>IF(CB539=0," ",(CE539-CB539)/CB539)</f>
        <v>4.8122278664731497E-2</v>
      </c>
      <c r="CG539" s="2474">
        <v>69327</v>
      </c>
      <c r="CH539" s="2449" t="s">
        <v>1217</v>
      </c>
      <c r="CI539" s="2449"/>
      <c r="CJ539" s="2450"/>
      <c r="CK539" s="2450"/>
      <c r="CO539" s="2477">
        <v>-3.8162099053705267E-2</v>
      </c>
      <c r="CP539" s="2478">
        <f t="shared" si="278"/>
        <v>-2484.1999999999971</v>
      </c>
      <c r="CQ539" s="2478"/>
      <c r="CR539" s="2478"/>
      <c r="CS539" s="2478"/>
      <c r="CT539" s="2478"/>
    </row>
    <row r="540" spans="1:98" hidden="1" x14ac:dyDescent="0.2">
      <c r="A540" s="2513">
        <v>420</v>
      </c>
      <c r="B540" s="2514" t="s">
        <v>1214</v>
      </c>
      <c r="C540" s="2515">
        <v>42001</v>
      </c>
      <c r="D540" s="2515">
        <v>51490</v>
      </c>
      <c r="E540" s="2516" t="s">
        <v>59</v>
      </c>
      <c r="F540" s="2514" t="s">
        <v>1214</v>
      </c>
      <c r="G540" s="2514" t="s">
        <v>1945</v>
      </c>
      <c r="H540" s="2466">
        <v>1750</v>
      </c>
      <c r="I540" s="2523"/>
      <c r="J540" s="2466">
        <f>H540+I540</f>
        <v>1750</v>
      </c>
      <c r="K540" s="2468">
        <f>IF(H540=0," ",(J540-H540)/H540)</f>
        <v>0</v>
      </c>
      <c r="M540" s="2520">
        <v>1750</v>
      </c>
      <c r="N540" s="2520">
        <v>1750</v>
      </c>
      <c r="P540" s="2469"/>
      <c r="R540" s="2519">
        <v>1750</v>
      </c>
      <c r="S540" s="2519">
        <v>1750</v>
      </c>
      <c r="U540" s="2519">
        <v>1750</v>
      </c>
      <c r="V540" s="2523">
        <v>0</v>
      </c>
      <c r="W540" s="2466">
        <f>U540+V540</f>
        <v>1750</v>
      </c>
      <c r="X540" s="2468">
        <f>IF(U540=0," ",(W540-U540)/U540)</f>
        <v>0</v>
      </c>
      <c r="Z540" s="2467">
        <f>W540</f>
        <v>1750</v>
      </c>
      <c r="AA540" s="2520">
        <v>1750</v>
      </c>
      <c r="AC540" s="2522"/>
      <c r="AE540" s="2519">
        <v>1750</v>
      </c>
      <c r="AF540" s="2524">
        <v>1750</v>
      </c>
      <c r="AH540" s="2519">
        <v>1750</v>
      </c>
      <c r="AI540" s="2523"/>
      <c r="AJ540" s="2466">
        <f>AH540+AI540</f>
        <v>1750</v>
      </c>
      <c r="AK540" s="2468">
        <f>IF(AH540=0," ",(AJ540-AH540)/AH540)</f>
        <v>0</v>
      </c>
      <c r="AM540" s="2467">
        <v>1750</v>
      </c>
      <c r="AN540" s="2467">
        <v>1750</v>
      </c>
      <c r="AP540" s="2522"/>
      <c r="AR540" s="2466">
        <v>1750</v>
      </c>
      <c r="AS540" s="2466">
        <v>1750</v>
      </c>
      <c r="AT540" s="2466"/>
      <c r="AU540" s="2466">
        <v>1750</v>
      </c>
      <c r="AV540" s="2466">
        <v>1000</v>
      </c>
      <c r="AX540" s="2466">
        <v>1750</v>
      </c>
      <c r="AY540" s="2523"/>
      <c r="AZ540" s="2466">
        <f>AX540+AY540</f>
        <v>1750</v>
      </c>
      <c r="BA540" s="2468">
        <f>IF(AX540=0," ",(AZ540-AX540)/AX540)</f>
        <v>0</v>
      </c>
      <c r="BC540" s="2467">
        <v>1750</v>
      </c>
      <c r="BD540" s="2467">
        <v>1750</v>
      </c>
      <c r="BF540" s="2522"/>
      <c r="BH540" s="2467">
        <v>1750</v>
      </c>
      <c r="BI540" s="2519">
        <v>3494.08</v>
      </c>
      <c r="BM540" s="2466">
        <v>1750</v>
      </c>
      <c r="BN540" s="2523">
        <v>-1150</v>
      </c>
      <c r="BO540" s="2472">
        <f>BM540+BN540</f>
        <v>600</v>
      </c>
      <c r="BP540" s="2473">
        <f>IF(BM540=0," ",(BO540-BM540)/BM540)</f>
        <v>-0.65714285714285714</v>
      </c>
      <c r="BR540" s="2474">
        <v>600</v>
      </c>
      <c r="BS540" s="2474">
        <v>600</v>
      </c>
      <c r="BU540" s="2528" t="s">
        <v>1946</v>
      </c>
      <c r="BW540" s="2474">
        <v>600</v>
      </c>
      <c r="BX540" s="2519">
        <v>600</v>
      </c>
      <c r="BZ540" s="2474">
        <v>600</v>
      </c>
      <c r="CA540" s="2523"/>
      <c r="CB540" s="2472">
        <f>BZ540+CA540</f>
        <v>600</v>
      </c>
      <c r="CC540" s="2473">
        <f>IF(BZ540=0," ",(CB540-BZ540)/BZ540)</f>
        <v>0</v>
      </c>
      <c r="CE540" s="2474">
        <v>600</v>
      </c>
      <c r="CF540" s="2476">
        <f>IF(CB540=0," ",(CE540-CB540)/CB540)</f>
        <v>0</v>
      </c>
      <c r="CG540" s="2474">
        <v>600</v>
      </c>
      <c r="CH540" s="2449" t="s">
        <v>1217</v>
      </c>
      <c r="CI540" s="2449"/>
      <c r="CJ540" s="2450" t="s">
        <v>1239</v>
      </c>
      <c r="CK540" s="2518">
        <f t="shared" ref="CK540" si="280">-CG540</f>
        <v>-600</v>
      </c>
      <c r="CO540" s="2477">
        <v>0.99661714285714287</v>
      </c>
      <c r="CP540" s="2478">
        <f t="shared" si="278"/>
        <v>1744.08</v>
      </c>
      <c r="CQ540" s="2478"/>
      <c r="CR540" s="2478"/>
      <c r="CS540" s="2478"/>
      <c r="CT540" s="2478"/>
    </row>
    <row r="541" spans="1:98" hidden="1" x14ac:dyDescent="0.2">
      <c r="H541" s="2560">
        <f t="shared" ref="H541" si="281">SUM(H539:H540)</f>
        <v>96900</v>
      </c>
      <c r="I541" s="2560">
        <f>SUM(I539:I540)</f>
        <v>3983</v>
      </c>
      <c r="J541" s="2560">
        <f>SUM(J539:J540)</f>
        <v>100883</v>
      </c>
      <c r="K541" s="2561">
        <f>IF(H541=0," ",(J541-H541)/H541)</f>
        <v>4.1104231166150668E-2</v>
      </c>
      <c r="M541" s="2560">
        <f>SUM(M539:M540)</f>
        <v>100883</v>
      </c>
      <c r="N541" s="2466">
        <f>SUM(N539:N540)</f>
        <v>100883</v>
      </c>
      <c r="P541" s="2493">
        <f>SUM(P539:P540)</f>
        <v>0</v>
      </c>
      <c r="R541" s="2560">
        <f>SUM(R539:R540)</f>
        <v>100883</v>
      </c>
      <c r="S541" s="2466">
        <f>SUM(S539:S540)</f>
        <v>100882.8</v>
      </c>
      <c r="U541" s="2560">
        <f>SUM(U539:U540)</f>
        <v>100883</v>
      </c>
      <c r="V541" s="2560">
        <f>SUM(V539:V540)</f>
        <v>4763</v>
      </c>
      <c r="W541" s="2560">
        <f>SUM(W539:W540)</f>
        <v>105646</v>
      </c>
      <c r="X541" s="2561">
        <f>IF(U541=0," ",(W541-U541)/U541)</f>
        <v>4.7213108254116155E-2</v>
      </c>
      <c r="Z541" s="2560">
        <f>SUM(Z539:Z540)</f>
        <v>105646</v>
      </c>
      <c r="AA541" s="2560">
        <f>SUM(AA539:AA540)</f>
        <v>105646</v>
      </c>
      <c r="AC541" s="2562"/>
      <c r="AE541" s="2560">
        <f>SUM(AE539:AE540)</f>
        <v>105646</v>
      </c>
      <c r="AF541" s="2563">
        <f>SUM(AF539:AF540)</f>
        <v>105646</v>
      </c>
      <c r="AH541" s="2560">
        <v>105646</v>
      </c>
      <c r="AI541" s="2560">
        <f>SUM(AI539:AI540)</f>
        <v>5851</v>
      </c>
      <c r="AJ541" s="2560">
        <f>SUM(AJ539:AJ540)</f>
        <v>111497</v>
      </c>
      <c r="AK541" s="2561">
        <f>IF(AH541=0," ",(AJ541-AH541)/AH541)</f>
        <v>5.5383071767979859E-2</v>
      </c>
      <c r="AM541" s="2560">
        <f>SUM(AM539:AM540)</f>
        <v>111497</v>
      </c>
      <c r="AN541" s="2560">
        <f>SUM(AN539:AN540)</f>
        <v>111497</v>
      </c>
      <c r="AP541" s="2562"/>
      <c r="AR541" s="2560">
        <f>SUM(AR539:AR540)</f>
        <v>111497</v>
      </c>
      <c r="AS541" s="2560">
        <f>SUM(AS539:AS540)</f>
        <v>102054</v>
      </c>
      <c r="AT541" s="2560"/>
      <c r="AU541" s="2560">
        <f>SUM(AU539:AU540)</f>
        <v>94625</v>
      </c>
      <c r="AV541" s="2560">
        <f>SUM(AV539:AV540)</f>
        <v>80367.240000000005</v>
      </c>
      <c r="AX541" s="2560">
        <f>SUM(AX539:AX540)</f>
        <v>94625</v>
      </c>
      <c r="AY541" s="2560">
        <f>SUM(AY539:AY540)</f>
        <v>-27779</v>
      </c>
      <c r="AZ541" s="2560">
        <f>SUM(AZ539:AZ540)</f>
        <v>66846</v>
      </c>
      <c r="BA541" s="2561">
        <f>IF(AX541=0," ",(AZ541-AX541)/AX541)</f>
        <v>-0.29356935270805812</v>
      </c>
      <c r="BC541" s="2560">
        <f>SUM(BC539:BC540)</f>
        <v>66846</v>
      </c>
      <c r="BD541" s="2560">
        <f>SUM(BD539:BD540)</f>
        <v>66846</v>
      </c>
      <c r="BF541" s="2562"/>
      <c r="BH541" s="2560">
        <f>SUM(BH539:BH540)</f>
        <v>66846</v>
      </c>
      <c r="BI541" s="2560">
        <f>SUM(BI539:BI540)</f>
        <v>66105.88</v>
      </c>
      <c r="BM541" s="2560">
        <f>SUM(BM539:BM540)</f>
        <v>66846</v>
      </c>
      <c r="BN541" s="2560">
        <f>SUM(BN539:BN540)</f>
        <v>110</v>
      </c>
      <c r="BO541" s="2564">
        <f>SUM(BO539:BO540)</f>
        <v>66956</v>
      </c>
      <c r="BP541" s="2565">
        <f>IF(BM541=0," ",(BO541-BM541)/BM541)</f>
        <v>1.6455734075337342E-3</v>
      </c>
      <c r="BR541" s="2564">
        <f>SUM(BR539:BR540)</f>
        <v>66956</v>
      </c>
      <c r="BS541" s="2564">
        <f>SUM(BS539:BS540)</f>
        <v>66956</v>
      </c>
      <c r="BU541" s="2566"/>
      <c r="BW541" s="2564">
        <f>SUM(BW539:BW540)</f>
        <v>66956</v>
      </c>
      <c r="BX541" s="2560">
        <f>SUM(BX539:BX540)</f>
        <v>32665</v>
      </c>
      <c r="BZ541" s="2564">
        <f>SUM(BZ539:BZ540)</f>
        <v>66956</v>
      </c>
      <c r="CA541" s="2564">
        <f>SUM(CA539:CA540)</f>
        <v>-212</v>
      </c>
      <c r="CB541" s="2564">
        <f>SUM(CB539:CB540)</f>
        <v>66744</v>
      </c>
      <c r="CC541" s="2565">
        <f>IF(BZ541=0," ",(CB541-BZ541)/BZ541)</f>
        <v>-3.1662584383774419E-3</v>
      </c>
      <c r="CE541" s="2564">
        <f>SUM(CE539:CE540)</f>
        <v>69927</v>
      </c>
      <c r="CF541" s="2565">
        <f>IF(CB541=0," ",(CE541-CB541)/CB541)</f>
        <v>4.768967997123337E-2</v>
      </c>
      <c r="CG541" s="2564">
        <f>SUM(CG539:CG540)</f>
        <v>69927</v>
      </c>
      <c r="CH541" s="2449" t="s">
        <v>1243</v>
      </c>
      <c r="CI541" s="2449"/>
      <c r="CJ541" s="2450"/>
      <c r="CK541" s="2450"/>
      <c r="CO541" s="2477">
        <v>-1.1072016276216901E-2</v>
      </c>
      <c r="CP541" s="2478">
        <f t="shared" si="278"/>
        <v>-740.11999999999534</v>
      </c>
      <c r="CQ541" s="2478"/>
      <c r="CR541" s="2478"/>
      <c r="CS541" s="2478"/>
      <c r="CT541" s="2478"/>
    </row>
    <row r="542" spans="1:98" hidden="1" x14ac:dyDescent="0.2">
      <c r="AS542" s="2466"/>
      <c r="AT542" s="2466"/>
      <c r="BZ542" s="2472"/>
      <c r="CH542" s="2449" t="s">
        <v>1091</v>
      </c>
      <c r="CI542" s="2449"/>
      <c r="CJ542" s="2450"/>
      <c r="CK542" s="2450"/>
      <c r="CP542" s="2478">
        <f t="shared" si="278"/>
        <v>0</v>
      </c>
      <c r="CQ542" s="2478"/>
      <c r="CR542" s="2478"/>
      <c r="CS542" s="2478"/>
      <c r="CT542" s="2478"/>
    </row>
    <row r="543" spans="1:98" hidden="1" x14ac:dyDescent="0.2">
      <c r="A543" s="2395">
        <v>420</v>
      </c>
      <c r="B543" s="2440" t="s">
        <v>1214</v>
      </c>
      <c r="C543" s="2396">
        <v>42002</v>
      </c>
      <c r="D543" s="2396">
        <v>51130</v>
      </c>
      <c r="E543" s="2397" t="s">
        <v>319</v>
      </c>
      <c r="F543" s="2440" t="s">
        <v>1214</v>
      </c>
      <c r="G543" s="2440" t="s">
        <v>1947</v>
      </c>
      <c r="H543" s="2466">
        <v>259537</v>
      </c>
      <c r="I543" s="2470"/>
      <c r="J543" s="2466">
        <f t="shared" ref="J543:J548" si="282">H543+I543</f>
        <v>259537</v>
      </c>
      <c r="K543" s="2468">
        <f t="shared" ref="K543:K548" si="283">IF(H543=0," ",(J543-H543)/H543)</f>
        <v>0</v>
      </c>
      <c r="M543" s="2467">
        <v>259537</v>
      </c>
      <c r="N543" s="2467">
        <v>259537</v>
      </c>
      <c r="P543" s="2469" t="s">
        <v>1948</v>
      </c>
      <c r="R543" s="2466">
        <v>259537</v>
      </c>
      <c r="S543" s="2466">
        <v>263924.49</v>
      </c>
      <c r="U543" s="2466">
        <v>259537</v>
      </c>
      <c r="V543" s="2470">
        <v>0</v>
      </c>
      <c r="W543" s="2466">
        <f t="shared" ref="W543:W548" si="284">U543+V543</f>
        <v>259537</v>
      </c>
      <c r="X543" s="2468">
        <f t="shared" ref="X543:X548" si="285">IF(U543=0," ",(W543-U543)/U543)</f>
        <v>0</v>
      </c>
      <c r="Z543" s="2467">
        <v>259537</v>
      </c>
      <c r="AA543" s="2467">
        <v>259537</v>
      </c>
      <c r="AC543" s="2469"/>
      <c r="AE543" s="2466">
        <v>259537</v>
      </c>
      <c r="AF543" s="2471">
        <v>270948.27</v>
      </c>
      <c r="AH543" s="2466">
        <v>259537</v>
      </c>
      <c r="AI543" s="2470">
        <v>21179</v>
      </c>
      <c r="AJ543" s="2466">
        <f t="shared" ref="AJ543:AJ548" si="286">AH543+AI543</f>
        <v>280716</v>
      </c>
      <c r="AK543" s="2468">
        <f t="shared" ref="AK543:AK548" si="287">IF(AH543=0," ",(AJ543-AH543)/AH543)</f>
        <v>8.1603008434250224E-2</v>
      </c>
      <c r="AM543" s="2467">
        <v>280716</v>
      </c>
      <c r="AN543" s="2467">
        <v>280716</v>
      </c>
      <c r="AP543" s="2469"/>
      <c r="AR543" s="2466">
        <v>280716</v>
      </c>
      <c r="AS543" s="2466">
        <v>253760.64000000001</v>
      </c>
      <c r="AT543" s="2466"/>
      <c r="AU543" s="2466">
        <v>280716</v>
      </c>
      <c r="AV543" s="2466">
        <v>264625.52</v>
      </c>
      <c r="AX543" s="2466">
        <v>280716</v>
      </c>
      <c r="AY543" s="2470"/>
      <c r="AZ543" s="2466">
        <f t="shared" ref="AZ543:AZ548" si="288">AX543+AY543</f>
        <v>280716</v>
      </c>
      <c r="BA543" s="2468">
        <f t="shared" ref="BA543:BA548" si="289">IF(AX543=0," ",(AZ543-AX543)/AX543)</f>
        <v>0</v>
      </c>
      <c r="BC543" s="2467">
        <v>280716</v>
      </c>
      <c r="BD543" s="2467">
        <v>280716</v>
      </c>
      <c r="BF543" s="2469"/>
      <c r="BH543" s="2467">
        <v>280716</v>
      </c>
      <c r="BI543" s="2466">
        <v>284886.28999999998</v>
      </c>
      <c r="BM543" s="2466">
        <v>280716</v>
      </c>
      <c r="BN543" s="2470">
        <v>13142</v>
      </c>
      <c r="BO543" s="2472">
        <f t="shared" ref="BO543:BO548" si="290">BM543+BN543</f>
        <v>293858</v>
      </c>
      <c r="BP543" s="2473">
        <f t="shared" ref="BP543:BP548" si="291">IF(BM543=0," ",(BO543-BM543)/BM543)</f>
        <v>4.6815999088046283E-2</v>
      </c>
      <c r="BR543" s="2474">
        <v>293858</v>
      </c>
      <c r="BS543" s="2474">
        <v>293858</v>
      </c>
      <c r="BU543" s="2475" t="s">
        <v>1949</v>
      </c>
      <c r="BW543" s="2474">
        <v>293858</v>
      </c>
      <c r="BX543" s="2466">
        <v>141862.28</v>
      </c>
      <c r="BZ543" s="2474">
        <v>293858</v>
      </c>
      <c r="CA543" s="2660">
        <v>-1126</v>
      </c>
      <c r="CB543" s="2472">
        <f t="shared" ref="CB543:CB548" si="292">BZ543+CA543</f>
        <v>292732</v>
      </c>
      <c r="CC543" s="2473">
        <f t="shared" ref="CC543:CC548" si="293">IF(BZ543=0," ",(CB543-BZ543)/BZ543)</f>
        <v>-3.8317826977655877E-3</v>
      </c>
      <c r="CE543" s="2474">
        <v>292732</v>
      </c>
      <c r="CF543" s="2476">
        <f t="shared" ref="CF543:CF551" si="294">IF(CB543=0," ",(CE543-CB543)/CB543)</f>
        <v>0</v>
      </c>
      <c r="CG543" s="2474">
        <v>292732</v>
      </c>
      <c r="CH543" s="2449" t="s">
        <v>1217</v>
      </c>
      <c r="CI543" s="2449"/>
      <c r="CJ543" s="2450"/>
      <c r="CK543" s="2450"/>
      <c r="CO543" s="2477">
        <v>1.4855904187862423E-2</v>
      </c>
      <c r="CP543" s="2478">
        <f t="shared" si="278"/>
        <v>4170.289999999979</v>
      </c>
      <c r="CQ543" s="2478"/>
      <c r="CR543" s="2478"/>
      <c r="CS543" s="2478"/>
      <c r="CT543" s="2478"/>
    </row>
    <row r="544" spans="1:98" hidden="1" x14ac:dyDescent="0.2">
      <c r="A544" s="2395">
        <v>420</v>
      </c>
      <c r="B544" s="2440" t="s">
        <v>1214</v>
      </c>
      <c r="C544" s="2396">
        <v>42002</v>
      </c>
      <c r="D544" s="2396">
        <v>51141</v>
      </c>
      <c r="E544" s="2397" t="s">
        <v>319</v>
      </c>
      <c r="F544" s="2440" t="s">
        <v>1214</v>
      </c>
      <c r="G544" s="2440" t="s">
        <v>1950</v>
      </c>
      <c r="H544" s="2466">
        <v>17737</v>
      </c>
      <c r="I544" s="2470">
        <v>784</v>
      </c>
      <c r="J544" s="2466">
        <f t="shared" si="282"/>
        <v>18521</v>
      </c>
      <c r="K544" s="2468">
        <f t="shared" si="283"/>
        <v>4.4201386931273609E-2</v>
      </c>
      <c r="M544" s="2467">
        <v>18521</v>
      </c>
      <c r="N544" s="2467">
        <v>18521</v>
      </c>
      <c r="P544" s="2469" t="s">
        <v>1951</v>
      </c>
      <c r="R544" s="2466">
        <v>18521</v>
      </c>
      <c r="S544" s="2466">
        <v>18520.32</v>
      </c>
      <c r="U544" s="2466">
        <v>18521</v>
      </c>
      <c r="V544" s="2470">
        <v>889</v>
      </c>
      <c r="W544" s="2466">
        <f t="shared" si="284"/>
        <v>19410</v>
      </c>
      <c r="X544" s="2468">
        <f t="shared" si="285"/>
        <v>4.7999568057880242E-2</v>
      </c>
      <c r="Z544" s="2467">
        <v>19410</v>
      </c>
      <c r="AA544" s="2467">
        <v>19410</v>
      </c>
      <c r="AC544" s="2469" t="s">
        <v>1952</v>
      </c>
      <c r="AE544" s="2466">
        <v>19410</v>
      </c>
      <c r="AF544" s="2471">
        <v>19408.48</v>
      </c>
      <c r="AH544" s="2466">
        <v>19410</v>
      </c>
      <c r="AI544" s="2470">
        <v>1106</v>
      </c>
      <c r="AJ544" s="2466">
        <f t="shared" si="286"/>
        <v>20516</v>
      </c>
      <c r="AK544" s="2468">
        <f t="shared" si="287"/>
        <v>5.6980937660999487E-2</v>
      </c>
      <c r="AM544" s="2467">
        <v>20516</v>
      </c>
      <c r="AN544" s="2467">
        <v>20516</v>
      </c>
      <c r="AP544" s="2469" t="s">
        <v>1953</v>
      </c>
      <c r="AR544" s="2466">
        <v>20516</v>
      </c>
      <c r="AS544" s="2466">
        <v>20504.12</v>
      </c>
      <c r="AT544" s="2466"/>
      <c r="AU544" s="2466">
        <v>20973</v>
      </c>
      <c r="AV544" s="2466">
        <v>22148.57</v>
      </c>
      <c r="AX544" s="2466">
        <v>20973</v>
      </c>
      <c r="AY544" s="2470">
        <v>2276</v>
      </c>
      <c r="AZ544" s="2466">
        <f t="shared" si="288"/>
        <v>23249</v>
      </c>
      <c r="BA544" s="2468">
        <f t="shared" si="289"/>
        <v>0.10852047871072332</v>
      </c>
      <c r="BC544" s="2467">
        <v>23249</v>
      </c>
      <c r="BD544" s="2467">
        <v>23249</v>
      </c>
      <c r="BF544" s="2511" t="s">
        <v>1954</v>
      </c>
      <c r="BH544" s="2467">
        <v>23249</v>
      </c>
      <c r="BI544" s="2466">
        <v>23110.14</v>
      </c>
      <c r="BM544" s="2466">
        <v>23249</v>
      </c>
      <c r="BN544" s="2470">
        <v>264</v>
      </c>
      <c r="BO544" s="2472">
        <f t="shared" si="290"/>
        <v>23513</v>
      </c>
      <c r="BP544" s="2473">
        <f t="shared" si="291"/>
        <v>1.1355327110843477E-2</v>
      </c>
      <c r="BR544" s="2474">
        <v>23513</v>
      </c>
      <c r="BS544" s="2474">
        <v>23513</v>
      </c>
      <c r="BU544" s="2512" t="s">
        <v>1955</v>
      </c>
      <c r="BW544" s="2474">
        <v>23513</v>
      </c>
      <c r="BX544" s="2466">
        <v>11417.04</v>
      </c>
      <c r="BZ544" s="2474">
        <v>23513</v>
      </c>
      <c r="CA544" s="2660"/>
      <c r="CB544" s="2472">
        <f t="shared" si="292"/>
        <v>23513</v>
      </c>
      <c r="CC544" s="2473">
        <f t="shared" si="293"/>
        <v>0</v>
      </c>
      <c r="CE544" s="2474">
        <v>23987</v>
      </c>
      <c r="CF544" s="2476">
        <f t="shared" si="294"/>
        <v>2.0159060945009143E-2</v>
      </c>
      <c r="CG544" s="2474">
        <v>23987</v>
      </c>
      <c r="CH544" s="2449" t="s">
        <v>1217</v>
      </c>
      <c r="CI544" s="2449"/>
      <c r="CJ544" s="2450"/>
      <c r="CK544" s="2450"/>
      <c r="CO544" s="2477">
        <v>-5.972730009892957E-3</v>
      </c>
      <c r="CP544" s="2478">
        <f t="shared" si="278"/>
        <v>-138.86000000000058</v>
      </c>
      <c r="CQ544" s="2478"/>
      <c r="CR544" s="2478"/>
      <c r="CS544" s="2478"/>
      <c r="CT544" s="2478"/>
    </row>
    <row r="545" spans="1:98" hidden="1" x14ac:dyDescent="0.2">
      <c r="A545" s="2395">
        <v>420</v>
      </c>
      <c r="B545" s="2440" t="s">
        <v>1214</v>
      </c>
      <c r="C545" s="2396">
        <v>42002</v>
      </c>
      <c r="D545" s="2396">
        <v>51310</v>
      </c>
      <c r="E545" s="2397" t="s">
        <v>319</v>
      </c>
      <c r="F545" s="2440" t="s">
        <v>1214</v>
      </c>
      <c r="G545" s="2440" t="s">
        <v>1956</v>
      </c>
      <c r="H545" s="2466">
        <v>8320</v>
      </c>
      <c r="I545" s="2470">
        <v>166</v>
      </c>
      <c r="J545" s="2466">
        <f t="shared" si="282"/>
        <v>8486</v>
      </c>
      <c r="K545" s="2468">
        <f t="shared" si="283"/>
        <v>1.9951923076923075E-2</v>
      </c>
      <c r="M545" s="2467">
        <v>8486</v>
      </c>
      <c r="N545" s="2467">
        <v>8486</v>
      </c>
      <c r="P545" s="2469"/>
      <c r="R545" s="2466">
        <v>8486</v>
      </c>
      <c r="S545" s="2466">
        <v>8387.7800000000007</v>
      </c>
      <c r="U545" s="2466">
        <v>8486</v>
      </c>
      <c r="V545" s="2470">
        <v>0</v>
      </c>
      <c r="W545" s="2466">
        <f t="shared" si="284"/>
        <v>8486</v>
      </c>
      <c r="X545" s="2468">
        <f t="shared" si="285"/>
        <v>0</v>
      </c>
      <c r="Z545" s="2467">
        <v>8486</v>
      </c>
      <c r="AA545" s="2467">
        <v>8486</v>
      </c>
      <c r="AC545" s="2469"/>
      <c r="AE545" s="2466">
        <v>8486</v>
      </c>
      <c r="AF545" s="2471">
        <v>5717.14</v>
      </c>
      <c r="AH545" s="2466">
        <v>8486</v>
      </c>
      <c r="AI545" s="2470">
        <v>500</v>
      </c>
      <c r="AJ545" s="2466">
        <f t="shared" si="286"/>
        <v>8986</v>
      </c>
      <c r="AK545" s="2468">
        <f t="shared" si="287"/>
        <v>5.892057506481263E-2</v>
      </c>
      <c r="AM545" s="2467">
        <v>8986</v>
      </c>
      <c r="AN545" s="2467">
        <v>8986</v>
      </c>
      <c r="AP545" s="2469"/>
      <c r="AR545" s="2466">
        <v>8986</v>
      </c>
      <c r="AS545" s="2466">
        <v>6843.91</v>
      </c>
      <c r="AT545" s="2466"/>
      <c r="AU545" s="2466">
        <v>8986</v>
      </c>
      <c r="AV545" s="2466">
        <v>7020.26</v>
      </c>
      <c r="AX545" s="2466">
        <v>8986</v>
      </c>
      <c r="AY545" s="2470"/>
      <c r="AZ545" s="2466">
        <f t="shared" si="288"/>
        <v>8986</v>
      </c>
      <c r="BA545" s="2468">
        <f t="shared" si="289"/>
        <v>0</v>
      </c>
      <c r="BC545" s="2467">
        <v>8986</v>
      </c>
      <c r="BD545" s="2467">
        <v>8986</v>
      </c>
      <c r="BF545" s="2469"/>
      <c r="BH545" s="2467">
        <v>8986</v>
      </c>
      <c r="BI545" s="2466">
        <v>7792.18</v>
      </c>
      <c r="BM545" s="2466">
        <v>8986</v>
      </c>
      <c r="BN545" s="2470">
        <v>135</v>
      </c>
      <c r="BO545" s="2472">
        <f t="shared" si="290"/>
        <v>9121</v>
      </c>
      <c r="BP545" s="2473">
        <f t="shared" si="291"/>
        <v>1.5023369686178499E-2</v>
      </c>
      <c r="BR545" s="2474">
        <v>9121</v>
      </c>
      <c r="BS545" s="2474">
        <v>9121</v>
      </c>
      <c r="BU545" s="2475" t="s">
        <v>1949</v>
      </c>
      <c r="BW545" s="2474">
        <v>9121</v>
      </c>
      <c r="BX545" s="2466">
        <v>1295.8499999999999</v>
      </c>
      <c r="BZ545" s="2474">
        <v>9121</v>
      </c>
      <c r="CA545" s="2660"/>
      <c r="CB545" s="2472">
        <f t="shared" si="292"/>
        <v>9121</v>
      </c>
      <c r="CC545" s="2473">
        <f t="shared" si="293"/>
        <v>0</v>
      </c>
      <c r="CE545" s="2474">
        <v>9121</v>
      </c>
      <c r="CF545" s="2476">
        <f t="shared" si="294"/>
        <v>0</v>
      </c>
      <c r="CG545" s="2474">
        <v>9121</v>
      </c>
      <c r="CH545" s="2449" t="s">
        <v>1217</v>
      </c>
      <c r="CI545" s="2449"/>
      <c r="CJ545" s="2450"/>
      <c r="CK545" s="2450"/>
      <c r="CO545" s="2477">
        <v>-0.1328533273981749</v>
      </c>
      <c r="CP545" s="2478">
        <f t="shared" si="278"/>
        <v>-1193.8199999999997</v>
      </c>
      <c r="CQ545" s="2478"/>
      <c r="CR545" s="2478"/>
      <c r="CS545" s="2478"/>
      <c r="CT545" s="2478"/>
    </row>
    <row r="546" spans="1:98" hidden="1" x14ac:dyDescent="0.2">
      <c r="A546" s="2395">
        <v>420</v>
      </c>
      <c r="B546" s="2440" t="s">
        <v>1214</v>
      </c>
      <c r="C546" s="2396">
        <v>42002</v>
      </c>
      <c r="D546" s="2396">
        <v>51315</v>
      </c>
      <c r="E546" s="2397" t="s">
        <v>319</v>
      </c>
      <c r="F546" s="2440" t="s">
        <v>1214</v>
      </c>
      <c r="G546" s="2440" t="s">
        <v>1957</v>
      </c>
      <c r="H546" s="2466">
        <v>5840</v>
      </c>
      <c r="I546" s="2470">
        <v>1500</v>
      </c>
      <c r="J546" s="2466">
        <f t="shared" si="282"/>
        <v>7340</v>
      </c>
      <c r="K546" s="2468">
        <f t="shared" si="283"/>
        <v>0.25684931506849318</v>
      </c>
      <c r="M546" s="2467">
        <v>7340</v>
      </c>
      <c r="N546" s="2467">
        <v>7340</v>
      </c>
      <c r="P546" s="2469"/>
      <c r="R546" s="2466">
        <v>7340</v>
      </c>
      <c r="S546" s="2466">
        <v>6261.77</v>
      </c>
      <c r="U546" s="2466">
        <v>7340</v>
      </c>
      <c r="V546" s="2470">
        <v>0</v>
      </c>
      <c r="W546" s="2466">
        <f t="shared" si="284"/>
        <v>7340</v>
      </c>
      <c r="X546" s="2468">
        <f t="shared" si="285"/>
        <v>0</v>
      </c>
      <c r="Z546" s="2467">
        <v>7340</v>
      </c>
      <c r="AA546" s="2467">
        <v>7340</v>
      </c>
      <c r="AC546" s="2469"/>
      <c r="AE546" s="2466">
        <v>7340</v>
      </c>
      <c r="AF546" s="2471">
        <v>6186.81</v>
      </c>
      <c r="AH546" s="2466">
        <v>7340</v>
      </c>
      <c r="AI546" s="2470">
        <v>441</v>
      </c>
      <c r="AJ546" s="2466">
        <f t="shared" si="286"/>
        <v>7781</v>
      </c>
      <c r="AK546" s="2468">
        <f t="shared" si="287"/>
        <v>6.0081743869209808E-2</v>
      </c>
      <c r="AM546" s="2467">
        <v>7781</v>
      </c>
      <c r="AN546" s="2467">
        <v>7781</v>
      </c>
      <c r="AP546" s="2469"/>
      <c r="AR546" s="2466">
        <v>7781</v>
      </c>
      <c r="AS546" s="2466">
        <v>5474.6</v>
      </c>
      <c r="AT546" s="2466"/>
      <c r="AU546" s="2466">
        <v>7781</v>
      </c>
      <c r="AV546" s="2466">
        <v>6821.06</v>
      </c>
      <c r="AX546" s="2466">
        <v>7781</v>
      </c>
      <c r="AY546" s="2470"/>
      <c r="AZ546" s="2466">
        <f t="shared" si="288"/>
        <v>7781</v>
      </c>
      <c r="BA546" s="2468">
        <f t="shared" si="289"/>
        <v>0</v>
      </c>
      <c r="BC546" s="2467">
        <v>7781</v>
      </c>
      <c r="BD546" s="2467">
        <v>7781</v>
      </c>
      <c r="BF546" s="2469"/>
      <c r="BH546" s="2467">
        <v>7781</v>
      </c>
      <c r="BI546" s="2466">
        <v>6504.19</v>
      </c>
      <c r="BM546" s="2466">
        <v>7781</v>
      </c>
      <c r="BN546" s="2470">
        <v>117</v>
      </c>
      <c r="BO546" s="2472">
        <f t="shared" si="290"/>
        <v>7898</v>
      </c>
      <c r="BP546" s="2473">
        <f t="shared" si="291"/>
        <v>1.5036627682817119E-2</v>
      </c>
      <c r="BR546" s="2474">
        <v>7898</v>
      </c>
      <c r="BS546" s="2474">
        <v>7898</v>
      </c>
      <c r="BU546" s="2475" t="s">
        <v>1949</v>
      </c>
      <c r="BW546" s="2474">
        <v>7898</v>
      </c>
      <c r="BX546" s="2466">
        <v>4007.23</v>
      </c>
      <c r="BZ546" s="2474">
        <v>7898</v>
      </c>
      <c r="CA546" s="2660"/>
      <c r="CB546" s="2472">
        <f t="shared" si="292"/>
        <v>7898</v>
      </c>
      <c r="CC546" s="2473">
        <f t="shared" si="293"/>
        <v>0</v>
      </c>
      <c r="CE546" s="2474">
        <v>7898</v>
      </c>
      <c r="CF546" s="2476">
        <f t="shared" si="294"/>
        <v>0</v>
      </c>
      <c r="CG546" s="2474">
        <v>7898</v>
      </c>
      <c r="CH546" s="2449" t="s">
        <v>1217</v>
      </c>
      <c r="CI546" s="2449"/>
      <c r="CJ546" s="2450"/>
      <c r="CK546" s="2450"/>
      <c r="CO546" s="2477">
        <v>-0.16409330420254475</v>
      </c>
      <c r="CP546" s="2478">
        <f t="shared" si="278"/>
        <v>-1276.8100000000004</v>
      </c>
      <c r="CQ546" s="2478"/>
      <c r="CR546" s="2478"/>
      <c r="CS546" s="2478"/>
      <c r="CT546" s="2478"/>
    </row>
    <row r="547" spans="1:98" hidden="1" x14ac:dyDescent="0.2">
      <c r="A547" s="2395">
        <v>420</v>
      </c>
      <c r="B547" s="2440" t="s">
        <v>1214</v>
      </c>
      <c r="C547" s="2396">
        <v>42002</v>
      </c>
      <c r="D547" s="2396">
        <v>51330</v>
      </c>
      <c r="E547" s="2397" t="s">
        <v>319</v>
      </c>
      <c r="F547" s="2440" t="s">
        <v>1214</v>
      </c>
      <c r="G547" s="2440" t="s">
        <v>1958</v>
      </c>
      <c r="H547" s="2466">
        <v>0</v>
      </c>
      <c r="I547" s="2470"/>
      <c r="J547" s="2466">
        <f t="shared" si="282"/>
        <v>0</v>
      </c>
      <c r="K547" s="2468" t="str">
        <f t="shared" si="283"/>
        <v xml:space="preserve"> </v>
      </c>
      <c r="M547" s="2467">
        <v>0</v>
      </c>
      <c r="N547" s="2467">
        <v>0</v>
      </c>
      <c r="P547" s="2469"/>
      <c r="R547" s="2466">
        <v>0</v>
      </c>
      <c r="S547" s="2466">
        <v>0</v>
      </c>
      <c r="U547" s="2466">
        <v>0</v>
      </c>
      <c r="V547" s="2470">
        <v>0</v>
      </c>
      <c r="W547" s="2466">
        <f t="shared" si="284"/>
        <v>0</v>
      </c>
      <c r="X547" s="2468" t="str">
        <f t="shared" si="285"/>
        <v xml:space="preserve"> </v>
      </c>
      <c r="Z547" s="2467">
        <v>0</v>
      </c>
      <c r="AA547" s="2467">
        <v>0</v>
      </c>
      <c r="AC547" s="2469"/>
      <c r="AE547" s="2466">
        <v>0</v>
      </c>
      <c r="AF547" s="2471">
        <v>45.35</v>
      </c>
      <c r="AH547" s="2466">
        <v>0</v>
      </c>
      <c r="AI547" s="2470"/>
      <c r="AJ547" s="2466">
        <f t="shared" si="286"/>
        <v>0</v>
      </c>
      <c r="AK547" s="2468" t="str">
        <f t="shared" si="287"/>
        <v xml:space="preserve"> </v>
      </c>
      <c r="AM547" s="2467">
        <v>0</v>
      </c>
      <c r="AN547" s="2467">
        <v>0</v>
      </c>
      <c r="AP547" s="2469"/>
      <c r="AR547" s="2466">
        <v>0</v>
      </c>
      <c r="AS547" s="2466">
        <v>0</v>
      </c>
      <c r="AT547" s="2466"/>
      <c r="AU547" s="2466">
        <v>0</v>
      </c>
      <c r="AX547" s="2466">
        <v>0</v>
      </c>
      <c r="AY547" s="2470"/>
      <c r="AZ547" s="2466">
        <f t="shared" si="288"/>
        <v>0</v>
      </c>
      <c r="BA547" s="2468" t="str">
        <f t="shared" si="289"/>
        <v xml:space="preserve"> </v>
      </c>
      <c r="BC547" s="2467">
        <v>0</v>
      </c>
      <c r="BD547" s="2467">
        <v>0</v>
      </c>
      <c r="BF547" s="2469"/>
      <c r="BH547" s="2467">
        <v>0</v>
      </c>
      <c r="BM547" s="2466">
        <v>0</v>
      </c>
      <c r="BN547" s="2470"/>
      <c r="BO547" s="2472">
        <f t="shared" si="290"/>
        <v>0</v>
      </c>
      <c r="BP547" s="2473" t="str">
        <f t="shared" si="291"/>
        <v xml:space="preserve"> </v>
      </c>
      <c r="BR547" s="2474">
        <v>0</v>
      </c>
      <c r="BS547" s="2474">
        <v>0</v>
      </c>
      <c r="BU547" s="2475"/>
      <c r="BW547" s="2474">
        <v>0</v>
      </c>
      <c r="BZ547" s="2474">
        <v>0</v>
      </c>
      <c r="CA547" s="2660"/>
      <c r="CB547" s="2472">
        <f t="shared" si="292"/>
        <v>0</v>
      </c>
      <c r="CC547" s="2473" t="str">
        <f t="shared" si="293"/>
        <v xml:space="preserve"> </v>
      </c>
      <c r="CE547" s="2474">
        <v>0</v>
      </c>
      <c r="CF547" s="2476" t="str">
        <f t="shared" si="294"/>
        <v xml:space="preserve"> </v>
      </c>
      <c r="CG547" s="2474">
        <v>0</v>
      </c>
      <c r="CH547" s="2449" t="s">
        <v>1217</v>
      </c>
      <c r="CI547" s="2449"/>
      <c r="CJ547" s="2450"/>
      <c r="CK547" s="2450"/>
      <c r="CP547" s="2478">
        <f t="shared" si="278"/>
        <v>0</v>
      </c>
      <c r="CQ547" s="2478"/>
      <c r="CR547" s="2478"/>
      <c r="CS547" s="2478"/>
      <c r="CT547" s="2478"/>
    </row>
    <row r="548" spans="1:98" hidden="1" x14ac:dyDescent="0.2">
      <c r="A548" s="2395">
        <v>420</v>
      </c>
      <c r="B548" s="2440" t="s">
        <v>1214</v>
      </c>
      <c r="C548" s="2396">
        <v>42002</v>
      </c>
      <c r="D548" s="2396">
        <v>51490</v>
      </c>
      <c r="E548" s="2397" t="s">
        <v>319</v>
      </c>
      <c r="F548" s="2440" t="s">
        <v>1214</v>
      </c>
      <c r="G548" s="2440" t="s">
        <v>1959</v>
      </c>
      <c r="H548" s="2466">
        <v>5750</v>
      </c>
      <c r="I548" s="2470">
        <v>-400</v>
      </c>
      <c r="J548" s="2466">
        <f t="shared" si="282"/>
        <v>5350</v>
      </c>
      <c r="K548" s="2468">
        <f t="shared" si="283"/>
        <v>-6.9565217391304349E-2</v>
      </c>
      <c r="M548" s="2467">
        <v>5350</v>
      </c>
      <c r="N548" s="2467">
        <v>5350</v>
      </c>
      <c r="P548" s="2469"/>
      <c r="R548" s="2466">
        <v>5350</v>
      </c>
      <c r="S548" s="2466">
        <v>5262.5</v>
      </c>
      <c r="U548" s="2466">
        <v>5350</v>
      </c>
      <c r="V548" s="2470">
        <v>0</v>
      </c>
      <c r="W548" s="2466">
        <f t="shared" si="284"/>
        <v>5350</v>
      </c>
      <c r="X548" s="2468">
        <f t="shared" si="285"/>
        <v>0</v>
      </c>
      <c r="Z548" s="2467">
        <v>5350</v>
      </c>
      <c r="AA548" s="2467">
        <v>5350</v>
      </c>
      <c r="AC548" s="2469"/>
      <c r="AE548" s="2466">
        <v>5350</v>
      </c>
      <c r="AF548" s="2471">
        <v>5262.5</v>
      </c>
      <c r="AH548" s="2466">
        <v>5350</v>
      </c>
      <c r="AI548" s="2470">
        <v>163</v>
      </c>
      <c r="AJ548" s="2466">
        <f t="shared" si="286"/>
        <v>5513</v>
      </c>
      <c r="AK548" s="2468">
        <f t="shared" si="287"/>
        <v>3.0467289719626169E-2</v>
      </c>
      <c r="AM548" s="2467">
        <v>5513</v>
      </c>
      <c r="AN548" s="2467">
        <v>5513</v>
      </c>
      <c r="AP548" s="2469" t="s">
        <v>1734</v>
      </c>
      <c r="AR548" s="2466">
        <v>5513</v>
      </c>
      <c r="AS548" s="2466">
        <v>5512.5</v>
      </c>
      <c r="AT548" s="2466"/>
      <c r="AU548" s="2466">
        <v>4350</v>
      </c>
      <c r="AV548" s="2466">
        <v>4350</v>
      </c>
      <c r="AX548" s="2466">
        <v>4350</v>
      </c>
      <c r="AY548" s="2470"/>
      <c r="AZ548" s="2466">
        <f t="shared" si="288"/>
        <v>4350</v>
      </c>
      <c r="BA548" s="2468">
        <f t="shared" si="289"/>
        <v>0</v>
      </c>
      <c r="BC548" s="2467">
        <v>4350</v>
      </c>
      <c r="BD548" s="2467">
        <v>4350</v>
      </c>
      <c r="BF548" s="2583"/>
      <c r="BH548" s="2467">
        <v>4350</v>
      </c>
      <c r="BI548" s="2466">
        <v>4000</v>
      </c>
      <c r="BM548" s="2466">
        <v>4350</v>
      </c>
      <c r="BN548" s="2470">
        <v>450</v>
      </c>
      <c r="BO548" s="2472">
        <f t="shared" si="290"/>
        <v>4800</v>
      </c>
      <c r="BP548" s="2473">
        <f t="shared" si="291"/>
        <v>0.10344827586206896</v>
      </c>
      <c r="BR548" s="2474">
        <v>4800</v>
      </c>
      <c r="BS548" s="2474">
        <v>4800</v>
      </c>
      <c r="BU548" s="2475" t="s">
        <v>1949</v>
      </c>
      <c r="BW548" s="2474">
        <v>4800</v>
      </c>
      <c r="BX548" s="2466">
        <v>2000</v>
      </c>
      <c r="BZ548" s="2474">
        <v>4800</v>
      </c>
      <c r="CA548" s="2660">
        <v>-2800</v>
      </c>
      <c r="CB548" s="2472">
        <f t="shared" si="292"/>
        <v>2000</v>
      </c>
      <c r="CC548" s="2473">
        <f t="shared" si="293"/>
        <v>-0.58333333333333337</v>
      </c>
      <c r="CE548" s="2474">
        <v>2000</v>
      </c>
      <c r="CF548" s="2476">
        <f t="shared" si="294"/>
        <v>0</v>
      </c>
      <c r="CG548" s="2474">
        <v>2000</v>
      </c>
      <c r="CH548" s="2449" t="s">
        <v>1217</v>
      </c>
      <c r="CI548" s="2449"/>
      <c r="CJ548" s="2450"/>
      <c r="CK548" s="2450"/>
      <c r="CO548" s="2477">
        <v>-8.0459770114942541E-2</v>
      </c>
      <c r="CP548" s="2478">
        <f t="shared" si="278"/>
        <v>-350</v>
      </c>
      <c r="CQ548" s="2478"/>
      <c r="CR548" s="2478"/>
      <c r="CS548" s="2478"/>
      <c r="CT548" s="2478"/>
    </row>
    <row r="549" spans="1:98" hidden="1" x14ac:dyDescent="0.2">
      <c r="A549" s="2395">
        <v>420</v>
      </c>
      <c r="B549" s="2440" t="s">
        <v>1214</v>
      </c>
      <c r="C549" s="2396">
        <v>42002</v>
      </c>
      <c r="D549" s="2396">
        <v>51920</v>
      </c>
      <c r="E549" s="2397" t="s">
        <v>319</v>
      </c>
      <c r="F549" s="2440" t="s">
        <v>1214</v>
      </c>
      <c r="G549" s="2440" t="s">
        <v>1960</v>
      </c>
      <c r="H549" s="2466">
        <v>5460</v>
      </c>
      <c r="I549" s="2470"/>
      <c r="J549" s="2466">
        <f>H549+I549</f>
        <v>5460</v>
      </c>
      <c r="K549" s="2468">
        <f>IF(H549=0," ",(J549-H549)/H549)</f>
        <v>0</v>
      </c>
      <c r="M549" s="2467">
        <v>5460</v>
      </c>
      <c r="N549" s="2467">
        <v>5460</v>
      </c>
      <c r="P549" s="2469"/>
      <c r="R549" s="2466">
        <v>5460</v>
      </c>
      <c r="S549" s="2466">
        <v>5460</v>
      </c>
      <c r="U549" s="2466">
        <v>5460</v>
      </c>
      <c r="V549" s="2470">
        <v>0</v>
      </c>
      <c r="W549" s="2466">
        <f>U549+V549</f>
        <v>5460</v>
      </c>
      <c r="X549" s="2468">
        <f>IF(U549=0," ",(W549-U549)/U549)</f>
        <v>0</v>
      </c>
      <c r="Z549" s="2467">
        <v>5460</v>
      </c>
      <c r="AA549" s="2467">
        <v>5460</v>
      </c>
      <c r="AC549" s="2469"/>
      <c r="AE549" s="2466">
        <v>5460</v>
      </c>
      <c r="AF549" s="2471">
        <v>5460</v>
      </c>
      <c r="AH549" s="2466">
        <v>5460</v>
      </c>
      <c r="AI549" s="2470"/>
      <c r="AJ549" s="2466">
        <f>AH549+AI549</f>
        <v>5460</v>
      </c>
      <c r="AK549" s="2468">
        <f>IF(AH549=0," ",(AJ549-AH549)/AH549)</f>
        <v>0</v>
      </c>
      <c r="AM549" s="2467">
        <v>5460</v>
      </c>
      <c r="AN549" s="2467">
        <v>5460</v>
      </c>
      <c r="AP549" s="2469"/>
      <c r="AR549" s="2466">
        <v>5460</v>
      </c>
      <c r="AS549" s="2466">
        <v>6060</v>
      </c>
      <c r="AT549" s="2466"/>
      <c r="AU549" s="2466">
        <v>5460</v>
      </c>
      <c r="AV549" s="2466">
        <v>5460</v>
      </c>
      <c r="AX549" s="2466">
        <v>5460</v>
      </c>
      <c r="AY549" s="2470"/>
      <c r="AZ549" s="2466">
        <f>AX549+AY549</f>
        <v>5460</v>
      </c>
      <c r="BA549" s="2468">
        <f>IF(AX549=0," ",(AZ549-AX549)/AX549)</f>
        <v>0</v>
      </c>
      <c r="BC549" s="2467">
        <v>5460</v>
      </c>
      <c r="BD549" s="2467">
        <v>5460</v>
      </c>
      <c r="BF549" s="2469"/>
      <c r="BH549" s="2467">
        <v>5460</v>
      </c>
      <c r="BI549" s="2466">
        <v>6370</v>
      </c>
      <c r="BM549" s="2466">
        <v>5460</v>
      </c>
      <c r="BN549" s="2470">
        <v>140</v>
      </c>
      <c r="BO549" s="2472">
        <f>BM549+BN549</f>
        <v>5600</v>
      </c>
      <c r="BP549" s="2473">
        <f>IF(BM549=0," ",(BO549-BM549)/BM549)</f>
        <v>2.564102564102564E-2</v>
      </c>
      <c r="BR549" s="2474">
        <v>5600</v>
      </c>
      <c r="BS549" s="2474">
        <v>5600</v>
      </c>
      <c r="BU549" s="2475" t="s">
        <v>1949</v>
      </c>
      <c r="BW549" s="2474">
        <v>5600</v>
      </c>
      <c r="BX549" s="2466">
        <v>5600</v>
      </c>
      <c r="BZ549" s="2474">
        <v>5600</v>
      </c>
      <c r="CA549" s="2660"/>
      <c r="CB549" s="2472">
        <f>BZ549+CA549</f>
        <v>5600</v>
      </c>
      <c r="CC549" s="2473">
        <f>IF(BZ549=0," ",(CB549-BZ549)/BZ549)</f>
        <v>0</v>
      </c>
      <c r="CE549" s="2474">
        <v>5600</v>
      </c>
      <c r="CF549" s="2476">
        <f t="shared" si="294"/>
        <v>0</v>
      </c>
      <c r="CG549" s="2474">
        <v>5600</v>
      </c>
      <c r="CH549" s="2449" t="s">
        <v>1217</v>
      </c>
      <c r="CI549" s="2449"/>
      <c r="CJ549" s="2450"/>
      <c r="CK549" s="2450"/>
      <c r="CO549" s="2477">
        <v>0.16666666666666674</v>
      </c>
      <c r="CP549" s="2478">
        <f t="shared" si="278"/>
        <v>910</v>
      </c>
      <c r="CQ549" s="2478"/>
      <c r="CR549" s="2478"/>
      <c r="CS549" s="2478"/>
      <c r="CT549" s="2478"/>
    </row>
    <row r="550" spans="1:98" hidden="1" x14ac:dyDescent="0.2">
      <c r="A550" s="2395">
        <v>420</v>
      </c>
      <c r="B550" s="2440" t="s">
        <v>1214</v>
      </c>
      <c r="C550" s="2396">
        <v>42002</v>
      </c>
      <c r="D550" s="2396">
        <v>51970</v>
      </c>
      <c r="E550" s="2397" t="s">
        <v>319</v>
      </c>
      <c r="F550" s="2440" t="s">
        <v>1214</v>
      </c>
      <c r="G550" s="2440" t="s">
        <v>1961</v>
      </c>
      <c r="H550" s="2466">
        <v>500</v>
      </c>
      <c r="I550" s="2470"/>
      <c r="J550" s="2466">
        <f>H550+I550</f>
        <v>500</v>
      </c>
      <c r="K550" s="2468">
        <f>IF(H550=0," ",(J550-H550)/H550)</f>
        <v>0</v>
      </c>
      <c r="M550" s="2467">
        <v>500</v>
      </c>
      <c r="N550" s="2467">
        <v>500</v>
      </c>
      <c r="P550" s="2469"/>
      <c r="R550" s="2466">
        <v>500</v>
      </c>
      <c r="S550" s="2466">
        <v>500</v>
      </c>
      <c r="U550" s="2466">
        <v>500</v>
      </c>
      <c r="V550" s="2470">
        <v>0</v>
      </c>
      <c r="W550" s="2466">
        <f>U550+V550</f>
        <v>500</v>
      </c>
      <c r="X550" s="2468">
        <f>IF(U550=0," ",(W550-U550)/U550)</f>
        <v>0</v>
      </c>
      <c r="Z550" s="2467">
        <v>500</v>
      </c>
      <c r="AA550" s="2467">
        <v>500</v>
      </c>
      <c r="AC550" s="2469"/>
      <c r="AE550" s="2466">
        <v>500</v>
      </c>
      <c r="AF550" s="2471">
        <v>410</v>
      </c>
      <c r="AH550" s="2466">
        <v>500</v>
      </c>
      <c r="AI550" s="2470"/>
      <c r="AJ550" s="2466">
        <f>AH550+AI550</f>
        <v>500</v>
      </c>
      <c r="AK550" s="2468">
        <f>IF(AH550=0," ",(AJ550-AH550)/AH550)</f>
        <v>0</v>
      </c>
      <c r="AM550" s="2467">
        <v>500</v>
      </c>
      <c r="AN550" s="2467">
        <v>500</v>
      </c>
      <c r="AP550" s="2469"/>
      <c r="AR550" s="2466">
        <v>500</v>
      </c>
      <c r="AS550" s="2466">
        <v>350</v>
      </c>
      <c r="AT550" s="2466"/>
      <c r="AU550" s="2466">
        <v>500</v>
      </c>
      <c r="AV550" s="2466">
        <v>470</v>
      </c>
      <c r="AX550" s="2466">
        <v>500</v>
      </c>
      <c r="AY550" s="2470"/>
      <c r="AZ550" s="2466">
        <f>AX550+AY550</f>
        <v>500</v>
      </c>
      <c r="BA550" s="2468">
        <f>IF(AX550=0," ",(AZ550-AX550)/AX550)</f>
        <v>0</v>
      </c>
      <c r="BC550" s="2467">
        <v>500</v>
      </c>
      <c r="BD550" s="2467">
        <v>500</v>
      </c>
      <c r="BF550" s="2469"/>
      <c r="BH550" s="2467">
        <v>500</v>
      </c>
      <c r="BI550" s="2466">
        <v>40</v>
      </c>
      <c r="BM550" s="2466">
        <v>500</v>
      </c>
      <c r="BN550" s="2661">
        <v>-500</v>
      </c>
      <c r="BO550" s="2472">
        <f>BM550+BN550</f>
        <v>0</v>
      </c>
      <c r="BP550" s="2473">
        <f>IF(BM550=0," ",(BO550-BM550)/BM550)</f>
        <v>-1</v>
      </c>
      <c r="BR550" s="2474">
        <v>0</v>
      </c>
      <c r="BS550" s="2474">
        <v>0</v>
      </c>
      <c r="BU550" s="2475" t="s">
        <v>1962</v>
      </c>
      <c r="BW550" s="2474">
        <v>0</v>
      </c>
      <c r="BZ550" s="2474">
        <v>0</v>
      </c>
      <c r="CA550" s="2660"/>
      <c r="CB550" s="2472">
        <f>BZ550+CA550</f>
        <v>0</v>
      </c>
      <c r="CC550" s="2473" t="str">
        <f>IF(BZ550=0," ",(CB550-BZ550)/BZ550)</f>
        <v xml:space="preserve"> </v>
      </c>
      <c r="CE550" s="2474">
        <v>0</v>
      </c>
      <c r="CF550" s="2476" t="str">
        <f t="shared" si="294"/>
        <v xml:space="preserve"> </v>
      </c>
      <c r="CG550" s="2474">
        <v>0</v>
      </c>
      <c r="CH550" s="2449" t="s">
        <v>1217</v>
      </c>
      <c r="CI550" s="2449"/>
      <c r="CJ550" s="2450"/>
      <c r="CK550" s="2450"/>
      <c r="CO550" s="2477">
        <v>-0.92</v>
      </c>
      <c r="CP550" s="2478">
        <f t="shared" si="278"/>
        <v>-460</v>
      </c>
      <c r="CQ550" s="2478"/>
      <c r="CR550" s="2478"/>
      <c r="CS550" s="2478"/>
      <c r="CT550" s="2478"/>
    </row>
    <row r="551" spans="1:98" hidden="1" x14ac:dyDescent="0.2">
      <c r="H551" s="2560">
        <f>SUM(H543:H550)</f>
        <v>303144</v>
      </c>
      <c r="I551" s="2560">
        <f>SUM(I543:I550)</f>
        <v>2050</v>
      </c>
      <c r="J551" s="2560">
        <f>SUM(J543:J550)</f>
        <v>305194</v>
      </c>
      <c r="K551" s="2561">
        <f>IF(H551=0," ",(J551-H551)/H551)</f>
        <v>6.7624627239859601E-3</v>
      </c>
      <c r="M551" s="2560">
        <f>SUM(M543:M550)</f>
        <v>305194</v>
      </c>
      <c r="N551" s="2560">
        <f>SUM(N543:N550)</f>
        <v>305194</v>
      </c>
      <c r="P551" s="2562">
        <f>SUM(P543:P550)</f>
        <v>0</v>
      </c>
      <c r="R551" s="2560">
        <f>SUM(R543:R550)</f>
        <v>305194</v>
      </c>
      <c r="S551" s="2560">
        <f>SUM(S543:S550)</f>
        <v>308316.86000000004</v>
      </c>
      <c r="U551" s="2560">
        <f>SUM(U543:U550)</f>
        <v>305194</v>
      </c>
      <c r="V551" s="2560">
        <f>SUM(V543:V550)</f>
        <v>889</v>
      </c>
      <c r="W551" s="2560">
        <f>SUM(W543:W550)</f>
        <v>306083</v>
      </c>
      <c r="X551" s="2561">
        <f>IF(U551=0," ",(W551-U551)/U551)</f>
        <v>2.9129013021225842E-3</v>
      </c>
      <c r="Z551" s="2560">
        <f>SUM(Z543:Z550)</f>
        <v>306083</v>
      </c>
      <c r="AA551" s="2560">
        <f>SUM(AA543:AA550)</f>
        <v>306083</v>
      </c>
      <c r="AC551" s="2562"/>
      <c r="AE551" s="2560">
        <f>SUM(AE543:AE550)</f>
        <v>306083</v>
      </c>
      <c r="AF551" s="2563">
        <f>SUM(AF543:AF550)</f>
        <v>313438.55</v>
      </c>
      <c r="AH551" s="2560">
        <f>SUM(AH543:AH550)</f>
        <v>306083</v>
      </c>
      <c r="AI551" s="2560">
        <f>SUM(AI543:AI550)</f>
        <v>23389</v>
      </c>
      <c r="AJ551" s="2560">
        <f>SUM(AJ543:AJ550)</f>
        <v>329472</v>
      </c>
      <c r="AK551" s="2561">
        <f>IF(AH551=0," ",(AJ551-AH551)/AH551)</f>
        <v>7.6413913873034436E-2</v>
      </c>
      <c r="AM551" s="2560">
        <f>SUM(AM543:AM550)</f>
        <v>329472</v>
      </c>
      <c r="AN551" s="2560">
        <f>SUM(AN543:AN550)</f>
        <v>329472</v>
      </c>
      <c r="AP551" s="2562"/>
      <c r="AR551" s="2560">
        <f>SUM(AR543:AR550)</f>
        <v>329472</v>
      </c>
      <c r="AS551" s="2560">
        <f>SUM(AS543:AS550)</f>
        <v>298505.76999999996</v>
      </c>
      <c r="AT551" s="2560"/>
      <c r="AU551" s="2560">
        <f>SUM(AU543:AU550)</f>
        <v>328766</v>
      </c>
      <c r="AV551" s="2560">
        <f>SUM(AV543:AV550)</f>
        <v>310895.41000000003</v>
      </c>
      <c r="AX551" s="2560">
        <f>SUM(AX543:AX550)</f>
        <v>328766</v>
      </c>
      <c r="AY551" s="2560">
        <f>SUM(AY543:AY550)</f>
        <v>2276</v>
      </c>
      <c r="AZ551" s="2560">
        <f>SUM(AZ543:AZ550)</f>
        <v>331042</v>
      </c>
      <c r="BA551" s="2561">
        <f>IF(AX551=0," ",(AZ551-AX551)/AX551)</f>
        <v>6.9228569864280371E-3</v>
      </c>
      <c r="BC551" s="2560">
        <f>SUM(BC543:BC550)</f>
        <v>331042</v>
      </c>
      <c r="BD551" s="2560">
        <f>SUM(BD543:BD550)</f>
        <v>331042</v>
      </c>
      <c r="BF551" s="2562"/>
      <c r="BH551" s="2560">
        <f>SUM(BH543:BH550)</f>
        <v>331042</v>
      </c>
      <c r="BI551" s="2560">
        <f>SUM(BI543:BI550)</f>
        <v>332702.8</v>
      </c>
      <c r="BM551" s="2560">
        <f>SUM(BM543:BM550)</f>
        <v>331042</v>
      </c>
      <c r="BN551" s="2560">
        <f>SUM(BN543:BN550)</f>
        <v>13748</v>
      </c>
      <c r="BO551" s="2564">
        <f>SUM(BO543:BO550)</f>
        <v>344790</v>
      </c>
      <c r="BP551" s="2565">
        <f>IF(BM551=0," ",(BO551-BM551)/BM551)</f>
        <v>4.1529473601536963E-2</v>
      </c>
      <c r="BR551" s="2564">
        <f>SUM(BR543:BR550)</f>
        <v>344790</v>
      </c>
      <c r="BS551" s="2564">
        <f>SUM(BS543:BS550)</f>
        <v>344790</v>
      </c>
      <c r="BU551" s="2566"/>
      <c r="BW551" s="2564">
        <f>SUM(BW543:BW550)</f>
        <v>344790</v>
      </c>
      <c r="BX551" s="2560">
        <f>SUM(BX543:BX550)</f>
        <v>166182.40000000002</v>
      </c>
      <c r="BZ551" s="2564">
        <f>SUM(BZ543:BZ550)</f>
        <v>344790</v>
      </c>
      <c r="CA551" s="2564">
        <f>SUM(CA543:CA550)</f>
        <v>-3926</v>
      </c>
      <c r="CB551" s="2564">
        <f>SUM(CB543:CB550)</f>
        <v>340864</v>
      </c>
      <c r="CC551" s="2565">
        <f>IF(BZ551=0," ",(CB551-BZ551)/BZ551)</f>
        <v>-1.1386641143884683E-2</v>
      </c>
      <c r="CE551" s="2564">
        <f>SUM(CE543:CE550)</f>
        <v>341338</v>
      </c>
      <c r="CF551" s="2565">
        <f t="shared" si="294"/>
        <v>1.3905839279008637E-3</v>
      </c>
      <c r="CG551" s="2564">
        <f>SUM(CG543:CG550)</f>
        <v>341338</v>
      </c>
      <c r="CH551" s="2449" t="s">
        <v>1243</v>
      </c>
      <c r="CI551" s="2449"/>
      <c r="CJ551" s="2450"/>
      <c r="CK551" s="2450"/>
      <c r="CO551" s="2477">
        <v>5.0168860748787125E-3</v>
      </c>
      <c r="CP551" s="2478">
        <f t="shared" si="278"/>
        <v>1660.7999999999884</v>
      </c>
      <c r="CQ551" s="2478"/>
      <c r="CR551" s="2478"/>
      <c r="CS551" s="2478"/>
      <c r="CT551" s="2478"/>
    </row>
    <row r="552" spans="1:98" hidden="1" x14ac:dyDescent="0.2">
      <c r="AS552" s="2466"/>
      <c r="AT552" s="2466"/>
      <c r="BZ552" s="2472"/>
      <c r="CH552" s="2449" t="s">
        <v>1091</v>
      </c>
      <c r="CI552" s="2449"/>
      <c r="CJ552" s="2450"/>
      <c r="CK552" s="2450"/>
      <c r="CP552" s="2478">
        <f t="shared" si="278"/>
        <v>0</v>
      </c>
      <c r="CQ552" s="2478"/>
      <c r="CR552" s="2478"/>
      <c r="CS552" s="2478"/>
      <c r="CT552" s="2478"/>
    </row>
    <row r="553" spans="1:98" s="2485" customFormat="1" hidden="1" x14ac:dyDescent="0.2">
      <c r="A553" s="2532"/>
      <c r="B553" s="2533"/>
      <c r="C553" s="2534"/>
      <c r="D553" s="2534"/>
      <c r="E553" s="2535"/>
      <c r="F553" s="2533"/>
      <c r="G553" s="2654" t="s">
        <v>1963</v>
      </c>
      <c r="H553" s="2536">
        <f>H541+H551</f>
        <v>400044</v>
      </c>
      <c r="I553" s="2536">
        <f>I541+I551</f>
        <v>6033</v>
      </c>
      <c r="J553" s="2536">
        <f>J541+J551</f>
        <v>406077</v>
      </c>
      <c r="K553" s="2484">
        <f>IF(H553=0," ",(J553-H553)/H553)</f>
        <v>1.5080841107478177E-2</v>
      </c>
      <c r="M553" s="2536">
        <f>M541+M551</f>
        <v>406077</v>
      </c>
      <c r="N553" s="2536">
        <f>N541+N551</f>
        <v>406077</v>
      </c>
      <c r="P553" s="2537">
        <f>P541+P551</f>
        <v>0</v>
      </c>
      <c r="R553" s="2536">
        <f>R541+R551</f>
        <v>406077</v>
      </c>
      <c r="S553" s="2536">
        <f>S541+S551</f>
        <v>409199.66000000003</v>
      </c>
      <c r="U553" s="2536">
        <f>U541+U551</f>
        <v>406077</v>
      </c>
      <c r="V553" s="2536">
        <f>V541+V551</f>
        <v>5652</v>
      </c>
      <c r="W553" s="2536">
        <f>W541+W551</f>
        <v>411729</v>
      </c>
      <c r="X553" s="2484">
        <f>IF(U553=0," ",(W553-U553)/U553)</f>
        <v>1.3918542542424221E-2</v>
      </c>
      <c r="Z553" s="2536">
        <f>Z541+Z551</f>
        <v>411729</v>
      </c>
      <c r="AA553" s="2536">
        <f>AA541+AA551</f>
        <v>411729</v>
      </c>
      <c r="AC553" s="2537"/>
      <c r="AE553" s="2536">
        <f>AE541+AE551</f>
        <v>411729</v>
      </c>
      <c r="AF553" s="2538">
        <f>AF541+AF551</f>
        <v>419084.55</v>
      </c>
      <c r="AH553" s="2536">
        <v>405769</v>
      </c>
      <c r="AI553" s="2536">
        <f>AI541+AI551</f>
        <v>29240</v>
      </c>
      <c r="AJ553" s="2536">
        <f>AJ541+AJ551</f>
        <v>440969</v>
      </c>
      <c r="AK553" s="2484">
        <f>IF(AH553=0," ",(AJ553-AH553)/AH553)</f>
        <v>8.6748864501723894E-2</v>
      </c>
      <c r="AM553" s="2536">
        <f>AM541+AM551</f>
        <v>440969</v>
      </c>
      <c r="AN553" s="2536">
        <f>AN541+AN551</f>
        <v>440969</v>
      </c>
      <c r="AP553" s="2537"/>
      <c r="AR553" s="2536">
        <f>AR541+AR551</f>
        <v>440969</v>
      </c>
      <c r="AS553" s="2536">
        <f>AS541+AS551</f>
        <v>400559.76999999996</v>
      </c>
      <c r="AT553" s="2536"/>
      <c r="AU553" s="2536">
        <f>AU541+AU551</f>
        <v>423391</v>
      </c>
      <c r="AV553" s="2536">
        <f>AV541+AV551</f>
        <v>391262.65</v>
      </c>
      <c r="AX553" s="2536">
        <f>AX541+AX551</f>
        <v>423391</v>
      </c>
      <c r="AY553" s="2536">
        <f>AY541+AY551</f>
        <v>-25503</v>
      </c>
      <c r="AZ553" s="2536">
        <f>AZ541+AZ551</f>
        <v>397888</v>
      </c>
      <c r="BA553" s="2484">
        <f>IF(AX553=0," ",(AZ553-AX553)/AX553)</f>
        <v>-6.0235101832585007E-2</v>
      </c>
      <c r="BC553" s="2536">
        <f>BC541+BC551</f>
        <v>397888</v>
      </c>
      <c r="BD553" s="2536">
        <f>BD541+BD551</f>
        <v>397888</v>
      </c>
      <c r="BF553" s="2537"/>
      <c r="BH553" s="2536">
        <f>BH541+BH551</f>
        <v>397888</v>
      </c>
      <c r="BI553" s="2536">
        <f>BI541+BI551</f>
        <v>398808.68</v>
      </c>
      <c r="BJ553" s="2536"/>
      <c r="BK553" s="2536"/>
      <c r="BM553" s="2536">
        <f>BM541+BM551</f>
        <v>397888</v>
      </c>
      <c r="BN553" s="2539">
        <f>BN541+BN551</f>
        <v>13858</v>
      </c>
      <c r="BO553" s="2540">
        <f>BO541+BO551</f>
        <v>411746</v>
      </c>
      <c r="BP553" s="2490">
        <f>IF(BM553=0," ",(BO553-BM553)/BM553)</f>
        <v>3.4828896573910244E-2</v>
      </c>
      <c r="BQ553" s="2491"/>
      <c r="BR553" s="2540">
        <f>BR541+BR551</f>
        <v>411746</v>
      </c>
      <c r="BS553" s="2540">
        <f>BS541+BS551</f>
        <v>411746</v>
      </c>
      <c r="BT553" s="2491"/>
      <c r="BU553" s="2541"/>
      <c r="BV553" s="2491"/>
      <c r="BW553" s="2540">
        <f>BW541+BW551</f>
        <v>411746</v>
      </c>
      <c r="BX553" s="2536">
        <f>BX541+BX551</f>
        <v>198847.40000000002</v>
      </c>
      <c r="BZ553" s="2540">
        <f>BZ541+BZ551</f>
        <v>411746</v>
      </c>
      <c r="CA553" s="2540">
        <f>CA541+CA551</f>
        <v>-4138</v>
      </c>
      <c r="CB553" s="2540">
        <f>CB541+CB551</f>
        <v>407608</v>
      </c>
      <c r="CC553" s="2490">
        <f>IF(BZ553=0," ",(CB553-BZ553)/BZ553)</f>
        <v>-1.0049885123352746E-2</v>
      </c>
      <c r="CD553" s="2491"/>
      <c r="CE553" s="2540">
        <f>CE541+CE551</f>
        <v>411265</v>
      </c>
      <c r="CF553" s="2490">
        <f>IF(CB553=0," ",(CE553-CB553)/CB553)</f>
        <v>8.9718553119663997E-3</v>
      </c>
      <c r="CG553" s="2540">
        <f>CG541+CG551</f>
        <v>411265</v>
      </c>
      <c r="CH553" s="2449" t="s">
        <v>1220</v>
      </c>
      <c r="CI553" s="2449"/>
      <c r="CJ553" s="2450"/>
      <c r="CK553" s="2450"/>
      <c r="CL553" s="2451"/>
      <c r="CM553" s="2451"/>
      <c r="CN553" s="2451"/>
      <c r="CO553" s="2477">
        <v>2.3139174843171961E-3</v>
      </c>
      <c r="CP553" s="2478">
        <f t="shared" si="278"/>
        <v>920.67999999999302</v>
      </c>
      <c r="CQ553" s="2478"/>
      <c r="CR553" s="2478"/>
      <c r="CS553" s="2478"/>
      <c r="CT553" s="2478"/>
    </row>
    <row r="554" spans="1:98" hidden="1" x14ac:dyDescent="0.2">
      <c r="AS554" s="2466"/>
      <c r="AT554" s="2466"/>
      <c r="BZ554" s="2472"/>
      <c r="CH554" s="2449" t="s">
        <v>1091</v>
      </c>
      <c r="CI554" s="2449"/>
      <c r="CJ554" s="2450"/>
      <c r="CK554" s="2450"/>
      <c r="CP554" s="2478">
        <f t="shared" si="278"/>
        <v>0</v>
      </c>
      <c r="CQ554" s="2478"/>
      <c r="CR554" s="2478"/>
      <c r="CS554" s="2478"/>
      <c r="CT554" s="2478"/>
    </row>
    <row r="555" spans="1:98" hidden="1" x14ac:dyDescent="0.2">
      <c r="A555" s="2395">
        <v>420</v>
      </c>
      <c r="B555" s="2440" t="s">
        <v>1214</v>
      </c>
      <c r="C555" s="2396">
        <v>42005</v>
      </c>
      <c r="D555" s="2396">
        <v>52100</v>
      </c>
      <c r="E555" s="2397" t="s">
        <v>1268</v>
      </c>
      <c r="F555" s="2440" t="s">
        <v>1214</v>
      </c>
      <c r="G555" s="2440" t="s">
        <v>1964</v>
      </c>
      <c r="H555" s="2466">
        <v>6180</v>
      </c>
      <c r="I555" s="2470"/>
      <c r="J555" s="2466">
        <f t="shared" ref="J555:J592" si="295">H555+I555</f>
        <v>6180</v>
      </c>
      <c r="K555" s="2468">
        <f t="shared" ref="K555:K592" si="296">IF(H555=0," ",(J555-H555)/H555)</f>
        <v>0</v>
      </c>
      <c r="M555" s="2467">
        <v>6180</v>
      </c>
      <c r="N555" s="2467">
        <v>6180</v>
      </c>
      <c r="P555" s="2469"/>
      <c r="R555" s="2466">
        <v>6180</v>
      </c>
      <c r="S555" s="2466">
        <v>5907.44</v>
      </c>
      <c r="U555" s="2466">
        <v>6180</v>
      </c>
      <c r="V555" s="2470">
        <v>0</v>
      </c>
      <c r="W555" s="2466">
        <f t="shared" ref="W555:W592" si="297">U555+V555</f>
        <v>6180</v>
      </c>
      <c r="X555" s="2468">
        <f t="shared" ref="X555:X592" si="298">IF(U555=0," ",(W555-U555)/U555)</f>
        <v>0</v>
      </c>
      <c r="Z555" s="2467">
        <v>6180</v>
      </c>
      <c r="AA555" s="2467">
        <v>6180</v>
      </c>
      <c r="AC555" s="2469"/>
      <c r="AE555" s="2466">
        <v>6180</v>
      </c>
      <c r="AF555" s="2471">
        <v>5448.84</v>
      </c>
      <c r="AH555" s="2466">
        <v>6180</v>
      </c>
      <c r="AI555" s="2470"/>
      <c r="AJ555" s="2466">
        <f t="shared" ref="AJ555:AJ592" si="299">AH555+AI555</f>
        <v>6180</v>
      </c>
      <c r="AK555" s="2468">
        <f t="shared" ref="AK555:AK592" si="300">IF(AH555=0," ",(AJ555-AH555)/AH555)</f>
        <v>0</v>
      </c>
      <c r="AM555" s="2467">
        <v>6180</v>
      </c>
      <c r="AN555" s="2467">
        <v>6180</v>
      </c>
      <c r="AP555" s="2469"/>
      <c r="AR555" s="2466">
        <v>6180</v>
      </c>
      <c r="AS555" s="2466">
        <v>5500.47</v>
      </c>
      <c r="AT555" s="2466"/>
      <c r="AU555" s="2466">
        <v>6180</v>
      </c>
      <c r="AV555" s="2466">
        <v>7010.14</v>
      </c>
      <c r="AX555" s="2466">
        <v>6180</v>
      </c>
      <c r="AY555" s="2470"/>
      <c r="AZ555" s="2466">
        <f t="shared" ref="AZ555:AZ592" si="301">AX555+AY555</f>
        <v>6180</v>
      </c>
      <c r="BA555" s="2468">
        <f t="shared" ref="BA555:BA592" si="302">IF(AX555=0," ",(AZ555-AX555)/AX555)</f>
        <v>0</v>
      </c>
      <c r="BC555" s="2467">
        <v>6180</v>
      </c>
      <c r="BD555" s="2467">
        <v>6180</v>
      </c>
      <c r="BF555" s="2469"/>
      <c r="BH555" s="2467">
        <v>6180</v>
      </c>
      <c r="BI555" s="2466">
        <v>7478.27</v>
      </c>
      <c r="BM555" s="2466">
        <v>6180</v>
      </c>
      <c r="BN555" s="2470"/>
      <c r="BO555" s="2472">
        <f t="shared" ref="BO555:BO592" si="303">BM555+BN555</f>
        <v>6180</v>
      </c>
      <c r="BP555" s="2473">
        <f t="shared" ref="BP555:BP590" si="304">IF(BM555=0," ",(BO555-BM555)/BM555)</f>
        <v>0</v>
      </c>
      <c r="BR555" s="2474">
        <v>6180</v>
      </c>
      <c r="BS555" s="2474">
        <v>6180</v>
      </c>
      <c r="BU555" s="2475"/>
      <c r="BW555" s="2474">
        <v>6180</v>
      </c>
      <c r="BX555" s="2466">
        <v>2473.5</v>
      </c>
      <c r="BZ555" s="2474">
        <v>6180</v>
      </c>
      <c r="CA555" s="2470">
        <v>618</v>
      </c>
      <c r="CB555" s="2472">
        <f t="shared" ref="CB555:CB592" si="305">BZ555+CA555</f>
        <v>6798</v>
      </c>
      <c r="CC555" s="2473">
        <f t="shared" ref="CC555:CC565" si="306">IF(BZ555=0," ",(CB555-BZ555)/BZ555)</f>
        <v>0.1</v>
      </c>
      <c r="CE555" s="2474">
        <v>6798</v>
      </c>
      <c r="CF555" s="2476">
        <f t="shared" ref="CF555:CF565" si="307">IF(CB555=0," ",(CE555-CB555)/CB555)</f>
        <v>0</v>
      </c>
      <c r="CG555" s="2474">
        <v>6798</v>
      </c>
      <c r="CH555" s="2449" t="s">
        <v>1217</v>
      </c>
      <c r="CI555" s="2449"/>
      <c r="CJ555" s="2450"/>
      <c r="CK555" s="2450"/>
      <c r="CO555" s="2477">
        <v>0.21007605177993538</v>
      </c>
      <c r="CP555" s="2478">
        <f t="shared" si="278"/>
        <v>1298.2700000000004</v>
      </c>
      <c r="CQ555" s="2478"/>
      <c r="CR555" s="2478"/>
      <c r="CS555" s="2478"/>
      <c r="CT555" s="2478"/>
    </row>
    <row r="556" spans="1:98" hidden="1" x14ac:dyDescent="0.2">
      <c r="A556" s="2395">
        <v>420</v>
      </c>
      <c r="B556" s="2440" t="s">
        <v>1214</v>
      </c>
      <c r="C556" s="2396">
        <v>42005</v>
      </c>
      <c r="D556" s="2396">
        <v>52200</v>
      </c>
      <c r="E556" s="2397" t="s">
        <v>1268</v>
      </c>
      <c r="F556" s="2440" t="s">
        <v>1214</v>
      </c>
      <c r="G556" s="2440" t="s">
        <v>1965</v>
      </c>
      <c r="H556" s="2466">
        <v>4000</v>
      </c>
      <c r="I556" s="2470"/>
      <c r="J556" s="2466">
        <f t="shared" si="295"/>
        <v>4000</v>
      </c>
      <c r="K556" s="2468">
        <f t="shared" si="296"/>
        <v>0</v>
      </c>
      <c r="M556" s="2467">
        <v>4000</v>
      </c>
      <c r="N556" s="2467">
        <v>4000</v>
      </c>
      <c r="P556" s="2469"/>
      <c r="R556" s="2466">
        <v>4000</v>
      </c>
      <c r="S556" s="2466">
        <v>4038.66</v>
      </c>
      <c r="U556" s="2466">
        <v>4000</v>
      </c>
      <c r="V556" s="2470">
        <v>0</v>
      </c>
      <c r="W556" s="2466">
        <f t="shared" si="297"/>
        <v>4000</v>
      </c>
      <c r="X556" s="2468">
        <f t="shared" si="298"/>
        <v>0</v>
      </c>
      <c r="Z556" s="2467">
        <v>4000</v>
      </c>
      <c r="AA556" s="2467">
        <v>4000</v>
      </c>
      <c r="AC556" s="2469"/>
      <c r="AE556" s="2466">
        <v>4000</v>
      </c>
      <c r="AF556" s="2471">
        <v>4459.67</v>
      </c>
      <c r="AH556" s="2466">
        <v>4000</v>
      </c>
      <c r="AI556" s="2470"/>
      <c r="AJ556" s="2466">
        <f t="shared" si="299"/>
        <v>4000</v>
      </c>
      <c r="AK556" s="2468">
        <f t="shared" si="300"/>
        <v>0</v>
      </c>
      <c r="AM556" s="2467">
        <v>4000</v>
      </c>
      <c r="AN556" s="2467">
        <v>4000</v>
      </c>
      <c r="AP556" s="2469"/>
      <c r="AR556" s="2466">
        <v>4000</v>
      </c>
      <c r="AS556" s="2466">
        <v>3470.36</v>
      </c>
      <c r="AT556" s="2466"/>
      <c r="AU556" s="2466">
        <v>4000</v>
      </c>
      <c r="AV556" s="2466">
        <v>3928.81</v>
      </c>
      <c r="AX556" s="2466">
        <v>4000</v>
      </c>
      <c r="AY556" s="2470"/>
      <c r="AZ556" s="2466">
        <f t="shared" si="301"/>
        <v>4000</v>
      </c>
      <c r="BA556" s="2468">
        <f t="shared" si="302"/>
        <v>0</v>
      </c>
      <c r="BC556" s="2467">
        <v>4000</v>
      </c>
      <c r="BD556" s="2467">
        <v>4000</v>
      </c>
      <c r="BF556" s="2469"/>
      <c r="BH556" s="2467">
        <v>4000</v>
      </c>
      <c r="BI556" s="2466">
        <v>3428.39</v>
      </c>
      <c r="BM556" s="2466">
        <v>4000</v>
      </c>
      <c r="BN556" s="2470"/>
      <c r="BO556" s="2472">
        <f t="shared" si="303"/>
        <v>4000</v>
      </c>
      <c r="BP556" s="2473">
        <f t="shared" si="304"/>
        <v>0</v>
      </c>
      <c r="BR556" s="2474">
        <v>4000</v>
      </c>
      <c r="BS556" s="2474">
        <v>4000</v>
      </c>
      <c r="BU556" s="2475"/>
      <c r="BW556" s="2474">
        <v>4000</v>
      </c>
      <c r="BX556" s="2466">
        <v>344.92</v>
      </c>
      <c r="BZ556" s="2474">
        <v>4000</v>
      </c>
      <c r="CA556" s="2470">
        <v>400</v>
      </c>
      <c r="CB556" s="2472">
        <f t="shared" si="305"/>
        <v>4400</v>
      </c>
      <c r="CC556" s="2473">
        <f t="shared" si="306"/>
        <v>0.1</v>
      </c>
      <c r="CE556" s="2474">
        <v>4400</v>
      </c>
      <c r="CF556" s="2476">
        <f t="shared" si="307"/>
        <v>0</v>
      </c>
      <c r="CG556" s="2474">
        <v>4400</v>
      </c>
      <c r="CH556" s="2449" t="s">
        <v>1217</v>
      </c>
      <c r="CI556" s="2449"/>
      <c r="CJ556" s="2450"/>
      <c r="CK556" s="2450"/>
      <c r="CO556" s="2477">
        <v>-0.14290250000000004</v>
      </c>
      <c r="CP556" s="2478">
        <f t="shared" si="278"/>
        <v>-571.61000000000013</v>
      </c>
      <c r="CQ556" s="2478"/>
      <c r="CR556" s="2478"/>
      <c r="CS556" s="2478"/>
      <c r="CT556" s="2478"/>
    </row>
    <row r="557" spans="1:98" hidden="1" x14ac:dyDescent="0.2">
      <c r="A557" s="2395">
        <v>420</v>
      </c>
      <c r="B557" s="2440" t="s">
        <v>1214</v>
      </c>
      <c r="C557" s="2396">
        <v>42005</v>
      </c>
      <c r="D557" s="2396">
        <v>52400</v>
      </c>
      <c r="E557" s="2397" t="s">
        <v>1268</v>
      </c>
      <c r="F557" s="2440" t="s">
        <v>1214</v>
      </c>
      <c r="G557" s="2440" t="s">
        <v>1966</v>
      </c>
      <c r="H557" s="2466">
        <v>5000</v>
      </c>
      <c r="I557" s="2470">
        <v>100</v>
      </c>
      <c r="J557" s="2466">
        <f t="shared" si="295"/>
        <v>5100</v>
      </c>
      <c r="K557" s="2468">
        <f t="shared" si="296"/>
        <v>0.02</v>
      </c>
      <c r="M557" s="2467">
        <v>5100</v>
      </c>
      <c r="N557" s="2467">
        <v>5100</v>
      </c>
      <c r="P557" s="2469"/>
      <c r="R557" s="2466">
        <v>5100</v>
      </c>
      <c r="S557" s="2466">
        <v>7822</v>
      </c>
      <c r="U557" s="2466">
        <v>5100</v>
      </c>
      <c r="V557" s="2470">
        <v>0</v>
      </c>
      <c r="W557" s="2466">
        <f t="shared" si="297"/>
        <v>5100</v>
      </c>
      <c r="X557" s="2468">
        <f t="shared" si="298"/>
        <v>0</v>
      </c>
      <c r="Z557" s="2467">
        <v>5100</v>
      </c>
      <c r="AA557" s="2467">
        <v>5100</v>
      </c>
      <c r="AC557" s="2469"/>
      <c r="AE557" s="2466">
        <v>5100</v>
      </c>
      <c r="AF557" s="2471">
        <v>7249.3</v>
      </c>
      <c r="AH557" s="2466">
        <v>5100</v>
      </c>
      <c r="AI557" s="2470"/>
      <c r="AJ557" s="2466">
        <f t="shared" si="299"/>
        <v>5100</v>
      </c>
      <c r="AK557" s="2468">
        <f t="shared" si="300"/>
        <v>0</v>
      </c>
      <c r="AM557" s="2467">
        <v>5100</v>
      </c>
      <c r="AN557" s="2467">
        <v>5100</v>
      </c>
      <c r="AP557" s="2469"/>
      <c r="AR557" s="2466">
        <v>5100</v>
      </c>
      <c r="AS557" s="2466">
        <v>9163.5400000000009</v>
      </c>
      <c r="AT557" s="2466"/>
      <c r="AU557" s="2466">
        <v>5100</v>
      </c>
      <c r="AV557" s="2466">
        <v>5803.54</v>
      </c>
      <c r="AX557" s="2466">
        <v>5100</v>
      </c>
      <c r="AY557" s="2542">
        <v>1500</v>
      </c>
      <c r="AZ557" s="2466">
        <f t="shared" si="301"/>
        <v>6600</v>
      </c>
      <c r="BA557" s="2468">
        <f t="shared" si="302"/>
        <v>0.29411764705882354</v>
      </c>
      <c r="BC557" s="2467">
        <v>6600</v>
      </c>
      <c r="BD557" s="2467">
        <v>6600</v>
      </c>
      <c r="BF557" s="2543" t="s">
        <v>1273</v>
      </c>
      <c r="BH557" s="2467">
        <v>6600</v>
      </c>
      <c r="BI557" s="2466">
        <v>12426.85</v>
      </c>
      <c r="BM557" s="2466">
        <v>6600</v>
      </c>
      <c r="BN557" s="2470"/>
      <c r="BO557" s="2472">
        <f t="shared" si="303"/>
        <v>6600</v>
      </c>
      <c r="BP557" s="2473">
        <f t="shared" si="304"/>
        <v>0</v>
      </c>
      <c r="BR557" s="2474">
        <v>6600</v>
      </c>
      <c r="BS557" s="2474">
        <v>6600</v>
      </c>
      <c r="BU557" s="2544"/>
      <c r="BW557" s="2474">
        <v>6600</v>
      </c>
      <c r="BX557" s="2466">
        <v>3601.82</v>
      </c>
      <c r="BZ557" s="2474">
        <v>6600</v>
      </c>
      <c r="CA557" s="2470"/>
      <c r="CB557" s="2472">
        <f t="shared" si="305"/>
        <v>6600</v>
      </c>
      <c r="CC557" s="2473">
        <f t="shared" si="306"/>
        <v>0</v>
      </c>
      <c r="CE557" s="2474">
        <v>6600</v>
      </c>
      <c r="CF557" s="2476">
        <f t="shared" si="307"/>
        <v>0</v>
      </c>
      <c r="CG557" s="2474">
        <v>6600</v>
      </c>
      <c r="CH557" s="2449" t="s">
        <v>1217</v>
      </c>
      <c r="CI557" s="2449"/>
      <c r="CJ557" s="2450"/>
      <c r="CK557" s="2450"/>
      <c r="CO557" s="2477">
        <v>0.8828560606060607</v>
      </c>
      <c r="CP557" s="2478">
        <f t="shared" si="278"/>
        <v>5826.85</v>
      </c>
      <c r="CQ557" s="2478"/>
      <c r="CR557" s="2478"/>
      <c r="CS557" s="2478"/>
      <c r="CT557" s="2478"/>
    </row>
    <row r="558" spans="1:98" hidden="1" x14ac:dyDescent="0.2">
      <c r="A558" s="2395">
        <v>420</v>
      </c>
      <c r="B558" s="2440" t="s">
        <v>1214</v>
      </c>
      <c r="C558" s="2396">
        <v>42005</v>
      </c>
      <c r="D558" s="2396">
        <v>52460</v>
      </c>
      <c r="E558" s="2397" t="s">
        <v>1268</v>
      </c>
      <c r="F558" s="2440" t="s">
        <v>1214</v>
      </c>
      <c r="G558" s="2440" t="s">
        <v>1967</v>
      </c>
      <c r="H558" s="2466">
        <v>6180</v>
      </c>
      <c r="I558" s="2470"/>
      <c r="J558" s="2466">
        <f t="shared" si="295"/>
        <v>6180</v>
      </c>
      <c r="K558" s="2468">
        <f t="shared" si="296"/>
        <v>0</v>
      </c>
      <c r="M558" s="2467">
        <v>6180</v>
      </c>
      <c r="N558" s="2467">
        <v>6180</v>
      </c>
      <c r="P558" s="2469"/>
      <c r="R558" s="2466">
        <v>6180</v>
      </c>
      <c r="S558" s="2466">
        <v>5996.54</v>
      </c>
      <c r="U558" s="2466">
        <v>6180</v>
      </c>
      <c r="V558" s="2470">
        <v>0</v>
      </c>
      <c r="W558" s="2466">
        <f t="shared" si="297"/>
        <v>6180</v>
      </c>
      <c r="X558" s="2468">
        <f t="shared" si="298"/>
        <v>0</v>
      </c>
      <c r="Z558" s="2467">
        <v>6180</v>
      </c>
      <c r="AA558" s="2467">
        <v>6180</v>
      </c>
      <c r="AC558" s="2469"/>
      <c r="AE558" s="2466">
        <v>6180</v>
      </c>
      <c r="AF558" s="2471">
        <v>8702.83</v>
      </c>
      <c r="AH558" s="2466">
        <v>6180</v>
      </c>
      <c r="AI558" s="2470"/>
      <c r="AJ558" s="2466">
        <f t="shared" si="299"/>
        <v>6180</v>
      </c>
      <c r="AK558" s="2468">
        <f t="shared" si="300"/>
        <v>0</v>
      </c>
      <c r="AM558" s="2467">
        <v>6180</v>
      </c>
      <c r="AN558" s="2467">
        <v>6180</v>
      </c>
      <c r="AP558" s="2469"/>
      <c r="AR558" s="2466">
        <v>6180</v>
      </c>
      <c r="AS558" s="2466">
        <v>5361.22</v>
      </c>
      <c r="AT558" s="2466"/>
      <c r="AU558" s="2466">
        <v>6180</v>
      </c>
      <c r="AV558" s="2466">
        <v>18650.52</v>
      </c>
      <c r="AX558" s="2466">
        <v>6180</v>
      </c>
      <c r="AY558" s="2542">
        <v>3315</v>
      </c>
      <c r="AZ558" s="2466">
        <f t="shared" si="301"/>
        <v>9495</v>
      </c>
      <c r="BA558" s="2468">
        <f t="shared" si="302"/>
        <v>0.53640776699029125</v>
      </c>
      <c r="BC558" s="2467">
        <v>9495</v>
      </c>
      <c r="BD558" s="2467">
        <v>9495</v>
      </c>
      <c r="BF558" s="2543" t="s">
        <v>1273</v>
      </c>
      <c r="BH558" s="2467">
        <v>9495</v>
      </c>
      <c r="BI558" s="2466">
        <v>11700.08</v>
      </c>
      <c r="BM558" s="2466">
        <v>9495</v>
      </c>
      <c r="BN558" s="2470"/>
      <c r="BO558" s="2472">
        <f t="shared" si="303"/>
        <v>9495</v>
      </c>
      <c r="BP558" s="2473">
        <f t="shared" si="304"/>
        <v>0</v>
      </c>
      <c r="BR558" s="2474">
        <v>9495</v>
      </c>
      <c r="BS558" s="2474">
        <v>9495</v>
      </c>
      <c r="BU558" s="2544"/>
      <c r="BW558" s="2474">
        <v>9495</v>
      </c>
      <c r="BX558" s="2466">
        <v>2694.44</v>
      </c>
      <c r="BZ558" s="2474">
        <v>9495</v>
      </c>
      <c r="CA558" s="2470"/>
      <c r="CB558" s="2472">
        <f t="shared" si="305"/>
        <v>9495</v>
      </c>
      <c r="CC558" s="2473">
        <f t="shared" si="306"/>
        <v>0</v>
      </c>
      <c r="CE558" s="2474">
        <v>9495</v>
      </c>
      <c r="CF558" s="2476">
        <f t="shared" si="307"/>
        <v>0</v>
      </c>
      <c r="CG558" s="2474">
        <v>9495</v>
      </c>
      <c r="CH558" s="2449" t="s">
        <v>1217</v>
      </c>
      <c r="CI558" s="2449"/>
      <c r="CJ558" s="2450"/>
      <c r="CK558" s="2450"/>
      <c r="CO558" s="2477">
        <v>0.23223591363875729</v>
      </c>
      <c r="CP558" s="2478">
        <f t="shared" si="278"/>
        <v>2205.08</v>
      </c>
      <c r="CQ558" s="2478"/>
      <c r="CR558" s="2478"/>
      <c r="CS558" s="2478"/>
      <c r="CT558" s="2478"/>
    </row>
    <row r="559" spans="1:98" hidden="1" x14ac:dyDescent="0.2">
      <c r="A559" s="2395">
        <v>420</v>
      </c>
      <c r="B559" s="2440" t="s">
        <v>1214</v>
      </c>
      <c r="C559" s="2396">
        <v>42005</v>
      </c>
      <c r="D559" s="2396">
        <v>52470</v>
      </c>
      <c r="E559" s="2397" t="s">
        <v>1268</v>
      </c>
      <c r="F559" s="2440" t="s">
        <v>1214</v>
      </c>
      <c r="G559" s="2440" t="s">
        <v>1968</v>
      </c>
      <c r="H559" s="2466">
        <v>5450</v>
      </c>
      <c r="I559" s="2470"/>
      <c r="J559" s="2466">
        <f t="shared" si="295"/>
        <v>5450</v>
      </c>
      <c r="K559" s="2468">
        <f t="shared" si="296"/>
        <v>0</v>
      </c>
      <c r="M559" s="2467">
        <v>5450</v>
      </c>
      <c r="N559" s="2467">
        <v>5450</v>
      </c>
      <c r="P559" s="2469"/>
      <c r="R559" s="2466">
        <v>5450</v>
      </c>
      <c r="S559" s="2466">
        <v>9938.48</v>
      </c>
      <c r="U559" s="2466">
        <v>5450</v>
      </c>
      <c r="V559" s="2470">
        <v>550</v>
      </c>
      <c r="W559" s="2466">
        <f t="shared" si="297"/>
        <v>6000</v>
      </c>
      <c r="X559" s="2468">
        <f t="shared" si="298"/>
        <v>0.10091743119266056</v>
      </c>
      <c r="Z559" s="2467">
        <v>6000</v>
      </c>
      <c r="AA559" s="2467">
        <v>6000</v>
      </c>
      <c r="AC559" s="2469"/>
      <c r="AE559" s="2466">
        <v>6000</v>
      </c>
      <c r="AF559" s="2471">
        <v>6424.4</v>
      </c>
      <c r="AH559" s="2466">
        <v>6000</v>
      </c>
      <c r="AI559" s="2470"/>
      <c r="AJ559" s="2466">
        <f t="shared" si="299"/>
        <v>6000</v>
      </c>
      <c r="AK559" s="2468">
        <f t="shared" si="300"/>
        <v>0</v>
      </c>
      <c r="AM559" s="2467">
        <v>6000</v>
      </c>
      <c r="AN559" s="2467">
        <v>6000</v>
      </c>
      <c r="AP559" s="2469"/>
      <c r="AR559" s="2466">
        <v>6000</v>
      </c>
      <c r="AS559" s="2466">
        <v>6909.39</v>
      </c>
      <c r="AT559" s="2466"/>
      <c r="AU559" s="2466">
        <v>6000</v>
      </c>
      <c r="AV559" s="2466">
        <v>4468.75</v>
      </c>
      <c r="AX559" s="2466">
        <v>6000</v>
      </c>
      <c r="AY559" s="2470"/>
      <c r="AZ559" s="2466">
        <f t="shared" si="301"/>
        <v>6000</v>
      </c>
      <c r="BA559" s="2468">
        <f t="shared" si="302"/>
        <v>0</v>
      </c>
      <c r="BC559" s="2467">
        <v>6000</v>
      </c>
      <c r="BD559" s="2467">
        <v>6000</v>
      </c>
      <c r="BF559" s="2469"/>
      <c r="BH559" s="2467">
        <v>6000</v>
      </c>
      <c r="BI559" s="2466">
        <v>3329</v>
      </c>
      <c r="BM559" s="2466">
        <v>6000</v>
      </c>
      <c r="BN559" s="2470">
        <v>-400</v>
      </c>
      <c r="BO559" s="2472">
        <f t="shared" si="303"/>
        <v>5600</v>
      </c>
      <c r="BP559" s="2473">
        <f t="shared" si="304"/>
        <v>-6.6666666666666666E-2</v>
      </c>
      <c r="BR559" s="2474">
        <v>5600</v>
      </c>
      <c r="BS559" s="2474">
        <v>5600</v>
      </c>
      <c r="BU559" s="2578" t="s">
        <v>1430</v>
      </c>
      <c r="BW559" s="2474">
        <v>5600</v>
      </c>
      <c r="BZ559" s="2474">
        <v>5600</v>
      </c>
      <c r="CA559" s="2470"/>
      <c r="CB559" s="2472">
        <f t="shared" si="305"/>
        <v>5600</v>
      </c>
      <c r="CC559" s="2473">
        <f t="shared" si="306"/>
        <v>0</v>
      </c>
      <c r="CE559" s="2474">
        <v>5600</v>
      </c>
      <c r="CF559" s="2476">
        <f t="shared" si="307"/>
        <v>0</v>
      </c>
      <c r="CG559" s="2474">
        <v>5600</v>
      </c>
      <c r="CH559" s="2449" t="s">
        <v>1217</v>
      </c>
      <c r="CI559" s="2449"/>
      <c r="CJ559" s="2450"/>
      <c r="CK559" s="2450"/>
      <c r="CO559" s="2477">
        <v>-0.44516666666666671</v>
      </c>
      <c r="CP559" s="2478">
        <f t="shared" si="278"/>
        <v>-2671</v>
      </c>
      <c r="CQ559" s="2478"/>
      <c r="CR559" s="2478"/>
      <c r="CS559" s="2478"/>
      <c r="CT559" s="2478"/>
    </row>
    <row r="560" spans="1:98" hidden="1" x14ac:dyDescent="0.2">
      <c r="A560" s="2395">
        <v>420</v>
      </c>
      <c r="B560" s="2440" t="s">
        <v>1214</v>
      </c>
      <c r="C560" s="2396">
        <v>42005</v>
      </c>
      <c r="D560" s="2396">
        <v>52520</v>
      </c>
      <c r="E560" s="2397" t="s">
        <v>1268</v>
      </c>
      <c r="F560" s="2440" t="s">
        <v>1214</v>
      </c>
      <c r="G560" s="2440" t="s">
        <v>1969</v>
      </c>
      <c r="H560" s="2466">
        <v>300</v>
      </c>
      <c r="I560" s="2470"/>
      <c r="J560" s="2466">
        <f t="shared" si="295"/>
        <v>300</v>
      </c>
      <c r="K560" s="2468">
        <f t="shared" si="296"/>
        <v>0</v>
      </c>
      <c r="M560" s="2467">
        <v>300</v>
      </c>
      <c r="N560" s="2467">
        <v>300</v>
      </c>
      <c r="P560" s="2469"/>
      <c r="R560" s="2466">
        <v>300</v>
      </c>
      <c r="S560" s="2466">
        <v>0</v>
      </c>
      <c r="U560" s="2466">
        <v>300</v>
      </c>
      <c r="V560" s="2470">
        <v>0</v>
      </c>
      <c r="W560" s="2466">
        <f t="shared" si="297"/>
        <v>300</v>
      </c>
      <c r="X560" s="2468">
        <f t="shared" si="298"/>
        <v>0</v>
      </c>
      <c r="Z560" s="2467">
        <v>300</v>
      </c>
      <c r="AA560" s="2467">
        <v>300</v>
      </c>
      <c r="AC560" s="2469"/>
      <c r="AE560" s="2466">
        <v>300</v>
      </c>
      <c r="AF560" s="2471">
        <v>0</v>
      </c>
      <c r="AH560" s="2466">
        <v>300</v>
      </c>
      <c r="AI560" s="2470"/>
      <c r="AJ560" s="2466">
        <f t="shared" si="299"/>
        <v>300</v>
      </c>
      <c r="AK560" s="2468">
        <f t="shared" si="300"/>
        <v>0</v>
      </c>
      <c r="AM560" s="2467">
        <v>300</v>
      </c>
      <c r="AN560" s="2467">
        <v>300</v>
      </c>
      <c r="AP560" s="2469"/>
      <c r="AR560" s="2466">
        <v>300</v>
      </c>
      <c r="AS560" s="2466">
        <v>0</v>
      </c>
      <c r="AT560" s="2466"/>
      <c r="AU560" s="2466">
        <v>300</v>
      </c>
      <c r="AV560" s="2466">
        <v>164</v>
      </c>
      <c r="AX560" s="2466">
        <v>300</v>
      </c>
      <c r="AY560" s="2470"/>
      <c r="AZ560" s="2466">
        <f t="shared" si="301"/>
        <v>300</v>
      </c>
      <c r="BA560" s="2468">
        <f t="shared" si="302"/>
        <v>0</v>
      </c>
      <c r="BC560" s="2467">
        <v>300</v>
      </c>
      <c r="BD560" s="2467">
        <v>300</v>
      </c>
      <c r="BF560" s="2469"/>
      <c r="BH560" s="2467">
        <v>300</v>
      </c>
      <c r="BI560" s="2466">
        <v>105</v>
      </c>
      <c r="BM560" s="2466">
        <v>300</v>
      </c>
      <c r="BN560" s="2470"/>
      <c r="BO560" s="2472">
        <f t="shared" si="303"/>
        <v>300</v>
      </c>
      <c r="BP560" s="2473">
        <f t="shared" si="304"/>
        <v>0</v>
      </c>
      <c r="BR560" s="2474">
        <v>300</v>
      </c>
      <c r="BS560" s="2474">
        <v>300</v>
      </c>
      <c r="BU560" s="2475"/>
      <c r="BW560" s="2474">
        <v>300</v>
      </c>
      <c r="BZ560" s="2474">
        <v>300</v>
      </c>
      <c r="CA560" s="2470"/>
      <c r="CB560" s="2472">
        <f t="shared" si="305"/>
        <v>300</v>
      </c>
      <c r="CC560" s="2473">
        <f t="shared" si="306"/>
        <v>0</v>
      </c>
      <c r="CE560" s="2474">
        <v>300</v>
      </c>
      <c r="CF560" s="2476">
        <f t="shared" si="307"/>
        <v>0</v>
      </c>
      <c r="CG560" s="2474">
        <v>300</v>
      </c>
      <c r="CH560" s="2449" t="s">
        <v>1217</v>
      </c>
      <c r="CI560" s="2449"/>
      <c r="CJ560" s="2450"/>
      <c r="CK560" s="2450"/>
      <c r="CO560" s="2477">
        <v>-0.65</v>
      </c>
      <c r="CP560" s="2478">
        <f t="shared" si="278"/>
        <v>-195</v>
      </c>
      <c r="CQ560" s="2478"/>
      <c r="CR560" s="2478"/>
      <c r="CS560" s="2478"/>
      <c r="CT560" s="2478"/>
    </row>
    <row r="561" spans="1:98" hidden="1" x14ac:dyDescent="0.2">
      <c r="A561" s="2395">
        <v>420</v>
      </c>
      <c r="B561" s="2440" t="s">
        <v>1214</v>
      </c>
      <c r="C561" s="2396">
        <v>42005</v>
      </c>
      <c r="D561" s="2396">
        <v>52720</v>
      </c>
      <c r="E561" s="2397" t="s">
        <v>1268</v>
      </c>
      <c r="F561" s="2440" t="s">
        <v>1214</v>
      </c>
      <c r="G561" s="2440" t="s">
        <v>1970</v>
      </c>
      <c r="H561" s="2466">
        <v>6000</v>
      </c>
      <c r="I561" s="2470"/>
      <c r="J561" s="2466">
        <f t="shared" si="295"/>
        <v>6000</v>
      </c>
      <c r="K561" s="2468">
        <f t="shared" si="296"/>
        <v>0</v>
      </c>
      <c r="M561" s="2467">
        <v>6000</v>
      </c>
      <c r="N561" s="2467">
        <v>6000</v>
      </c>
      <c r="P561" s="2469"/>
      <c r="R561" s="2466">
        <v>6000</v>
      </c>
      <c r="S561" s="2466">
        <v>300</v>
      </c>
      <c r="U561" s="2466">
        <v>6000</v>
      </c>
      <c r="V561" s="2470">
        <v>0</v>
      </c>
      <c r="W561" s="2466">
        <f t="shared" si="297"/>
        <v>6000</v>
      </c>
      <c r="X561" s="2468">
        <f t="shared" si="298"/>
        <v>0</v>
      </c>
      <c r="Z561" s="2467">
        <v>6000</v>
      </c>
      <c r="AA561" s="2467">
        <v>6000</v>
      </c>
      <c r="AC561" s="2469"/>
      <c r="AE561" s="2466">
        <v>6000</v>
      </c>
      <c r="AF561" s="2471">
        <v>9502.41</v>
      </c>
      <c r="AH561" s="2466">
        <v>6000</v>
      </c>
      <c r="AI561" s="2470"/>
      <c r="AJ561" s="2466">
        <f t="shared" si="299"/>
        <v>6000</v>
      </c>
      <c r="AK561" s="2468">
        <f t="shared" si="300"/>
        <v>0</v>
      </c>
      <c r="AM561" s="2467">
        <v>6000</v>
      </c>
      <c r="AN561" s="2467">
        <v>6000</v>
      </c>
      <c r="AP561" s="2469"/>
      <c r="AR561" s="2466">
        <v>6000</v>
      </c>
      <c r="AS561" s="2466">
        <v>410</v>
      </c>
      <c r="AT561" s="2466"/>
      <c r="AU561" s="2466">
        <v>6000</v>
      </c>
      <c r="AV561" s="2466">
        <v>3127.5</v>
      </c>
      <c r="AX561" s="2466">
        <v>6000</v>
      </c>
      <c r="AY561" s="2470"/>
      <c r="AZ561" s="2466">
        <f t="shared" si="301"/>
        <v>6000</v>
      </c>
      <c r="BA561" s="2468">
        <f t="shared" si="302"/>
        <v>0</v>
      </c>
      <c r="BC561" s="2467">
        <v>6000</v>
      </c>
      <c r="BD561" s="2467">
        <v>6000</v>
      </c>
      <c r="BF561" s="2469"/>
      <c r="BH561" s="2467">
        <v>6000</v>
      </c>
      <c r="BI561" s="2466">
        <v>1342.5</v>
      </c>
      <c r="BM561" s="2466">
        <v>6000</v>
      </c>
      <c r="BN561" s="2470"/>
      <c r="BO561" s="2472">
        <f t="shared" si="303"/>
        <v>6000</v>
      </c>
      <c r="BP561" s="2473">
        <f t="shared" si="304"/>
        <v>0</v>
      </c>
      <c r="BR561" s="2474">
        <v>6000</v>
      </c>
      <c r="BS561" s="2474">
        <v>6000</v>
      </c>
      <c r="BU561" s="2475"/>
      <c r="BW561" s="2474">
        <v>6000</v>
      </c>
      <c r="BX561" s="2466">
        <v>1835</v>
      </c>
      <c r="BZ561" s="2474">
        <v>6000</v>
      </c>
      <c r="CA561" s="2470"/>
      <c r="CB561" s="2472">
        <f t="shared" si="305"/>
        <v>6000</v>
      </c>
      <c r="CC561" s="2473">
        <f t="shared" si="306"/>
        <v>0</v>
      </c>
      <c r="CE561" s="2474">
        <v>6000</v>
      </c>
      <c r="CF561" s="2476">
        <f t="shared" si="307"/>
        <v>0</v>
      </c>
      <c r="CG561" s="2474">
        <v>6000</v>
      </c>
      <c r="CH561" s="2449" t="s">
        <v>1217</v>
      </c>
      <c r="CI561" s="2449"/>
      <c r="CJ561" s="2450"/>
      <c r="CK561" s="2450"/>
      <c r="CO561" s="2477">
        <v>-0.77625</v>
      </c>
      <c r="CP561" s="2478">
        <f t="shared" si="278"/>
        <v>-4657.5</v>
      </c>
      <c r="CQ561" s="2478"/>
      <c r="CR561" s="2478"/>
      <c r="CS561" s="2478"/>
      <c r="CT561" s="2478"/>
    </row>
    <row r="562" spans="1:98" hidden="1" x14ac:dyDescent="0.2">
      <c r="A562" s="2395">
        <v>420</v>
      </c>
      <c r="B562" s="2440" t="s">
        <v>1214</v>
      </c>
      <c r="C562" s="2396">
        <v>42005</v>
      </c>
      <c r="D562" s="2396">
        <v>52740</v>
      </c>
      <c r="E562" s="2397" t="s">
        <v>1268</v>
      </c>
      <c r="F562" s="2440" t="s">
        <v>1214</v>
      </c>
      <c r="G562" s="2440" t="s">
        <v>1971</v>
      </c>
      <c r="H562" s="2466">
        <v>0</v>
      </c>
      <c r="I562" s="2470"/>
      <c r="J562" s="2466">
        <f t="shared" si="295"/>
        <v>0</v>
      </c>
      <c r="K562" s="2468" t="str">
        <f t="shared" si="296"/>
        <v xml:space="preserve"> </v>
      </c>
      <c r="M562" s="2467">
        <v>0</v>
      </c>
      <c r="N562" s="2467">
        <v>0</v>
      </c>
      <c r="P562" s="2469"/>
      <c r="R562" s="2466">
        <v>0</v>
      </c>
      <c r="S562" s="2466">
        <v>0</v>
      </c>
      <c r="U562" s="2466">
        <v>0</v>
      </c>
      <c r="V562" s="2470">
        <v>0</v>
      </c>
      <c r="W562" s="2466">
        <f t="shared" si="297"/>
        <v>0</v>
      </c>
      <c r="X562" s="2468" t="str">
        <f t="shared" si="298"/>
        <v xml:space="preserve"> </v>
      </c>
      <c r="Z562" s="2467">
        <v>0</v>
      </c>
      <c r="AA562" s="2467">
        <v>0</v>
      </c>
      <c r="AC562" s="2469"/>
      <c r="AE562" s="2466">
        <v>0</v>
      </c>
      <c r="AF562" s="2471">
        <v>0</v>
      </c>
      <c r="AH562" s="2466">
        <v>0</v>
      </c>
      <c r="AI562" s="2470"/>
      <c r="AJ562" s="2466">
        <f t="shared" si="299"/>
        <v>0</v>
      </c>
      <c r="AK562" s="2468" t="str">
        <f t="shared" si="300"/>
        <v xml:space="preserve"> </v>
      </c>
      <c r="AM562" s="2467">
        <v>0</v>
      </c>
      <c r="AN562" s="2467">
        <v>0</v>
      </c>
      <c r="AP562" s="2469"/>
      <c r="AR562" s="2466">
        <v>0</v>
      </c>
      <c r="AS562" s="2466">
        <v>0</v>
      </c>
      <c r="AT562" s="2466"/>
      <c r="AU562" s="2466">
        <v>0</v>
      </c>
      <c r="AX562" s="2466">
        <v>0</v>
      </c>
      <c r="AY562" s="2470"/>
      <c r="AZ562" s="2466">
        <f t="shared" si="301"/>
        <v>0</v>
      </c>
      <c r="BA562" s="2468" t="str">
        <f t="shared" si="302"/>
        <v xml:space="preserve"> </v>
      </c>
      <c r="BC562" s="2467">
        <v>0</v>
      </c>
      <c r="BD562" s="2467">
        <v>0</v>
      </c>
      <c r="BF562" s="2469"/>
      <c r="BH562" s="2467">
        <v>0</v>
      </c>
      <c r="BM562" s="2466">
        <v>0</v>
      </c>
      <c r="BN562" s="2470"/>
      <c r="BO562" s="2472">
        <f t="shared" si="303"/>
        <v>0</v>
      </c>
      <c r="BP562" s="2473" t="str">
        <f t="shared" si="304"/>
        <v xml:space="preserve"> </v>
      </c>
      <c r="BR562" s="2474">
        <v>0</v>
      </c>
      <c r="BS562" s="2474">
        <v>0</v>
      </c>
      <c r="BU562" s="2475"/>
      <c r="BW562" s="2474">
        <v>0</v>
      </c>
      <c r="BZ562" s="2474">
        <v>0</v>
      </c>
      <c r="CA562" s="2470"/>
      <c r="CB562" s="2472">
        <f t="shared" si="305"/>
        <v>0</v>
      </c>
      <c r="CC562" s="2473" t="str">
        <f t="shared" si="306"/>
        <v xml:space="preserve"> </v>
      </c>
      <c r="CE562" s="2474">
        <v>0</v>
      </c>
      <c r="CF562" s="2476" t="str">
        <f t="shared" si="307"/>
        <v xml:space="preserve"> </v>
      </c>
      <c r="CG562" s="2474">
        <v>0</v>
      </c>
      <c r="CH562" s="2449" t="s">
        <v>1217</v>
      </c>
      <c r="CI562" s="2449"/>
      <c r="CJ562" s="2450"/>
      <c r="CK562" s="2450"/>
      <c r="CP562" s="2478">
        <f t="shared" si="278"/>
        <v>0</v>
      </c>
      <c r="CQ562" s="2478"/>
      <c r="CR562" s="2478"/>
      <c r="CS562" s="2478"/>
      <c r="CT562" s="2478"/>
    </row>
    <row r="563" spans="1:98" hidden="1" x14ac:dyDescent="0.2">
      <c r="A563" s="2395">
        <v>420</v>
      </c>
      <c r="B563" s="2440" t="s">
        <v>1214</v>
      </c>
      <c r="C563" s="2396">
        <v>42005</v>
      </c>
      <c r="D563" s="2396">
        <v>52750</v>
      </c>
      <c r="E563" s="2397" t="s">
        <v>1268</v>
      </c>
      <c r="F563" s="2440" t="s">
        <v>1214</v>
      </c>
      <c r="G563" s="2440" t="s">
        <v>1972</v>
      </c>
      <c r="I563" s="2470"/>
      <c r="M563" s="2467"/>
      <c r="N563" s="2467"/>
      <c r="P563" s="2469"/>
      <c r="V563" s="2470"/>
      <c r="Z563" s="2467"/>
      <c r="AA563" s="2467"/>
      <c r="AC563" s="2469"/>
      <c r="AI563" s="2470"/>
      <c r="AM563" s="2467"/>
      <c r="AN563" s="2467"/>
      <c r="AP563" s="2469"/>
      <c r="AS563" s="2466">
        <v>475.23</v>
      </c>
      <c r="AT563" s="2466"/>
      <c r="AV563" s="2466">
        <v>390</v>
      </c>
      <c r="AY563" s="2470"/>
      <c r="BC563" s="2467"/>
      <c r="BD563" s="2467"/>
      <c r="BF563" s="2469"/>
      <c r="BH563" s="2467">
        <v>0</v>
      </c>
      <c r="BI563" s="2466">
        <v>1744.6</v>
      </c>
      <c r="BM563" s="2466">
        <v>0</v>
      </c>
      <c r="BN563" s="2470">
        <v>500</v>
      </c>
      <c r="BO563" s="2472">
        <f t="shared" si="303"/>
        <v>500</v>
      </c>
      <c r="BP563" s="2473" t="str">
        <f t="shared" si="304"/>
        <v xml:space="preserve"> </v>
      </c>
      <c r="BR563" s="2474">
        <v>500</v>
      </c>
      <c r="BS563" s="2474">
        <v>500</v>
      </c>
      <c r="BU563" s="2578" t="s">
        <v>1430</v>
      </c>
      <c r="BW563" s="2474">
        <v>500</v>
      </c>
      <c r="BZ563" s="2474">
        <v>500</v>
      </c>
      <c r="CA563" s="2470"/>
      <c r="CB563" s="2472">
        <f t="shared" si="305"/>
        <v>500</v>
      </c>
      <c r="CC563" s="2473">
        <f t="shared" si="306"/>
        <v>0</v>
      </c>
      <c r="CE563" s="2474">
        <v>500</v>
      </c>
      <c r="CF563" s="2476">
        <f t="shared" si="307"/>
        <v>0</v>
      </c>
      <c r="CG563" s="2474">
        <v>500</v>
      </c>
      <c r="CH563" s="2449" t="s">
        <v>1217</v>
      </c>
      <c r="CI563" s="2449"/>
      <c r="CJ563" s="2450"/>
      <c r="CK563" s="2450"/>
      <c r="CO563" s="2477" t="s">
        <v>1257</v>
      </c>
      <c r="CP563" s="2478">
        <f t="shared" si="278"/>
        <v>1744.6</v>
      </c>
      <c r="CQ563" s="2478"/>
      <c r="CR563" s="2478"/>
      <c r="CS563" s="2478"/>
      <c r="CT563" s="2478"/>
    </row>
    <row r="564" spans="1:98" hidden="1" x14ac:dyDescent="0.2">
      <c r="A564" s="2395">
        <v>420</v>
      </c>
      <c r="B564" s="2440" t="s">
        <v>1214</v>
      </c>
      <c r="C564" s="2396">
        <v>42005</v>
      </c>
      <c r="D564" s="2396">
        <v>52950</v>
      </c>
      <c r="E564" s="2397" t="s">
        <v>1268</v>
      </c>
      <c r="F564" s="2440" t="s">
        <v>1214</v>
      </c>
      <c r="G564" s="2440" t="s">
        <v>1973</v>
      </c>
      <c r="H564" s="2466">
        <v>5800</v>
      </c>
      <c r="I564" s="2470">
        <v>100</v>
      </c>
      <c r="J564" s="2466">
        <f t="shared" si="295"/>
        <v>5900</v>
      </c>
      <c r="K564" s="2468">
        <f t="shared" si="296"/>
        <v>1.7241379310344827E-2</v>
      </c>
      <c r="M564" s="2467">
        <v>5900</v>
      </c>
      <c r="N564" s="2467">
        <v>5900</v>
      </c>
      <c r="P564" s="2469"/>
      <c r="R564" s="2466">
        <v>5900</v>
      </c>
      <c r="S564" s="2466">
        <v>5900</v>
      </c>
      <c r="U564" s="2466">
        <v>5900</v>
      </c>
      <c r="V564" s="2470">
        <v>0</v>
      </c>
      <c r="W564" s="2466">
        <f t="shared" si="297"/>
        <v>5900</v>
      </c>
      <c r="X564" s="2468">
        <f t="shared" si="298"/>
        <v>0</v>
      </c>
      <c r="Z564" s="2467">
        <v>5900</v>
      </c>
      <c r="AA564" s="2467">
        <v>5900</v>
      </c>
      <c r="AC564" s="2469"/>
      <c r="AE564" s="2466">
        <v>5900</v>
      </c>
      <c r="AF564" s="2471">
        <v>0</v>
      </c>
      <c r="AH564" s="2466">
        <v>5900</v>
      </c>
      <c r="AI564" s="2470"/>
      <c r="AJ564" s="2466">
        <f t="shared" si="299"/>
        <v>5900</v>
      </c>
      <c r="AK564" s="2468">
        <f t="shared" si="300"/>
        <v>0</v>
      </c>
      <c r="AM564" s="2467">
        <v>5900</v>
      </c>
      <c r="AN564" s="2467">
        <v>5900</v>
      </c>
      <c r="AP564" s="2469"/>
      <c r="AR564" s="2466">
        <v>5900</v>
      </c>
      <c r="AS564" s="2466">
        <v>0</v>
      </c>
      <c r="AT564" s="2466"/>
      <c r="AU564" s="2466">
        <v>5900</v>
      </c>
      <c r="AV564" s="2466">
        <v>6879.03</v>
      </c>
      <c r="AX564" s="2466">
        <v>5900</v>
      </c>
      <c r="AY564" s="2470"/>
      <c r="AZ564" s="2466">
        <f t="shared" si="301"/>
        <v>5900</v>
      </c>
      <c r="BA564" s="2468">
        <f t="shared" si="302"/>
        <v>0</v>
      </c>
      <c r="BC564" s="2467">
        <v>5900</v>
      </c>
      <c r="BD564" s="2467">
        <v>5900</v>
      </c>
      <c r="BF564" s="2469"/>
      <c r="BH564" s="2467">
        <v>5900</v>
      </c>
      <c r="BM564" s="2466">
        <v>5900</v>
      </c>
      <c r="BN564" s="2470"/>
      <c r="BO564" s="2472">
        <f t="shared" si="303"/>
        <v>5900</v>
      </c>
      <c r="BP564" s="2473">
        <f t="shared" si="304"/>
        <v>0</v>
      </c>
      <c r="BR564" s="2474">
        <v>5900</v>
      </c>
      <c r="BS564" s="2474">
        <v>5900</v>
      </c>
      <c r="BU564" s="2475"/>
      <c r="BW564" s="2474">
        <v>5900</v>
      </c>
      <c r="BZ564" s="2474">
        <v>5900</v>
      </c>
      <c r="CA564" s="2470"/>
      <c r="CB564" s="2472">
        <f t="shared" si="305"/>
        <v>5900</v>
      </c>
      <c r="CC564" s="2473">
        <f t="shared" si="306"/>
        <v>0</v>
      </c>
      <c r="CE564" s="2474">
        <v>5900</v>
      </c>
      <c r="CF564" s="2476">
        <f t="shared" si="307"/>
        <v>0</v>
      </c>
      <c r="CG564" s="2474">
        <v>5900</v>
      </c>
      <c r="CH564" s="2449" t="s">
        <v>1217</v>
      </c>
      <c r="CI564" s="2449"/>
      <c r="CJ564" s="2450"/>
      <c r="CK564" s="2450"/>
      <c r="CO564" s="2477" t="s">
        <v>1218</v>
      </c>
      <c r="CP564" s="2478">
        <f t="shared" si="278"/>
        <v>-5900</v>
      </c>
      <c r="CQ564" s="2478"/>
      <c r="CR564" s="2478"/>
      <c r="CS564" s="2478"/>
      <c r="CT564" s="2478"/>
    </row>
    <row r="565" spans="1:98" hidden="1" x14ac:dyDescent="0.2">
      <c r="A565" s="2395">
        <v>420</v>
      </c>
      <c r="B565" s="2440" t="s">
        <v>1214</v>
      </c>
      <c r="C565" s="2396">
        <v>42005</v>
      </c>
      <c r="D565" s="2615">
        <v>53000</v>
      </c>
      <c r="E565" s="2397" t="s">
        <v>1268</v>
      </c>
      <c r="F565" s="2440" t="s">
        <v>1214</v>
      </c>
      <c r="G565" s="2440" t="s">
        <v>1974</v>
      </c>
      <c r="H565" s="2466">
        <v>300</v>
      </c>
      <c r="I565" s="2470">
        <v>6</v>
      </c>
      <c r="J565" s="2466">
        <f>H565+I565</f>
        <v>306</v>
      </c>
      <c r="K565" s="2468">
        <f>IF(H565=0," ",(J565-H565)/H565)</f>
        <v>0.02</v>
      </c>
      <c r="M565" s="2467">
        <v>306</v>
      </c>
      <c r="N565" s="2467">
        <v>306</v>
      </c>
      <c r="P565" s="2469"/>
      <c r="R565" s="2466">
        <v>306</v>
      </c>
      <c r="S565" s="2466">
        <v>100</v>
      </c>
      <c r="U565" s="2466">
        <v>306</v>
      </c>
      <c r="V565" s="2470">
        <v>-6</v>
      </c>
      <c r="W565" s="2466">
        <f>U565+V565</f>
        <v>300</v>
      </c>
      <c r="X565" s="2468">
        <f>IF(U565=0," ",(W565-U565)/U565)</f>
        <v>-1.9607843137254902E-2</v>
      </c>
      <c r="Z565" s="2467">
        <v>300</v>
      </c>
      <c r="AA565" s="2467">
        <v>300</v>
      </c>
      <c r="AC565" s="2469"/>
      <c r="AE565" s="2466">
        <v>300</v>
      </c>
      <c r="AF565" s="2471">
        <v>265</v>
      </c>
      <c r="AH565" s="2466">
        <v>300</v>
      </c>
      <c r="AI565" s="2470"/>
      <c r="AJ565" s="2466">
        <f>AH565+AI565</f>
        <v>300</v>
      </c>
      <c r="AK565" s="2468">
        <f>IF(AH565=0," ",(AJ565-AH565)/AH565)</f>
        <v>0</v>
      </c>
      <c r="AM565" s="2467">
        <v>300</v>
      </c>
      <c r="AN565" s="2467">
        <v>300</v>
      </c>
      <c r="AP565" s="2469"/>
      <c r="AR565" s="2466">
        <v>300</v>
      </c>
      <c r="AS565" s="2466">
        <v>185</v>
      </c>
      <c r="AT565" s="2466"/>
      <c r="AU565" s="2466">
        <v>300</v>
      </c>
      <c r="AV565" s="2466">
        <v>700</v>
      </c>
      <c r="AX565" s="2466">
        <v>300</v>
      </c>
      <c r="AY565" s="2470"/>
      <c r="AZ565" s="2466">
        <f t="shared" si="301"/>
        <v>300</v>
      </c>
      <c r="BA565" s="2468">
        <f t="shared" si="302"/>
        <v>0</v>
      </c>
      <c r="BC565" s="2467">
        <v>300</v>
      </c>
      <c r="BD565" s="2467">
        <v>300</v>
      </c>
      <c r="BF565" s="2469"/>
      <c r="BH565" s="2467">
        <v>300</v>
      </c>
      <c r="BI565" s="2466">
        <v>620</v>
      </c>
      <c r="BM565" s="2466">
        <v>300</v>
      </c>
      <c r="BN565" s="2470"/>
      <c r="BO565" s="2472">
        <f t="shared" si="303"/>
        <v>300</v>
      </c>
      <c r="BP565" s="2473">
        <f t="shared" si="304"/>
        <v>0</v>
      </c>
      <c r="BR565" s="2474">
        <v>300</v>
      </c>
      <c r="BS565" s="2474">
        <v>300</v>
      </c>
      <c r="BU565" s="2475"/>
      <c r="BW565" s="2474">
        <v>300</v>
      </c>
      <c r="BX565" s="2466">
        <v>400</v>
      </c>
      <c r="BZ565" s="2474">
        <v>300</v>
      </c>
      <c r="CA565" s="2470"/>
      <c r="CB565" s="2472">
        <f t="shared" si="305"/>
        <v>300</v>
      </c>
      <c r="CC565" s="2473">
        <f t="shared" si="306"/>
        <v>0</v>
      </c>
      <c r="CE565" s="2474">
        <v>300</v>
      </c>
      <c r="CF565" s="2476">
        <f t="shared" si="307"/>
        <v>0</v>
      </c>
      <c r="CG565" s="2474">
        <v>300</v>
      </c>
      <c r="CH565" s="2449" t="s">
        <v>1217</v>
      </c>
      <c r="CI565" s="2449"/>
      <c r="CJ565" s="2450"/>
      <c r="CK565" s="2450"/>
      <c r="CO565" s="2477">
        <v>1.0666666666666669</v>
      </c>
      <c r="CP565" s="2478">
        <f t="shared" si="278"/>
        <v>320</v>
      </c>
      <c r="CQ565" s="2478"/>
      <c r="CR565" s="2478"/>
      <c r="CS565" s="2478"/>
      <c r="CT565" s="2478"/>
    </row>
    <row r="566" spans="1:98" hidden="1" x14ac:dyDescent="0.2">
      <c r="A566" s="2395">
        <v>420</v>
      </c>
      <c r="B566" s="2440" t="s">
        <v>1214</v>
      </c>
      <c r="C566" s="2396">
        <v>42005</v>
      </c>
      <c r="D566" s="2615">
        <v>53040</v>
      </c>
      <c r="E566" s="2397" t="s">
        <v>1268</v>
      </c>
      <c r="F566" s="2440" t="s">
        <v>1214</v>
      </c>
      <c r="G566" s="2440" t="s">
        <v>1975</v>
      </c>
      <c r="I566" s="2470"/>
      <c r="M566" s="2467"/>
      <c r="N566" s="2467"/>
      <c r="P566" s="2469"/>
      <c r="V566" s="2470"/>
      <c r="Z566" s="2467"/>
      <c r="AA566" s="2467"/>
      <c r="AC566" s="2469"/>
      <c r="AI566" s="2470"/>
      <c r="AM566" s="2467"/>
      <c r="AN566" s="2467"/>
      <c r="AP566" s="2469"/>
      <c r="AS566" s="2466">
        <v>0</v>
      </c>
      <c r="AT566" s="2466"/>
      <c r="AV566" s="2466">
        <v>237.4</v>
      </c>
      <c r="AY566" s="2470"/>
      <c r="AZ566" s="2466">
        <f t="shared" si="301"/>
        <v>0</v>
      </c>
      <c r="BA566" s="2468" t="str">
        <f t="shared" si="302"/>
        <v xml:space="preserve"> </v>
      </c>
      <c r="BC566" s="2467"/>
      <c r="BD566" s="2467"/>
      <c r="BF566" s="2469"/>
      <c r="BH566" s="2467"/>
      <c r="BI566" s="2466">
        <v>98</v>
      </c>
      <c r="BN566" s="2470"/>
      <c r="BO566" s="2472">
        <f t="shared" si="303"/>
        <v>0</v>
      </c>
      <c r="BR566" s="2474">
        <v>0</v>
      </c>
      <c r="BS566" s="2474">
        <v>0</v>
      </c>
      <c r="BU566" s="2475"/>
      <c r="BW566" s="2474">
        <v>0</v>
      </c>
      <c r="BZ566" s="2474">
        <v>0</v>
      </c>
      <c r="CA566" s="2470"/>
      <c r="CB566" s="2472">
        <f t="shared" si="305"/>
        <v>0</v>
      </c>
      <c r="CE566" s="2474">
        <v>0</v>
      </c>
      <c r="CF566" s="2476"/>
      <c r="CG566" s="2474">
        <v>0</v>
      </c>
      <c r="CH566" s="2449" t="s">
        <v>1217</v>
      </c>
      <c r="CI566" s="2449"/>
      <c r="CJ566" s="2450"/>
      <c r="CK566" s="2450"/>
      <c r="CO566" s="2477" t="s">
        <v>1257</v>
      </c>
      <c r="CP566" s="2478">
        <f t="shared" si="278"/>
        <v>98</v>
      </c>
      <c r="CQ566" s="2478"/>
      <c r="CR566" s="2478"/>
      <c r="CS566" s="2478"/>
      <c r="CT566" s="2478"/>
    </row>
    <row r="567" spans="1:98" hidden="1" x14ac:dyDescent="0.2">
      <c r="A567" s="2395">
        <v>420</v>
      </c>
      <c r="B567" s="2440" t="s">
        <v>1214</v>
      </c>
      <c r="C567" s="2396">
        <v>42005</v>
      </c>
      <c r="D567" s="2615">
        <v>53200</v>
      </c>
      <c r="E567" s="2397" t="s">
        <v>1268</v>
      </c>
      <c r="F567" s="2440" t="s">
        <v>1214</v>
      </c>
      <c r="G567" s="2440" t="s">
        <v>1976</v>
      </c>
      <c r="H567" s="2466">
        <v>750</v>
      </c>
      <c r="I567" s="2470">
        <v>150</v>
      </c>
      <c r="J567" s="2466">
        <f>H567+I567</f>
        <v>900</v>
      </c>
      <c r="K567" s="2468">
        <f>IF(H567=0," ",(J567-H567)/H567)</f>
        <v>0.2</v>
      </c>
      <c r="M567" s="2467">
        <v>900</v>
      </c>
      <c r="N567" s="2467">
        <v>900</v>
      </c>
      <c r="P567" s="2469"/>
      <c r="R567" s="2466">
        <v>900</v>
      </c>
      <c r="S567" s="2466">
        <v>540</v>
      </c>
      <c r="U567" s="2466">
        <v>900</v>
      </c>
      <c r="V567" s="2470">
        <v>0</v>
      </c>
      <c r="W567" s="2466">
        <f>U567+V567</f>
        <v>900</v>
      </c>
      <c r="X567" s="2468">
        <f>IF(U567=0," ",(W567-U567)/U567)</f>
        <v>0</v>
      </c>
      <c r="Z567" s="2467">
        <v>900</v>
      </c>
      <c r="AA567" s="2467">
        <v>900</v>
      </c>
      <c r="AC567" s="2469"/>
      <c r="AE567" s="2466">
        <v>900</v>
      </c>
      <c r="AF567" s="2471">
        <v>680</v>
      </c>
      <c r="AH567" s="2466">
        <v>900</v>
      </c>
      <c r="AI567" s="2470"/>
      <c r="AJ567" s="2466">
        <f>AH567+AI567</f>
        <v>900</v>
      </c>
      <c r="AK567" s="2468">
        <f>IF(AH567=0," ",(AJ567-AH567)/AH567)</f>
        <v>0</v>
      </c>
      <c r="AM567" s="2467">
        <v>900</v>
      </c>
      <c r="AN567" s="2467">
        <v>900</v>
      </c>
      <c r="AP567" s="2469"/>
      <c r="AR567" s="2466">
        <v>900</v>
      </c>
      <c r="AS567" s="2466">
        <v>265</v>
      </c>
      <c r="AT567" s="2466"/>
      <c r="AU567" s="2466">
        <v>900</v>
      </c>
      <c r="AV567" s="2466">
        <v>311.41000000000003</v>
      </c>
      <c r="AX567" s="2466">
        <v>900</v>
      </c>
      <c r="AY567" s="2470"/>
      <c r="AZ567" s="2466">
        <f t="shared" si="301"/>
        <v>900</v>
      </c>
      <c r="BA567" s="2468">
        <f t="shared" si="302"/>
        <v>0</v>
      </c>
      <c r="BC567" s="2467">
        <v>900</v>
      </c>
      <c r="BD567" s="2467">
        <v>900</v>
      </c>
      <c r="BF567" s="2469"/>
      <c r="BH567" s="2467">
        <v>900</v>
      </c>
      <c r="BI567" s="2466">
        <v>688.23</v>
      </c>
      <c r="BM567" s="2466">
        <v>900</v>
      </c>
      <c r="BN567" s="2470"/>
      <c r="BO567" s="2472">
        <f t="shared" si="303"/>
        <v>900</v>
      </c>
      <c r="BP567" s="2473">
        <f t="shared" si="304"/>
        <v>0</v>
      </c>
      <c r="BR567" s="2474">
        <v>900</v>
      </c>
      <c r="BS567" s="2474">
        <v>900</v>
      </c>
      <c r="BU567" s="2475"/>
      <c r="BW567" s="2474">
        <v>900</v>
      </c>
      <c r="BX567" s="2466">
        <v>450.19</v>
      </c>
      <c r="BZ567" s="2474">
        <v>900</v>
      </c>
      <c r="CA567" s="2470"/>
      <c r="CB567" s="2472">
        <f t="shared" si="305"/>
        <v>900</v>
      </c>
      <c r="CC567" s="2473">
        <f t="shared" ref="CC567:CC590" si="308">IF(BZ567=0," ",(CB567-BZ567)/BZ567)</f>
        <v>0</v>
      </c>
      <c r="CE567" s="2474">
        <v>900</v>
      </c>
      <c r="CF567" s="2476">
        <f t="shared" ref="CF567:CF590" si="309">IF(CB567=0," ",(CE567-CB567)/CB567)</f>
        <v>0</v>
      </c>
      <c r="CG567" s="2474">
        <v>900</v>
      </c>
      <c r="CH567" s="2449" t="s">
        <v>1217</v>
      </c>
      <c r="CI567" s="2449"/>
      <c r="CJ567" s="2450"/>
      <c r="CK567" s="2450"/>
      <c r="CO567" s="2477">
        <v>-0.23529999999999995</v>
      </c>
      <c r="CP567" s="2478">
        <f t="shared" si="278"/>
        <v>-211.76999999999998</v>
      </c>
      <c r="CQ567" s="2478"/>
      <c r="CR567" s="2478"/>
      <c r="CS567" s="2478"/>
      <c r="CT567" s="2478"/>
    </row>
    <row r="568" spans="1:98" hidden="1" x14ac:dyDescent="0.2">
      <c r="A568" s="2395">
        <v>420</v>
      </c>
      <c r="B568" s="2440" t="s">
        <v>1214</v>
      </c>
      <c r="C568" s="2396">
        <v>42005</v>
      </c>
      <c r="D568" s="2396">
        <v>53400</v>
      </c>
      <c r="E568" s="2397" t="s">
        <v>1268</v>
      </c>
      <c r="F568" s="2440" t="s">
        <v>1214</v>
      </c>
      <c r="G568" s="2440" t="s">
        <v>1977</v>
      </c>
      <c r="H568" s="2466">
        <v>2215</v>
      </c>
      <c r="I568" s="2470">
        <v>35</v>
      </c>
      <c r="J568" s="2466">
        <f t="shared" si="295"/>
        <v>2250</v>
      </c>
      <c r="K568" s="2468">
        <f t="shared" si="296"/>
        <v>1.580135440180587E-2</v>
      </c>
      <c r="M568" s="2467">
        <v>2250</v>
      </c>
      <c r="N568" s="2467">
        <v>2250</v>
      </c>
      <c r="P568" s="2469"/>
      <c r="R568" s="2466">
        <v>2250</v>
      </c>
      <c r="S568" s="2466">
        <v>2073.54</v>
      </c>
      <c r="U568" s="2466">
        <v>2250</v>
      </c>
      <c r="V568" s="2470">
        <v>0</v>
      </c>
      <c r="W568" s="2466">
        <f t="shared" si="297"/>
        <v>2250</v>
      </c>
      <c r="X568" s="2468">
        <f t="shared" si="298"/>
        <v>0</v>
      </c>
      <c r="Z568" s="2467">
        <v>2250</v>
      </c>
      <c r="AA568" s="2467">
        <v>2250</v>
      </c>
      <c r="AC568" s="2469"/>
      <c r="AE568" s="2466">
        <v>2250</v>
      </c>
      <c r="AF568" s="2471">
        <v>2210.3000000000002</v>
      </c>
      <c r="AH568" s="2466">
        <v>2250</v>
      </c>
      <c r="AI568" s="2470"/>
      <c r="AJ568" s="2466">
        <f t="shared" si="299"/>
        <v>2250</v>
      </c>
      <c r="AK568" s="2468">
        <f t="shared" si="300"/>
        <v>0</v>
      </c>
      <c r="AM568" s="2467">
        <v>2250</v>
      </c>
      <c r="AN568" s="2467">
        <v>2250</v>
      </c>
      <c r="AP568" s="2469"/>
      <c r="AR568" s="2466">
        <v>2250</v>
      </c>
      <c r="AS568" s="2466">
        <v>1487.05</v>
      </c>
      <c r="AT568" s="2466"/>
      <c r="AU568" s="2466">
        <v>2250</v>
      </c>
      <c r="AV568" s="2466">
        <v>247.5</v>
      </c>
      <c r="AX568" s="2466">
        <v>2250</v>
      </c>
      <c r="AY568" s="2542">
        <v>-1500</v>
      </c>
      <c r="AZ568" s="2466">
        <f t="shared" si="301"/>
        <v>750</v>
      </c>
      <c r="BA568" s="2468">
        <f t="shared" si="302"/>
        <v>-0.66666666666666663</v>
      </c>
      <c r="BC568" s="2467">
        <v>750</v>
      </c>
      <c r="BD568" s="2467">
        <v>750</v>
      </c>
      <c r="BF568" s="2543" t="s">
        <v>1273</v>
      </c>
      <c r="BH568" s="2467">
        <v>750</v>
      </c>
      <c r="BI568" s="2466">
        <v>1065.3800000000001</v>
      </c>
      <c r="BM568" s="2466">
        <v>750</v>
      </c>
      <c r="BN568" s="2470"/>
      <c r="BO568" s="2472">
        <f t="shared" si="303"/>
        <v>750</v>
      </c>
      <c r="BP568" s="2473">
        <f t="shared" si="304"/>
        <v>0</v>
      </c>
      <c r="BR568" s="2474">
        <v>750</v>
      </c>
      <c r="BS568" s="2474">
        <v>750</v>
      </c>
      <c r="BU568" s="2544"/>
      <c r="BW568" s="2474">
        <v>750</v>
      </c>
      <c r="BX568" s="2466">
        <v>759.94</v>
      </c>
      <c r="BZ568" s="2474">
        <v>750</v>
      </c>
      <c r="CA568" s="2470"/>
      <c r="CB568" s="2472">
        <f t="shared" si="305"/>
        <v>750</v>
      </c>
      <c r="CC568" s="2473">
        <f t="shared" si="308"/>
        <v>0</v>
      </c>
      <c r="CE568" s="2474">
        <v>750</v>
      </c>
      <c r="CF568" s="2476">
        <f t="shared" si="309"/>
        <v>0</v>
      </c>
      <c r="CG568" s="2474">
        <v>750</v>
      </c>
      <c r="CH568" s="2449" t="s">
        <v>1217</v>
      </c>
      <c r="CI568" s="2449"/>
      <c r="CJ568" s="2450"/>
      <c r="CK568" s="2450"/>
      <c r="CO568" s="2477">
        <v>0.42050666666666681</v>
      </c>
      <c r="CP568" s="2478">
        <f t="shared" si="278"/>
        <v>315.38000000000011</v>
      </c>
      <c r="CQ568" s="2478"/>
      <c r="CR568" s="2478"/>
      <c r="CS568" s="2478"/>
      <c r="CT568" s="2478"/>
    </row>
    <row r="569" spans="1:98" hidden="1" x14ac:dyDescent="0.2">
      <c r="A569" s="2395">
        <v>420</v>
      </c>
      <c r="B569" s="2440" t="s">
        <v>1214</v>
      </c>
      <c r="C569" s="2396">
        <v>42005</v>
      </c>
      <c r="D569" s="2396">
        <v>53430</v>
      </c>
      <c r="E569" s="2397" t="s">
        <v>1268</v>
      </c>
      <c r="F569" s="2440" t="s">
        <v>1214</v>
      </c>
      <c r="G569" s="2440" t="s">
        <v>1978</v>
      </c>
      <c r="H569" s="2466">
        <v>200</v>
      </c>
      <c r="I569" s="2470"/>
      <c r="J569" s="2466">
        <f t="shared" si="295"/>
        <v>200</v>
      </c>
      <c r="K569" s="2468">
        <f t="shared" si="296"/>
        <v>0</v>
      </c>
      <c r="M569" s="2467">
        <v>200</v>
      </c>
      <c r="N569" s="2467">
        <v>200</v>
      </c>
      <c r="P569" s="2469"/>
      <c r="R569" s="2466">
        <v>200</v>
      </c>
      <c r="S569" s="2466">
        <v>37.42</v>
      </c>
      <c r="U569" s="2466">
        <v>200</v>
      </c>
      <c r="V569" s="2470">
        <v>0</v>
      </c>
      <c r="W569" s="2466">
        <f t="shared" si="297"/>
        <v>200</v>
      </c>
      <c r="X569" s="2468">
        <f t="shared" si="298"/>
        <v>0</v>
      </c>
      <c r="Z569" s="2467">
        <v>200</v>
      </c>
      <c r="AA569" s="2467">
        <v>200</v>
      </c>
      <c r="AC569" s="2469"/>
      <c r="AE569" s="2466">
        <v>200</v>
      </c>
      <c r="AF569" s="2471">
        <v>0</v>
      </c>
      <c r="AH569" s="2466">
        <v>200</v>
      </c>
      <c r="AI569" s="2470"/>
      <c r="AJ569" s="2466">
        <f t="shared" si="299"/>
        <v>200</v>
      </c>
      <c r="AK569" s="2468">
        <f t="shared" si="300"/>
        <v>0</v>
      </c>
      <c r="AM569" s="2467">
        <v>200</v>
      </c>
      <c r="AN569" s="2467">
        <v>200</v>
      </c>
      <c r="AP569" s="2469"/>
      <c r="AR569" s="2466">
        <v>200</v>
      </c>
      <c r="AS569" s="2466">
        <v>0</v>
      </c>
      <c r="AT569" s="2466"/>
      <c r="AU569" s="2466">
        <v>200</v>
      </c>
      <c r="AV569" s="2466">
        <v>70.58</v>
      </c>
      <c r="AX569" s="2466">
        <v>200</v>
      </c>
      <c r="AY569" s="2470"/>
      <c r="AZ569" s="2466">
        <f t="shared" si="301"/>
        <v>200</v>
      </c>
      <c r="BA569" s="2468">
        <f t="shared" si="302"/>
        <v>0</v>
      </c>
      <c r="BC569" s="2467">
        <v>200</v>
      </c>
      <c r="BD569" s="2467">
        <v>200</v>
      </c>
      <c r="BF569" s="2469"/>
      <c r="BH569" s="2467">
        <v>200</v>
      </c>
      <c r="BM569" s="2466">
        <v>200</v>
      </c>
      <c r="BN569" s="2470"/>
      <c r="BO569" s="2472">
        <f t="shared" si="303"/>
        <v>200</v>
      </c>
      <c r="BP569" s="2473">
        <f t="shared" si="304"/>
        <v>0</v>
      </c>
      <c r="BR569" s="2474">
        <v>200</v>
      </c>
      <c r="BS569" s="2474">
        <v>200</v>
      </c>
      <c r="BU569" s="2475"/>
      <c r="BW569" s="2474">
        <v>200</v>
      </c>
      <c r="BX569" s="2466">
        <v>9.25</v>
      </c>
      <c r="BZ569" s="2474">
        <v>200</v>
      </c>
      <c r="CA569" s="2470"/>
      <c r="CB569" s="2472">
        <f t="shared" si="305"/>
        <v>200</v>
      </c>
      <c r="CC569" s="2473">
        <f t="shared" si="308"/>
        <v>0</v>
      </c>
      <c r="CE569" s="2474">
        <v>200</v>
      </c>
      <c r="CF569" s="2476">
        <f t="shared" si="309"/>
        <v>0</v>
      </c>
      <c r="CG569" s="2474">
        <v>200</v>
      </c>
      <c r="CH569" s="2449" t="s">
        <v>1217</v>
      </c>
      <c r="CI569" s="2449"/>
      <c r="CJ569" s="2450"/>
      <c r="CK569" s="2450"/>
      <c r="CO569" s="2477" t="s">
        <v>1218</v>
      </c>
      <c r="CP569" s="2478">
        <f t="shared" si="278"/>
        <v>-200</v>
      </c>
      <c r="CQ569" s="2478"/>
      <c r="CR569" s="2478"/>
      <c r="CS569" s="2478"/>
      <c r="CT569" s="2478"/>
    </row>
    <row r="570" spans="1:98" hidden="1" x14ac:dyDescent="0.2">
      <c r="A570" s="2395">
        <v>420</v>
      </c>
      <c r="B570" s="2440" t="s">
        <v>1214</v>
      </c>
      <c r="C570" s="2396">
        <v>42005</v>
      </c>
      <c r="D570" s="2396">
        <v>53450</v>
      </c>
      <c r="E570" s="2397" t="s">
        <v>1268</v>
      </c>
      <c r="F570" s="2440" t="s">
        <v>1214</v>
      </c>
      <c r="G570" s="2440" t="s">
        <v>1979</v>
      </c>
      <c r="H570" s="2466">
        <v>750</v>
      </c>
      <c r="I570" s="2470">
        <v>15</v>
      </c>
      <c r="J570" s="2466">
        <f t="shared" si="295"/>
        <v>765</v>
      </c>
      <c r="K570" s="2468">
        <f t="shared" si="296"/>
        <v>0.02</v>
      </c>
      <c r="M570" s="2467">
        <v>765</v>
      </c>
      <c r="N570" s="2467">
        <v>765</v>
      </c>
      <c r="P570" s="2469"/>
      <c r="R570" s="2466">
        <v>765</v>
      </c>
      <c r="S570" s="2466">
        <v>639</v>
      </c>
      <c r="U570" s="2466">
        <v>765</v>
      </c>
      <c r="V570" s="2470">
        <v>0</v>
      </c>
      <c r="W570" s="2466">
        <f t="shared" si="297"/>
        <v>765</v>
      </c>
      <c r="X570" s="2468">
        <f t="shared" si="298"/>
        <v>0</v>
      </c>
      <c r="Z570" s="2467">
        <v>765</v>
      </c>
      <c r="AA570" s="2467">
        <v>765</v>
      </c>
      <c r="AC570" s="2469"/>
      <c r="AE570" s="2466">
        <v>765</v>
      </c>
      <c r="AF570" s="2471">
        <v>0</v>
      </c>
      <c r="AH570" s="2466">
        <v>765</v>
      </c>
      <c r="AI570" s="2470"/>
      <c r="AJ570" s="2466">
        <f t="shared" si="299"/>
        <v>765</v>
      </c>
      <c r="AK570" s="2468">
        <f t="shared" si="300"/>
        <v>0</v>
      </c>
      <c r="AM570" s="2467">
        <v>765</v>
      </c>
      <c r="AN570" s="2467">
        <v>765</v>
      </c>
      <c r="AP570" s="2469"/>
      <c r="AR570" s="2466">
        <v>765</v>
      </c>
      <c r="AS570" s="2466">
        <v>751.4</v>
      </c>
      <c r="AT570" s="2466"/>
      <c r="AU570" s="2466">
        <v>765</v>
      </c>
      <c r="AV570" s="2466">
        <v>633.67999999999995</v>
      </c>
      <c r="AX570" s="2466">
        <v>765</v>
      </c>
      <c r="AY570" s="2470"/>
      <c r="AZ570" s="2466">
        <f t="shared" si="301"/>
        <v>765</v>
      </c>
      <c r="BA570" s="2468">
        <f t="shared" si="302"/>
        <v>0</v>
      </c>
      <c r="BC570" s="2467">
        <v>765</v>
      </c>
      <c r="BD570" s="2467">
        <v>765</v>
      </c>
      <c r="BF570" s="2469"/>
      <c r="BH570" s="2467">
        <v>765</v>
      </c>
      <c r="BI570" s="2466">
        <v>670.95</v>
      </c>
      <c r="BM570" s="2466">
        <v>765</v>
      </c>
      <c r="BN570" s="2470"/>
      <c r="BO570" s="2472">
        <f t="shared" si="303"/>
        <v>765</v>
      </c>
      <c r="BP570" s="2473">
        <f t="shared" si="304"/>
        <v>0</v>
      </c>
      <c r="BR570" s="2474">
        <v>765</v>
      </c>
      <c r="BS570" s="2474">
        <v>765</v>
      </c>
      <c r="BU570" s="2475"/>
      <c r="BW570" s="2474">
        <v>765</v>
      </c>
      <c r="BZ570" s="2474">
        <v>765</v>
      </c>
      <c r="CA570" s="2470"/>
      <c r="CB570" s="2472">
        <f t="shared" si="305"/>
        <v>765</v>
      </c>
      <c r="CC570" s="2473">
        <f t="shared" si="308"/>
        <v>0</v>
      </c>
      <c r="CE570" s="2474">
        <v>765</v>
      </c>
      <c r="CF570" s="2476">
        <f t="shared" si="309"/>
        <v>0</v>
      </c>
      <c r="CG570" s="2474">
        <v>765</v>
      </c>
      <c r="CH570" s="2449" t="s">
        <v>1217</v>
      </c>
      <c r="CI570" s="2449"/>
      <c r="CJ570" s="2450"/>
      <c r="CK570" s="2450"/>
      <c r="CO570" s="2477">
        <v>-0.12294117647058822</v>
      </c>
      <c r="CP570" s="2478">
        <f t="shared" si="278"/>
        <v>-94.049999999999955</v>
      </c>
      <c r="CQ570" s="2478"/>
      <c r="CR570" s="2478"/>
      <c r="CS570" s="2478"/>
      <c r="CT570" s="2478"/>
    </row>
    <row r="571" spans="1:98" hidden="1" x14ac:dyDescent="0.2">
      <c r="A571" s="2395">
        <v>420</v>
      </c>
      <c r="B571" s="2440" t="s">
        <v>1214</v>
      </c>
      <c r="C571" s="2396">
        <v>42005</v>
      </c>
      <c r="D571" s="2396">
        <v>53800</v>
      </c>
      <c r="E571" s="2397" t="s">
        <v>1268</v>
      </c>
      <c r="F571" s="2440" t="s">
        <v>1214</v>
      </c>
      <c r="G571" s="2440" t="s">
        <v>1980</v>
      </c>
      <c r="H571" s="2466">
        <v>1650</v>
      </c>
      <c r="I571" s="2470">
        <v>30</v>
      </c>
      <c r="J571" s="2466">
        <f t="shared" si="295"/>
        <v>1680</v>
      </c>
      <c r="K571" s="2468">
        <f t="shared" si="296"/>
        <v>1.8181818181818181E-2</v>
      </c>
      <c r="M571" s="2467">
        <v>1680</v>
      </c>
      <c r="N571" s="2467">
        <v>1680</v>
      </c>
      <c r="P571" s="2469"/>
      <c r="R571" s="2466">
        <v>1680</v>
      </c>
      <c r="S571" s="2466">
        <v>148</v>
      </c>
      <c r="U571" s="2466">
        <v>1680</v>
      </c>
      <c r="V571" s="2470">
        <v>0</v>
      </c>
      <c r="W571" s="2466">
        <f t="shared" si="297"/>
        <v>1680</v>
      </c>
      <c r="X571" s="2468">
        <f t="shared" si="298"/>
        <v>0</v>
      </c>
      <c r="Z571" s="2467">
        <v>1680</v>
      </c>
      <c r="AA571" s="2467">
        <v>1680</v>
      </c>
      <c r="AC571" s="2469"/>
      <c r="AE571" s="2466">
        <v>1680</v>
      </c>
      <c r="AF571" s="2471">
        <v>211</v>
      </c>
      <c r="AH571" s="2466">
        <v>1680</v>
      </c>
      <c r="AI571" s="2470"/>
      <c r="AJ571" s="2466">
        <f t="shared" si="299"/>
        <v>1680</v>
      </c>
      <c r="AK571" s="2468">
        <f t="shared" si="300"/>
        <v>0</v>
      </c>
      <c r="AM571" s="2467">
        <v>1680</v>
      </c>
      <c r="AN571" s="2467">
        <v>1680</v>
      </c>
      <c r="AP571" s="2469"/>
      <c r="AR571" s="2466">
        <v>1680</v>
      </c>
      <c r="AS571" s="2466">
        <v>469.5</v>
      </c>
      <c r="AT571" s="2466"/>
      <c r="AU571" s="2466">
        <v>1680</v>
      </c>
      <c r="AV571" s="2466">
        <v>477.44</v>
      </c>
      <c r="AX571" s="2466">
        <v>1680</v>
      </c>
      <c r="AY571" s="2542">
        <v>-680</v>
      </c>
      <c r="AZ571" s="2466">
        <f t="shared" si="301"/>
        <v>1000</v>
      </c>
      <c r="BA571" s="2468">
        <f t="shared" si="302"/>
        <v>-0.40476190476190477</v>
      </c>
      <c r="BC571" s="2467">
        <v>1000</v>
      </c>
      <c r="BD571" s="2467">
        <v>1000</v>
      </c>
      <c r="BF571" s="2543" t="s">
        <v>1273</v>
      </c>
      <c r="BH571" s="2467">
        <v>1000</v>
      </c>
      <c r="BI571" s="2466">
        <v>351.5</v>
      </c>
      <c r="BM571" s="2466">
        <v>1000</v>
      </c>
      <c r="BN571" s="2470">
        <v>-500</v>
      </c>
      <c r="BO571" s="2472">
        <f t="shared" si="303"/>
        <v>500</v>
      </c>
      <c r="BP571" s="2473">
        <f t="shared" si="304"/>
        <v>-0.5</v>
      </c>
      <c r="BR571" s="2474">
        <v>500</v>
      </c>
      <c r="BS571" s="2474">
        <v>500</v>
      </c>
      <c r="BU571" s="2578" t="s">
        <v>1430</v>
      </c>
      <c r="BW571" s="2474">
        <v>500</v>
      </c>
      <c r="BZ571" s="2474">
        <v>500</v>
      </c>
      <c r="CA571" s="2470"/>
      <c r="CB571" s="2472">
        <f t="shared" si="305"/>
        <v>500</v>
      </c>
      <c r="CC571" s="2473">
        <f t="shared" si="308"/>
        <v>0</v>
      </c>
      <c r="CE571" s="2474">
        <v>500</v>
      </c>
      <c r="CF571" s="2476">
        <f t="shared" si="309"/>
        <v>0</v>
      </c>
      <c r="CG571" s="2474">
        <v>500</v>
      </c>
      <c r="CH571" s="2449" t="s">
        <v>1217</v>
      </c>
      <c r="CI571" s="2449"/>
      <c r="CJ571" s="2450"/>
      <c r="CK571" s="2450"/>
      <c r="CO571" s="2477">
        <v>-0.64850000000000008</v>
      </c>
      <c r="CP571" s="2478">
        <f t="shared" si="278"/>
        <v>-648.5</v>
      </c>
      <c r="CQ571" s="2478"/>
      <c r="CR571" s="2478"/>
      <c r="CS571" s="2478"/>
      <c r="CT571" s="2478"/>
    </row>
    <row r="572" spans="1:98" hidden="1" x14ac:dyDescent="0.2">
      <c r="A572" s="2395">
        <v>420</v>
      </c>
      <c r="B572" s="2440" t="s">
        <v>1214</v>
      </c>
      <c r="C572" s="2396">
        <v>42005</v>
      </c>
      <c r="D572" s="2396">
        <v>53870</v>
      </c>
      <c r="E572" s="2397" t="s">
        <v>1268</v>
      </c>
      <c r="F572" s="2440" t="s">
        <v>1214</v>
      </c>
      <c r="G572" s="2440" t="s">
        <v>1981</v>
      </c>
      <c r="H572" s="2466">
        <v>3000</v>
      </c>
      <c r="I572" s="2470">
        <v>2000</v>
      </c>
      <c r="J572" s="2466">
        <f>H572+I572</f>
        <v>5000</v>
      </c>
      <c r="K572" s="2468">
        <f>IF(H572=0," ",(J572-H572)/H572)</f>
        <v>0.66666666666666663</v>
      </c>
      <c r="M572" s="2467">
        <v>5000</v>
      </c>
      <c r="N572" s="2467">
        <v>5000</v>
      </c>
      <c r="P572" s="2469"/>
      <c r="R572" s="2466">
        <v>5000</v>
      </c>
      <c r="S572" s="2466">
        <v>12927.6</v>
      </c>
      <c r="U572" s="2466">
        <v>5000</v>
      </c>
      <c r="V572" s="2470">
        <v>0</v>
      </c>
      <c r="W572" s="2466">
        <f>U572+V572</f>
        <v>5000</v>
      </c>
      <c r="X572" s="2468">
        <f>IF(U572=0," ",(W572-U572)/U572)</f>
        <v>0</v>
      </c>
      <c r="Z572" s="2467">
        <v>5000</v>
      </c>
      <c r="AA572" s="2467">
        <v>5000</v>
      </c>
      <c r="AC572" s="2469"/>
      <c r="AE572" s="2466">
        <v>5000</v>
      </c>
      <c r="AF572" s="2471">
        <v>5712.2</v>
      </c>
      <c r="AH572" s="2466">
        <v>5000</v>
      </c>
      <c r="AI572" s="2470"/>
      <c r="AJ572" s="2466">
        <f>AH572+AI572</f>
        <v>5000</v>
      </c>
      <c r="AK572" s="2468">
        <f>IF(AH572=0," ",(AJ572-AH572)/AH572)</f>
        <v>0</v>
      </c>
      <c r="AM572" s="2467">
        <v>5000</v>
      </c>
      <c r="AN572" s="2467">
        <v>5000</v>
      </c>
      <c r="AP572" s="2469"/>
      <c r="AR572" s="2466">
        <v>5000</v>
      </c>
      <c r="AS572" s="2466">
        <v>3286.48</v>
      </c>
      <c r="AT572" s="2466"/>
      <c r="AU572" s="2466">
        <v>5000</v>
      </c>
      <c r="AV572" s="2466">
        <v>7145.6</v>
      </c>
      <c r="AX572" s="2466">
        <v>5000</v>
      </c>
      <c r="AY572" s="2470"/>
      <c r="AZ572" s="2466">
        <f t="shared" si="301"/>
        <v>5000</v>
      </c>
      <c r="BA572" s="2468">
        <f t="shared" si="302"/>
        <v>0</v>
      </c>
      <c r="BC572" s="2467">
        <v>5000</v>
      </c>
      <c r="BD572" s="2467">
        <v>5000</v>
      </c>
      <c r="BF572" s="2469"/>
      <c r="BH572" s="2467">
        <v>5000</v>
      </c>
      <c r="BI572" s="2466">
        <v>6930</v>
      </c>
      <c r="BM572" s="2466">
        <v>5000</v>
      </c>
      <c r="BN572" s="2470"/>
      <c r="BO572" s="2472">
        <f t="shared" si="303"/>
        <v>5000</v>
      </c>
      <c r="BP572" s="2473">
        <f t="shared" si="304"/>
        <v>0</v>
      </c>
      <c r="BR572" s="2474">
        <v>5000</v>
      </c>
      <c r="BS572" s="2474">
        <v>5000</v>
      </c>
      <c r="BU572" s="2475"/>
      <c r="BW572" s="2474">
        <v>5000</v>
      </c>
      <c r="BX572" s="2466">
        <v>960</v>
      </c>
      <c r="BZ572" s="2474">
        <v>5000</v>
      </c>
      <c r="CA572" s="2470"/>
      <c r="CB572" s="2472">
        <f t="shared" si="305"/>
        <v>5000</v>
      </c>
      <c r="CC572" s="2473">
        <f t="shared" si="308"/>
        <v>0</v>
      </c>
      <c r="CE572" s="2474">
        <v>5000</v>
      </c>
      <c r="CF572" s="2476">
        <f t="shared" si="309"/>
        <v>0</v>
      </c>
      <c r="CG572" s="2474">
        <v>5000</v>
      </c>
      <c r="CH572" s="2449" t="s">
        <v>1217</v>
      </c>
      <c r="CI572" s="2449"/>
      <c r="CJ572" s="2450"/>
      <c r="CK572" s="2450"/>
      <c r="CO572" s="2477">
        <v>0.3859999999999999</v>
      </c>
      <c r="CP572" s="2478">
        <f t="shared" si="278"/>
        <v>1930</v>
      </c>
      <c r="CQ572" s="2478"/>
      <c r="CR572" s="2478"/>
      <c r="CS572" s="2478"/>
      <c r="CT572" s="2478"/>
    </row>
    <row r="573" spans="1:98" hidden="1" x14ac:dyDescent="0.2">
      <c r="A573" s="2395">
        <v>420</v>
      </c>
      <c r="B573" s="2440" t="s">
        <v>1214</v>
      </c>
      <c r="C573" s="2396">
        <v>42005</v>
      </c>
      <c r="D573" s="2396">
        <v>54100</v>
      </c>
      <c r="E573" s="2397" t="s">
        <v>1268</v>
      </c>
      <c r="F573" s="2440" t="s">
        <v>1214</v>
      </c>
      <c r="G573" s="2440" t="s">
        <v>1982</v>
      </c>
      <c r="H573" s="2466">
        <v>62000</v>
      </c>
      <c r="I573" s="2470">
        <v>-2000</v>
      </c>
      <c r="J573" s="2466">
        <f t="shared" si="295"/>
        <v>60000</v>
      </c>
      <c r="K573" s="2468">
        <f t="shared" si="296"/>
        <v>-3.2258064516129031E-2</v>
      </c>
      <c r="M573" s="2467">
        <v>60000</v>
      </c>
      <c r="N573" s="2467">
        <v>60000</v>
      </c>
      <c r="P573" s="2469"/>
      <c r="R573" s="2466">
        <v>60000</v>
      </c>
      <c r="S573" s="2466">
        <v>31864.26</v>
      </c>
      <c r="U573" s="2466">
        <v>60000</v>
      </c>
      <c r="V573" s="2470">
        <v>-6000</v>
      </c>
      <c r="W573" s="2466">
        <f t="shared" si="297"/>
        <v>54000</v>
      </c>
      <c r="X573" s="2468">
        <f t="shared" si="298"/>
        <v>-0.1</v>
      </c>
      <c r="Z573" s="2467">
        <v>54000</v>
      </c>
      <c r="AA573" s="2467">
        <v>54000</v>
      </c>
      <c r="AC573" s="2469"/>
      <c r="AE573" s="2466">
        <v>54000</v>
      </c>
      <c r="AF573" s="2471">
        <v>44636.54</v>
      </c>
      <c r="AH573" s="2466">
        <v>54000</v>
      </c>
      <c r="AI573" s="2470"/>
      <c r="AJ573" s="2466">
        <f t="shared" si="299"/>
        <v>54000</v>
      </c>
      <c r="AK573" s="2468">
        <f t="shared" si="300"/>
        <v>0</v>
      </c>
      <c r="AM573" s="2467">
        <v>54000</v>
      </c>
      <c r="AN573" s="2467">
        <v>54000</v>
      </c>
      <c r="AP573" s="2469"/>
      <c r="AR573" s="2466">
        <v>54000</v>
      </c>
      <c r="AS573" s="2466">
        <v>35921.01</v>
      </c>
      <c r="AT573" s="2466"/>
      <c r="AU573" s="2466">
        <v>54000</v>
      </c>
      <c r="AV573" s="2466">
        <v>39285.199999999997</v>
      </c>
      <c r="AX573" s="2466">
        <v>54000</v>
      </c>
      <c r="AY573" s="2470"/>
      <c r="AZ573" s="2466">
        <f t="shared" si="301"/>
        <v>54000</v>
      </c>
      <c r="BA573" s="2468">
        <f t="shared" si="302"/>
        <v>0</v>
      </c>
      <c r="BC573" s="2467">
        <v>54000</v>
      </c>
      <c r="BD573" s="2467">
        <v>54000</v>
      </c>
      <c r="BF573" s="2469"/>
      <c r="BH573" s="2467">
        <v>54000</v>
      </c>
      <c r="BI573" s="2466">
        <v>51462.7</v>
      </c>
      <c r="BM573" s="2466">
        <v>54000</v>
      </c>
      <c r="BN573" s="2470"/>
      <c r="BO573" s="2472">
        <f t="shared" si="303"/>
        <v>54000</v>
      </c>
      <c r="BP573" s="2473">
        <f t="shared" si="304"/>
        <v>0</v>
      </c>
      <c r="BR573" s="2474">
        <v>54000</v>
      </c>
      <c r="BS573" s="2474">
        <v>54000</v>
      </c>
      <c r="BU573" s="2475"/>
      <c r="BW573" s="2474">
        <v>54000</v>
      </c>
      <c r="BX573" s="2466">
        <v>42907.85</v>
      </c>
      <c r="BZ573" s="2474">
        <v>54000</v>
      </c>
      <c r="CA573" s="2470">
        <v>-54000</v>
      </c>
      <c r="CB573" s="2472">
        <f t="shared" si="305"/>
        <v>0</v>
      </c>
      <c r="CC573" s="2473">
        <f t="shared" si="308"/>
        <v>-1</v>
      </c>
      <c r="CE573" s="2474">
        <v>0</v>
      </c>
      <c r="CF573" s="2476" t="str">
        <f t="shared" si="309"/>
        <v xml:space="preserve"> </v>
      </c>
      <c r="CG573" s="2474">
        <v>0</v>
      </c>
      <c r="CH573" s="2449" t="s">
        <v>1217</v>
      </c>
      <c r="CI573" s="2449"/>
      <c r="CJ573" s="2450"/>
      <c r="CK573" s="2450"/>
      <c r="CO573" s="2477">
        <v>-4.6987037037037105E-2</v>
      </c>
      <c r="CP573" s="2478">
        <f t="shared" si="278"/>
        <v>-2537.3000000000029</v>
      </c>
      <c r="CQ573" s="2478"/>
      <c r="CR573" s="2478"/>
      <c r="CS573" s="2478"/>
      <c r="CT573" s="2478"/>
    </row>
    <row r="574" spans="1:98" hidden="1" x14ac:dyDescent="0.2">
      <c r="A574" s="2395">
        <v>420</v>
      </c>
      <c r="B574" s="2440" t="s">
        <v>1214</v>
      </c>
      <c r="C574" s="2396">
        <v>42005</v>
      </c>
      <c r="D574" s="2396">
        <v>54200</v>
      </c>
      <c r="E574" s="2397" t="s">
        <v>1268</v>
      </c>
      <c r="F574" s="2440" t="s">
        <v>1214</v>
      </c>
      <c r="G574" s="2440" t="s">
        <v>1983</v>
      </c>
      <c r="H574" s="2466">
        <v>1500</v>
      </c>
      <c r="I574" s="2470">
        <v>300</v>
      </c>
      <c r="J574" s="2466">
        <f t="shared" si="295"/>
        <v>1800</v>
      </c>
      <c r="K574" s="2468">
        <f t="shared" si="296"/>
        <v>0.2</v>
      </c>
      <c r="M574" s="2467">
        <v>1800</v>
      </c>
      <c r="N574" s="2467">
        <v>1800</v>
      </c>
      <c r="P574" s="2469"/>
      <c r="R574" s="2466">
        <v>1800</v>
      </c>
      <c r="S574" s="2466">
        <v>1950.14</v>
      </c>
      <c r="U574" s="2466">
        <v>1800</v>
      </c>
      <c r="V574" s="2470">
        <v>0</v>
      </c>
      <c r="W574" s="2466">
        <f t="shared" si="297"/>
        <v>1800</v>
      </c>
      <c r="X574" s="2468">
        <f t="shared" si="298"/>
        <v>0</v>
      </c>
      <c r="Z574" s="2467">
        <v>1800</v>
      </c>
      <c r="AA574" s="2467">
        <v>1800</v>
      </c>
      <c r="AC574" s="2469"/>
      <c r="AE574" s="2466">
        <v>1800</v>
      </c>
      <c r="AF574" s="2471">
        <v>2612.65</v>
      </c>
      <c r="AH574" s="2466">
        <v>1800</v>
      </c>
      <c r="AI574" s="2470"/>
      <c r="AJ574" s="2466">
        <f t="shared" si="299"/>
        <v>1800</v>
      </c>
      <c r="AK574" s="2468">
        <f t="shared" si="300"/>
        <v>0</v>
      </c>
      <c r="AM574" s="2467">
        <v>1800</v>
      </c>
      <c r="AN574" s="2467">
        <v>1800</v>
      </c>
      <c r="AP574" s="2469"/>
      <c r="AR574" s="2466">
        <v>1800</v>
      </c>
      <c r="AS574" s="2466">
        <v>4698.33</v>
      </c>
      <c r="AT574" s="2466"/>
      <c r="AU574" s="2466">
        <v>1800</v>
      </c>
      <c r="AV574" s="2466">
        <v>4757.3</v>
      </c>
      <c r="AX574" s="2466">
        <v>1800</v>
      </c>
      <c r="AY574" s="2542">
        <v>680</v>
      </c>
      <c r="AZ574" s="2466">
        <f t="shared" si="301"/>
        <v>2480</v>
      </c>
      <c r="BA574" s="2468">
        <f t="shared" si="302"/>
        <v>0.37777777777777777</v>
      </c>
      <c r="BC574" s="2467">
        <v>2480</v>
      </c>
      <c r="BD574" s="2467">
        <v>2480</v>
      </c>
      <c r="BF574" s="2543" t="s">
        <v>1273</v>
      </c>
      <c r="BH574" s="2467">
        <v>2480</v>
      </c>
      <c r="BI574" s="2466">
        <v>2749.23</v>
      </c>
      <c r="BM574" s="2466">
        <v>2480</v>
      </c>
      <c r="BN574" s="2470"/>
      <c r="BO574" s="2472">
        <f t="shared" si="303"/>
        <v>2480</v>
      </c>
      <c r="BP574" s="2473">
        <f t="shared" si="304"/>
        <v>0</v>
      </c>
      <c r="BR574" s="2474">
        <v>2480</v>
      </c>
      <c r="BS574" s="2474">
        <v>2480</v>
      </c>
      <c r="BU574" s="2544"/>
      <c r="BW574" s="2474">
        <v>2480</v>
      </c>
      <c r="BX574" s="2466">
        <v>1061.3900000000001</v>
      </c>
      <c r="BZ574" s="2474">
        <v>2480</v>
      </c>
      <c r="CA574" s="2470"/>
      <c r="CB574" s="2472">
        <f t="shared" si="305"/>
        <v>2480</v>
      </c>
      <c r="CC574" s="2473">
        <f t="shared" si="308"/>
        <v>0</v>
      </c>
      <c r="CE574" s="2474">
        <v>2480</v>
      </c>
      <c r="CF574" s="2476">
        <f t="shared" si="309"/>
        <v>0</v>
      </c>
      <c r="CG574" s="2474">
        <v>2480</v>
      </c>
      <c r="CH574" s="2449" t="s">
        <v>1217</v>
      </c>
      <c r="CI574" s="2449"/>
      <c r="CJ574" s="2450"/>
      <c r="CK574" s="2450"/>
      <c r="CO574" s="2477">
        <v>0.10856048387096773</v>
      </c>
      <c r="CP574" s="2478">
        <f t="shared" si="278"/>
        <v>269.23</v>
      </c>
      <c r="CQ574" s="2478"/>
      <c r="CR574" s="2478"/>
      <c r="CS574" s="2478"/>
      <c r="CT574" s="2478"/>
    </row>
    <row r="575" spans="1:98" hidden="1" x14ac:dyDescent="0.2">
      <c r="A575" s="2395">
        <v>420</v>
      </c>
      <c r="B575" s="2440" t="s">
        <v>1214</v>
      </c>
      <c r="C575" s="2396">
        <v>42005</v>
      </c>
      <c r="D575" s="2396">
        <v>54202</v>
      </c>
      <c r="E575" s="2397" t="s">
        <v>1268</v>
      </c>
      <c r="F575" s="2440" t="s">
        <v>1214</v>
      </c>
      <c r="G575" s="2440" t="s">
        <v>1984</v>
      </c>
      <c r="H575" s="2466">
        <v>1100</v>
      </c>
      <c r="I575" s="2470"/>
      <c r="J575" s="2466">
        <f>H575+I575</f>
        <v>1100</v>
      </c>
      <c r="K575" s="2468">
        <f>IF(H575=0," ",(J575-H575)/H575)</f>
        <v>0</v>
      </c>
      <c r="M575" s="2467">
        <v>1100</v>
      </c>
      <c r="N575" s="2467">
        <v>1100</v>
      </c>
      <c r="P575" s="2469"/>
      <c r="R575" s="2466">
        <v>1100</v>
      </c>
      <c r="S575" s="2466">
        <v>680.93</v>
      </c>
      <c r="U575" s="2466">
        <v>1100</v>
      </c>
      <c r="V575" s="2470">
        <v>0</v>
      </c>
      <c r="W575" s="2466">
        <f>U575+V575</f>
        <v>1100</v>
      </c>
      <c r="X575" s="2468">
        <f>IF(U575=0," ",(W575-U575)/U575)</f>
        <v>0</v>
      </c>
      <c r="Z575" s="2467">
        <v>1100</v>
      </c>
      <c r="AA575" s="2467">
        <v>1100</v>
      </c>
      <c r="AC575" s="2469"/>
      <c r="AE575" s="2466">
        <v>1100</v>
      </c>
      <c r="AF575" s="2471">
        <v>149.99</v>
      </c>
      <c r="AH575" s="2466">
        <v>1100</v>
      </c>
      <c r="AI575" s="2470"/>
      <c r="AJ575" s="2466">
        <f>AH575+AI575</f>
        <v>1100</v>
      </c>
      <c r="AK575" s="2468">
        <f>IF(AH575=0," ",(AJ575-AH575)/AH575)</f>
        <v>0</v>
      </c>
      <c r="AM575" s="2467">
        <v>1100</v>
      </c>
      <c r="AN575" s="2467">
        <v>1100</v>
      </c>
      <c r="AP575" s="2469"/>
      <c r="AR575" s="2466">
        <v>1100</v>
      </c>
      <c r="AS575" s="2466">
        <v>898.64</v>
      </c>
      <c r="AT575" s="2466"/>
      <c r="AU575" s="2466">
        <v>1100</v>
      </c>
      <c r="AV575" s="2466">
        <v>0</v>
      </c>
      <c r="AX575" s="2466">
        <v>1100</v>
      </c>
      <c r="AY575" s="2470"/>
      <c r="AZ575" s="2466">
        <f t="shared" si="301"/>
        <v>1100</v>
      </c>
      <c r="BA575" s="2468">
        <f t="shared" si="302"/>
        <v>0</v>
      </c>
      <c r="BC575" s="2467">
        <v>1100</v>
      </c>
      <c r="BD575" s="2467">
        <v>1100</v>
      </c>
      <c r="BF575" s="2469"/>
      <c r="BH575" s="2467">
        <v>1100</v>
      </c>
      <c r="BI575" s="2466">
        <v>2740.35</v>
      </c>
      <c r="BM575" s="2466">
        <v>1100</v>
      </c>
      <c r="BN575" s="2470"/>
      <c r="BO575" s="2472">
        <f t="shared" si="303"/>
        <v>1100</v>
      </c>
      <c r="BP575" s="2473">
        <f t="shared" si="304"/>
        <v>0</v>
      </c>
      <c r="BR575" s="2474">
        <v>1100</v>
      </c>
      <c r="BS575" s="2474">
        <v>1100</v>
      </c>
      <c r="BU575" s="2475"/>
      <c r="BW575" s="2474">
        <v>1100</v>
      </c>
      <c r="BZ575" s="2474">
        <v>1100</v>
      </c>
      <c r="CA575" s="2470"/>
      <c r="CB575" s="2472">
        <f t="shared" si="305"/>
        <v>1100</v>
      </c>
      <c r="CC575" s="2473">
        <f t="shared" si="308"/>
        <v>0</v>
      </c>
      <c r="CE575" s="2474">
        <v>1100</v>
      </c>
      <c r="CF575" s="2476">
        <f t="shared" si="309"/>
        <v>0</v>
      </c>
      <c r="CG575" s="2474">
        <v>1100</v>
      </c>
      <c r="CH575" s="2449" t="s">
        <v>1217</v>
      </c>
      <c r="CI575" s="2449"/>
      <c r="CJ575" s="2450"/>
      <c r="CK575" s="2450"/>
      <c r="CO575" s="2477">
        <v>1.4912272727272726</v>
      </c>
      <c r="CP575" s="2478">
        <f t="shared" si="278"/>
        <v>1640.35</v>
      </c>
      <c r="CQ575" s="2478"/>
      <c r="CR575" s="2478"/>
      <c r="CS575" s="2478"/>
      <c r="CT575" s="2478"/>
    </row>
    <row r="576" spans="1:98" hidden="1" x14ac:dyDescent="0.2">
      <c r="A576" s="2395">
        <v>420</v>
      </c>
      <c r="B576" s="2440" t="s">
        <v>1214</v>
      </c>
      <c r="C576" s="2396">
        <v>42005</v>
      </c>
      <c r="D576" s="2396">
        <v>54295</v>
      </c>
      <c r="E576" s="2397" t="s">
        <v>1268</v>
      </c>
      <c r="F576" s="2440" t="s">
        <v>1214</v>
      </c>
      <c r="G576" s="2440" t="s">
        <v>1985</v>
      </c>
      <c r="I576" s="2470"/>
      <c r="M576" s="2467"/>
      <c r="N576" s="2467"/>
      <c r="P576" s="2469"/>
      <c r="V576" s="2470"/>
      <c r="Z576" s="2467"/>
      <c r="AA576" s="2467"/>
      <c r="AC576" s="2469"/>
      <c r="AI576" s="2470"/>
      <c r="AM576" s="2467"/>
      <c r="AN576" s="2467"/>
      <c r="AP576" s="2469"/>
      <c r="AS576" s="2466"/>
      <c r="AT576" s="2466"/>
      <c r="AY576" s="2470"/>
      <c r="BC576" s="2467"/>
      <c r="BD576" s="2467"/>
      <c r="BF576" s="2469"/>
      <c r="BH576" s="2467"/>
      <c r="BN576" s="2470">
        <v>400</v>
      </c>
      <c r="BO576" s="2472">
        <f>BM576+BN576</f>
        <v>400</v>
      </c>
      <c r="BP576" s="2473" t="str">
        <f>IF(BM576=0," ",(BO576-BM576)/BM576)</f>
        <v xml:space="preserve"> </v>
      </c>
      <c r="BR576" s="2474">
        <v>400</v>
      </c>
      <c r="BS576" s="2474">
        <v>400</v>
      </c>
      <c r="BU576" s="2578" t="s">
        <v>1986</v>
      </c>
      <c r="BW576" s="2474">
        <v>400</v>
      </c>
      <c r="BX576" s="2466">
        <v>199.99</v>
      </c>
      <c r="BZ576" s="2474">
        <v>400</v>
      </c>
      <c r="CA576" s="2470"/>
      <c r="CB576" s="2472">
        <f>BZ576+CA576</f>
        <v>400</v>
      </c>
      <c r="CC576" s="2473">
        <f>IF(BZ576=0," ",(CB576-BZ576)/BZ576)</f>
        <v>0</v>
      </c>
      <c r="CE576" s="2474">
        <v>400</v>
      </c>
      <c r="CF576" s="2476">
        <f t="shared" si="309"/>
        <v>0</v>
      </c>
      <c r="CG576" s="2474">
        <v>400</v>
      </c>
      <c r="CH576" s="2449" t="s">
        <v>1217</v>
      </c>
      <c r="CI576" s="2449"/>
      <c r="CJ576" s="2450"/>
      <c r="CK576" s="2450"/>
      <c r="CP576" s="2478">
        <f t="shared" si="278"/>
        <v>0</v>
      </c>
      <c r="CQ576" s="2478"/>
      <c r="CR576" s="2478"/>
      <c r="CS576" s="2478"/>
      <c r="CT576" s="2478"/>
    </row>
    <row r="577" spans="1:98" hidden="1" x14ac:dyDescent="0.2">
      <c r="A577" s="2395">
        <v>420</v>
      </c>
      <c r="B577" s="2440" t="s">
        <v>1214</v>
      </c>
      <c r="C577" s="2396">
        <v>42005</v>
      </c>
      <c r="D577" s="2396">
        <v>54300</v>
      </c>
      <c r="E577" s="2397" t="s">
        <v>1268</v>
      </c>
      <c r="F577" s="2440" t="s">
        <v>1214</v>
      </c>
      <c r="G577" s="2440" t="s">
        <v>1987</v>
      </c>
      <c r="H577" s="2466">
        <v>1000</v>
      </c>
      <c r="I577" s="2470"/>
      <c r="J577" s="2466">
        <f t="shared" si="295"/>
        <v>1000</v>
      </c>
      <c r="K577" s="2468">
        <f t="shared" si="296"/>
        <v>0</v>
      </c>
      <c r="M577" s="2467">
        <v>1000</v>
      </c>
      <c r="N577" s="2467">
        <v>1000</v>
      </c>
      <c r="P577" s="2469"/>
      <c r="R577" s="2466">
        <v>1000</v>
      </c>
      <c r="S577" s="2466">
        <v>1751.37</v>
      </c>
      <c r="U577" s="2466">
        <v>1000</v>
      </c>
      <c r="V577" s="2470">
        <v>0</v>
      </c>
      <c r="W577" s="2466">
        <f t="shared" si="297"/>
        <v>1000</v>
      </c>
      <c r="X577" s="2468">
        <f t="shared" si="298"/>
        <v>0</v>
      </c>
      <c r="Z577" s="2467">
        <v>1000</v>
      </c>
      <c r="AA577" s="2467">
        <v>1000</v>
      </c>
      <c r="AC577" s="2469"/>
      <c r="AE577" s="2466">
        <v>1000</v>
      </c>
      <c r="AF577" s="2471">
        <v>217.02</v>
      </c>
      <c r="AH577" s="2466">
        <v>1000</v>
      </c>
      <c r="AI577" s="2470"/>
      <c r="AJ577" s="2466">
        <f t="shared" si="299"/>
        <v>1000</v>
      </c>
      <c r="AK577" s="2468">
        <f t="shared" si="300"/>
        <v>0</v>
      </c>
      <c r="AM577" s="2467">
        <v>1000</v>
      </c>
      <c r="AN577" s="2467">
        <v>1000</v>
      </c>
      <c r="AP577" s="2469"/>
      <c r="AR577" s="2466">
        <v>1000</v>
      </c>
      <c r="AS577" s="2466">
        <v>0</v>
      </c>
      <c r="AT577" s="2466"/>
      <c r="AU577" s="2466">
        <v>1000</v>
      </c>
      <c r="AV577" s="2466">
        <v>1000</v>
      </c>
      <c r="AX577" s="2466">
        <v>1000</v>
      </c>
      <c r="AY577" s="2542">
        <v>-1000</v>
      </c>
      <c r="AZ577" s="2466">
        <f t="shared" si="301"/>
        <v>0</v>
      </c>
      <c r="BA577" s="2468">
        <f t="shared" si="302"/>
        <v>-1</v>
      </c>
      <c r="BC577" s="2467">
        <v>0</v>
      </c>
      <c r="BD577" s="2467">
        <v>0</v>
      </c>
      <c r="BF577" s="2543" t="s">
        <v>1273</v>
      </c>
      <c r="BH577" s="2467">
        <v>0</v>
      </c>
      <c r="BM577" s="2466">
        <v>0</v>
      </c>
      <c r="BN577" s="2470"/>
      <c r="BO577" s="2472">
        <f t="shared" si="303"/>
        <v>0</v>
      </c>
      <c r="BP577" s="2473" t="str">
        <f t="shared" si="304"/>
        <v xml:space="preserve"> </v>
      </c>
      <c r="BR577" s="2474">
        <v>0</v>
      </c>
      <c r="BS577" s="2474">
        <v>0</v>
      </c>
      <c r="BU577" s="2544"/>
      <c r="BW577" s="2474">
        <v>0</v>
      </c>
      <c r="BZ577" s="2474">
        <v>0</v>
      </c>
      <c r="CA577" s="2470"/>
      <c r="CB577" s="2472">
        <f t="shared" si="305"/>
        <v>0</v>
      </c>
      <c r="CC577" s="2473" t="str">
        <f t="shared" si="308"/>
        <v xml:space="preserve"> </v>
      </c>
      <c r="CE577" s="2474">
        <v>0</v>
      </c>
      <c r="CF577" s="2476" t="str">
        <f t="shared" si="309"/>
        <v xml:space="preserve"> </v>
      </c>
      <c r="CG577" s="2474">
        <v>0</v>
      </c>
      <c r="CH577" s="2449" t="s">
        <v>1217</v>
      </c>
      <c r="CI577" s="2449"/>
      <c r="CJ577" s="2450"/>
      <c r="CK577" s="2450"/>
      <c r="CP577" s="2478">
        <f t="shared" si="278"/>
        <v>0</v>
      </c>
      <c r="CQ577" s="2478"/>
      <c r="CR577" s="2478"/>
      <c r="CS577" s="2478"/>
      <c r="CT577" s="2478"/>
    </row>
    <row r="578" spans="1:98" hidden="1" x14ac:dyDescent="0.2">
      <c r="A578" s="2395">
        <v>420</v>
      </c>
      <c r="B578" s="2440" t="s">
        <v>1214</v>
      </c>
      <c r="C578" s="2396">
        <v>42005</v>
      </c>
      <c r="D578" s="2396">
        <v>54400</v>
      </c>
      <c r="E578" s="2397" t="s">
        <v>1268</v>
      </c>
      <c r="F578" s="2440" t="s">
        <v>1214</v>
      </c>
      <c r="G578" s="2440" t="s">
        <v>1988</v>
      </c>
      <c r="H578" s="2466">
        <v>3250</v>
      </c>
      <c r="I578" s="2470">
        <v>65</v>
      </c>
      <c r="J578" s="2466">
        <f t="shared" si="295"/>
        <v>3315</v>
      </c>
      <c r="K578" s="2468">
        <f t="shared" si="296"/>
        <v>0.02</v>
      </c>
      <c r="M578" s="2467">
        <v>3315</v>
      </c>
      <c r="N578" s="2467">
        <v>3315</v>
      </c>
      <c r="P578" s="2469"/>
      <c r="R578" s="2466">
        <v>3315</v>
      </c>
      <c r="S578" s="2466">
        <v>591</v>
      </c>
      <c r="U578" s="2466">
        <v>3315</v>
      </c>
      <c r="V578" s="2470">
        <v>0</v>
      </c>
      <c r="W578" s="2466">
        <f t="shared" si="297"/>
        <v>3315</v>
      </c>
      <c r="X578" s="2468">
        <f t="shared" si="298"/>
        <v>0</v>
      </c>
      <c r="Z578" s="2467">
        <v>3315</v>
      </c>
      <c r="AA578" s="2467">
        <v>3315</v>
      </c>
      <c r="AC578" s="2469"/>
      <c r="AE578" s="2466">
        <v>3315</v>
      </c>
      <c r="AF578" s="2471">
        <v>2696.44</v>
      </c>
      <c r="AH578" s="2466">
        <v>3315</v>
      </c>
      <c r="AI578" s="2470"/>
      <c r="AJ578" s="2466">
        <f t="shared" si="299"/>
        <v>3315</v>
      </c>
      <c r="AK578" s="2468">
        <f t="shared" si="300"/>
        <v>0</v>
      </c>
      <c r="AM578" s="2467">
        <v>3315</v>
      </c>
      <c r="AN578" s="2467">
        <v>3315</v>
      </c>
      <c r="AP578" s="2469"/>
      <c r="AR578" s="2466">
        <v>3315</v>
      </c>
      <c r="AS578" s="2466">
        <v>3940.74</v>
      </c>
      <c r="AT578" s="2466"/>
      <c r="AU578" s="2466">
        <v>3315</v>
      </c>
      <c r="AV578" s="2466">
        <v>3315</v>
      </c>
      <c r="AX578" s="2466">
        <v>3315</v>
      </c>
      <c r="AY578" s="2542">
        <v>-3315</v>
      </c>
      <c r="AZ578" s="2466">
        <f t="shared" si="301"/>
        <v>0</v>
      </c>
      <c r="BA578" s="2468">
        <f t="shared" si="302"/>
        <v>-1</v>
      </c>
      <c r="BC578" s="2467">
        <v>0</v>
      </c>
      <c r="BD578" s="2467">
        <v>0</v>
      </c>
      <c r="BF578" s="2543" t="s">
        <v>1273</v>
      </c>
      <c r="BH578" s="2467">
        <v>0</v>
      </c>
      <c r="BM578" s="2466">
        <v>0</v>
      </c>
      <c r="BN578" s="2470"/>
      <c r="BO578" s="2472">
        <f t="shared" si="303"/>
        <v>0</v>
      </c>
      <c r="BP578" s="2473" t="str">
        <f t="shared" si="304"/>
        <v xml:space="preserve"> </v>
      </c>
      <c r="BR578" s="2474">
        <v>0</v>
      </c>
      <c r="BS578" s="2474">
        <v>0</v>
      </c>
      <c r="BU578" s="2544"/>
      <c r="BW578" s="2474">
        <v>0</v>
      </c>
      <c r="BZ578" s="2474">
        <v>0</v>
      </c>
      <c r="CA578" s="2470"/>
      <c r="CB578" s="2472">
        <f t="shared" si="305"/>
        <v>0</v>
      </c>
      <c r="CC578" s="2473" t="str">
        <f t="shared" si="308"/>
        <v xml:space="preserve"> </v>
      </c>
      <c r="CE578" s="2474">
        <v>0</v>
      </c>
      <c r="CF578" s="2476" t="str">
        <f t="shared" si="309"/>
        <v xml:space="preserve"> </v>
      </c>
      <c r="CG578" s="2474">
        <v>0</v>
      </c>
      <c r="CH578" s="2449" t="s">
        <v>1217</v>
      </c>
      <c r="CI578" s="2449"/>
      <c r="CJ578" s="2450"/>
      <c r="CK578" s="2450"/>
      <c r="CP578" s="2478">
        <f t="shared" si="278"/>
        <v>0</v>
      </c>
      <c r="CQ578" s="2478"/>
      <c r="CR578" s="2478"/>
      <c r="CS578" s="2478"/>
      <c r="CT578" s="2478"/>
    </row>
    <row r="579" spans="1:98" hidden="1" x14ac:dyDescent="0.2">
      <c r="A579" s="2395">
        <v>420</v>
      </c>
      <c r="B579" s="2440" t="s">
        <v>1214</v>
      </c>
      <c r="C579" s="2396">
        <v>42005</v>
      </c>
      <c r="D579" s="2396">
        <v>54500</v>
      </c>
      <c r="E579" s="2397" t="s">
        <v>1268</v>
      </c>
      <c r="F579" s="2440" t="s">
        <v>1214</v>
      </c>
      <c r="G579" s="2440" t="s">
        <v>1989</v>
      </c>
      <c r="H579" s="2466">
        <v>500</v>
      </c>
      <c r="I579" s="2470">
        <v>250</v>
      </c>
      <c r="J579" s="2466">
        <f t="shared" si="295"/>
        <v>750</v>
      </c>
      <c r="K579" s="2468">
        <f t="shared" si="296"/>
        <v>0.5</v>
      </c>
      <c r="M579" s="2467">
        <v>750</v>
      </c>
      <c r="N579" s="2467">
        <v>750</v>
      </c>
      <c r="P579" s="2469"/>
      <c r="R579" s="2466">
        <v>750</v>
      </c>
      <c r="S579" s="2466">
        <v>765.62</v>
      </c>
      <c r="U579" s="2466">
        <v>750</v>
      </c>
      <c r="V579" s="2470">
        <v>0</v>
      </c>
      <c r="W579" s="2466">
        <f t="shared" si="297"/>
        <v>750</v>
      </c>
      <c r="X579" s="2468">
        <f t="shared" si="298"/>
        <v>0</v>
      </c>
      <c r="Z579" s="2467">
        <v>750</v>
      </c>
      <c r="AA579" s="2467">
        <v>750</v>
      </c>
      <c r="AC579" s="2469"/>
      <c r="AE579" s="2466">
        <v>750</v>
      </c>
      <c r="AF579" s="2471">
        <v>299.17</v>
      </c>
      <c r="AH579" s="2466">
        <v>750</v>
      </c>
      <c r="AI579" s="2470"/>
      <c r="AJ579" s="2466">
        <f t="shared" si="299"/>
        <v>750</v>
      </c>
      <c r="AK579" s="2468">
        <f t="shared" si="300"/>
        <v>0</v>
      </c>
      <c r="AM579" s="2467">
        <v>750</v>
      </c>
      <c r="AN579" s="2467">
        <v>750</v>
      </c>
      <c r="AP579" s="2469"/>
      <c r="AR579" s="2466">
        <v>750</v>
      </c>
      <c r="AS579" s="2466">
        <v>1244.01</v>
      </c>
      <c r="AT579" s="2466"/>
      <c r="AU579" s="2466">
        <v>750</v>
      </c>
      <c r="AV579" s="2466">
        <v>665.01</v>
      </c>
      <c r="AX579" s="2466">
        <v>750</v>
      </c>
      <c r="AY579" s="2470"/>
      <c r="AZ579" s="2466">
        <f t="shared" si="301"/>
        <v>750</v>
      </c>
      <c r="BA579" s="2468">
        <f t="shared" si="302"/>
        <v>0</v>
      </c>
      <c r="BC579" s="2467">
        <v>750</v>
      </c>
      <c r="BD579" s="2467">
        <v>750</v>
      </c>
      <c r="BF579" s="2469"/>
      <c r="BH579" s="2467">
        <v>750</v>
      </c>
      <c r="BI579" s="2466">
        <v>514.88</v>
      </c>
      <c r="BM579" s="2466">
        <v>750</v>
      </c>
      <c r="BN579" s="2470"/>
      <c r="BO579" s="2472">
        <f t="shared" si="303"/>
        <v>750</v>
      </c>
      <c r="BP579" s="2473">
        <f t="shared" si="304"/>
        <v>0</v>
      </c>
      <c r="BR579" s="2474">
        <v>750</v>
      </c>
      <c r="BS579" s="2474">
        <v>750</v>
      </c>
      <c r="BU579" s="2475"/>
      <c r="BW579" s="2474">
        <v>750</v>
      </c>
      <c r="BX579" s="2466">
        <v>319.16000000000003</v>
      </c>
      <c r="BZ579" s="2474">
        <v>750</v>
      </c>
      <c r="CA579" s="2470"/>
      <c r="CB579" s="2472">
        <f t="shared" si="305"/>
        <v>750</v>
      </c>
      <c r="CC579" s="2473">
        <f t="shared" si="308"/>
        <v>0</v>
      </c>
      <c r="CE579" s="2474">
        <v>750</v>
      </c>
      <c r="CF579" s="2476">
        <f t="shared" si="309"/>
        <v>0</v>
      </c>
      <c r="CG579" s="2474">
        <v>750</v>
      </c>
      <c r="CH579" s="2449" t="s">
        <v>1217</v>
      </c>
      <c r="CI579" s="2449"/>
      <c r="CJ579" s="2450"/>
      <c r="CK579" s="2450"/>
      <c r="CO579" s="2477">
        <v>-0.31349333333333329</v>
      </c>
      <c r="CP579" s="2478">
        <f t="shared" si="278"/>
        <v>-235.12</v>
      </c>
      <c r="CQ579" s="2478"/>
      <c r="CR579" s="2478"/>
      <c r="CS579" s="2478"/>
      <c r="CT579" s="2478"/>
    </row>
    <row r="580" spans="1:98" hidden="1" x14ac:dyDescent="0.2">
      <c r="A580" s="2395">
        <v>420</v>
      </c>
      <c r="B580" s="2440" t="s">
        <v>1214</v>
      </c>
      <c r="C580" s="2396">
        <v>42005</v>
      </c>
      <c r="D580" s="2396">
        <v>54810</v>
      </c>
      <c r="E580" s="2397" t="s">
        <v>1268</v>
      </c>
      <c r="F580" s="2440" t="s">
        <v>1214</v>
      </c>
      <c r="G580" s="2440" t="s">
        <v>1990</v>
      </c>
      <c r="H580" s="2466">
        <v>2120</v>
      </c>
      <c r="I580" s="2470"/>
      <c r="J580" s="2466">
        <f t="shared" si="295"/>
        <v>2120</v>
      </c>
      <c r="K580" s="2468">
        <f t="shared" si="296"/>
        <v>0</v>
      </c>
      <c r="M580" s="2467">
        <v>2120</v>
      </c>
      <c r="N580" s="2467">
        <v>2120</v>
      </c>
      <c r="P580" s="2469"/>
      <c r="R580" s="2466">
        <v>2120</v>
      </c>
      <c r="S580" s="2466">
        <v>661.65</v>
      </c>
      <c r="U580" s="2466">
        <v>2120</v>
      </c>
      <c r="V580" s="2470">
        <v>0</v>
      </c>
      <c r="W580" s="2466">
        <f t="shared" si="297"/>
        <v>2120</v>
      </c>
      <c r="X580" s="2468">
        <f t="shared" si="298"/>
        <v>0</v>
      </c>
      <c r="Z580" s="2467">
        <v>2120</v>
      </c>
      <c r="AA580" s="2467">
        <v>2120</v>
      </c>
      <c r="AC580" s="2469"/>
      <c r="AE580" s="2466">
        <v>2120</v>
      </c>
      <c r="AF580" s="2471">
        <v>2143.75</v>
      </c>
      <c r="AH580" s="2466">
        <v>2120</v>
      </c>
      <c r="AI580" s="2470"/>
      <c r="AJ580" s="2466">
        <f t="shared" si="299"/>
        <v>2120</v>
      </c>
      <c r="AK580" s="2468">
        <f t="shared" si="300"/>
        <v>0</v>
      </c>
      <c r="AM580" s="2467">
        <v>2120</v>
      </c>
      <c r="AN580" s="2467">
        <v>2120</v>
      </c>
      <c r="AP580" s="2469"/>
      <c r="AR580" s="2466">
        <v>2120</v>
      </c>
      <c r="AS580" s="2466">
        <v>3337.92</v>
      </c>
      <c r="AT580" s="2466"/>
      <c r="AU580" s="2466">
        <v>2120</v>
      </c>
      <c r="AV580" s="2466">
        <v>1233.76</v>
      </c>
      <c r="AX580" s="2466">
        <v>2120</v>
      </c>
      <c r="AY580" s="2470"/>
      <c r="AZ580" s="2466">
        <f t="shared" si="301"/>
        <v>2120</v>
      </c>
      <c r="BA580" s="2468">
        <f t="shared" si="302"/>
        <v>0</v>
      </c>
      <c r="BC580" s="2467">
        <v>2120</v>
      </c>
      <c r="BD580" s="2467">
        <v>2120</v>
      </c>
      <c r="BF580" s="2469"/>
      <c r="BH580" s="2467">
        <v>2120</v>
      </c>
      <c r="BI580" s="2466">
        <v>2120</v>
      </c>
      <c r="BM580" s="2466">
        <v>2120</v>
      </c>
      <c r="BN580" s="2470"/>
      <c r="BO580" s="2472">
        <f t="shared" si="303"/>
        <v>2120</v>
      </c>
      <c r="BP580" s="2473">
        <f t="shared" si="304"/>
        <v>0</v>
      </c>
      <c r="BR580" s="2474">
        <v>2120</v>
      </c>
      <c r="BS580" s="2474">
        <v>2120</v>
      </c>
      <c r="BU580" s="2475"/>
      <c r="BW580" s="2474">
        <v>2120</v>
      </c>
      <c r="BX580" s="2466">
        <v>1508.4</v>
      </c>
      <c r="BZ580" s="2474">
        <v>2120</v>
      </c>
      <c r="CA580" s="2470"/>
      <c r="CB580" s="2472">
        <f t="shared" si="305"/>
        <v>2120</v>
      </c>
      <c r="CC580" s="2473">
        <f t="shared" si="308"/>
        <v>0</v>
      </c>
      <c r="CE580" s="2474">
        <v>2120</v>
      </c>
      <c r="CF580" s="2476">
        <f t="shared" si="309"/>
        <v>0</v>
      </c>
      <c r="CG580" s="2474">
        <v>2120</v>
      </c>
      <c r="CH580" s="2449" t="s">
        <v>1217</v>
      </c>
      <c r="CI580" s="2449"/>
      <c r="CJ580" s="2450"/>
      <c r="CK580" s="2450"/>
      <c r="CO580" s="2477">
        <v>0</v>
      </c>
      <c r="CP580" s="2478">
        <f t="shared" si="278"/>
        <v>0</v>
      </c>
      <c r="CQ580" s="2478"/>
      <c r="CR580" s="2478"/>
      <c r="CS580" s="2478"/>
      <c r="CT580" s="2478"/>
    </row>
    <row r="581" spans="1:98" hidden="1" x14ac:dyDescent="0.2">
      <c r="A581" s="2395">
        <v>420</v>
      </c>
      <c r="B581" s="2440" t="s">
        <v>1214</v>
      </c>
      <c r="C581" s="2396">
        <v>42005</v>
      </c>
      <c r="D581" s="2396">
        <v>54820</v>
      </c>
      <c r="E581" s="2397" t="s">
        <v>1268</v>
      </c>
      <c r="F581" s="2440" t="s">
        <v>1214</v>
      </c>
      <c r="G581" s="2440" t="s">
        <v>1991</v>
      </c>
      <c r="H581" s="2466">
        <v>2620</v>
      </c>
      <c r="I581" s="2470">
        <v>880</v>
      </c>
      <c r="J581" s="2466">
        <f t="shared" si="295"/>
        <v>3500</v>
      </c>
      <c r="K581" s="2468">
        <f t="shared" si="296"/>
        <v>0.33587786259541985</v>
      </c>
      <c r="M581" s="2467">
        <v>3500</v>
      </c>
      <c r="N581" s="2467">
        <v>3500</v>
      </c>
      <c r="P581" s="2469"/>
      <c r="R581" s="2466">
        <v>3500</v>
      </c>
      <c r="S581" s="2466">
        <v>2284.84</v>
      </c>
      <c r="U581" s="2466">
        <v>3500</v>
      </c>
      <c r="V581" s="2470">
        <v>0</v>
      </c>
      <c r="W581" s="2466">
        <f t="shared" si="297"/>
        <v>3500</v>
      </c>
      <c r="X581" s="2468">
        <f t="shared" si="298"/>
        <v>0</v>
      </c>
      <c r="Z581" s="2467">
        <v>3500</v>
      </c>
      <c r="AA581" s="2467">
        <v>3500</v>
      </c>
      <c r="AC581" s="2469"/>
      <c r="AE581" s="2466">
        <v>3500</v>
      </c>
      <c r="AF581" s="2471">
        <v>2481</v>
      </c>
      <c r="AH581" s="2466">
        <v>3500</v>
      </c>
      <c r="AI581" s="2470"/>
      <c r="AJ581" s="2466">
        <f t="shared" si="299"/>
        <v>3500</v>
      </c>
      <c r="AK581" s="2468">
        <f t="shared" si="300"/>
        <v>0</v>
      </c>
      <c r="AM581" s="2467">
        <v>3500</v>
      </c>
      <c r="AN581" s="2467">
        <v>3500</v>
      </c>
      <c r="AP581" s="2469"/>
      <c r="AR581" s="2466">
        <v>3500</v>
      </c>
      <c r="AS581" s="2466">
        <v>3235.77</v>
      </c>
      <c r="AT581" s="2466"/>
      <c r="AU581" s="2466">
        <v>3500</v>
      </c>
      <c r="AV581" s="2466">
        <v>4945.6499999999996</v>
      </c>
      <c r="AX581" s="2466">
        <v>3500</v>
      </c>
      <c r="AY581" s="2470"/>
      <c r="AZ581" s="2466">
        <f t="shared" si="301"/>
        <v>3500</v>
      </c>
      <c r="BA581" s="2468">
        <f t="shared" si="302"/>
        <v>0</v>
      </c>
      <c r="BC581" s="2467">
        <v>3500</v>
      </c>
      <c r="BD581" s="2467">
        <v>3500</v>
      </c>
      <c r="BF581" s="2469"/>
      <c r="BH581" s="2467">
        <v>3500</v>
      </c>
      <c r="BI581" s="2466">
        <v>5954.98</v>
      </c>
      <c r="BM581" s="2466">
        <v>3500</v>
      </c>
      <c r="BN581" s="2470"/>
      <c r="BO581" s="2472">
        <f t="shared" si="303"/>
        <v>3500</v>
      </c>
      <c r="BP581" s="2473">
        <f t="shared" si="304"/>
        <v>0</v>
      </c>
      <c r="BR581" s="2474">
        <v>3500</v>
      </c>
      <c r="BS581" s="2474">
        <v>3500</v>
      </c>
      <c r="BU581" s="2475"/>
      <c r="BW581" s="2474">
        <v>3500</v>
      </c>
      <c r="BX581" s="2466">
        <v>298.2</v>
      </c>
      <c r="BZ581" s="2474">
        <v>3500</v>
      </c>
      <c r="CA581" s="2470"/>
      <c r="CB581" s="2472">
        <f t="shared" si="305"/>
        <v>3500</v>
      </c>
      <c r="CC581" s="2473">
        <f t="shared" si="308"/>
        <v>0</v>
      </c>
      <c r="CE581" s="2474">
        <v>3500</v>
      </c>
      <c r="CF581" s="2476">
        <f t="shared" si="309"/>
        <v>0</v>
      </c>
      <c r="CG581" s="2474">
        <v>3500</v>
      </c>
      <c r="CH581" s="2449" t="s">
        <v>1217</v>
      </c>
      <c r="CI581" s="2449"/>
      <c r="CJ581" s="2450"/>
      <c r="CK581" s="2450"/>
      <c r="CO581" s="2477">
        <v>0.70142285714285713</v>
      </c>
      <c r="CP581" s="2478">
        <f t="shared" si="278"/>
        <v>2454.9799999999996</v>
      </c>
      <c r="CQ581" s="2478"/>
      <c r="CR581" s="2478"/>
      <c r="CS581" s="2478"/>
      <c r="CT581" s="2478"/>
    </row>
    <row r="582" spans="1:98" hidden="1" x14ac:dyDescent="0.2">
      <c r="A582" s="2395">
        <v>420</v>
      </c>
      <c r="B582" s="2440" t="s">
        <v>1214</v>
      </c>
      <c r="C582" s="2396">
        <v>42005</v>
      </c>
      <c r="D582" s="2396">
        <v>54830</v>
      </c>
      <c r="E582" s="2397" t="s">
        <v>1268</v>
      </c>
      <c r="F582" s="2440" t="s">
        <v>1214</v>
      </c>
      <c r="G582" s="2440" t="s">
        <v>1992</v>
      </c>
      <c r="H582" s="2466">
        <v>24565</v>
      </c>
      <c r="I582" s="2470">
        <v>491.3</v>
      </c>
      <c r="J582" s="2466">
        <f t="shared" si="295"/>
        <v>25056.3</v>
      </c>
      <c r="K582" s="2468">
        <f t="shared" si="296"/>
        <v>1.9999999999999969E-2</v>
      </c>
      <c r="M582" s="2467">
        <v>25056</v>
      </c>
      <c r="N582" s="2467">
        <v>25056</v>
      </c>
      <c r="P582" s="2469"/>
      <c r="R582" s="2466">
        <v>25056</v>
      </c>
      <c r="S582" s="2466">
        <v>23450.27</v>
      </c>
      <c r="U582" s="2466">
        <v>25056</v>
      </c>
      <c r="V582" s="2470">
        <v>0</v>
      </c>
      <c r="W582" s="2466">
        <f t="shared" si="297"/>
        <v>25056</v>
      </c>
      <c r="X582" s="2468">
        <f t="shared" si="298"/>
        <v>0</v>
      </c>
      <c r="Z582" s="2467">
        <v>25056</v>
      </c>
      <c r="AA582" s="2467">
        <v>25056</v>
      </c>
      <c r="AC582" s="2469"/>
      <c r="AE582" s="2466">
        <v>25056</v>
      </c>
      <c r="AF582" s="2471">
        <v>31097.93</v>
      </c>
      <c r="AH582" s="2466">
        <v>25056</v>
      </c>
      <c r="AI582" s="2470"/>
      <c r="AJ582" s="2466">
        <f t="shared" si="299"/>
        <v>25056</v>
      </c>
      <c r="AK582" s="2468">
        <f t="shared" si="300"/>
        <v>0</v>
      </c>
      <c r="AM582" s="2467">
        <v>25056</v>
      </c>
      <c r="AN582" s="2467">
        <v>25056</v>
      </c>
      <c r="AP582" s="2469"/>
      <c r="AR582" s="2466">
        <v>25056</v>
      </c>
      <c r="AS582" s="2466">
        <v>12489.63</v>
      </c>
      <c r="AT582" s="2466"/>
      <c r="AU582" s="2466">
        <v>25056</v>
      </c>
      <c r="AV582" s="2466">
        <v>16925.48</v>
      </c>
      <c r="AX582" s="2466">
        <v>25056</v>
      </c>
      <c r="AY582" s="2470"/>
      <c r="AZ582" s="2466">
        <f t="shared" si="301"/>
        <v>25056</v>
      </c>
      <c r="BA582" s="2468">
        <f t="shared" si="302"/>
        <v>0</v>
      </c>
      <c r="BC582" s="2467">
        <v>25056</v>
      </c>
      <c r="BD582" s="2467">
        <v>25056</v>
      </c>
      <c r="BF582" s="2469"/>
      <c r="BH582" s="2467">
        <v>25056</v>
      </c>
      <c r="BI582" s="2466">
        <v>23853.26</v>
      </c>
      <c r="BM582" s="2466">
        <v>25056</v>
      </c>
      <c r="BN582" s="2470"/>
      <c r="BO582" s="2472">
        <f t="shared" si="303"/>
        <v>25056</v>
      </c>
      <c r="BP582" s="2473">
        <f t="shared" si="304"/>
        <v>0</v>
      </c>
      <c r="BR582" s="2474">
        <v>25056</v>
      </c>
      <c r="BS582" s="2474">
        <v>25056</v>
      </c>
      <c r="BU582" s="2475"/>
      <c r="BW582" s="2474">
        <v>25056</v>
      </c>
      <c r="BX582" s="2466">
        <v>8659.2000000000007</v>
      </c>
      <c r="BZ582" s="2474">
        <v>25056</v>
      </c>
      <c r="CA582" s="2470"/>
      <c r="CB582" s="2472">
        <f t="shared" si="305"/>
        <v>25056</v>
      </c>
      <c r="CC582" s="2473">
        <f t="shared" si="308"/>
        <v>0</v>
      </c>
      <c r="CE582" s="2474">
        <v>25056</v>
      </c>
      <c r="CF582" s="2476">
        <f t="shared" si="309"/>
        <v>0</v>
      </c>
      <c r="CG582" s="2474">
        <v>25056</v>
      </c>
      <c r="CH582" s="2449" t="s">
        <v>1217</v>
      </c>
      <c r="CI582" s="2449"/>
      <c r="CJ582" s="2450"/>
      <c r="CK582" s="2450"/>
      <c r="CO582" s="2477">
        <v>-4.8002075351213369E-2</v>
      </c>
      <c r="CP582" s="2478">
        <f t="shared" ref="CP582:CP645" si="310">IFERROR(BI582-BH582,"")</f>
        <v>-1202.7400000000016</v>
      </c>
      <c r="CQ582" s="2478"/>
      <c r="CR582" s="2478"/>
      <c r="CS582" s="2478"/>
      <c r="CT582" s="2478"/>
    </row>
    <row r="583" spans="1:98" hidden="1" x14ac:dyDescent="0.2">
      <c r="A583" s="2395">
        <v>420</v>
      </c>
      <c r="B583" s="2440" t="s">
        <v>1214</v>
      </c>
      <c r="C583" s="2396">
        <v>42005</v>
      </c>
      <c r="D583" s="2396">
        <v>55050</v>
      </c>
      <c r="E583" s="2397" t="s">
        <v>1268</v>
      </c>
      <c r="F583" s="2440" t="s">
        <v>1214</v>
      </c>
      <c r="G583" s="2440" t="s">
        <v>1993</v>
      </c>
      <c r="H583" s="2466">
        <v>150</v>
      </c>
      <c r="I583" s="2470">
        <v>50</v>
      </c>
      <c r="J583" s="2466">
        <f t="shared" si="295"/>
        <v>200</v>
      </c>
      <c r="K583" s="2468">
        <f t="shared" si="296"/>
        <v>0.33333333333333331</v>
      </c>
      <c r="M583" s="2467">
        <v>200</v>
      </c>
      <c r="N583" s="2467">
        <v>200</v>
      </c>
      <c r="P583" s="2469"/>
      <c r="R583" s="2466">
        <v>200</v>
      </c>
      <c r="S583" s="2466">
        <v>118.99</v>
      </c>
      <c r="U583" s="2466">
        <v>200</v>
      </c>
      <c r="V583" s="2470">
        <v>0</v>
      </c>
      <c r="W583" s="2466">
        <f t="shared" si="297"/>
        <v>200</v>
      </c>
      <c r="X583" s="2468">
        <f t="shared" si="298"/>
        <v>0</v>
      </c>
      <c r="Z583" s="2467">
        <v>200</v>
      </c>
      <c r="AA583" s="2467">
        <v>200</v>
      </c>
      <c r="AC583" s="2469"/>
      <c r="AE583" s="2466">
        <v>200</v>
      </c>
      <c r="AF583" s="2471">
        <v>140.94</v>
      </c>
      <c r="AH583" s="2466">
        <v>200</v>
      </c>
      <c r="AI583" s="2470"/>
      <c r="AJ583" s="2466">
        <f t="shared" si="299"/>
        <v>200</v>
      </c>
      <c r="AK583" s="2468">
        <f t="shared" si="300"/>
        <v>0</v>
      </c>
      <c r="AM583" s="2467">
        <v>200</v>
      </c>
      <c r="AN583" s="2467">
        <v>200</v>
      </c>
      <c r="AP583" s="2469"/>
      <c r="AR583" s="2466">
        <v>200</v>
      </c>
      <c r="AS583" s="2466">
        <v>43.07</v>
      </c>
      <c r="AT583" s="2466"/>
      <c r="AU583" s="2466">
        <v>200</v>
      </c>
      <c r="AV583" s="2466">
        <v>307.94</v>
      </c>
      <c r="AX583" s="2466">
        <v>200</v>
      </c>
      <c r="AY583" s="2470"/>
      <c r="AZ583" s="2466">
        <f t="shared" si="301"/>
        <v>200</v>
      </c>
      <c r="BA583" s="2468">
        <f t="shared" si="302"/>
        <v>0</v>
      </c>
      <c r="BC583" s="2467">
        <v>200</v>
      </c>
      <c r="BD583" s="2467">
        <v>200</v>
      </c>
      <c r="BF583" s="2469"/>
      <c r="BH583" s="2467">
        <v>200</v>
      </c>
      <c r="BM583" s="2466">
        <v>200</v>
      </c>
      <c r="BN583" s="2470"/>
      <c r="BO583" s="2472">
        <f t="shared" si="303"/>
        <v>200</v>
      </c>
      <c r="BP583" s="2473">
        <f t="shared" si="304"/>
        <v>0</v>
      </c>
      <c r="BR583" s="2474">
        <v>200</v>
      </c>
      <c r="BS583" s="2474">
        <v>200</v>
      </c>
      <c r="BU583" s="2475"/>
      <c r="BW583" s="2474">
        <v>200</v>
      </c>
      <c r="BZ583" s="2474">
        <v>200</v>
      </c>
      <c r="CA583" s="2470"/>
      <c r="CB583" s="2472">
        <f t="shared" si="305"/>
        <v>200</v>
      </c>
      <c r="CC583" s="2473">
        <f t="shared" si="308"/>
        <v>0</v>
      </c>
      <c r="CE583" s="2474">
        <v>200</v>
      </c>
      <c r="CF583" s="2476">
        <f t="shared" si="309"/>
        <v>0</v>
      </c>
      <c r="CG583" s="2474">
        <v>200</v>
      </c>
      <c r="CH583" s="2449" t="s">
        <v>1217</v>
      </c>
      <c r="CI583" s="2449"/>
      <c r="CJ583" s="2450"/>
      <c r="CK583" s="2450"/>
      <c r="CO583" s="2477" t="s">
        <v>1218</v>
      </c>
      <c r="CP583" s="2478">
        <f t="shared" si="310"/>
        <v>-200</v>
      </c>
      <c r="CQ583" s="2478"/>
      <c r="CR583" s="2478"/>
      <c r="CS583" s="2478"/>
      <c r="CT583" s="2478"/>
    </row>
    <row r="584" spans="1:98" hidden="1" x14ac:dyDescent="0.2">
      <c r="A584" s="2395">
        <v>420</v>
      </c>
      <c r="B584" s="2440" t="s">
        <v>1214</v>
      </c>
      <c r="C584" s="2396">
        <v>42005</v>
      </c>
      <c r="D584" s="2396">
        <v>55300</v>
      </c>
      <c r="E584" s="2397" t="s">
        <v>1268</v>
      </c>
      <c r="F584" s="2440" t="s">
        <v>1214</v>
      </c>
      <c r="G584" s="2440" t="s">
        <v>1994</v>
      </c>
      <c r="H584" s="2466">
        <v>5250</v>
      </c>
      <c r="I584" s="2470">
        <v>105</v>
      </c>
      <c r="J584" s="2466">
        <f t="shared" si="295"/>
        <v>5355</v>
      </c>
      <c r="K584" s="2468">
        <f t="shared" si="296"/>
        <v>0.02</v>
      </c>
      <c r="M584" s="2467">
        <v>5355</v>
      </c>
      <c r="N584" s="2467">
        <v>5355</v>
      </c>
      <c r="P584" s="2469"/>
      <c r="R584" s="2466">
        <v>5355</v>
      </c>
      <c r="S584" s="2466">
        <v>12007.63</v>
      </c>
      <c r="U584" s="2466">
        <v>5355</v>
      </c>
      <c r="V584" s="2470">
        <v>1645</v>
      </c>
      <c r="W584" s="2466">
        <f t="shared" si="297"/>
        <v>7000</v>
      </c>
      <c r="X584" s="2468">
        <f t="shared" si="298"/>
        <v>0.30718954248366015</v>
      </c>
      <c r="Z584" s="2467">
        <v>7000</v>
      </c>
      <c r="AA584" s="2467">
        <v>7000</v>
      </c>
      <c r="AC584" s="2469"/>
      <c r="AE584" s="2466">
        <v>7000</v>
      </c>
      <c r="AF584" s="2471">
        <v>9632.7900000000009</v>
      </c>
      <c r="AH584" s="2466">
        <v>7000</v>
      </c>
      <c r="AI584" s="2470"/>
      <c r="AJ584" s="2466">
        <f t="shared" si="299"/>
        <v>7000</v>
      </c>
      <c r="AK584" s="2468">
        <f t="shared" si="300"/>
        <v>0</v>
      </c>
      <c r="AM584" s="2467">
        <v>7000</v>
      </c>
      <c r="AN584" s="2467">
        <v>7000</v>
      </c>
      <c r="AP584" s="2469"/>
      <c r="AR584" s="2466">
        <v>7000</v>
      </c>
      <c r="AS584" s="2466">
        <v>5482.79</v>
      </c>
      <c r="AT584" s="2466"/>
      <c r="AU584" s="2466">
        <v>7000</v>
      </c>
      <c r="AV584" s="2466">
        <v>6076.71</v>
      </c>
      <c r="AX584" s="2466">
        <v>7000</v>
      </c>
      <c r="AY584" s="2470"/>
      <c r="AZ584" s="2466">
        <f t="shared" si="301"/>
        <v>7000</v>
      </c>
      <c r="BA584" s="2468">
        <f t="shared" si="302"/>
        <v>0</v>
      </c>
      <c r="BC584" s="2467">
        <v>7000</v>
      </c>
      <c r="BD584" s="2467">
        <v>7000</v>
      </c>
      <c r="BF584" s="2469"/>
      <c r="BH584" s="2467">
        <v>7000</v>
      </c>
      <c r="BI584" s="2466">
        <v>6072.99</v>
      </c>
      <c r="BM584" s="2466">
        <v>7000</v>
      </c>
      <c r="BN584" s="2470"/>
      <c r="BO584" s="2472">
        <f t="shared" si="303"/>
        <v>7000</v>
      </c>
      <c r="BP584" s="2473">
        <f t="shared" si="304"/>
        <v>0</v>
      </c>
      <c r="BR584" s="2474">
        <v>7000</v>
      </c>
      <c r="BS584" s="2474">
        <v>7000</v>
      </c>
      <c r="BU584" s="2475"/>
      <c r="BW584" s="2474">
        <v>7000</v>
      </c>
      <c r="BX584" s="2466">
        <v>4150.26</v>
      </c>
      <c r="BZ584" s="2474">
        <v>7000</v>
      </c>
      <c r="CA584" s="2470"/>
      <c r="CB584" s="2472">
        <f t="shared" si="305"/>
        <v>7000</v>
      </c>
      <c r="CC584" s="2473">
        <f t="shared" si="308"/>
        <v>0</v>
      </c>
      <c r="CE584" s="2474">
        <v>7000</v>
      </c>
      <c r="CF584" s="2476">
        <f t="shared" si="309"/>
        <v>0</v>
      </c>
      <c r="CG584" s="2474">
        <v>7000</v>
      </c>
      <c r="CH584" s="2449" t="s">
        <v>1217</v>
      </c>
      <c r="CI584" s="2449"/>
      <c r="CJ584" s="2450"/>
      <c r="CK584" s="2450"/>
      <c r="CO584" s="2477">
        <v>-0.13243000000000005</v>
      </c>
      <c r="CP584" s="2478">
        <f t="shared" si="310"/>
        <v>-927.01000000000022</v>
      </c>
      <c r="CQ584" s="2478"/>
      <c r="CR584" s="2478"/>
      <c r="CS584" s="2478"/>
      <c r="CT584" s="2478"/>
    </row>
    <row r="585" spans="1:98" hidden="1" x14ac:dyDescent="0.2">
      <c r="A585" s="2395">
        <v>420</v>
      </c>
      <c r="B585" s="2440" t="s">
        <v>1214</v>
      </c>
      <c r="C585" s="2396">
        <v>42005</v>
      </c>
      <c r="D585" s="2396">
        <v>55310</v>
      </c>
      <c r="E585" s="2397" t="s">
        <v>1268</v>
      </c>
      <c r="F585" s="2440" t="s">
        <v>1214</v>
      </c>
      <c r="G585" s="2440" t="s">
        <v>1995</v>
      </c>
      <c r="H585" s="2466">
        <v>13260</v>
      </c>
      <c r="I585" s="2470">
        <v>265</v>
      </c>
      <c r="J585" s="2466">
        <f t="shared" si="295"/>
        <v>13525</v>
      </c>
      <c r="K585" s="2468">
        <f t="shared" si="296"/>
        <v>1.9984917043740572E-2</v>
      </c>
      <c r="M585" s="2467">
        <v>13525</v>
      </c>
      <c r="N585" s="2467">
        <v>13525</v>
      </c>
      <c r="P585" s="2469"/>
      <c r="R585" s="2466">
        <v>13525</v>
      </c>
      <c r="S585" s="2466">
        <v>13695.9</v>
      </c>
      <c r="U585" s="2466">
        <v>13525</v>
      </c>
      <c r="V585" s="2470">
        <v>0</v>
      </c>
      <c r="W585" s="2466">
        <f t="shared" si="297"/>
        <v>13525</v>
      </c>
      <c r="X585" s="2468">
        <f t="shared" si="298"/>
        <v>0</v>
      </c>
      <c r="Z585" s="2467">
        <v>13525</v>
      </c>
      <c r="AA585" s="2467">
        <v>13525</v>
      </c>
      <c r="AC585" s="2469"/>
      <c r="AE585" s="2466">
        <v>13525</v>
      </c>
      <c r="AF585" s="2471">
        <v>19730.36</v>
      </c>
      <c r="AH585" s="2466">
        <v>13525</v>
      </c>
      <c r="AI585" s="2470"/>
      <c r="AJ585" s="2466">
        <f t="shared" si="299"/>
        <v>13525</v>
      </c>
      <c r="AK585" s="2468">
        <f t="shared" si="300"/>
        <v>0</v>
      </c>
      <c r="AM585" s="2467">
        <v>13525</v>
      </c>
      <c r="AN585" s="2467">
        <v>13525</v>
      </c>
      <c r="AP585" s="2469"/>
      <c r="AR585" s="2466">
        <v>13525</v>
      </c>
      <c r="AS585" s="2466">
        <v>11433.54</v>
      </c>
      <c r="AT585" s="2466"/>
      <c r="AU585" s="2466">
        <v>13525</v>
      </c>
      <c r="AV585" s="2466">
        <v>16552.71</v>
      </c>
      <c r="AX585" s="2466">
        <v>13525</v>
      </c>
      <c r="AY585" s="2470"/>
      <c r="AZ585" s="2466">
        <f t="shared" si="301"/>
        <v>13525</v>
      </c>
      <c r="BA585" s="2468">
        <f t="shared" si="302"/>
        <v>0</v>
      </c>
      <c r="BC585" s="2467">
        <v>13525</v>
      </c>
      <c r="BD585" s="2467">
        <v>13525</v>
      </c>
      <c r="BF585" s="2469"/>
      <c r="BH585" s="2467">
        <v>13525</v>
      </c>
      <c r="BI585" s="2466">
        <v>11441.53</v>
      </c>
      <c r="BM585" s="2466">
        <v>13525</v>
      </c>
      <c r="BN585" s="2470"/>
      <c r="BO585" s="2472">
        <f t="shared" si="303"/>
        <v>13525</v>
      </c>
      <c r="BP585" s="2473">
        <f t="shared" si="304"/>
        <v>0</v>
      </c>
      <c r="BR585" s="2474">
        <v>13525</v>
      </c>
      <c r="BS585" s="2474">
        <v>13525</v>
      </c>
      <c r="BU585" s="2475"/>
      <c r="BW585" s="2474">
        <v>13525</v>
      </c>
      <c r="BX585" s="2466">
        <v>4341.8</v>
      </c>
      <c r="BZ585" s="2474">
        <v>13525</v>
      </c>
      <c r="CA585" s="2470"/>
      <c r="CB585" s="2472">
        <f t="shared" si="305"/>
        <v>13525</v>
      </c>
      <c r="CC585" s="2473">
        <f t="shared" si="308"/>
        <v>0</v>
      </c>
      <c r="CE585" s="2474">
        <v>13525</v>
      </c>
      <c r="CF585" s="2476">
        <f t="shared" si="309"/>
        <v>0</v>
      </c>
      <c r="CG585" s="2474">
        <v>13525</v>
      </c>
      <c r="CH585" s="2449" t="s">
        <v>1217</v>
      </c>
      <c r="CI585" s="2449"/>
      <c r="CJ585" s="2450"/>
      <c r="CK585" s="2450"/>
      <c r="CO585" s="2477">
        <v>-0.15404584103512009</v>
      </c>
      <c r="CP585" s="2478">
        <f t="shared" si="310"/>
        <v>-2083.4699999999993</v>
      </c>
      <c r="CQ585" s="2478"/>
      <c r="CR585" s="2478"/>
      <c r="CS585" s="2478"/>
      <c r="CT585" s="2478"/>
    </row>
    <row r="586" spans="1:98" hidden="1" x14ac:dyDescent="0.2">
      <c r="A586" s="2395">
        <v>420</v>
      </c>
      <c r="B586" s="2440" t="s">
        <v>1214</v>
      </c>
      <c r="C586" s="2396">
        <v>42005</v>
      </c>
      <c r="D586" s="2396">
        <v>55320</v>
      </c>
      <c r="E586" s="2397" t="s">
        <v>1268</v>
      </c>
      <c r="F586" s="2440" t="s">
        <v>1214</v>
      </c>
      <c r="G586" s="2440" t="s">
        <v>1996</v>
      </c>
      <c r="H586" s="2466">
        <v>1030</v>
      </c>
      <c r="I586" s="2470">
        <v>170</v>
      </c>
      <c r="J586" s="2466">
        <f t="shared" si="295"/>
        <v>1200</v>
      </c>
      <c r="K586" s="2468">
        <f t="shared" si="296"/>
        <v>0.1650485436893204</v>
      </c>
      <c r="M586" s="2467">
        <v>1200</v>
      </c>
      <c r="N586" s="2467">
        <v>1200</v>
      </c>
      <c r="P586" s="2469"/>
      <c r="R586" s="2466">
        <v>1200</v>
      </c>
      <c r="S586" s="2466">
        <v>1413.38</v>
      </c>
      <c r="U586" s="2466">
        <v>1200</v>
      </c>
      <c r="V586" s="2470">
        <v>0</v>
      </c>
      <c r="W586" s="2466">
        <f t="shared" si="297"/>
        <v>1200</v>
      </c>
      <c r="X586" s="2468">
        <f t="shared" si="298"/>
        <v>0</v>
      </c>
      <c r="Z586" s="2467">
        <v>1200</v>
      </c>
      <c r="AA586" s="2467">
        <v>1200</v>
      </c>
      <c r="AC586" s="2469"/>
      <c r="AE586" s="2466">
        <v>1200</v>
      </c>
      <c r="AF586" s="2471">
        <v>3201.57</v>
      </c>
      <c r="AH586" s="2466">
        <v>1200</v>
      </c>
      <c r="AI586" s="2470"/>
      <c r="AJ586" s="2466">
        <f t="shared" si="299"/>
        <v>1200</v>
      </c>
      <c r="AK586" s="2468">
        <f t="shared" si="300"/>
        <v>0</v>
      </c>
      <c r="AM586" s="2467">
        <v>1200</v>
      </c>
      <c r="AN586" s="2467">
        <v>1200</v>
      </c>
      <c r="AP586" s="2469"/>
      <c r="AR586" s="2466">
        <v>1200</v>
      </c>
      <c r="AS586" s="2466">
        <v>1589.14</v>
      </c>
      <c r="AT586" s="2466"/>
      <c r="AU586" s="2466">
        <v>1200</v>
      </c>
      <c r="AV586" s="2466">
        <v>832.82</v>
      </c>
      <c r="AX586" s="2466">
        <v>1200</v>
      </c>
      <c r="AY586" s="2470"/>
      <c r="AZ586" s="2466">
        <f t="shared" si="301"/>
        <v>1200</v>
      </c>
      <c r="BA586" s="2468">
        <f t="shared" si="302"/>
        <v>0</v>
      </c>
      <c r="BC586" s="2467">
        <v>1200</v>
      </c>
      <c r="BD586" s="2467">
        <v>1200</v>
      </c>
      <c r="BF586" s="2469"/>
      <c r="BH586" s="2467">
        <v>1200</v>
      </c>
      <c r="BI586" s="2466">
        <v>1247.8800000000001</v>
      </c>
      <c r="BM586" s="2466">
        <v>1200</v>
      </c>
      <c r="BN586" s="2470"/>
      <c r="BO586" s="2472">
        <f t="shared" si="303"/>
        <v>1200</v>
      </c>
      <c r="BP586" s="2473">
        <f t="shared" si="304"/>
        <v>0</v>
      </c>
      <c r="BR586" s="2474">
        <v>1200</v>
      </c>
      <c r="BS586" s="2474">
        <v>1200</v>
      </c>
      <c r="BU586" s="2475"/>
      <c r="BW586" s="2474">
        <v>1200</v>
      </c>
      <c r="BX586" s="2466">
        <v>1026.22</v>
      </c>
      <c r="BZ586" s="2474">
        <v>1200</v>
      </c>
      <c r="CA586" s="2470"/>
      <c r="CB586" s="2472">
        <f t="shared" si="305"/>
        <v>1200</v>
      </c>
      <c r="CC586" s="2473">
        <f t="shared" si="308"/>
        <v>0</v>
      </c>
      <c r="CE586" s="2474">
        <v>1200</v>
      </c>
      <c r="CF586" s="2476">
        <f t="shared" si="309"/>
        <v>0</v>
      </c>
      <c r="CG586" s="2474">
        <v>1200</v>
      </c>
      <c r="CH586" s="2449" t="s">
        <v>1217</v>
      </c>
      <c r="CI586" s="2449"/>
      <c r="CJ586" s="2450"/>
      <c r="CK586" s="2450"/>
      <c r="CO586" s="2477">
        <v>3.9900000000000047E-2</v>
      </c>
      <c r="CP586" s="2478">
        <f t="shared" si="310"/>
        <v>47.880000000000109</v>
      </c>
      <c r="CQ586" s="2478"/>
      <c r="CR586" s="2478"/>
      <c r="CS586" s="2478"/>
      <c r="CT586" s="2478"/>
    </row>
    <row r="587" spans="1:98" hidden="1" x14ac:dyDescent="0.2">
      <c r="A587" s="2395">
        <v>420</v>
      </c>
      <c r="B587" s="2440" t="s">
        <v>1214</v>
      </c>
      <c r="C587" s="2396">
        <v>42005</v>
      </c>
      <c r="D587" s="2396">
        <v>55810</v>
      </c>
      <c r="E587" s="2397" t="s">
        <v>1268</v>
      </c>
      <c r="F587" s="2440" t="s">
        <v>1214</v>
      </c>
      <c r="G587" s="2440" t="s">
        <v>1997</v>
      </c>
      <c r="H587" s="2466">
        <v>150</v>
      </c>
      <c r="I587" s="2470"/>
      <c r="J587" s="2466">
        <f t="shared" si="295"/>
        <v>150</v>
      </c>
      <c r="K587" s="2468">
        <f t="shared" si="296"/>
        <v>0</v>
      </c>
      <c r="M587" s="2467">
        <v>150</v>
      </c>
      <c r="N587" s="2467">
        <v>150</v>
      </c>
      <c r="P587" s="2469"/>
      <c r="R587" s="2466">
        <v>150</v>
      </c>
      <c r="S587" s="2466">
        <v>0</v>
      </c>
      <c r="U587" s="2466">
        <v>150</v>
      </c>
      <c r="V587" s="2470">
        <v>0</v>
      </c>
      <c r="W587" s="2466">
        <f t="shared" si="297"/>
        <v>150</v>
      </c>
      <c r="X587" s="2468">
        <f t="shared" si="298"/>
        <v>0</v>
      </c>
      <c r="Z587" s="2467">
        <v>150</v>
      </c>
      <c r="AA587" s="2467">
        <v>150</v>
      </c>
      <c r="AC587" s="2469"/>
      <c r="AE587" s="2466">
        <v>150</v>
      </c>
      <c r="AF587" s="2471">
        <v>79.930000000000007</v>
      </c>
      <c r="AH587" s="2466">
        <v>150</v>
      </c>
      <c r="AI587" s="2470"/>
      <c r="AJ587" s="2466">
        <f t="shared" si="299"/>
        <v>150</v>
      </c>
      <c r="AK587" s="2468">
        <f t="shared" si="300"/>
        <v>0</v>
      </c>
      <c r="AM587" s="2467">
        <v>150</v>
      </c>
      <c r="AN587" s="2467">
        <v>150</v>
      </c>
      <c r="AP587" s="2469"/>
      <c r="AR587" s="2466">
        <v>150</v>
      </c>
      <c r="AS587" s="2466">
        <v>0</v>
      </c>
      <c r="AT587" s="2466"/>
      <c r="AU587" s="2466">
        <v>150</v>
      </c>
      <c r="AV587" s="2466">
        <v>0</v>
      </c>
      <c r="AX587" s="2466">
        <v>150</v>
      </c>
      <c r="AY587" s="2470"/>
      <c r="AZ587" s="2466">
        <f t="shared" si="301"/>
        <v>150</v>
      </c>
      <c r="BA587" s="2468">
        <f t="shared" si="302"/>
        <v>0</v>
      </c>
      <c r="BC587" s="2467">
        <v>150</v>
      </c>
      <c r="BD587" s="2467">
        <v>150</v>
      </c>
      <c r="BF587" s="2469"/>
      <c r="BH587" s="2467">
        <v>150</v>
      </c>
      <c r="BI587" s="2466">
        <v>1135.96</v>
      </c>
      <c r="BM587" s="2466">
        <v>150</v>
      </c>
      <c r="BN587" s="2470"/>
      <c r="BO587" s="2472">
        <f t="shared" si="303"/>
        <v>150</v>
      </c>
      <c r="BP587" s="2473">
        <f t="shared" si="304"/>
        <v>0</v>
      </c>
      <c r="BR587" s="2474">
        <v>150</v>
      </c>
      <c r="BS587" s="2474">
        <v>150</v>
      </c>
      <c r="BU587" s="2475"/>
      <c r="BW587" s="2474">
        <v>150</v>
      </c>
      <c r="BZ587" s="2474">
        <v>150</v>
      </c>
      <c r="CA587" s="2470"/>
      <c r="CB587" s="2472">
        <f t="shared" si="305"/>
        <v>150</v>
      </c>
      <c r="CC587" s="2473">
        <f t="shared" si="308"/>
        <v>0</v>
      </c>
      <c r="CE587" s="2474">
        <v>150</v>
      </c>
      <c r="CF587" s="2476">
        <f t="shared" si="309"/>
        <v>0</v>
      </c>
      <c r="CG587" s="2474">
        <v>150</v>
      </c>
      <c r="CH587" s="2449" t="s">
        <v>1217</v>
      </c>
      <c r="CI587" s="2449"/>
      <c r="CJ587" s="2450"/>
      <c r="CK587" s="2450"/>
      <c r="CO587" s="2477">
        <v>6.5730666666666666</v>
      </c>
      <c r="CP587" s="2478">
        <f t="shared" si="310"/>
        <v>985.96</v>
      </c>
      <c r="CQ587" s="2478"/>
      <c r="CR587" s="2478"/>
      <c r="CS587" s="2478"/>
      <c r="CT587" s="2478"/>
    </row>
    <row r="588" spans="1:98" hidden="1" x14ac:dyDescent="0.2">
      <c r="A588" s="2395">
        <v>420</v>
      </c>
      <c r="B588" s="2440" t="s">
        <v>1214</v>
      </c>
      <c r="C588" s="2396">
        <v>42005</v>
      </c>
      <c r="D588" s="2396">
        <v>55820</v>
      </c>
      <c r="E588" s="2397" t="s">
        <v>1268</v>
      </c>
      <c r="F588" s="2440" t="s">
        <v>1214</v>
      </c>
      <c r="G588" s="2440" t="s">
        <v>1998</v>
      </c>
      <c r="H588" s="2466">
        <v>500</v>
      </c>
      <c r="I588" s="2470"/>
      <c r="J588" s="2466">
        <f t="shared" si="295"/>
        <v>500</v>
      </c>
      <c r="K588" s="2468">
        <f t="shared" si="296"/>
        <v>0</v>
      </c>
      <c r="M588" s="2467">
        <v>500</v>
      </c>
      <c r="N588" s="2467">
        <v>500</v>
      </c>
      <c r="P588" s="2469"/>
      <c r="R588" s="2466">
        <v>500</v>
      </c>
      <c r="S588" s="2466">
        <v>66.97</v>
      </c>
      <c r="U588" s="2466">
        <v>500</v>
      </c>
      <c r="V588" s="2470">
        <v>0</v>
      </c>
      <c r="W588" s="2466">
        <f t="shared" si="297"/>
        <v>500</v>
      </c>
      <c r="X588" s="2468">
        <f t="shared" si="298"/>
        <v>0</v>
      </c>
      <c r="Z588" s="2467">
        <v>500</v>
      </c>
      <c r="AA588" s="2467">
        <v>500</v>
      </c>
      <c r="AC588" s="2469"/>
      <c r="AE588" s="2466">
        <v>500</v>
      </c>
      <c r="AF588" s="2471">
        <v>50.96</v>
      </c>
      <c r="AH588" s="2466">
        <v>500</v>
      </c>
      <c r="AI588" s="2470"/>
      <c r="AJ588" s="2466">
        <f t="shared" si="299"/>
        <v>500</v>
      </c>
      <c r="AK588" s="2468">
        <f t="shared" si="300"/>
        <v>0</v>
      </c>
      <c r="AM588" s="2467">
        <v>500</v>
      </c>
      <c r="AN588" s="2467">
        <v>500</v>
      </c>
      <c r="AP588" s="2469"/>
      <c r="AR588" s="2466">
        <v>500</v>
      </c>
      <c r="AS588" s="2466">
        <v>0</v>
      </c>
      <c r="AT588" s="2466"/>
      <c r="AU588" s="2466">
        <v>500</v>
      </c>
      <c r="AV588" s="2466">
        <v>154.9</v>
      </c>
      <c r="AX588" s="2466">
        <v>500</v>
      </c>
      <c r="AY588" s="2470"/>
      <c r="AZ588" s="2466">
        <f t="shared" si="301"/>
        <v>500</v>
      </c>
      <c r="BA588" s="2468">
        <f t="shared" si="302"/>
        <v>0</v>
      </c>
      <c r="BC588" s="2467">
        <v>500</v>
      </c>
      <c r="BD588" s="2467">
        <v>500</v>
      </c>
      <c r="BF588" s="2469"/>
      <c r="BH588" s="2467">
        <v>500</v>
      </c>
      <c r="BM588" s="2466">
        <v>500</v>
      </c>
      <c r="BN588" s="2470"/>
      <c r="BO588" s="2472">
        <f t="shared" si="303"/>
        <v>500</v>
      </c>
      <c r="BP588" s="2473">
        <f t="shared" si="304"/>
        <v>0</v>
      </c>
      <c r="BR588" s="2474">
        <v>500</v>
      </c>
      <c r="BS588" s="2474">
        <v>500</v>
      </c>
      <c r="BU588" s="2475"/>
      <c r="BW588" s="2474">
        <v>500</v>
      </c>
      <c r="BZ588" s="2474">
        <v>500</v>
      </c>
      <c r="CA588" s="2470"/>
      <c r="CB588" s="2472">
        <f t="shared" si="305"/>
        <v>500</v>
      </c>
      <c r="CC588" s="2473">
        <f t="shared" si="308"/>
        <v>0</v>
      </c>
      <c r="CE588" s="2474">
        <v>500</v>
      </c>
      <c r="CF588" s="2476">
        <f t="shared" si="309"/>
        <v>0</v>
      </c>
      <c r="CG588" s="2474">
        <v>500</v>
      </c>
      <c r="CH588" s="2449" t="s">
        <v>1217</v>
      </c>
      <c r="CI588" s="2449"/>
      <c r="CJ588" s="2450"/>
      <c r="CK588" s="2450"/>
      <c r="CO588" s="2477" t="s">
        <v>1218</v>
      </c>
      <c r="CP588" s="2478">
        <f t="shared" si="310"/>
        <v>-500</v>
      </c>
      <c r="CQ588" s="2478"/>
      <c r="CR588" s="2478"/>
      <c r="CS588" s="2478"/>
      <c r="CT588" s="2478"/>
    </row>
    <row r="589" spans="1:98" hidden="1" x14ac:dyDescent="0.2">
      <c r="A589" s="2395">
        <v>420</v>
      </c>
      <c r="B589" s="2440" t="s">
        <v>1214</v>
      </c>
      <c r="C589" s="2396">
        <v>42005</v>
      </c>
      <c r="D589" s="2396">
        <v>57000</v>
      </c>
      <c r="E589" s="2397" t="s">
        <v>1268</v>
      </c>
      <c r="F589" s="2440" t="s">
        <v>1214</v>
      </c>
      <c r="G589" s="2440" t="s">
        <v>1999</v>
      </c>
      <c r="H589" s="2466">
        <v>2500</v>
      </c>
      <c r="I589" s="2470">
        <v>500</v>
      </c>
      <c r="J589" s="2466">
        <f t="shared" si="295"/>
        <v>3000</v>
      </c>
      <c r="K589" s="2468">
        <f t="shared" si="296"/>
        <v>0.2</v>
      </c>
      <c r="M589" s="2467">
        <v>3000</v>
      </c>
      <c r="N589" s="2467">
        <v>3000</v>
      </c>
      <c r="P589" s="2469"/>
      <c r="R589" s="2466">
        <v>3000</v>
      </c>
      <c r="S589" s="2466">
        <v>5500</v>
      </c>
      <c r="U589" s="2466">
        <v>3000</v>
      </c>
      <c r="V589" s="2470">
        <v>2500</v>
      </c>
      <c r="W589" s="2466">
        <f t="shared" si="297"/>
        <v>5500</v>
      </c>
      <c r="X589" s="2468">
        <f t="shared" si="298"/>
        <v>0.83333333333333337</v>
      </c>
      <c r="Z589" s="2467">
        <v>5500</v>
      </c>
      <c r="AA589" s="2467">
        <v>5500</v>
      </c>
      <c r="AC589" s="2469"/>
      <c r="AE589" s="2466">
        <v>5500</v>
      </c>
      <c r="AF589" s="2471">
        <v>5200</v>
      </c>
      <c r="AH589" s="2466">
        <v>5500</v>
      </c>
      <c r="AI589" s="2470"/>
      <c r="AJ589" s="2466">
        <f t="shared" si="299"/>
        <v>5500</v>
      </c>
      <c r="AK589" s="2468">
        <f t="shared" si="300"/>
        <v>0</v>
      </c>
      <c r="AM589" s="2467">
        <v>5500</v>
      </c>
      <c r="AN589" s="2467">
        <v>5500</v>
      </c>
      <c r="AP589" s="2469"/>
      <c r="AR589" s="2466">
        <v>5500</v>
      </c>
      <c r="AS589" s="2466">
        <v>5500</v>
      </c>
      <c r="AT589" s="2466"/>
      <c r="AU589" s="2466">
        <v>5500</v>
      </c>
      <c r="AV589" s="2466">
        <v>6500</v>
      </c>
      <c r="AX589" s="2466">
        <v>5500</v>
      </c>
      <c r="AY589" s="2542">
        <v>1000</v>
      </c>
      <c r="AZ589" s="2466">
        <f t="shared" si="301"/>
        <v>6500</v>
      </c>
      <c r="BA589" s="2468">
        <f t="shared" si="302"/>
        <v>0.18181818181818182</v>
      </c>
      <c r="BC589" s="2467">
        <v>6500</v>
      </c>
      <c r="BD589" s="2467">
        <v>6500</v>
      </c>
      <c r="BF589" s="2543" t="s">
        <v>1273</v>
      </c>
      <c r="BH589" s="2467">
        <v>6500</v>
      </c>
      <c r="BI589" s="2466">
        <v>9700</v>
      </c>
      <c r="BM589" s="2466">
        <v>6500</v>
      </c>
      <c r="BN589" s="2470"/>
      <c r="BO589" s="2472">
        <f t="shared" si="303"/>
        <v>6500</v>
      </c>
      <c r="BP589" s="2473">
        <f t="shared" si="304"/>
        <v>0</v>
      </c>
      <c r="BR589" s="2474">
        <v>6500</v>
      </c>
      <c r="BS589" s="2474">
        <v>6500</v>
      </c>
      <c r="BU589" s="2544"/>
      <c r="BW589" s="2474">
        <v>6500</v>
      </c>
      <c r="BZ589" s="2474">
        <v>6500</v>
      </c>
      <c r="CA589" s="2470"/>
      <c r="CB589" s="2472">
        <f t="shared" si="305"/>
        <v>6500</v>
      </c>
      <c r="CC589" s="2473">
        <f t="shared" si="308"/>
        <v>0</v>
      </c>
      <c r="CE589" s="2474">
        <v>6500</v>
      </c>
      <c r="CF589" s="2476">
        <f t="shared" si="309"/>
        <v>0</v>
      </c>
      <c r="CG589" s="2474">
        <v>6500</v>
      </c>
      <c r="CH589" s="2449" t="s">
        <v>1217</v>
      </c>
      <c r="CI589" s="2449"/>
      <c r="CJ589" s="2450"/>
      <c r="CK589" s="2450"/>
      <c r="CO589" s="2477">
        <v>0.49230769230769234</v>
      </c>
      <c r="CP589" s="2478">
        <f t="shared" si="310"/>
        <v>3200</v>
      </c>
      <c r="CQ589" s="2478"/>
      <c r="CR589" s="2478"/>
      <c r="CS589" s="2478"/>
      <c r="CT589" s="2478"/>
    </row>
    <row r="590" spans="1:98" hidden="1" x14ac:dyDescent="0.2">
      <c r="A590" s="2395">
        <v>420</v>
      </c>
      <c r="B590" s="2440" t="s">
        <v>1214</v>
      </c>
      <c r="C590" s="2396">
        <v>42005</v>
      </c>
      <c r="D590" s="2396">
        <v>57300</v>
      </c>
      <c r="E590" s="2397" t="s">
        <v>1268</v>
      </c>
      <c r="F590" s="2440" t="s">
        <v>1214</v>
      </c>
      <c r="G590" s="2440" t="s">
        <v>2000</v>
      </c>
      <c r="H590" s="2466">
        <v>1000</v>
      </c>
      <c r="I590" s="2470">
        <v>20</v>
      </c>
      <c r="J590" s="2466">
        <f t="shared" si="295"/>
        <v>1020</v>
      </c>
      <c r="K590" s="2468">
        <f t="shared" si="296"/>
        <v>0.02</v>
      </c>
      <c r="M590" s="2467">
        <v>1020</v>
      </c>
      <c r="N590" s="2467">
        <v>1020</v>
      </c>
      <c r="P590" s="2469"/>
      <c r="R590" s="2466">
        <v>1020</v>
      </c>
      <c r="S590" s="2466">
        <v>1133.33</v>
      </c>
      <c r="U590" s="2466">
        <v>1020</v>
      </c>
      <c r="V590" s="2470">
        <v>0</v>
      </c>
      <c r="W590" s="2466">
        <f t="shared" si="297"/>
        <v>1020</v>
      </c>
      <c r="X590" s="2468">
        <f t="shared" si="298"/>
        <v>0</v>
      </c>
      <c r="Z590" s="2467">
        <v>1020</v>
      </c>
      <c r="AA590" s="2467">
        <v>1020</v>
      </c>
      <c r="AC590" s="2469"/>
      <c r="AE590" s="2466">
        <v>1020</v>
      </c>
      <c r="AF590" s="2471">
        <v>1373.33</v>
      </c>
      <c r="AH590" s="2466">
        <v>1020</v>
      </c>
      <c r="AI590" s="2470"/>
      <c r="AJ590" s="2466">
        <f t="shared" si="299"/>
        <v>1020</v>
      </c>
      <c r="AK590" s="2468">
        <f t="shared" si="300"/>
        <v>0</v>
      </c>
      <c r="AM590" s="2467">
        <v>1020</v>
      </c>
      <c r="AN590" s="2467">
        <v>1020</v>
      </c>
      <c r="AP590" s="2469"/>
      <c r="AR590" s="2466">
        <v>1020</v>
      </c>
      <c r="AS590" s="2466">
        <v>330</v>
      </c>
      <c r="AT590" s="2466"/>
      <c r="AU590" s="2466">
        <v>1020</v>
      </c>
      <c r="AV590" s="2466">
        <v>1529.5</v>
      </c>
      <c r="AX590" s="2466">
        <v>1020</v>
      </c>
      <c r="AY590" s="2470"/>
      <c r="AZ590" s="2466">
        <f t="shared" si="301"/>
        <v>1020</v>
      </c>
      <c r="BA590" s="2468">
        <f t="shared" si="302"/>
        <v>0</v>
      </c>
      <c r="BC590" s="2467">
        <v>1020</v>
      </c>
      <c r="BD590" s="2467">
        <v>1020</v>
      </c>
      <c r="BF590" s="2469"/>
      <c r="BH590" s="2467">
        <v>1020</v>
      </c>
      <c r="BI590" s="2466">
        <v>1633.34</v>
      </c>
      <c r="BM590" s="2466">
        <v>1020</v>
      </c>
      <c r="BN590" s="2470"/>
      <c r="BO590" s="2472">
        <f t="shared" si="303"/>
        <v>1020</v>
      </c>
      <c r="BP590" s="2473">
        <f t="shared" si="304"/>
        <v>0</v>
      </c>
      <c r="BR590" s="2474">
        <v>1020</v>
      </c>
      <c r="BS590" s="2474">
        <v>1020</v>
      </c>
      <c r="BU590" s="2475"/>
      <c r="BW590" s="2474">
        <v>1020</v>
      </c>
      <c r="BX590" s="2466">
        <v>1183.3399999999999</v>
      </c>
      <c r="BZ590" s="2474">
        <v>1020</v>
      </c>
      <c r="CA590" s="2470"/>
      <c r="CB590" s="2472">
        <f t="shared" si="305"/>
        <v>1020</v>
      </c>
      <c r="CC590" s="2473">
        <f t="shared" si="308"/>
        <v>0</v>
      </c>
      <c r="CE590" s="2474">
        <v>1020</v>
      </c>
      <c r="CF590" s="2476">
        <f t="shared" si="309"/>
        <v>0</v>
      </c>
      <c r="CG590" s="2474">
        <v>1020</v>
      </c>
      <c r="CH590" s="2449" t="s">
        <v>1217</v>
      </c>
      <c r="CI590" s="2449"/>
      <c r="CJ590" s="2450"/>
      <c r="CK590" s="2450"/>
      <c r="CO590" s="2477">
        <v>0.60131372549019591</v>
      </c>
      <c r="CP590" s="2478">
        <f t="shared" si="310"/>
        <v>613.33999999999992</v>
      </c>
      <c r="CQ590" s="2478"/>
      <c r="CR590" s="2478"/>
      <c r="CS590" s="2478"/>
      <c r="CT590" s="2478"/>
    </row>
    <row r="591" spans="1:98" hidden="1" x14ac:dyDescent="0.2">
      <c r="A591" s="2395">
        <v>420</v>
      </c>
      <c r="C591" s="2396">
        <v>42005</v>
      </c>
      <c r="D591" s="2396">
        <v>57800</v>
      </c>
      <c r="E591" s="2397" t="s">
        <v>1268</v>
      </c>
      <c r="G591" s="2440" t="s">
        <v>2001</v>
      </c>
      <c r="I591" s="2470"/>
      <c r="M591" s="2467"/>
      <c r="N591" s="2467"/>
      <c r="P591" s="2469"/>
      <c r="V591" s="2470"/>
      <c r="Z591" s="2467"/>
      <c r="AA591" s="2467"/>
      <c r="AC591" s="2469"/>
      <c r="AI591" s="2470"/>
      <c r="AM591" s="2467"/>
      <c r="AN591" s="2467"/>
      <c r="AP591" s="2469"/>
      <c r="AS591" s="2466">
        <v>173.45</v>
      </c>
      <c r="AT591" s="2466"/>
      <c r="AV591" s="2466">
        <v>2046.53</v>
      </c>
      <c r="AY591" s="2470"/>
      <c r="BC591" s="2467"/>
      <c r="BD591" s="2467"/>
      <c r="BF591" s="2469"/>
      <c r="BH591" s="2467"/>
      <c r="BI591" s="2466">
        <v>399.99</v>
      </c>
      <c r="BN591" s="2470"/>
      <c r="BO591" s="2472">
        <f t="shared" si="303"/>
        <v>0</v>
      </c>
      <c r="BR591" s="2474">
        <v>0</v>
      </c>
      <c r="BS591" s="2474">
        <v>0</v>
      </c>
      <c r="BU591" s="2475"/>
      <c r="BW591" s="2474">
        <v>0</v>
      </c>
      <c r="BZ591" s="2474">
        <v>0</v>
      </c>
      <c r="CA591" s="2470"/>
      <c r="CB591" s="2472">
        <f t="shared" si="305"/>
        <v>0</v>
      </c>
      <c r="CE591" s="2474">
        <v>0</v>
      </c>
      <c r="CF591" s="2476"/>
      <c r="CG591" s="2474">
        <v>0</v>
      </c>
      <c r="CH591" s="2449" t="s">
        <v>1217</v>
      </c>
      <c r="CI591" s="2449"/>
      <c r="CJ591" s="2450"/>
      <c r="CK591" s="2450"/>
      <c r="CO591" s="2477" t="s">
        <v>1257</v>
      </c>
      <c r="CP591" s="2478">
        <f t="shared" si="310"/>
        <v>399.99</v>
      </c>
      <c r="CQ591" s="2478"/>
      <c r="CR591" s="2478"/>
      <c r="CS591" s="2478"/>
      <c r="CT591" s="2478"/>
    </row>
    <row r="592" spans="1:98" hidden="1" x14ac:dyDescent="0.2">
      <c r="A592" s="2395">
        <v>420</v>
      </c>
      <c r="B592" s="2440" t="s">
        <v>1214</v>
      </c>
      <c r="C592" s="2396">
        <v>42005</v>
      </c>
      <c r="D592" s="2396">
        <v>58400</v>
      </c>
      <c r="E592" s="2397" t="s">
        <v>1268</v>
      </c>
      <c r="F592" s="2440" t="s">
        <v>1214</v>
      </c>
      <c r="G592" s="2440" t="s">
        <v>2002</v>
      </c>
      <c r="H592" s="2466">
        <v>72615</v>
      </c>
      <c r="I592" s="2470">
        <v>1452.3</v>
      </c>
      <c r="J592" s="2466">
        <f t="shared" si="295"/>
        <v>74067.3</v>
      </c>
      <c r="K592" s="2468">
        <f t="shared" si="296"/>
        <v>2.0000000000000039E-2</v>
      </c>
      <c r="M592" s="2467">
        <v>74067</v>
      </c>
      <c r="N592" s="2467">
        <v>74067</v>
      </c>
      <c r="P592" s="2469"/>
      <c r="R592" s="2466">
        <v>74067</v>
      </c>
      <c r="S592" s="2466">
        <v>79381.95</v>
      </c>
      <c r="U592" s="2466">
        <v>74067</v>
      </c>
      <c r="V592" s="2470">
        <v>0</v>
      </c>
      <c r="W592" s="2466">
        <f t="shared" si="297"/>
        <v>74067</v>
      </c>
      <c r="X592" s="2468">
        <f t="shared" si="298"/>
        <v>0</v>
      </c>
      <c r="Z592" s="2467">
        <v>74067</v>
      </c>
      <c r="AA592" s="2467">
        <v>74067</v>
      </c>
      <c r="AC592" s="2469"/>
      <c r="AE592" s="2466">
        <v>74067</v>
      </c>
      <c r="AF592" s="2471">
        <v>63010.04</v>
      </c>
      <c r="AH592" s="2466">
        <v>74067</v>
      </c>
      <c r="AI592" s="2470"/>
      <c r="AJ592" s="2466">
        <f t="shared" si="299"/>
        <v>74067</v>
      </c>
      <c r="AK592" s="2468">
        <f t="shared" si="300"/>
        <v>0</v>
      </c>
      <c r="AM592" s="2467">
        <v>74067</v>
      </c>
      <c r="AN592" s="2467">
        <v>74067</v>
      </c>
      <c r="AP592" s="2469"/>
      <c r="AR592" s="2466">
        <v>74067</v>
      </c>
      <c r="AS592" s="2466">
        <v>70704.2</v>
      </c>
      <c r="AT592" s="2466"/>
      <c r="AU592" s="2466">
        <v>74067</v>
      </c>
      <c r="AV592" s="2466">
        <v>47387.89</v>
      </c>
      <c r="AX592" s="2466">
        <v>74067</v>
      </c>
      <c r="AY592" s="2470"/>
      <c r="AZ592" s="2466">
        <f t="shared" si="301"/>
        <v>74067</v>
      </c>
      <c r="BA592" s="2468">
        <f t="shared" si="302"/>
        <v>0</v>
      </c>
      <c r="BC592" s="2467">
        <v>74067</v>
      </c>
      <c r="BD592" s="2467">
        <v>74067</v>
      </c>
      <c r="BF592" s="2469"/>
      <c r="BH592" s="2467">
        <v>74067</v>
      </c>
      <c r="BI592" s="2466">
        <v>45866.07</v>
      </c>
      <c r="BM592" s="2466">
        <v>74067</v>
      </c>
      <c r="BN592" s="2470"/>
      <c r="BO592" s="2472">
        <f t="shared" si="303"/>
        <v>74067</v>
      </c>
      <c r="BP592" s="2473">
        <f t="shared" ref="BP592" si="311">IF(BM592=0," ",(BO592-BM592)/BM592)</f>
        <v>0</v>
      </c>
      <c r="BR592" s="2474">
        <v>74067</v>
      </c>
      <c r="BS592" s="2474">
        <v>74067</v>
      </c>
      <c r="BU592" s="2475"/>
      <c r="BW592" s="2474">
        <v>74067</v>
      </c>
      <c r="BX592" s="2466">
        <v>3890.45</v>
      </c>
      <c r="BZ592" s="2474">
        <v>74067</v>
      </c>
      <c r="CA592" s="2470"/>
      <c r="CB592" s="2472">
        <f t="shared" si="305"/>
        <v>74067</v>
      </c>
      <c r="CC592" s="2473">
        <f t="shared" ref="CC592" si="312">IF(BZ592=0," ",(CB592-BZ592)/BZ592)</f>
        <v>0</v>
      </c>
      <c r="CE592" s="2474">
        <v>74067</v>
      </c>
      <c r="CF592" s="2476">
        <f>IF(CB592=0," ",(CE592-CB592)/CB592)</f>
        <v>0</v>
      </c>
      <c r="CG592" s="2474">
        <v>74067</v>
      </c>
      <c r="CH592" s="2449" t="s">
        <v>1217</v>
      </c>
      <c r="CI592" s="2449"/>
      <c r="CJ592" s="2450"/>
      <c r="CK592" s="2450"/>
      <c r="CO592" s="2477">
        <v>-0.38074891652152776</v>
      </c>
      <c r="CP592" s="2478">
        <f t="shared" si="310"/>
        <v>-28200.93</v>
      </c>
      <c r="CQ592" s="2478"/>
      <c r="CR592" s="2478"/>
      <c r="CS592" s="2478"/>
      <c r="CT592" s="2478"/>
    </row>
    <row r="593" spans="1:98" s="2485" customFormat="1" hidden="1" x14ac:dyDescent="0.2">
      <c r="A593" s="2532"/>
      <c r="B593" s="2533"/>
      <c r="C593" s="2534"/>
      <c r="D593" s="2534"/>
      <c r="E593" s="2535"/>
      <c r="F593" s="2533"/>
      <c r="G593" s="2533" t="s">
        <v>2003</v>
      </c>
      <c r="H593" s="2536">
        <f>SUM(H555:H592)</f>
        <v>242885</v>
      </c>
      <c r="I593" s="2536">
        <f>SUM(I555:I592)</f>
        <v>4984.6000000000004</v>
      </c>
      <c r="J593" s="2536">
        <f>SUM(J555:J592)</f>
        <v>247869.59999999998</v>
      </c>
      <c r="K593" s="2484">
        <f>IF(H593=0," ",(J593-H593)/H593)</f>
        <v>2.0522469481441739E-2</v>
      </c>
      <c r="L593" s="2533"/>
      <c r="M593" s="2536">
        <f>SUM(M555:M592)</f>
        <v>247869</v>
      </c>
      <c r="N593" s="2536">
        <f>SUM(N555:N592)</f>
        <v>247869</v>
      </c>
      <c r="O593" s="2533"/>
      <c r="P593" s="2537">
        <f>SUM(P555:P592)</f>
        <v>0</v>
      </c>
      <c r="Q593" s="2533"/>
      <c r="R593" s="2536">
        <f>SUM(R555:R592)</f>
        <v>247869</v>
      </c>
      <c r="S593" s="2536">
        <f>SUM(S555:S592)</f>
        <v>233686.90999999997</v>
      </c>
      <c r="U593" s="2662">
        <f>SUM(U555:U592)</f>
        <v>247869</v>
      </c>
      <c r="V593" s="2662">
        <f>SUM(V555:V592)</f>
        <v>-1311</v>
      </c>
      <c r="W593" s="2662">
        <f>SUM(W555:W592)</f>
        <v>246558</v>
      </c>
      <c r="X593" s="2663">
        <f>IF(U593=0," ",(W593-U593)/U593)</f>
        <v>-5.289084153322925E-3</v>
      </c>
      <c r="Z593" s="2662">
        <f>SUM(Z555:Z592)</f>
        <v>246558</v>
      </c>
      <c r="AA593" s="2662">
        <f>SUM(AA555:AA592)</f>
        <v>246558</v>
      </c>
      <c r="AC593" s="2664"/>
      <c r="AE593" s="2662">
        <f>SUM(AE555:AE592)</f>
        <v>246558</v>
      </c>
      <c r="AF593" s="2538">
        <f>SUM(AF555:AF592)</f>
        <v>239620.36000000002</v>
      </c>
      <c r="AH593" s="2662">
        <f>SUM(AH555:AH592)</f>
        <v>246558</v>
      </c>
      <c r="AI593" s="2662">
        <f>SUM(AI555:AI592)</f>
        <v>0</v>
      </c>
      <c r="AJ593" s="2662">
        <f>SUM(AJ555:AJ592)</f>
        <v>246558</v>
      </c>
      <c r="AK593" s="2663">
        <f>IF(AH593=0," ",(AJ593-AH593)/AH593)</f>
        <v>0</v>
      </c>
      <c r="AM593" s="2662">
        <f>SUM(AM555:AM592)</f>
        <v>246558</v>
      </c>
      <c r="AN593" s="2662">
        <f>SUM(AN555:AN592)</f>
        <v>246558</v>
      </c>
      <c r="AP593" s="2664"/>
      <c r="AR593" s="2536">
        <f>SUM(AR555:AR592)</f>
        <v>246558</v>
      </c>
      <c r="AS593" s="2536">
        <f>SUM(AS555:AS592)</f>
        <v>198756.88</v>
      </c>
      <c r="AT593" s="2536"/>
      <c r="AU593" s="2536">
        <f>SUM(AU555:AU592)</f>
        <v>246558</v>
      </c>
      <c r="AV593" s="2536">
        <f>SUM(AV555:AV592)</f>
        <v>213762.3</v>
      </c>
      <c r="AX593" s="2536">
        <f>SUM(AX555:AX592)</f>
        <v>246558</v>
      </c>
      <c r="AY593" s="2536">
        <f>SUM(AY555:AY592)</f>
        <v>0</v>
      </c>
      <c r="AZ593" s="2538">
        <f>SUM(AZ555:AZ592)</f>
        <v>246558</v>
      </c>
      <c r="BA593" s="2484">
        <f>IF(AX593=0," ",(AZ593-AX593)/AX593)</f>
        <v>0</v>
      </c>
      <c r="BC593" s="2536">
        <f>SUM(BC555:BC592)</f>
        <v>246558</v>
      </c>
      <c r="BD593" s="2536">
        <f>SUM(BD555:BD592)</f>
        <v>246558</v>
      </c>
      <c r="BF593" s="2537"/>
      <c r="BH593" s="2536">
        <f>SUM(BH555:BH592)</f>
        <v>246558</v>
      </c>
      <c r="BI593" s="2536">
        <f>SUM(BI555:BI592)</f>
        <v>218871.90999999997</v>
      </c>
      <c r="BJ593" s="2536"/>
      <c r="BK593" s="2536"/>
      <c r="BM593" s="2536">
        <f>SUM(BM555:BM592)</f>
        <v>246558</v>
      </c>
      <c r="BN593" s="2539">
        <f>SUM(BN555:BN592)</f>
        <v>0</v>
      </c>
      <c r="BO593" s="2665">
        <f>SUM(BO555:BO592)</f>
        <v>246558</v>
      </c>
      <c r="BP593" s="2490">
        <f>IF(BM593=0," ",(BO593-BM593)/BM593)</f>
        <v>0</v>
      </c>
      <c r="BQ593" s="2491"/>
      <c r="BR593" s="2540">
        <f>SUM(BR555:BR592)</f>
        <v>246558</v>
      </c>
      <c r="BS593" s="2540">
        <f>SUM(BS555:BS592)</f>
        <v>246558</v>
      </c>
      <c r="BT593" s="2491"/>
      <c r="BU593" s="2541"/>
      <c r="BV593" s="2491"/>
      <c r="BW593" s="2540">
        <f>SUM(BW555:BW592)</f>
        <v>246558</v>
      </c>
      <c r="BX593" s="2536">
        <f>SUM(BX555:BX592)</f>
        <v>83075.319999999992</v>
      </c>
      <c r="BZ593" s="2540">
        <f>SUM(BZ555:BZ592)</f>
        <v>246558</v>
      </c>
      <c r="CA593" s="2540">
        <f>SUM(CA555:CA592)</f>
        <v>-52982</v>
      </c>
      <c r="CB593" s="2540">
        <f>SUM(CB555:CB592)</f>
        <v>193576</v>
      </c>
      <c r="CC593" s="2490">
        <f>IF(BZ593=0," ",(CB593-BZ593)/BZ593)</f>
        <v>-0.21488655813236643</v>
      </c>
      <c r="CD593" s="2491"/>
      <c r="CE593" s="2540">
        <f>SUM(CE555:CE592)</f>
        <v>193576</v>
      </c>
      <c r="CF593" s="2490">
        <f>IF(CB593=0," ",(CE593-CB593)/CB593)</f>
        <v>0</v>
      </c>
      <c r="CG593" s="2540">
        <f>SUM(CG555:CG592)</f>
        <v>193576</v>
      </c>
      <c r="CH593" s="2449" t="s">
        <v>1220</v>
      </c>
      <c r="CI593" s="2449"/>
      <c r="CJ593" s="2450"/>
      <c r="CK593" s="2450"/>
      <c r="CL593" s="2451"/>
      <c r="CM593" s="2451"/>
      <c r="CN593" s="2451"/>
      <c r="CO593" s="2477">
        <v>-0.11229037386740659</v>
      </c>
      <c r="CP593" s="2478">
        <f t="shared" si="310"/>
        <v>-27686.090000000026</v>
      </c>
      <c r="CQ593" s="2478"/>
      <c r="CR593" s="2478"/>
      <c r="CS593" s="2478"/>
      <c r="CT593" s="2478"/>
    </row>
    <row r="594" spans="1:98" ht="5.25" hidden="1" customHeight="1" x14ac:dyDescent="0.2">
      <c r="AS594" s="2466"/>
      <c r="AT594" s="2466"/>
      <c r="BZ594" s="2472"/>
      <c r="CH594" s="2449" t="s">
        <v>1091</v>
      </c>
      <c r="CI594" s="2449"/>
      <c r="CJ594" s="2450"/>
      <c r="CK594" s="2450"/>
      <c r="CP594" s="2478">
        <f t="shared" si="310"/>
        <v>0</v>
      </c>
      <c r="CQ594" s="2478"/>
      <c r="CR594" s="2478"/>
      <c r="CS594" s="2478"/>
      <c r="CT594" s="2478"/>
    </row>
    <row r="595" spans="1:98" hidden="1" x14ac:dyDescent="0.2">
      <c r="A595" s="2395">
        <v>420</v>
      </c>
      <c r="B595" s="2440" t="s">
        <v>1214</v>
      </c>
      <c r="C595" s="2396">
        <v>42008</v>
      </c>
      <c r="D595" s="2396">
        <v>52731</v>
      </c>
      <c r="E595" s="2397" t="s">
        <v>2004</v>
      </c>
      <c r="F595" s="2440" t="s">
        <v>1214</v>
      </c>
      <c r="G595" s="2440" t="s">
        <v>2005</v>
      </c>
      <c r="H595" s="2466">
        <v>29527</v>
      </c>
      <c r="I595" s="2470"/>
      <c r="J595" s="2466">
        <f>H595+I595</f>
        <v>29527</v>
      </c>
      <c r="K595" s="2468">
        <f>IF(H595=0," ",(J595-H595)/H595)</f>
        <v>0</v>
      </c>
      <c r="M595" s="2467">
        <v>29527</v>
      </c>
      <c r="N595" s="2467">
        <v>29527</v>
      </c>
      <c r="P595" s="2469"/>
      <c r="R595" s="2466">
        <v>29527</v>
      </c>
      <c r="S595" s="2466">
        <v>29256.23</v>
      </c>
      <c r="U595" s="2466">
        <v>29527</v>
      </c>
      <c r="V595" s="2470">
        <v>-29527</v>
      </c>
      <c r="W595" s="2466">
        <f>U595+V595</f>
        <v>0</v>
      </c>
      <c r="X595" s="2468">
        <f>IF(U595=0," ",(W595-U595)/U595)</f>
        <v>-1</v>
      </c>
      <c r="Z595" s="2467"/>
      <c r="AA595" s="2467"/>
      <c r="AC595" s="2469" t="s">
        <v>2006</v>
      </c>
      <c r="AI595" s="2470"/>
      <c r="AJ595" s="2466">
        <f>AH595+AI595</f>
        <v>0</v>
      </c>
      <c r="AK595" s="2468" t="str">
        <f>IF(AH595=0," ",(AJ595-AH595)/AH595)</f>
        <v xml:space="preserve"> </v>
      </c>
      <c r="AM595" s="2467"/>
      <c r="AN595" s="2467"/>
      <c r="AP595" s="2469"/>
      <c r="AS595" s="2466"/>
      <c r="AT595" s="2466"/>
      <c r="AY595" s="2470"/>
      <c r="AZ595" s="2466">
        <f>AX595+AY595</f>
        <v>0</v>
      </c>
      <c r="BA595" s="2468" t="str">
        <f>IF(AX595=0," ",(AZ595-AX595)/AX595)</f>
        <v xml:space="preserve"> </v>
      </c>
      <c r="BC595" s="2467"/>
      <c r="BD595" s="2467"/>
      <c r="BF595" s="2469"/>
      <c r="BH595" s="2467"/>
      <c r="BN595" s="2470"/>
      <c r="BO595" s="2472">
        <f>BM595+BN595</f>
        <v>0</v>
      </c>
      <c r="BP595" s="2473" t="str">
        <f>IF(BM595=0," ",(BO595-BM595)/BM595)</f>
        <v xml:space="preserve"> </v>
      </c>
      <c r="BR595" s="2474">
        <v>0</v>
      </c>
      <c r="BS595" s="2474">
        <v>0</v>
      </c>
      <c r="BU595" s="2475"/>
      <c r="BW595" s="2474">
        <v>0</v>
      </c>
      <c r="BZ595" s="2474">
        <v>0</v>
      </c>
      <c r="CA595" s="2470"/>
      <c r="CB595" s="2472">
        <f>BZ595+CA595</f>
        <v>0</v>
      </c>
      <c r="CC595" s="2473" t="str">
        <f>IF(BZ595=0," ",(CB595-BZ595)/BZ595)</f>
        <v xml:space="preserve"> </v>
      </c>
      <c r="CE595" s="2474">
        <v>0</v>
      </c>
      <c r="CF595" s="2476" t="str">
        <f>IF(CB595=0," ",(CE595-CB595)/CB595)</f>
        <v xml:space="preserve"> </v>
      </c>
      <c r="CG595" s="2474">
        <v>0</v>
      </c>
      <c r="CH595" s="2449" t="s">
        <v>1217</v>
      </c>
      <c r="CI595" s="2449"/>
      <c r="CJ595" s="2450"/>
      <c r="CK595" s="2450"/>
      <c r="CP595" s="2478">
        <f t="shared" si="310"/>
        <v>0</v>
      </c>
      <c r="CQ595" s="2478"/>
      <c r="CR595" s="2478"/>
      <c r="CS595" s="2478"/>
      <c r="CT595" s="2478"/>
    </row>
    <row r="596" spans="1:98" hidden="1" x14ac:dyDescent="0.2">
      <c r="A596" s="2395">
        <v>420</v>
      </c>
      <c r="B596" s="2440" t="s">
        <v>1214</v>
      </c>
      <c r="C596" s="2396">
        <v>42008</v>
      </c>
      <c r="D596" s="2396">
        <v>58700</v>
      </c>
      <c r="E596" s="2397" t="s">
        <v>2004</v>
      </c>
      <c r="F596" s="2440" t="s">
        <v>1214</v>
      </c>
      <c r="G596" s="2440" t="s">
        <v>2007</v>
      </c>
      <c r="I596" s="2470"/>
      <c r="J596" s="2466">
        <f>H596+I596</f>
        <v>0</v>
      </c>
      <c r="K596" s="2468" t="str">
        <f>IF(H596=0," ",(J596-H596)/H596)</f>
        <v xml:space="preserve"> </v>
      </c>
      <c r="M596" s="2467"/>
      <c r="N596" s="2467"/>
      <c r="P596" s="2469"/>
      <c r="V596" s="2470"/>
      <c r="W596" s="2466">
        <f>U596+V596</f>
        <v>0</v>
      </c>
      <c r="X596" s="2468" t="str">
        <f>IF(U596=0," ",(W596-U596)/U596)</f>
        <v xml:space="preserve"> </v>
      </c>
      <c r="Z596" s="2467"/>
      <c r="AA596" s="2467"/>
      <c r="AC596" s="2469"/>
      <c r="AI596" s="2470"/>
      <c r="AJ596" s="2466">
        <f>AH596+AI596</f>
        <v>0</v>
      </c>
      <c r="AK596" s="2468" t="str">
        <f>IF(AH596=0," ",(AJ596-AH596)/AH596)</f>
        <v xml:space="preserve"> </v>
      </c>
      <c r="AM596" s="2467"/>
      <c r="AN596" s="2467"/>
      <c r="AP596" s="2469"/>
      <c r="AS596" s="2466">
        <v>34997.620000000003</v>
      </c>
      <c r="AT596" s="2466"/>
      <c r="AY596" s="2470"/>
      <c r="AZ596" s="2466">
        <f>AX596+AY596</f>
        <v>0</v>
      </c>
      <c r="BA596" s="2468" t="str">
        <f>IF(AX596=0," ",(AZ596-AX596)/AX596)</f>
        <v xml:space="preserve"> </v>
      </c>
      <c r="BC596" s="2467"/>
      <c r="BD596" s="2467"/>
      <c r="BF596" s="2469"/>
      <c r="BH596" s="2467"/>
      <c r="BI596" s="2466">
        <v>21999.74</v>
      </c>
      <c r="BN596" s="2470"/>
      <c r="BO596" s="2472">
        <f>BM596+BN596</f>
        <v>0</v>
      </c>
      <c r="BP596" s="2473" t="str">
        <f>IF(BM596=0," ",(BO596-BM596)/BM596)</f>
        <v xml:space="preserve"> </v>
      </c>
      <c r="BR596" s="2474">
        <v>0</v>
      </c>
      <c r="BS596" s="2474">
        <v>0</v>
      </c>
      <c r="BU596" s="2475"/>
      <c r="BW596" s="2474">
        <v>0</v>
      </c>
      <c r="BZ596" s="2474">
        <v>0</v>
      </c>
      <c r="CA596" s="2470"/>
      <c r="CB596" s="2472">
        <f>BZ596+CA596</f>
        <v>0</v>
      </c>
      <c r="CC596" s="2473" t="str">
        <f>IF(BZ596=0," ",(CB596-BZ596)/BZ596)</f>
        <v xml:space="preserve"> </v>
      </c>
      <c r="CE596" s="2474">
        <v>0</v>
      </c>
      <c r="CF596" s="2476" t="str">
        <f>IF(CB596=0," ",(CE596-CB596)/CB596)</f>
        <v xml:space="preserve"> </v>
      </c>
      <c r="CG596" s="2474">
        <v>0</v>
      </c>
      <c r="CH596" s="2449" t="s">
        <v>1217</v>
      </c>
      <c r="CI596" s="2449"/>
      <c r="CJ596" s="2450"/>
      <c r="CK596" s="2450"/>
      <c r="CO596" s="2477" t="s">
        <v>1257</v>
      </c>
      <c r="CP596" s="2478">
        <f t="shared" si="310"/>
        <v>21999.74</v>
      </c>
      <c r="CQ596" s="2478"/>
      <c r="CR596" s="2478"/>
      <c r="CS596" s="2478"/>
      <c r="CT596" s="2478"/>
    </row>
    <row r="597" spans="1:98" s="2485" customFormat="1" hidden="1" x14ac:dyDescent="0.2">
      <c r="A597" s="2532"/>
      <c r="B597" s="2533"/>
      <c r="C597" s="2534"/>
      <c r="D597" s="2534"/>
      <c r="E597" s="2535"/>
      <c r="F597" s="2533"/>
      <c r="G597" s="2533" t="s">
        <v>2008</v>
      </c>
      <c r="H597" s="2536">
        <f>SUM(H595:H596)</f>
        <v>29527</v>
      </c>
      <c r="I597" s="2536">
        <f>SUM(I595:I596)</f>
        <v>0</v>
      </c>
      <c r="J597" s="2536">
        <f>SUM(J595:J596)</f>
        <v>29527</v>
      </c>
      <c r="K597" s="2484">
        <f>IF(H597=0," ",(J597-H597)/H597)</f>
        <v>0</v>
      </c>
      <c r="L597" s="2533"/>
      <c r="M597" s="2536">
        <f>SUM(M595:M596)</f>
        <v>29527</v>
      </c>
      <c r="N597" s="2536">
        <f>SUM(N595:N596)</f>
        <v>29527</v>
      </c>
      <c r="O597" s="2533"/>
      <c r="P597" s="2537">
        <f>SUM(P596)</f>
        <v>0</v>
      </c>
      <c r="Q597" s="2533"/>
      <c r="R597" s="2536">
        <f>SUM(R595:R596)</f>
        <v>29527</v>
      </c>
      <c r="S597" s="2536">
        <f>SUM(S595:S596)</f>
        <v>29256.23</v>
      </c>
      <c r="U597" s="2662">
        <f>SUM(U595:U596)</f>
        <v>29527</v>
      </c>
      <c r="V597" s="2662">
        <f>SUM(V595:V596)</f>
        <v>-29527</v>
      </c>
      <c r="W597" s="2662">
        <f>SUM(W595:W596)</f>
        <v>0</v>
      </c>
      <c r="X597" s="2484">
        <f>IF(U597=0," ",(W597-U597)/U597)</f>
        <v>-1</v>
      </c>
      <c r="Z597" s="2662">
        <f>SUM(Z595:Z596)</f>
        <v>0</v>
      </c>
      <c r="AA597" s="2662">
        <f>SUM(AA595:AA596)</f>
        <v>0</v>
      </c>
      <c r="AC597" s="2664"/>
      <c r="AE597" s="2662">
        <f>SUM(AE595:AE596)</f>
        <v>0</v>
      </c>
      <c r="AF597" s="2538">
        <f>SUM(AF595:AF596)</f>
        <v>0</v>
      </c>
      <c r="AH597" s="2662">
        <f>SUM(AH595:AH596)</f>
        <v>0</v>
      </c>
      <c r="AI597" s="2662">
        <f>SUM(AI595:AI596)</f>
        <v>0</v>
      </c>
      <c r="AJ597" s="2662">
        <f>SUM(AJ595:AJ596)</f>
        <v>0</v>
      </c>
      <c r="AK597" s="2484" t="str">
        <f>IF(AH597=0," ",(AJ597-AH597)/AH597)</f>
        <v xml:space="preserve"> </v>
      </c>
      <c r="AM597" s="2662">
        <f>SUM(AM595:AM596)</f>
        <v>0</v>
      </c>
      <c r="AN597" s="2662">
        <f>SUM(AN595:AN596)</f>
        <v>0</v>
      </c>
      <c r="AP597" s="2664"/>
      <c r="AR597" s="2536">
        <f>SUM(AR595:AR596)</f>
        <v>0</v>
      </c>
      <c r="AS597" s="2536">
        <f>SUM(AS595:AS596)</f>
        <v>34997.620000000003</v>
      </c>
      <c r="AT597" s="2536"/>
      <c r="AU597" s="2536">
        <f>SUM(AU595:AU596)</f>
        <v>0</v>
      </c>
      <c r="AV597" s="2536">
        <f>SUM(AV595:AV596)</f>
        <v>0</v>
      </c>
      <c r="AX597" s="2536">
        <f>SUM(AX595:AX596)</f>
        <v>0</v>
      </c>
      <c r="AY597" s="2536">
        <f>SUM(AY595:AY596)</f>
        <v>0</v>
      </c>
      <c r="AZ597" s="2536">
        <f>SUM(AZ595:AZ596)</f>
        <v>0</v>
      </c>
      <c r="BA597" s="2484" t="str">
        <f>IF(AX597=0," ",(AZ597-AX597)/AX597)</f>
        <v xml:space="preserve"> </v>
      </c>
      <c r="BC597" s="2536">
        <f>SUM(BC595:BC596)</f>
        <v>0</v>
      </c>
      <c r="BD597" s="2536">
        <f>SUM(BD595:BD596)</f>
        <v>0</v>
      </c>
      <c r="BF597" s="2537"/>
      <c r="BH597" s="2536">
        <f>SUM(BH595:BH596)</f>
        <v>0</v>
      </c>
      <c r="BI597" s="2536">
        <f>SUM(BI595:BI596)</f>
        <v>21999.74</v>
      </c>
      <c r="BJ597" s="2536"/>
      <c r="BK597" s="2536"/>
      <c r="BM597" s="2536">
        <f>SUM(BM595:BM596)</f>
        <v>0</v>
      </c>
      <c r="BN597" s="2539">
        <f>SUM(BN595:BN596)</f>
        <v>0</v>
      </c>
      <c r="BO597" s="2540">
        <f>SUM(BO595:BO596)</f>
        <v>0</v>
      </c>
      <c r="BP597" s="2490" t="str">
        <f>IF(BM597=0," ",(BO597-BM597)/BM597)</f>
        <v xml:space="preserve"> </v>
      </c>
      <c r="BQ597" s="2491"/>
      <c r="BR597" s="2540">
        <f>SUM(BR595:BR596)</f>
        <v>0</v>
      </c>
      <c r="BS597" s="2540">
        <f>SUM(BS595:BS596)</f>
        <v>0</v>
      </c>
      <c r="BT597" s="2491"/>
      <c r="BU597" s="2541"/>
      <c r="BV597" s="2491"/>
      <c r="BW597" s="2540">
        <f>SUM(BW595:BW596)</f>
        <v>0</v>
      </c>
      <c r="BX597" s="2536">
        <f>SUM(BX595:BX596)</f>
        <v>0</v>
      </c>
      <c r="BZ597" s="2540">
        <f>SUM(BZ595:BZ596)</f>
        <v>0</v>
      </c>
      <c r="CA597" s="2540">
        <f>SUM(CA595:CA596)</f>
        <v>0</v>
      </c>
      <c r="CB597" s="2540">
        <f>SUM(CB595:CB596)</f>
        <v>0</v>
      </c>
      <c r="CC597" s="2490" t="str">
        <f>IF(BZ597=0," ",(CB597-BZ597)/BZ597)</f>
        <v xml:space="preserve"> </v>
      </c>
      <c r="CD597" s="2491"/>
      <c r="CE597" s="2540">
        <f>SUM(CE595:CE596)</f>
        <v>0</v>
      </c>
      <c r="CF597" s="2490" t="str">
        <f>IF(CB597=0," ",(CE597-CB597)/CB597)</f>
        <v xml:space="preserve"> </v>
      </c>
      <c r="CG597" s="2540">
        <f>SUM(CG595:CG596)</f>
        <v>0</v>
      </c>
      <c r="CH597" s="2449" t="s">
        <v>1220</v>
      </c>
      <c r="CI597" s="2449"/>
      <c r="CJ597" s="2450"/>
      <c r="CK597" s="2450"/>
      <c r="CL597" s="2451"/>
      <c r="CM597" s="2451"/>
      <c r="CN597" s="2451"/>
      <c r="CO597" s="2477" t="s">
        <v>1257</v>
      </c>
      <c r="CP597" s="2478">
        <f t="shared" si="310"/>
        <v>21999.74</v>
      </c>
      <c r="CQ597" s="2478"/>
      <c r="CR597" s="2478"/>
      <c r="CS597" s="2478"/>
      <c r="CT597" s="2478"/>
    </row>
    <row r="598" spans="1:98" ht="6.75" hidden="1" customHeight="1" x14ac:dyDescent="0.2">
      <c r="AS598" s="2466"/>
      <c r="AT598" s="2466"/>
      <c r="BZ598" s="2472"/>
      <c r="CH598" s="2449" t="s">
        <v>1091</v>
      </c>
      <c r="CI598" s="2449"/>
      <c r="CJ598" s="2450"/>
      <c r="CK598" s="2450"/>
      <c r="CP598" s="2478">
        <f t="shared" si="310"/>
        <v>0</v>
      </c>
      <c r="CQ598" s="2478"/>
      <c r="CR598" s="2478"/>
      <c r="CS598" s="2478"/>
      <c r="CT598" s="2478"/>
    </row>
    <row r="599" spans="1:98" x14ac:dyDescent="0.2">
      <c r="A599" s="2495"/>
      <c r="B599" s="2496"/>
      <c r="C599" s="2497"/>
      <c r="D599" s="2497"/>
      <c r="E599" s="2498"/>
      <c r="F599" s="2496"/>
      <c r="G599" s="2499" t="s">
        <v>2009</v>
      </c>
      <c r="H599" s="2500">
        <f>H553+H593+H597</f>
        <v>672456</v>
      </c>
      <c r="I599" s="2500">
        <f>I553+I593+I597</f>
        <v>11017.6</v>
      </c>
      <c r="J599" s="2500">
        <f>J553+J593+J597</f>
        <v>683473.6</v>
      </c>
      <c r="K599" s="2501">
        <f>IF(H599=0," ",(J599-H599)/H599)</f>
        <v>1.6384120299320664E-2</v>
      </c>
      <c r="M599" s="2500">
        <f>M553+M593+M597</f>
        <v>683473</v>
      </c>
      <c r="N599" s="2500">
        <f>N553+N593+N597</f>
        <v>683473</v>
      </c>
      <c r="P599" s="2502">
        <f>P553+P593+P597</f>
        <v>0</v>
      </c>
      <c r="R599" s="2500">
        <f>R553+R593+R597</f>
        <v>683473</v>
      </c>
      <c r="S599" s="2500">
        <f>S553+S593+S597</f>
        <v>672142.8</v>
      </c>
      <c r="U599" s="2500">
        <f>U553+U593+U597</f>
        <v>683473</v>
      </c>
      <c r="V599" s="2500">
        <f>V553+V593+V597</f>
        <v>-25186</v>
      </c>
      <c r="W599" s="2500">
        <f>W553+W593+W597</f>
        <v>658287</v>
      </c>
      <c r="X599" s="2501">
        <f>IF(U599=0," ",(W599-U599)/U599)</f>
        <v>-3.6850029189155975E-2</v>
      </c>
      <c r="Z599" s="2500">
        <f>Z553+Z593+Z597</f>
        <v>658287</v>
      </c>
      <c r="AA599" s="2500">
        <f>AA553+AA593+AA597</f>
        <v>658287</v>
      </c>
      <c r="AC599" s="2502"/>
      <c r="AE599" s="2500">
        <f>AE553+AE593+AE597</f>
        <v>658287</v>
      </c>
      <c r="AF599" s="2503">
        <f>AF553+AF593+AF597</f>
        <v>658704.91</v>
      </c>
      <c r="AH599" s="2500">
        <v>658287</v>
      </c>
      <c r="AI599" s="2500">
        <f>AI553+AI593+AI597</f>
        <v>29240</v>
      </c>
      <c r="AJ599" s="2500">
        <f>AJ553+AJ593+AJ597</f>
        <v>687527</v>
      </c>
      <c r="AK599" s="2501">
        <f>IF(AH599=0," ",(AJ599-AH599)/AH599)</f>
        <v>4.4418316023254294E-2</v>
      </c>
      <c r="AM599" s="2500">
        <f>AM553+AM593+AM597</f>
        <v>687527</v>
      </c>
      <c r="AN599" s="2500">
        <f>AN553+AN593+AN597</f>
        <v>687527</v>
      </c>
      <c r="AP599" s="2502"/>
      <c r="AR599" s="2500">
        <f>AR553+AR593+AR597</f>
        <v>687527</v>
      </c>
      <c r="AS599" s="2500">
        <f>AS553+AS593+AS597</f>
        <v>634314.2699999999</v>
      </c>
      <c r="AT599" s="2500"/>
      <c r="AU599" s="2500">
        <f>AU553+AU593+AU597</f>
        <v>669949</v>
      </c>
      <c r="AV599" s="2500">
        <f>AV553+AV593+AV597</f>
        <v>605024.94999999995</v>
      </c>
      <c r="AX599" s="2500">
        <f>AX553+AX593+AX597</f>
        <v>669949</v>
      </c>
      <c r="AY599" s="2500">
        <f>AY553+AY593+AY597</f>
        <v>-25503</v>
      </c>
      <c r="AZ599" s="2500">
        <f>AZ553+AZ593+AZ597</f>
        <v>644446</v>
      </c>
      <c r="BA599" s="2501">
        <f>IF(AX599=0," ",(AZ599-AX599)/AX599)</f>
        <v>-3.806707674763303E-2</v>
      </c>
      <c r="BC599" s="2500">
        <f>BC553+BC593+BC597</f>
        <v>644446</v>
      </c>
      <c r="BD599" s="2500">
        <f>BD553+BD593+BD597</f>
        <v>644446</v>
      </c>
      <c r="BF599" s="2502"/>
      <c r="BH599" s="2500">
        <f>BH553+BH593+BH597</f>
        <v>644446</v>
      </c>
      <c r="BI599" s="2500">
        <f>BI553+BI593+BI597</f>
        <v>639680.32999999996</v>
      </c>
      <c r="BJ599" s="2500"/>
      <c r="BK599" s="2500"/>
      <c r="BM599" s="2500">
        <f>BM553+BM593+BM597</f>
        <v>644446</v>
      </c>
      <c r="BN599" s="2504">
        <f>BN553+BN593+BN597</f>
        <v>13858</v>
      </c>
      <c r="BO599" s="2505">
        <f>BO553+BO593+BO597</f>
        <v>658304</v>
      </c>
      <c r="BP599" s="2506">
        <f>IF(BM599=0," ",(BO599-BM599)/BM599)</f>
        <v>2.1503741197866074E-2</v>
      </c>
      <c r="BR599" s="2505">
        <f>BR553+BR593+BR597</f>
        <v>658304</v>
      </c>
      <c r="BS599" s="2505">
        <f>BS553+BS593+BS597</f>
        <v>658304</v>
      </c>
      <c r="BU599" s="2507"/>
      <c r="BW599" s="2505">
        <f>BW553+BW593+BW597</f>
        <v>658304</v>
      </c>
      <c r="BX599" s="2500">
        <f>BX553+BX593+BX597</f>
        <v>281922.72000000003</v>
      </c>
      <c r="BZ599" s="2505">
        <f>BZ553+BZ593+BZ597</f>
        <v>658304</v>
      </c>
      <c r="CA599" s="2505">
        <f>CA553+CA593+CA597</f>
        <v>-57120</v>
      </c>
      <c r="CB599" s="2505">
        <f>CB553+CB593+CB597</f>
        <v>601184</v>
      </c>
      <c r="CC599" s="2506">
        <f>IF(BZ599=0," ",(CB599-BZ599)/BZ599)</f>
        <v>-8.6768423099358352E-2</v>
      </c>
      <c r="CE599" s="2505">
        <f>CE553+CE593+CE597</f>
        <v>604841</v>
      </c>
      <c r="CF599" s="2506">
        <f>IF(CB599=0," ",(CE599-CB599)/CB599)</f>
        <v>6.0829962207909725E-3</v>
      </c>
      <c r="CG599" s="2505">
        <f>CG553+CG593+CG597</f>
        <v>604841</v>
      </c>
      <c r="CH599" s="2449" t="s">
        <v>1222</v>
      </c>
      <c r="CI599" s="2508" t="str">
        <f>IF(CG599-CE599=0,"",CG599-CE599)</f>
        <v/>
      </c>
      <c r="CJ599" s="2509"/>
      <c r="CK599" s="2509"/>
      <c r="CL599" s="2451" t="str">
        <f>IF(CO599&lt;-1*CM$2,"examine","ignore")</f>
        <v>ignore</v>
      </c>
      <c r="CM599" s="2545" t="str">
        <f>IF(CL599="examine",CP599+CM$2*CP599/CO599,"")</f>
        <v/>
      </c>
      <c r="CN599" s="2545"/>
      <c r="CO599" s="2477">
        <v>-7.3949873224444795E-3</v>
      </c>
      <c r="CP599" s="2510">
        <f t="shared" si="310"/>
        <v>-4765.6700000000419</v>
      </c>
      <c r="CQ599" s="2510">
        <f>AV599-AU599</f>
        <v>-64924.050000000047</v>
      </c>
      <c r="CR599" s="2510">
        <f>AS599-AR599</f>
        <v>-53212.730000000098</v>
      </c>
      <c r="CS599" s="2510">
        <f>AF599-AE599</f>
        <v>417.9100000000326</v>
      </c>
    </row>
    <row r="600" spans="1:98" ht="14.1" hidden="1" customHeight="1" x14ac:dyDescent="0.2">
      <c r="AS600" s="2466"/>
      <c r="AT600" s="2466"/>
      <c r="BZ600" s="2472"/>
      <c r="CH600" s="2449" t="s">
        <v>1091</v>
      </c>
      <c r="CI600" s="2449"/>
      <c r="CJ600" s="2450"/>
      <c r="CK600" s="2450"/>
      <c r="CP600" s="2478">
        <f t="shared" si="310"/>
        <v>0</v>
      </c>
      <c r="CQ600" s="2478"/>
      <c r="CR600" s="2478"/>
      <c r="CS600" s="2478"/>
      <c r="CT600" s="2478"/>
    </row>
    <row r="601" spans="1:98" ht="15.75" hidden="1" x14ac:dyDescent="0.2">
      <c r="A601" s="2453" t="s">
        <v>2010</v>
      </c>
      <c r="B601" s="2454"/>
      <c r="C601" s="2455"/>
      <c r="D601" s="2455"/>
      <c r="E601" s="2456"/>
      <c r="F601" s="2454"/>
      <c r="G601" s="2454"/>
      <c r="H601" s="2457"/>
      <c r="I601" s="2457"/>
      <c r="J601" s="2457"/>
      <c r="K601" s="2458"/>
      <c r="M601" s="2457"/>
      <c r="N601" s="2457"/>
      <c r="P601" s="2459"/>
      <c r="R601" s="2457"/>
      <c r="S601" s="2457"/>
      <c r="U601" s="2457"/>
      <c r="V601" s="2457"/>
      <c r="W601" s="2457"/>
      <c r="X601" s="2458"/>
      <c r="Z601" s="2457"/>
      <c r="AA601" s="2457"/>
      <c r="AC601" s="2459"/>
      <c r="AE601" s="2457"/>
      <c r="AF601" s="2460"/>
      <c r="AH601" s="2457"/>
      <c r="AI601" s="2457"/>
      <c r="AJ601" s="2457"/>
      <c r="AK601" s="2458"/>
      <c r="AM601" s="2457"/>
      <c r="AN601" s="2457"/>
      <c r="AP601" s="2459"/>
      <c r="AR601" s="2457"/>
      <c r="AS601" s="2457"/>
      <c r="AT601" s="2457"/>
      <c r="AU601" s="2457"/>
      <c r="AV601" s="2457"/>
      <c r="AX601" s="2457"/>
      <c r="AY601" s="2457"/>
      <c r="AZ601" s="2457"/>
      <c r="BA601" s="2458"/>
      <c r="BC601" s="2457"/>
      <c r="BD601" s="2457"/>
      <c r="BF601" s="2461"/>
      <c r="BH601" s="2457"/>
      <c r="BI601" s="2457"/>
      <c r="BJ601" s="2457"/>
      <c r="BK601" s="2457"/>
      <c r="BM601" s="2457"/>
      <c r="BN601" s="2462"/>
      <c r="BO601" s="2463"/>
      <c r="BP601" s="2464"/>
      <c r="BR601" s="2463"/>
      <c r="BS601" s="2463"/>
      <c r="BU601" s="2465"/>
      <c r="BW601" s="2463"/>
      <c r="BX601" s="2457"/>
      <c r="BZ601" s="2463"/>
      <c r="CA601" s="2462"/>
      <c r="CB601" s="2463"/>
      <c r="CC601" s="2464"/>
      <c r="CE601" s="2463"/>
      <c r="CF601" s="2464"/>
      <c r="CG601" s="2463"/>
      <c r="CH601" s="2449" t="s">
        <v>1212</v>
      </c>
      <c r="CI601" s="2449"/>
      <c r="CJ601" s="2450"/>
      <c r="CK601" s="2450"/>
      <c r="CP601" s="2478">
        <f t="shared" si="310"/>
        <v>0</v>
      </c>
      <c r="CQ601" s="2478"/>
      <c r="CR601" s="2478"/>
      <c r="CS601" s="2478"/>
      <c r="CT601" s="2478"/>
    </row>
    <row r="602" spans="1:98" hidden="1" x14ac:dyDescent="0.2">
      <c r="A602" s="2395">
        <v>423</v>
      </c>
      <c r="B602" s="2440" t="s">
        <v>1214</v>
      </c>
      <c r="C602" s="2396">
        <v>42302</v>
      </c>
      <c r="D602" s="2396">
        <v>51310</v>
      </c>
      <c r="E602" s="2397" t="s">
        <v>319</v>
      </c>
      <c r="F602" s="2440" t="s">
        <v>1214</v>
      </c>
      <c r="G602" s="2440" t="s">
        <v>2011</v>
      </c>
      <c r="H602" s="2466">
        <v>23628</v>
      </c>
      <c r="I602" s="2470"/>
      <c r="J602" s="2466">
        <f>H602+I602</f>
        <v>23628</v>
      </c>
      <c r="K602" s="2468">
        <f>IF(H602=0," ",(J602-H602)/H602)</f>
        <v>0</v>
      </c>
      <c r="M602" s="2467">
        <v>23628</v>
      </c>
      <c r="N602" s="2467">
        <v>23628</v>
      </c>
      <c r="P602" s="2469"/>
      <c r="R602" s="2466">
        <v>23628</v>
      </c>
      <c r="S602" s="2466">
        <v>27701.62</v>
      </c>
      <c r="U602" s="2466">
        <v>23628</v>
      </c>
      <c r="V602" s="2470">
        <v>0</v>
      </c>
      <c r="W602" s="2466">
        <f>U602+V602</f>
        <v>23628</v>
      </c>
      <c r="X602" s="2468">
        <f>IF(U602=0," ",(W602-U602)/U602)</f>
        <v>0</v>
      </c>
      <c r="Z602" s="2467">
        <v>23628</v>
      </c>
      <c r="AA602" s="2467">
        <v>23628</v>
      </c>
      <c r="AC602" s="2469"/>
      <c r="AE602" s="2466">
        <v>23628</v>
      </c>
      <c r="AF602" s="2471">
        <v>21630.78</v>
      </c>
      <c r="AH602" s="2466">
        <v>23628</v>
      </c>
      <c r="AI602" s="2470">
        <v>1182</v>
      </c>
      <c r="AJ602" s="2466">
        <f>AH602+AI602</f>
        <v>24810</v>
      </c>
      <c r="AK602" s="2468">
        <f>IF(AH602=0," ",(AJ602-AH602)/AH602)</f>
        <v>5.0025393600812595E-2</v>
      </c>
      <c r="AM602" s="2467">
        <v>24810</v>
      </c>
      <c r="AN602" s="2467">
        <v>24810</v>
      </c>
      <c r="AP602" s="2530"/>
      <c r="AR602" s="2466">
        <v>24810</v>
      </c>
      <c r="AS602" s="2466">
        <v>17838.13</v>
      </c>
      <c r="AT602" s="2466"/>
      <c r="AU602" s="2466">
        <v>24810</v>
      </c>
      <c r="AV602" s="2466">
        <v>26121.88</v>
      </c>
      <c r="AX602" s="2466">
        <v>24810</v>
      </c>
      <c r="AY602" s="2470"/>
      <c r="AZ602" s="2466">
        <f>AX602+AY602</f>
        <v>24810</v>
      </c>
      <c r="BA602" s="2468">
        <f>IF(AX602=0," ",(AZ602-AX602)/AX602)</f>
        <v>0</v>
      </c>
      <c r="BC602" s="2467">
        <v>24810</v>
      </c>
      <c r="BD602" s="2467">
        <v>24810</v>
      </c>
      <c r="BF602" s="2469"/>
      <c r="BH602" s="2467">
        <v>24810</v>
      </c>
      <c r="BI602" s="2466">
        <v>35532.339999999997</v>
      </c>
      <c r="BM602" s="2466">
        <v>24810</v>
      </c>
      <c r="BN602" s="2470">
        <v>6500</v>
      </c>
      <c r="BO602" s="2472">
        <f>BM602+BN602</f>
        <v>31310</v>
      </c>
      <c r="BP602" s="2473">
        <f>IF(BM602=0," ",(BO602-BM602)/BM602)</f>
        <v>0.26199113260781942</v>
      </c>
      <c r="BR602" s="2474">
        <v>31310</v>
      </c>
      <c r="BS602" s="2474">
        <v>31310</v>
      </c>
      <c r="BU602" s="2578" t="s">
        <v>1430</v>
      </c>
      <c r="BW602" s="2474">
        <v>31310</v>
      </c>
      <c r="BX602" s="2466">
        <v>2991.56</v>
      </c>
      <c r="BZ602" s="2474">
        <v>31310</v>
      </c>
      <c r="CA602" s="2470"/>
      <c r="CB602" s="2472">
        <f>BZ602+CA602</f>
        <v>31310</v>
      </c>
      <c r="CC602" s="2473">
        <f>IF(BZ602=0," ",(CB602-BZ602)/BZ602)</f>
        <v>0</v>
      </c>
      <c r="CE602" s="2474">
        <v>31310</v>
      </c>
      <c r="CF602" s="2476">
        <f>IF(CB602=0," ",(CE602-CB602)/CB602)</f>
        <v>0</v>
      </c>
      <c r="CG602" s="2474">
        <v>31310</v>
      </c>
      <c r="CH602" s="2449" t="s">
        <v>1217</v>
      </c>
      <c r="CI602" s="2449"/>
      <c r="CJ602" s="2450"/>
      <c r="CK602" s="2450"/>
      <c r="CO602" s="2477">
        <v>0.43217815397017323</v>
      </c>
      <c r="CP602" s="2478">
        <f t="shared" si="310"/>
        <v>10722.339999999997</v>
      </c>
      <c r="CQ602" s="2478"/>
      <c r="CR602" s="2478"/>
      <c r="CS602" s="2478"/>
      <c r="CT602" s="2478"/>
    </row>
    <row r="603" spans="1:98" hidden="1" x14ac:dyDescent="0.2">
      <c r="A603" s="2395">
        <v>423</v>
      </c>
      <c r="B603" s="2440" t="s">
        <v>1214</v>
      </c>
      <c r="C603" s="2396">
        <v>42302</v>
      </c>
      <c r="D603" s="2396">
        <v>51330</v>
      </c>
      <c r="E603" s="2397" t="s">
        <v>319</v>
      </c>
      <c r="F603" s="2440" t="s">
        <v>1214</v>
      </c>
      <c r="G603" s="2440" t="s">
        <v>2012</v>
      </c>
      <c r="H603" s="2466">
        <v>7200</v>
      </c>
      <c r="I603" s="2470"/>
      <c r="J603" s="2466">
        <f>H603+I603</f>
        <v>7200</v>
      </c>
      <c r="K603" s="2468">
        <f>IF(H603=0," ",(J603-H603)/H603)</f>
        <v>0</v>
      </c>
      <c r="M603" s="2467">
        <v>7200</v>
      </c>
      <c r="N603" s="2467">
        <v>7200</v>
      </c>
      <c r="P603" s="2469"/>
      <c r="R603" s="2466">
        <v>7200</v>
      </c>
      <c r="S603" s="2466">
        <v>13744.6</v>
      </c>
      <c r="U603" s="2466">
        <v>7200</v>
      </c>
      <c r="V603" s="2470">
        <v>0</v>
      </c>
      <c r="W603" s="2466">
        <f>U603+V603</f>
        <v>7200</v>
      </c>
      <c r="X603" s="2468">
        <f>IF(U603=0," ",(W603-U603)/U603)</f>
        <v>0</v>
      </c>
      <c r="Z603" s="2467">
        <v>7200</v>
      </c>
      <c r="AA603" s="2467">
        <v>7200</v>
      </c>
      <c r="AC603" s="2469"/>
      <c r="AE603" s="2466">
        <v>7200</v>
      </c>
      <c r="AF603" s="2471">
        <v>9447.2199999999993</v>
      </c>
      <c r="AH603" s="2466">
        <v>7200</v>
      </c>
      <c r="AI603" s="2470">
        <v>360</v>
      </c>
      <c r="AJ603" s="2466">
        <f>AH603+AI603</f>
        <v>7560</v>
      </c>
      <c r="AK603" s="2468">
        <f>IF(AH603=0," ",(AJ603-AH603)/AH603)</f>
        <v>0.05</v>
      </c>
      <c r="AM603" s="2467">
        <v>7560</v>
      </c>
      <c r="AN603" s="2467">
        <v>7560</v>
      </c>
      <c r="AP603" s="2530"/>
      <c r="AR603" s="2466">
        <v>7560</v>
      </c>
      <c r="AS603" s="2466">
        <v>7682.77</v>
      </c>
      <c r="AT603" s="2466"/>
      <c r="AU603" s="2466">
        <v>7560</v>
      </c>
      <c r="AV603" s="2466">
        <v>5918.57</v>
      </c>
      <c r="AX603" s="2466">
        <v>7560</v>
      </c>
      <c r="AY603" s="2470"/>
      <c r="AZ603" s="2466">
        <f>AX603+AY603</f>
        <v>7560</v>
      </c>
      <c r="BA603" s="2468">
        <f>IF(AX603=0," ",(AZ603-AX603)/AX603)</f>
        <v>0</v>
      </c>
      <c r="BC603" s="2467">
        <v>7560</v>
      </c>
      <c r="BD603" s="2467">
        <v>7560</v>
      </c>
      <c r="BF603" s="2469"/>
      <c r="BH603" s="2467">
        <v>7560</v>
      </c>
      <c r="BI603" s="2466">
        <v>8814</v>
      </c>
      <c r="BM603" s="2466">
        <v>7560</v>
      </c>
      <c r="BN603" s="2470"/>
      <c r="BO603" s="2472">
        <f>BM603+BN603</f>
        <v>7560</v>
      </c>
      <c r="BP603" s="2473">
        <f>IF(BM603=0," ",(BO603-BM603)/BM603)</f>
        <v>0</v>
      </c>
      <c r="BR603" s="2474">
        <v>7560</v>
      </c>
      <c r="BS603" s="2474">
        <v>7560</v>
      </c>
      <c r="BU603" s="2475"/>
      <c r="BW603" s="2474">
        <v>7560</v>
      </c>
      <c r="BZ603" s="2474">
        <v>7560</v>
      </c>
      <c r="CA603" s="2470"/>
      <c r="CB603" s="2472">
        <f>BZ603+CA603</f>
        <v>7560</v>
      </c>
      <c r="CC603" s="2473">
        <f>IF(BZ603=0," ",(CB603-BZ603)/BZ603)</f>
        <v>0</v>
      </c>
      <c r="CE603" s="2474">
        <v>7560</v>
      </c>
      <c r="CF603" s="2476">
        <f>IF(CB603=0," ",(CE603-CB603)/CB603)</f>
        <v>0</v>
      </c>
      <c r="CG603" s="2474">
        <v>7560</v>
      </c>
      <c r="CH603" s="2449" t="s">
        <v>1217</v>
      </c>
      <c r="CI603" s="2449"/>
      <c r="CJ603" s="2450"/>
      <c r="CK603" s="2450"/>
      <c r="CO603" s="2477">
        <v>0.16587301587301595</v>
      </c>
      <c r="CP603" s="2478">
        <f t="shared" si="310"/>
        <v>1254</v>
      </c>
      <c r="CQ603" s="2478"/>
      <c r="CR603" s="2478"/>
      <c r="CS603" s="2478"/>
      <c r="CT603" s="2478"/>
    </row>
    <row r="604" spans="1:98" hidden="1" x14ac:dyDescent="0.2">
      <c r="A604" s="2395">
        <v>423</v>
      </c>
      <c r="B604" s="2440" t="s">
        <v>1214</v>
      </c>
      <c r="C604" s="2396">
        <v>42302</v>
      </c>
      <c r="D604" s="2396">
        <v>51970</v>
      </c>
      <c r="E604" s="2397" t="s">
        <v>1268</v>
      </c>
      <c r="F604" s="2440" t="s">
        <v>1214</v>
      </c>
      <c r="G604" s="2440" t="s">
        <v>2013</v>
      </c>
      <c r="H604" s="2466">
        <v>1500</v>
      </c>
      <c r="I604" s="2470"/>
      <c r="J604" s="2466">
        <f>H604+I604</f>
        <v>1500</v>
      </c>
      <c r="K604" s="2468">
        <f>IF(H604=0," ",(J604-H604)/H604)</f>
        <v>0</v>
      </c>
      <c r="M604" s="2467">
        <v>1500</v>
      </c>
      <c r="N604" s="2467">
        <v>1500</v>
      </c>
      <c r="P604" s="2469"/>
      <c r="R604" s="2466">
        <v>1500</v>
      </c>
      <c r="S604" s="2466">
        <v>1510</v>
      </c>
      <c r="U604" s="2466">
        <v>1500</v>
      </c>
      <c r="V604" s="2470">
        <v>0</v>
      </c>
      <c r="W604" s="2466">
        <f>U604+V604</f>
        <v>1500</v>
      </c>
      <c r="X604" s="2468">
        <f>IF(U604=0," ",(W604-U604)/U604)</f>
        <v>0</v>
      </c>
      <c r="Z604" s="2467">
        <v>1500</v>
      </c>
      <c r="AA604" s="2467">
        <v>1500</v>
      </c>
      <c r="AC604" s="2469"/>
      <c r="AE604" s="2466">
        <v>1500</v>
      </c>
      <c r="AF604" s="2471">
        <v>1250</v>
      </c>
      <c r="AH604" s="2466">
        <v>1500</v>
      </c>
      <c r="AI604" s="2470"/>
      <c r="AJ604" s="2466">
        <f>AH604+AI604</f>
        <v>1500</v>
      </c>
      <c r="AK604" s="2468">
        <f>IF(AH604=0," ",(AJ604-AH604)/AH604)</f>
        <v>0</v>
      </c>
      <c r="AM604" s="2467">
        <v>1500</v>
      </c>
      <c r="AN604" s="2467">
        <v>1500</v>
      </c>
      <c r="AP604" s="2469"/>
      <c r="AR604" s="2466">
        <v>1500</v>
      </c>
      <c r="AS604" s="2466">
        <v>880</v>
      </c>
      <c r="AT604" s="2466"/>
      <c r="AU604" s="2466">
        <v>1500</v>
      </c>
      <c r="AV604" s="2466">
        <v>1830</v>
      </c>
      <c r="AX604" s="2466">
        <v>1500</v>
      </c>
      <c r="AY604" s="2470"/>
      <c r="AZ604" s="2466">
        <f>AX604+AY604</f>
        <v>1500</v>
      </c>
      <c r="BA604" s="2468">
        <f>IF(AX604=0," ",(AZ604-AX604)/AX604)</f>
        <v>0</v>
      </c>
      <c r="BC604" s="2467">
        <v>1500</v>
      </c>
      <c r="BD604" s="2467">
        <v>1500</v>
      </c>
      <c r="BF604" s="2469"/>
      <c r="BH604" s="2467">
        <v>1500</v>
      </c>
      <c r="BM604" s="2466">
        <v>1500</v>
      </c>
      <c r="BN604" s="2470">
        <v>-1500</v>
      </c>
      <c r="BO604" s="2472">
        <f>BM604+BN604</f>
        <v>0</v>
      </c>
      <c r="BP604" s="2473">
        <f>IF(BM604=0," ",(BO604-BM604)/BM604)</f>
        <v>-1</v>
      </c>
      <c r="BR604" s="2474">
        <v>0</v>
      </c>
      <c r="BS604" s="2474">
        <v>0</v>
      </c>
      <c r="BU604" s="2578" t="s">
        <v>2014</v>
      </c>
      <c r="BW604" s="2474">
        <v>0</v>
      </c>
      <c r="BZ604" s="2474">
        <v>0</v>
      </c>
      <c r="CA604" s="2470"/>
      <c r="CB604" s="2472">
        <f>BZ604+CA604</f>
        <v>0</v>
      </c>
      <c r="CC604" s="2473" t="str">
        <f>IF(BZ604=0," ",(CB604-BZ604)/BZ604)</f>
        <v xml:space="preserve"> </v>
      </c>
      <c r="CE604" s="2474">
        <v>0</v>
      </c>
      <c r="CF604" s="2476" t="str">
        <f>IF(CB604=0," ",(CE604-CB604)/CB604)</f>
        <v xml:space="preserve"> </v>
      </c>
      <c r="CG604" s="2474">
        <v>0</v>
      </c>
      <c r="CH604" s="2449" t="s">
        <v>1217</v>
      </c>
      <c r="CI604" s="2449"/>
      <c r="CJ604" s="2450"/>
      <c r="CK604" s="2450"/>
      <c r="CO604" s="2477" t="s">
        <v>1218</v>
      </c>
      <c r="CP604" s="2478">
        <f t="shared" si="310"/>
        <v>-1500</v>
      </c>
      <c r="CQ604" s="2478"/>
      <c r="CR604" s="2478"/>
      <c r="CS604" s="2478"/>
      <c r="CT604" s="2478"/>
    </row>
    <row r="605" spans="1:98" s="2485" customFormat="1" hidden="1" x14ac:dyDescent="0.2">
      <c r="A605" s="2532"/>
      <c r="B605" s="2533"/>
      <c r="C605" s="2534"/>
      <c r="D605" s="2534"/>
      <c r="E605" s="2535"/>
      <c r="F605" s="2533"/>
      <c r="G605" s="2654" t="s">
        <v>2015</v>
      </c>
      <c r="H605" s="2536">
        <f>SUM(H602:H604)</f>
        <v>32328</v>
      </c>
      <c r="I605" s="2536">
        <f>SUM(I602:I604)</f>
        <v>0</v>
      </c>
      <c r="J605" s="2536">
        <f>SUM(J602:J604)</f>
        <v>32328</v>
      </c>
      <c r="K605" s="2484">
        <f>IF(H605=0," ",(J605-H605)/H605)</f>
        <v>0</v>
      </c>
      <c r="M605" s="2536">
        <f>SUM(M602:M604)</f>
        <v>32328</v>
      </c>
      <c r="N605" s="2536">
        <f>SUM(N602:N604)</f>
        <v>32328</v>
      </c>
      <c r="P605" s="2537">
        <f>SUM(P602:P603)</f>
        <v>0</v>
      </c>
      <c r="R605" s="2536">
        <f>SUM(R602:R604)</f>
        <v>32328</v>
      </c>
      <c r="S605" s="2536">
        <f>SUM(S602:S604)</f>
        <v>42956.22</v>
      </c>
      <c r="U605" s="2536">
        <f>SUM(U602:U604)</f>
        <v>32328</v>
      </c>
      <c r="V605" s="2536">
        <f>SUM(V602:V604)</f>
        <v>0</v>
      </c>
      <c r="W605" s="2536">
        <f>SUM(W602:W604)</f>
        <v>32328</v>
      </c>
      <c r="X605" s="2484">
        <f>IF(U605=0," ",(W605-U605)/U605)</f>
        <v>0</v>
      </c>
      <c r="Z605" s="2536">
        <f>SUM(Z602:Z604)</f>
        <v>32328</v>
      </c>
      <c r="AA605" s="2536">
        <f>SUM(AA602:AA604)</f>
        <v>32328</v>
      </c>
      <c r="AC605" s="2537"/>
      <c r="AE605" s="2536">
        <f>SUM(AE602:AE604)</f>
        <v>32328</v>
      </c>
      <c r="AF605" s="2536">
        <f>SUM(AF602:AF604)</f>
        <v>32328</v>
      </c>
      <c r="AH605" s="2536">
        <f>SUM(AH602:AH604)</f>
        <v>32328</v>
      </c>
      <c r="AI605" s="2536">
        <f>SUM(AI602:AI604)</f>
        <v>1542</v>
      </c>
      <c r="AJ605" s="2536">
        <f>SUM(AJ602:AJ604)</f>
        <v>33870</v>
      </c>
      <c r="AK605" s="2484">
        <f>IF(AH605=0," ",(AJ605-AH605)/AH605)</f>
        <v>4.7698589458054934E-2</v>
      </c>
      <c r="AM605" s="2536">
        <f>SUM(AM602:AM604)</f>
        <v>33870</v>
      </c>
      <c r="AN605" s="2536">
        <f>SUM(AN602:AN604)</f>
        <v>33870</v>
      </c>
      <c r="AP605" s="2537"/>
      <c r="AR605" s="2536">
        <f>SUM(AR602:AR604)</f>
        <v>33870</v>
      </c>
      <c r="AS605" s="2536">
        <f>SUM(AS602:AS604)</f>
        <v>26400.9</v>
      </c>
      <c r="AT605" s="2536"/>
      <c r="AU605" s="2536">
        <f>SUM(AU602:AU604)</f>
        <v>33870</v>
      </c>
      <c r="AV605" s="2536">
        <f>SUM(AV602:AV604)</f>
        <v>33870.449999999997</v>
      </c>
      <c r="AX605" s="2536">
        <f>SUM(AX602:AX604)</f>
        <v>33870</v>
      </c>
      <c r="AY605" s="2536">
        <f>SUM(AY602:AY604)</f>
        <v>0</v>
      </c>
      <c r="AZ605" s="2536">
        <f>SUM(AZ602:AZ604)</f>
        <v>33870</v>
      </c>
      <c r="BA605" s="2484">
        <f>IF(AX605=0," ",(AZ605-AX605)/AX605)</f>
        <v>0</v>
      </c>
      <c r="BC605" s="2536">
        <f>SUM(BC602:BC604)</f>
        <v>33870</v>
      </c>
      <c r="BD605" s="2536">
        <f>SUM(BD602:BD604)</f>
        <v>33870</v>
      </c>
      <c r="BF605" s="2537"/>
      <c r="BH605" s="2536">
        <f>SUM(BH602:BH604)</f>
        <v>33870</v>
      </c>
      <c r="BI605" s="2536">
        <f>SUM(BI602:BI604)</f>
        <v>44346.34</v>
      </c>
      <c r="BJ605" s="2536"/>
      <c r="BK605" s="2536"/>
      <c r="BM605" s="2536">
        <f>SUM(BM602:BM604)</f>
        <v>33870</v>
      </c>
      <c r="BN605" s="2539">
        <f>SUM(BN602:BN604)</f>
        <v>5000</v>
      </c>
      <c r="BO605" s="2540">
        <f>SUM(BO602:BO604)</f>
        <v>38870</v>
      </c>
      <c r="BP605" s="2490">
        <f>IF(BM605=0," ",(BO605-BM605)/BM605)</f>
        <v>0.14762326542663123</v>
      </c>
      <c r="BQ605" s="2491"/>
      <c r="BR605" s="2540">
        <f>SUM(BR602:BR604)</f>
        <v>38870</v>
      </c>
      <c r="BS605" s="2540">
        <f>SUM(BS602:BS604)</f>
        <v>38870</v>
      </c>
      <c r="BT605" s="2491"/>
      <c r="BU605" s="2541"/>
      <c r="BV605" s="2491"/>
      <c r="BW605" s="2540">
        <f>SUM(BW602:BW604)</f>
        <v>38870</v>
      </c>
      <c r="BX605" s="2536">
        <f>SUM(BX602:BX604)</f>
        <v>2991.56</v>
      </c>
      <c r="BZ605" s="2540">
        <f>SUM(BZ602:BZ604)</f>
        <v>38870</v>
      </c>
      <c r="CA605" s="2540">
        <f>SUM(CA602:CA604)</f>
        <v>0</v>
      </c>
      <c r="CB605" s="2540">
        <f>SUM(CB602:CB604)</f>
        <v>38870</v>
      </c>
      <c r="CC605" s="2490">
        <f>IF(BZ605=0," ",(CB605-BZ605)/BZ605)</f>
        <v>0</v>
      </c>
      <c r="CD605" s="2491"/>
      <c r="CE605" s="2540">
        <f>SUM(CE602:CE604)</f>
        <v>38870</v>
      </c>
      <c r="CF605" s="2490">
        <f>IF(CB605=0," ",(CE605-CB605)/CB605)</f>
        <v>0</v>
      </c>
      <c r="CG605" s="2540">
        <f>SUM(CG602:CG604)</f>
        <v>38870</v>
      </c>
      <c r="CH605" s="2449" t="s">
        <v>1220</v>
      </c>
      <c r="CI605" s="2449"/>
      <c r="CJ605" s="2450"/>
      <c r="CK605" s="2450"/>
      <c r="CL605" s="2451"/>
      <c r="CM605" s="2451"/>
      <c r="CN605" s="2451"/>
      <c r="CO605" s="2477">
        <v>0.30931030410392668</v>
      </c>
      <c r="CP605" s="2478">
        <f t="shared" si="310"/>
        <v>10476.339999999997</v>
      </c>
      <c r="CQ605" s="2478"/>
      <c r="CR605" s="2478"/>
      <c r="CS605" s="2478"/>
      <c r="CT605" s="2478"/>
    </row>
    <row r="606" spans="1:98" hidden="1" x14ac:dyDescent="0.2">
      <c r="AS606" s="2466"/>
      <c r="AT606" s="2466"/>
      <c r="BZ606" s="2472"/>
      <c r="CH606" s="2449" t="s">
        <v>1091</v>
      </c>
      <c r="CI606" s="2449"/>
      <c r="CJ606" s="2450"/>
      <c r="CK606" s="2450"/>
      <c r="CP606" s="2478">
        <f t="shared" si="310"/>
        <v>0</v>
      </c>
      <c r="CQ606" s="2478"/>
      <c r="CR606" s="2478"/>
      <c r="CS606" s="2478"/>
      <c r="CT606" s="2478"/>
    </row>
    <row r="607" spans="1:98" hidden="1" x14ac:dyDescent="0.2">
      <c r="A607" s="2395">
        <v>423</v>
      </c>
      <c r="B607" s="2440" t="s">
        <v>1214</v>
      </c>
      <c r="C607" s="2396">
        <v>42305</v>
      </c>
      <c r="D607" s="2396">
        <v>52450</v>
      </c>
      <c r="E607" s="2397" t="s">
        <v>1268</v>
      </c>
      <c r="F607" s="2440" t="s">
        <v>1214</v>
      </c>
      <c r="G607" s="2440" t="s">
        <v>2016</v>
      </c>
      <c r="H607" s="2466">
        <v>0</v>
      </c>
      <c r="I607" s="2470"/>
      <c r="J607" s="2466">
        <f t="shared" ref="J607:J613" si="313">H607+I607</f>
        <v>0</v>
      </c>
      <c r="K607" s="2468" t="str">
        <f t="shared" ref="K607:K613" si="314">IF(H607=0," ",(J607-H607)/H607)</f>
        <v xml:space="preserve"> </v>
      </c>
      <c r="M607" s="2467">
        <v>0</v>
      </c>
      <c r="N607" s="2467">
        <v>0</v>
      </c>
      <c r="P607" s="2469"/>
      <c r="R607" s="2466">
        <v>0</v>
      </c>
      <c r="S607" s="2466">
        <v>2470.5</v>
      </c>
      <c r="U607" s="2466">
        <v>0</v>
      </c>
      <c r="V607" s="2470">
        <v>0</v>
      </c>
      <c r="W607" s="2466">
        <f t="shared" ref="W607:W613" si="315">U607+V607</f>
        <v>0</v>
      </c>
      <c r="X607" s="2468" t="str">
        <f t="shared" ref="X607:X613" si="316">IF(U607=0," ",(W607-U607)/U607)</f>
        <v xml:space="preserve"> </v>
      </c>
      <c r="Z607" s="2467">
        <v>0</v>
      </c>
      <c r="AA607" s="2467">
        <v>0</v>
      </c>
      <c r="AC607" s="2469"/>
      <c r="AE607" s="2466">
        <v>0</v>
      </c>
      <c r="AF607" s="2471">
        <v>7998.81</v>
      </c>
      <c r="AH607" s="2466">
        <v>0</v>
      </c>
      <c r="AI607" s="2470"/>
      <c r="AJ607" s="2466">
        <f t="shared" ref="AJ607:AJ613" si="317">AH607+AI607</f>
        <v>0</v>
      </c>
      <c r="AK607" s="2468" t="str">
        <f t="shared" ref="AK607:AK613" si="318">IF(AH607=0," ",(AJ607-AH607)/AH607)</f>
        <v xml:space="preserve"> </v>
      </c>
      <c r="AM607" s="2467">
        <v>0</v>
      </c>
      <c r="AN607" s="2467">
        <v>0</v>
      </c>
      <c r="AP607" s="2469"/>
      <c r="AR607" s="2466">
        <v>0</v>
      </c>
      <c r="AS607" s="2466">
        <v>0</v>
      </c>
      <c r="AT607" s="2466"/>
      <c r="AU607" s="2466">
        <v>0</v>
      </c>
      <c r="AV607" s="2466">
        <v>2190.35</v>
      </c>
      <c r="AX607" s="2466">
        <v>0</v>
      </c>
      <c r="AY607" s="2470"/>
      <c r="AZ607" s="2466">
        <f t="shared" ref="AZ607:AZ613" si="319">AX607+AY607</f>
        <v>0</v>
      </c>
      <c r="BA607" s="2468" t="str">
        <f t="shared" ref="BA607:BA613" si="320">IF(AX607=0," ",(AZ607-AX607)/AX607)</f>
        <v xml:space="preserve"> </v>
      </c>
      <c r="BC607" s="2467">
        <v>0</v>
      </c>
      <c r="BD607" s="2467">
        <v>0</v>
      </c>
      <c r="BF607" s="2469"/>
      <c r="BH607" s="2467">
        <v>0</v>
      </c>
      <c r="BI607" s="2466">
        <v>9185.69</v>
      </c>
      <c r="BM607" s="2466">
        <v>0</v>
      </c>
      <c r="BN607" s="2470"/>
      <c r="BO607" s="2472">
        <f t="shared" ref="BO607:BO613" si="321">BM607+BN607</f>
        <v>0</v>
      </c>
      <c r="BP607" s="2473" t="str">
        <f t="shared" ref="BP607:BP613" si="322">IF(BM607=0," ",(BO607-BM607)/BM607)</f>
        <v xml:space="preserve"> </v>
      </c>
      <c r="BR607" s="2474">
        <v>0</v>
      </c>
      <c r="BS607" s="2474">
        <v>0</v>
      </c>
      <c r="BU607" s="2475"/>
      <c r="BW607" s="2474">
        <v>0</v>
      </c>
      <c r="BX607" s="2466">
        <v>1016.61</v>
      </c>
      <c r="BZ607" s="2474">
        <v>0</v>
      </c>
      <c r="CA607" s="2470"/>
      <c r="CB607" s="2472">
        <f t="shared" ref="CB607:CB613" si="323">BZ607+CA607</f>
        <v>0</v>
      </c>
      <c r="CC607" s="2473" t="str">
        <f t="shared" ref="CC607:CC613" si="324">IF(BZ607=0," ",(CB607-BZ607)/BZ607)</f>
        <v xml:space="preserve"> </v>
      </c>
      <c r="CE607" s="2474">
        <v>0</v>
      </c>
      <c r="CF607" s="2476" t="str">
        <f t="shared" ref="CF607:CF614" si="325">IF(CB607=0," ",(CE607-CB607)/CB607)</f>
        <v xml:space="preserve"> </v>
      </c>
      <c r="CG607" s="2474">
        <v>0</v>
      </c>
      <c r="CH607" s="2449" t="s">
        <v>1217</v>
      </c>
      <c r="CI607" s="2449"/>
      <c r="CJ607" s="2450"/>
      <c r="CK607" s="2450"/>
      <c r="CO607" s="2477" t="s">
        <v>1257</v>
      </c>
      <c r="CP607" s="2478">
        <f t="shared" si="310"/>
        <v>9185.69</v>
      </c>
      <c r="CQ607" s="2478"/>
      <c r="CR607" s="2478"/>
      <c r="CS607" s="2478"/>
      <c r="CT607" s="2478"/>
    </row>
    <row r="608" spans="1:98" hidden="1" x14ac:dyDescent="0.2">
      <c r="A608" s="2395">
        <v>423</v>
      </c>
      <c r="B608" s="2440" t="s">
        <v>1214</v>
      </c>
      <c r="C608" s="2396">
        <v>42305</v>
      </c>
      <c r="D608" s="2396">
        <v>52730</v>
      </c>
      <c r="E608" s="2397" t="s">
        <v>1268</v>
      </c>
      <c r="F608" s="2440" t="s">
        <v>1214</v>
      </c>
      <c r="G608" s="2440" t="s">
        <v>2017</v>
      </c>
      <c r="H608" s="2466">
        <v>58810</v>
      </c>
      <c r="I608" s="2470">
        <v>1190</v>
      </c>
      <c r="J608" s="2466">
        <f t="shared" si="313"/>
        <v>60000</v>
      </c>
      <c r="K608" s="2468">
        <f t="shared" si="314"/>
        <v>2.0234653970413196E-2</v>
      </c>
      <c r="M608" s="2467">
        <v>60000</v>
      </c>
      <c r="N608" s="2467">
        <v>60000</v>
      </c>
      <c r="P608" s="2469"/>
      <c r="R608" s="2466">
        <v>60000</v>
      </c>
      <c r="S608" s="2466">
        <v>93322.5</v>
      </c>
      <c r="U608" s="2466">
        <v>60000</v>
      </c>
      <c r="V608" s="2470">
        <v>0</v>
      </c>
      <c r="W608" s="2466">
        <f t="shared" si="315"/>
        <v>60000</v>
      </c>
      <c r="X608" s="2468">
        <f t="shared" si="316"/>
        <v>0</v>
      </c>
      <c r="Z608" s="2467">
        <v>60000</v>
      </c>
      <c r="AA608" s="2467">
        <v>60000</v>
      </c>
      <c r="AC608" s="2469"/>
      <c r="AE608" s="2466">
        <v>60000</v>
      </c>
      <c r="AF608" s="2471">
        <v>66346.25</v>
      </c>
      <c r="AH608" s="2466">
        <v>60000</v>
      </c>
      <c r="AI608" s="2470"/>
      <c r="AJ608" s="2466">
        <f t="shared" si="317"/>
        <v>60000</v>
      </c>
      <c r="AK608" s="2468">
        <f t="shared" si="318"/>
        <v>0</v>
      </c>
      <c r="AM608" s="2467">
        <v>60000</v>
      </c>
      <c r="AN608" s="2467">
        <v>60000</v>
      </c>
      <c r="AP608" s="2469"/>
      <c r="AR608" s="2466">
        <v>60000</v>
      </c>
      <c r="AS608" s="2466">
        <v>36606.75</v>
      </c>
      <c r="AT608" s="2466"/>
      <c r="AU608" s="2466">
        <v>60000</v>
      </c>
      <c r="AV608" s="2466">
        <v>58754.12</v>
      </c>
      <c r="AX608" s="2466">
        <v>60000</v>
      </c>
      <c r="AY608" s="2470"/>
      <c r="AZ608" s="2466">
        <f t="shared" si="319"/>
        <v>60000</v>
      </c>
      <c r="BA608" s="2468">
        <f t="shared" si="320"/>
        <v>0</v>
      </c>
      <c r="BC608" s="2467">
        <v>60000</v>
      </c>
      <c r="BD608" s="2467">
        <v>60000</v>
      </c>
      <c r="BF608" s="2469"/>
      <c r="BH608" s="2467">
        <v>60000</v>
      </c>
      <c r="BI608" s="2466">
        <v>51810.720000000001</v>
      </c>
      <c r="BM608" s="2466">
        <v>60000</v>
      </c>
      <c r="BN608" s="2470"/>
      <c r="BO608" s="2472">
        <f t="shared" si="321"/>
        <v>60000</v>
      </c>
      <c r="BP608" s="2473">
        <f t="shared" si="322"/>
        <v>0</v>
      </c>
      <c r="BR608" s="2474">
        <v>60000</v>
      </c>
      <c r="BS608" s="2474">
        <v>60000</v>
      </c>
      <c r="BU608" s="2475"/>
      <c r="BW608" s="2474">
        <v>60000</v>
      </c>
      <c r="BZ608" s="2474">
        <v>60000</v>
      </c>
      <c r="CA608" s="2470"/>
      <c r="CB608" s="2472">
        <f t="shared" si="323"/>
        <v>60000</v>
      </c>
      <c r="CC608" s="2473">
        <f t="shared" si="324"/>
        <v>0</v>
      </c>
      <c r="CE608" s="2474">
        <v>60000</v>
      </c>
      <c r="CF608" s="2476">
        <f t="shared" si="325"/>
        <v>0</v>
      </c>
      <c r="CG608" s="2474">
        <v>60000</v>
      </c>
      <c r="CH608" s="2449" t="s">
        <v>1217</v>
      </c>
      <c r="CI608" s="2449"/>
      <c r="CJ608" s="2450"/>
      <c r="CK608" s="2450"/>
      <c r="CO608" s="2477">
        <v>-0.13648799999999994</v>
      </c>
      <c r="CP608" s="2478">
        <f t="shared" si="310"/>
        <v>-8189.2799999999988</v>
      </c>
      <c r="CQ608" s="2478"/>
      <c r="CR608" s="2478"/>
      <c r="CS608" s="2478"/>
      <c r="CT608" s="2478"/>
    </row>
    <row r="609" spans="1:98" hidden="1" x14ac:dyDescent="0.2">
      <c r="A609" s="2395">
        <v>423</v>
      </c>
      <c r="B609" s="2440" t="s">
        <v>1214</v>
      </c>
      <c r="C609" s="2396">
        <v>42305</v>
      </c>
      <c r="D609" s="2396">
        <v>53800</v>
      </c>
      <c r="E609" s="2397" t="s">
        <v>1268</v>
      </c>
      <c r="F609" s="2440" t="s">
        <v>1214</v>
      </c>
      <c r="G609" s="2440" t="s">
        <v>2018</v>
      </c>
      <c r="H609" s="2466">
        <v>1395</v>
      </c>
      <c r="I609" s="2470"/>
      <c r="J609" s="2466">
        <f t="shared" si="313"/>
        <v>1395</v>
      </c>
      <c r="K609" s="2468">
        <f t="shared" si="314"/>
        <v>0</v>
      </c>
      <c r="M609" s="2467">
        <v>1395</v>
      </c>
      <c r="N609" s="2467">
        <v>1395</v>
      </c>
      <c r="P609" s="2469"/>
      <c r="R609" s="2466">
        <v>1395</v>
      </c>
      <c r="S609" s="2466">
        <v>1596</v>
      </c>
      <c r="U609" s="2466">
        <v>1395</v>
      </c>
      <c r="V609" s="2470">
        <v>0</v>
      </c>
      <c r="W609" s="2466">
        <f t="shared" si="315"/>
        <v>1395</v>
      </c>
      <c r="X609" s="2468">
        <f t="shared" si="316"/>
        <v>0</v>
      </c>
      <c r="Z609" s="2467">
        <v>1395</v>
      </c>
      <c r="AA609" s="2467">
        <v>1395</v>
      </c>
      <c r="AC609" s="2469"/>
      <c r="AE609" s="2466">
        <v>1395</v>
      </c>
      <c r="AF609" s="2471">
        <v>149.13999999999999</v>
      </c>
      <c r="AH609" s="2466">
        <v>1395</v>
      </c>
      <c r="AI609" s="2470"/>
      <c r="AJ609" s="2466">
        <f t="shared" si="317"/>
        <v>1395</v>
      </c>
      <c r="AK609" s="2468">
        <f t="shared" si="318"/>
        <v>0</v>
      </c>
      <c r="AM609" s="2467">
        <v>1395</v>
      </c>
      <c r="AN609" s="2467">
        <v>1395</v>
      </c>
      <c r="AP609" s="2469"/>
      <c r="AR609" s="2466">
        <v>1395</v>
      </c>
      <c r="AS609" s="2466">
        <v>1995</v>
      </c>
      <c r="AT609" s="2466"/>
      <c r="AU609" s="2466">
        <v>1395</v>
      </c>
      <c r="AV609" s="2466">
        <v>1750</v>
      </c>
      <c r="AX609" s="2466">
        <v>1395</v>
      </c>
      <c r="AY609" s="2470"/>
      <c r="AZ609" s="2466">
        <f t="shared" si="319"/>
        <v>1395</v>
      </c>
      <c r="BA609" s="2468">
        <f t="shared" si="320"/>
        <v>0</v>
      </c>
      <c r="BC609" s="2467">
        <v>1395</v>
      </c>
      <c r="BD609" s="2467">
        <v>1395</v>
      </c>
      <c r="BF609" s="2469"/>
      <c r="BH609" s="2467">
        <v>1395</v>
      </c>
      <c r="BI609" s="2466">
        <v>1750</v>
      </c>
      <c r="BM609" s="2466">
        <v>1395</v>
      </c>
      <c r="BN609" s="2470"/>
      <c r="BO609" s="2472">
        <f t="shared" si="321"/>
        <v>1395</v>
      </c>
      <c r="BP609" s="2473">
        <f t="shared" si="322"/>
        <v>0</v>
      </c>
      <c r="BR609" s="2474">
        <v>1395</v>
      </c>
      <c r="BS609" s="2474">
        <v>1395</v>
      </c>
      <c r="BU609" s="2475"/>
      <c r="BW609" s="2474">
        <v>1395</v>
      </c>
      <c r="BX609" s="2466">
        <v>1750</v>
      </c>
      <c r="BZ609" s="2474">
        <v>1395</v>
      </c>
      <c r="CA609" s="2470"/>
      <c r="CB609" s="2472">
        <f t="shared" si="323"/>
        <v>1395</v>
      </c>
      <c r="CC609" s="2473">
        <f t="shared" si="324"/>
        <v>0</v>
      </c>
      <c r="CE609" s="2474">
        <v>1395</v>
      </c>
      <c r="CF609" s="2476">
        <f t="shared" si="325"/>
        <v>0</v>
      </c>
      <c r="CG609" s="2474">
        <v>1395</v>
      </c>
      <c r="CH609" s="2449" t="s">
        <v>1217</v>
      </c>
      <c r="CI609" s="2449"/>
      <c r="CJ609" s="2450"/>
      <c r="CK609" s="2450"/>
      <c r="CO609" s="2477">
        <v>0.25448028673835132</v>
      </c>
      <c r="CP609" s="2478">
        <f t="shared" si="310"/>
        <v>355</v>
      </c>
      <c r="CQ609" s="2478"/>
      <c r="CR609" s="2478"/>
      <c r="CS609" s="2478"/>
      <c r="CT609" s="2478"/>
    </row>
    <row r="610" spans="1:98" hidden="1" x14ac:dyDescent="0.2">
      <c r="A610" s="2395">
        <v>423</v>
      </c>
      <c r="B610" s="2440" t="s">
        <v>1214</v>
      </c>
      <c r="C610" s="2396">
        <v>42305</v>
      </c>
      <c r="D610" s="2396">
        <v>54100</v>
      </c>
      <c r="E610" s="2397" t="s">
        <v>1268</v>
      </c>
      <c r="F610" s="2440" t="s">
        <v>1214</v>
      </c>
      <c r="G610" s="2440" t="s">
        <v>2019</v>
      </c>
      <c r="H610" s="2466">
        <v>25850</v>
      </c>
      <c r="I610" s="2470"/>
      <c r="J610" s="2466">
        <f t="shared" si="313"/>
        <v>25850</v>
      </c>
      <c r="K610" s="2468">
        <f t="shared" si="314"/>
        <v>0</v>
      </c>
      <c r="M610" s="2467">
        <v>25850</v>
      </c>
      <c r="N610" s="2467">
        <v>25850</v>
      </c>
      <c r="P610" s="2469"/>
      <c r="R610" s="2466">
        <v>25850</v>
      </c>
      <c r="S610" s="2466">
        <v>29509.31</v>
      </c>
      <c r="U610" s="2466">
        <v>25850</v>
      </c>
      <c r="V610" s="2470">
        <v>0</v>
      </c>
      <c r="W610" s="2466">
        <f t="shared" si="315"/>
        <v>25850</v>
      </c>
      <c r="X610" s="2468">
        <f t="shared" si="316"/>
        <v>0</v>
      </c>
      <c r="Z610" s="2467">
        <v>25850</v>
      </c>
      <c r="AA610" s="2467">
        <v>25850</v>
      </c>
      <c r="AC610" s="2469"/>
      <c r="AE610" s="2466">
        <v>25850</v>
      </c>
      <c r="AF610" s="2471">
        <v>16585.91</v>
      </c>
      <c r="AH610" s="2466">
        <v>25850</v>
      </c>
      <c r="AI610" s="2470"/>
      <c r="AJ610" s="2466">
        <f t="shared" si="317"/>
        <v>25850</v>
      </c>
      <c r="AK610" s="2468">
        <f t="shared" si="318"/>
        <v>0</v>
      </c>
      <c r="AM610" s="2467">
        <v>25850</v>
      </c>
      <c r="AN610" s="2467">
        <v>25850</v>
      </c>
      <c r="AP610" s="2469"/>
      <c r="AR610" s="2466">
        <v>25850</v>
      </c>
      <c r="AS610" s="2466">
        <v>22189.27</v>
      </c>
      <c r="AT610" s="2466"/>
      <c r="AU610" s="2466">
        <v>25850</v>
      </c>
      <c r="AV610" s="2466">
        <v>18097.650000000001</v>
      </c>
      <c r="AX610" s="2466">
        <v>25850</v>
      </c>
      <c r="AY610" s="2470"/>
      <c r="AZ610" s="2466">
        <f t="shared" si="319"/>
        <v>25850</v>
      </c>
      <c r="BA610" s="2468">
        <f t="shared" si="320"/>
        <v>0</v>
      </c>
      <c r="BC610" s="2467">
        <v>25850</v>
      </c>
      <c r="BD610" s="2467">
        <v>25850</v>
      </c>
      <c r="BF610" s="2469"/>
      <c r="BH610" s="2467">
        <v>25850</v>
      </c>
      <c r="BI610" s="2466">
        <v>42018.97</v>
      </c>
      <c r="BM610" s="2466">
        <v>25850</v>
      </c>
      <c r="BN610" s="2470"/>
      <c r="BO610" s="2472">
        <f t="shared" si="321"/>
        <v>25850</v>
      </c>
      <c r="BP610" s="2473">
        <f t="shared" si="322"/>
        <v>0</v>
      </c>
      <c r="BR610" s="2474">
        <v>25850</v>
      </c>
      <c r="BS610" s="2474">
        <v>25850</v>
      </c>
      <c r="BU610" s="2475"/>
      <c r="BW610" s="2474">
        <v>25850</v>
      </c>
      <c r="BX610" s="2466">
        <v>6792.33</v>
      </c>
      <c r="BZ610" s="2474">
        <v>25850</v>
      </c>
      <c r="CA610" s="2470"/>
      <c r="CB610" s="2472">
        <f t="shared" si="323"/>
        <v>25850</v>
      </c>
      <c r="CC610" s="2473">
        <f t="shared" si="324"/>
        <v>0</v>
      </c>
      <c r="CE610" s="2474">
        <v>25850</v>
      </c>
      <c r="CF610" s="2476">
        <f t="shared" si="325"/>
        <v>0</v>
      </c>
      <c r="CG610" s="2474">
        <v>25850</v>
      </c>
      <c r="CH610" s="2449" t="s">
        <v>1217</v>
      </c>
      <c r="CI610" s="2449"/>
      <c r="CJ610" s="2450"/>
      <c r="CK610" s="2450"/>
      <c r="CO610" s="2477">
        <v>0.62549206963249526</v>
      </c>
      <c r="CP610" s="2478">
        <f t="shared" si="310"/>
        <v>16168.970000000001</v>
      </c>
      <c r="CQ610" s="2478"/>
      <c r="CR610" s="2478"/>
      <c r="CS610" s="2478"/>
      <c r="CT610" s="2478"/>
    </row>
    <row r="611" spans="1:98" hidden="1" x14ac:dyDescent="0.2">
      <c r="A611" s="2395">
        <v>423</v>
      </c>
      <c r="B611" s="2440" t="s">
        <v>1214</v>
      </c>
      <c r="C611" s="2396">
        <v>42305</v>
      </c>
      <c r="D611" s="2396">
        <v>55320</v>
      </c>
      <c r="E611" s="2397" t="s">
        <v>1268</v>
      </c>
      <c r="F611" s="2440" t="s">
        <v>1214</v>
      </c>
      <c r="G611" s="2440" t="s">
        <v>2020</v>
      </c>
      <c r="H611" s="2466">
        <v>20000</v>
      </c>
      <c r="I611" s="2470">
        <v>-2000</v>
      </c>
      <c r="J611" s="2466">
        <f t="shared" si="313"/>
        <v>18000</v>
      </c>
      <c r="K611" s="2468">
        <f t="shared" si="314"/>
        <v>-0.1</v>
      </c>
      <c r="M611" s="2467">
        <v>18000</v>
      </c>
      <c r="N611" s="2467">
        <v>18000</v>
      </c>
      <c r="P611" s="2469"/>
      <c r="R611" s="2466">
        <v>18000</v>
      </c>
      <c r="S611" s="2466">
        <v>10858.58</v>
      </c>
      <c r="U611" s="2466">
        <v>18000</v>
      </c>
      <c r="V611" s="2470">
        <v>0</v>
      </c>
      <c r="W611" s="2466">
        <f t="shared" si="315"/>
        <v>18000</v>
      </c>
      <c r="X611" s="2468">
        <f t="shared" si="316"/>
        <v>0</v>
      </c>
      <c r="Z611" s="2467">
        <v>18000</v>
      </c>
      <c r="AA611" s="2467">
        <v>18000</v>
      </c>
      <c r="AC611" s="2469"/>
      <c r="AE611" s="2466">
        <v>18000</v>
      </c>
      <c r="AF611" s="2471">
        <v>3816.43</v>
      </c>
      <c r="AH611" s="2466">
        <v>18000</v>
      </c>
      <c r="AI611" s="2470"/>
      <c r="AJ611" s="2466">
        <f t="shared" si="317"/>
        <v>18000</v>
      </c>
      <c r="AK611" s="2468">
        <f t="shared" si="318"/>
        <v>0</v>
      </c>
      <c r="AM611" s="2467">
        <v>18000</v>
      </c>
      <c r="AN611" s="2467">
        <v>18000</v>
      </c>
      <c r="AP611" s="2469"/>
      <c r="AR611" s="2466">
        <v>18000</v>
      </c>
      <c r="AS611" s="2466">
        <v>5852.8</v>
      </c>
      <c r="AT611" s="2466"/>
      <c r="AU611" s="2466">
        <v>18000</v>
      </c>
      <c r="AV611" s="2466">
        <v>5945</v>
      </c>
      <c r="AX611" s="2466">
        <v>18000</v>
      </c>
      <c r="AY611" s="2470"/>
      <c r="AZ611" s="2466">
        <f t="shared" si="319"/>
        <v>18000</v>
      </c>
      <c r="BA611" s="2468">
        <f t="shared" si="320"/>
        <v>0</v>
      </c>
      <c r="BC611" s="2467">
        <v>18000</v>
      </c>
      <c r="BD611" s="2467">
        <v>18000</v>
      </c>
      <c r="BF611" s="2469"/>
      <c r="BH611" s="2467">
        <v>18000</v>
      </c>
      <c r="BM611" s="2466">
        <v>18000</v>
      </c>
      <c r="BN611" s="2470">
        <v>-15000</v>
      </c>
      <c r="BO611" s="2472">
        <f t="shared" si="321"/>
        <v>3000</v>
      </c>
      <c r="BP611" s="2473">
        <f t="shared" si="322"/>
        <v>-0.83333333333333337</v>
      </c>
      <c r="BR611" s="2474">
        <v>3000</v>
      </c>
      <c r="BS611" s="2474">
        <v>3000</v>
      </c>
      <c r="BU611" s="2578" t="s">
        <v>1430</v>
      </c>
      <c r="BW611" s="2474">
        <v>3000</v>
      </c>
      <c r="BZ611" s="2474">
        <v>3000</v>
      </c>
      <c r="CA611" s="2470"/>
      <c r="CB611" s="2472">
        <f t="shared" si="323"/>
        <v>3000</v>
      </c>
      <c r="CC611" s="2473">
        <f t="shared" si="324"/>
        <v>0</v>
      </c>
      <c r="CE611" s="2474">
        <v>3000</v>
      </c>
      <c r="CF611" s="2476">
        <f t="shared" si="325"/>
        <v>0</v>
      </c>
      <c r="CG611" s="2474">
        <v>3000</v>
      </c>
      <c r="CH611" s="2449" t="s">
        <v>1217</v>
      </c>
      <c r="CI611" s="2449"/>
      <c r="CJ611" s="2450"/>
      <c r="CK611" s="2450"/>
      <c r="CO611" s="2477" t="s">
        <v>1218</v>
      </c>
      <c r="CP611" s="2478">
        <f t="shared" si="310"/>
        <v>-18000</v>
      </c>
      <c r="CQ611" s="2478"/>
      <c r="CR611" s="2478"/>
      <c r="CS611" s="2478"/>
      <c r="CT611" s="2478"/>
    </row>
    <row r="612" spans="1:98" hidden="1" x14ac:dyDescent="0.2">
      <c r="A612" s="2395">
        <v>423</v>
      </c>
      <c r="B612" s="2440" t="s">
        <v>1214</v>
      </c>
      <c r="C612" s="2396">
        <v>42305</v>
      </c>
      <c r="D612" s="2396">
        <v>55330</v>
      </c>
      <c r="E612" s="2397" t="s">
        <v>1268</v>
      </c>
      <c r="F612" s="2440" t="s">
        <v>1214</v>
      </c>
      <c r="G612" s="2440" t="s">
        <v>2021</v>
      </c>
      <c r="H612" s="2466">
        <v>69000</v>
      </c>
      <c r="I612" s="2470">
        <v>4000</v>
      </c>
      <c r="J612" s="2466">
        <f t="shared" si="313"/>
        <v>73000</v>
      </c>
      <c r="K612" s="2468">
        <f t="shared" si="314"/>
        <v>5.7971014492753624E-2</v>
      </c>
      <c r="M612" s="2467">
        <v>73000</v>
      </c>
      <c r="N612" s="2467">
        <v>73000</v>
      </c>
      <c r="P612" s="2469"/>
      <c r="R612" s="2466">
        <v>73000</v>
      </c>
      <c r="S612" s="2466">
        <v>77302.39</v>
      </c>
      <c r="U612" s="2466">
        <v>73000</v>
      </c>
      <c r="V612" s="2470">
        <v>0</v>
      </c>
      <c r="W612" s="2466">
        <f t="shared" si="315"/>
        <v>73000</v>
      </c>
      <c r="X612" s="2468">
        <f t="shared" si="316"/>
        <v>0</v>
      </c>
      <c r="Z612" s="2467">
        <v>73000</v>
      </c>
      <c r="AA612" s="2467">
        <v>73000</v>
      </c>
      <c r="AC612" s="2469"/>
      <c r="AE612" s="2466">
        <v>73000</v>
      </c>
      <c r="AF612" s="2471">
        <v>58345.94</v>
      </c>
      <c r="AH612" s="2466">
        <v>73000</v>
      </c>
      <c r="AI612" s="2470"/>
      <c r="AJ612" s="2466">
        <f t="shared" si="317"/>
        <v>73000</v>
      </c>
      <c r="AK612" s="2468">
        <f t="shared" si="318"/>
        <v>0</v>
      </c>
      <c r="AM612" s="2467">
        <v>73000</v>
      </c>
      <c r="AN612" s="2467">
        <v>73000</v>
      </c>
      <c r="AP612" s="2469"/>
      <c r="AR612" s="2466">
        <v>73000</v>
      </c>
      <c r="AS612" s="2466">
        <v>43101.84</v>
      </c>
      <c r="AT612" s="2466"/>
      <c r="AU612" s="2466">
        <v>73000</v>
      </c>
      <c r="AV612" s="2466">
        <v>72685.67</v>
      </c>
      <c r="AX612" s="2466">
        <v>73000</v>
      </c>
      <c r="AY612" s="2470"/>
      <c r="AZ612" s="2466">
        <f t="shared" si="319"/>
        <v>73000</v>
      </c>
      <c r="BA612" s="2468">
        <f t="shared" si="320"/>
        <v>0</v>
      </c>
      <c r="BC612" s="2467">
        <v>73000</v>
      </c>
      <c r="BD612" s="2467">
        <v>73000</v>
      </c>
      <c r="BF612" s="2469"/>
      <c r="BH612" s="2467">
        <v>73000</v>
      </c>
      <c r="BI612" s="2466">
        <v>89174.04</v>
      </c>
      <c r="BM612" s="2466">
        <v>73000</v>
      </c>
      <c r="BN612" s="2470">
        <v>10000</v>
      </c>
      <c r="BO612" s="2472">
        <f t="shared" si="321"/>
        <v>83000</v>
      </c>
      <c r="BP612" s="2473">
        <f t="shared" si="322"/>
        <v>0.13698630136986301</v>
      </c>
      <c r="BR612" s="2474">
        <v>83000</v>
      </c>
      <c r="BS612" s="2474">
        <v>83000</v>
      </c>
      <c r="BU612" s="2578" t="s">
        <v>1430</v>
      </c>
      <c r="BW612" s="2474">
        <v>83000</v>
      </c>
      <c r="BX612" s="2466">
        <v>14644.2</v>
      </c>
      <c r="BZ612" s="2474">
        <v>83000</v>
      </c>
      <c r="CA612" s="2470"/>
      <c r="CB612" s="2472">
        <f t="shared" si="323"/>
        <v>83000</v>
      </c>
      <c r="CC612" s="2473">
        <f t="shared" si="324"/>
        <v>0</v>
      </c>
      <c r="CE612" s="2474">
        <v>83000</v>
      </c>
      <c r="CF612" s="2476">
        <f t="shared" si="325"/>
        <v>0</v>
      </c>
      <c r="CG612" s="2474">
        <v>83000</v>
      </c>
      <c r="CH612" s="2449" t="s">
        <v>1217</v>
      </c>
      <c r="CI612" s="2449"/>
      <c r="CJ612" s="2450"/>
      <c r="CK612" s="2450"/>
      <c r="CO612" s="2477">
        <v>0.22156219178082193</v>
      </c>
      <c r="CP612" s="2478">
        <f t="shared" si="310"/>
        <v>16174.039999999994</v>
      </c>
      <c r="CQ612" s="2478"/>
      <c r="CR612" s="2478"/>
      <c r="CS612" s="2478"/>
      <c r="CT612" s="2478"/>
    </row>
    <row r="613" spans="1:98" hidden="1" x14ac:dyDescent="0.2">
      <c r="A613" s="2395">
        <v>423</v>
      </c>
      <c r="B613" s="2440" t="s">
        <v>1214</v>
      </c>
      <c r="C613" s="2396">
        <v>42305</v>
      </c>
      <c r="D613" s="2396">
        <v>55340</v>
      </c>
      <c r="E613" s="2397" t="s">
        <v>1268</v>
      </c>
      <c r="F613" s="2440" t="s">
        <v>1214</v>
      </c>
      <c r="G613" s="2440" t="s">
        <v>2022</v>
      </c>
      <c r="H613" s="2466">
        <v>3600</v>
      </c>
      <c r="I613" s="2470"/>
      <c r="J613" s="2466">
        <f t="shared" si="313"/>
        <v>3600</v>
      </c>
      <c r="K613" s="2468">
        <f t="shared" si="314"/>
        <v>0</v>
      </c>
      <c r="M613" s="2467">
        <v>3600</v>
      </c>
      <c r="N613" s="2467">
        <v>3600</v>
      </c>
      <c r="P613" s="2469"/>
      <c r="R613" s="2466">
        <v>3600</v>
      </c>
      <c r="S613" s="2466">
        <v>1718.7</v>
      </c>
      <c r="U613" s="2466">
        <v>3600</v>
      </c>
      <c r="V613" s="2470">
        <v>0</v>
      </c>
      <c r="W613" s="2466">
        <f t="shared" si="315"/>
        <v>3600</v>
      </c>
      <c r="X613" s="2468">
        <f t="shared" si="316"/>
        <v>0</v>
      </c>
      <c r="Z613" s="2467">
        <v>3600</v>
      </c>
      <c r="AA613" s="2467">
        <v>3600</v>
      </c>
      <c r="AC613" s="2469"/>
      <c r="AE613" s="2466">
        <v>3600</v>
      </c>
      <c r="AF613" s="2471">
        <v>3722.86</v>
      </c>
      <c r="AH613" s="2466">
        <v>3600</v>
      </c>
      <c r="AI613" s="2470"/>
      <c r="AJ613" s="2466">
        <f t="shared" si="317"/>
        <v>3600</v>
      </c>
      <c r="AK613" s="2468">
        <f t="shared" si="318"/>
        <v>0</v>
      </c>
      <c r="AM613" s="2467">
        <v>3600</v>
      </c>
      <c r="AN613" s="2467">
        <v>3600</v>
      </c>
      <c r="AP613" s="2469"/>
      <c r="AR613" s="2466">
        <v>3600</v>
      </c>
      <c r="AS613" s="2466">
        <v>1852.48</v>
      </c>
      <c r="AT613" s="2466"/>
      <c r="AU613" s="2466">
        <v>3600</v>
      </c>
      <c r="AV613" s="2466">
        <v>3175.8</v>
      </c>
      <c r="AX613" s="2466">
        <v>3600</v>
      </c>
      <c r="AY613" s="2470"/>
      <c r="AZ613" s="2466">
        <f t="shared" si="319"/>
        <v>3600</v>
      </c>
      <c r="BA613" s="2468">
        <f t="shared" si="320"/>
        <v>0</v>
      </c>
      <c r="BC613" s="2467">
        <v>3600</v>
      </c>
      <c r="BD613" s="2467">
        <v>3600</v>
      </c>
      <c r="BF613" s="2469"/>
      <c r="BH613" s="2467">
        <v>3600</v>
      </c>
      <c r="BM613" s="2466">
        <v>3600</v>
      </c>
      <c r="BN613" s="2470"/>
      <c r="BO613" s="2472">
        <f t="shared" si="321"/>
        <v>3600</v>
      </c>
      <c r="BP613" s="2473">
        <f t="shared" si="322"/>
        <v>0</v>
      </c>
      <c r="BR613" s="2474">
        <v>3600</v>
      </c>
      <c r="BS613" s="2474">
        <v>3600</v>
      </c>
      <c r="BU613" s="2475"/>
      <c r="BW613" s="2474">
        <v>3600</v>
      </c>
      <c r="BX613" s="2466">
        <v>4820.18</v>
      </c>
      <c r="BZ613" s="2474">
        <v>3600</v>
      </c>
      <c r="CA613" s="2470"/>
      <c r="CB613" s="2472">
        <f t="shared" si="323"/>
        <v>3600</v>
      </c>
      <c r="CC613" s="2473">
        <f t="shared" si="324"/>
        <v>0</v>
      </c>
      <c r="CE613" s="2474">
        <v>3600</v>
      </c>
      <c r="CF613" s="2476">
        <f t="shared" si="325"/>
        <v>0</v>
      </c>
      <c r="CG613" s="2474">
        <v>3600</v>
      </c>
      <c r="CH613" s="2449" t="s">
        <v>1217</v>
      </c>
      <c r="CI613" s="2449"/>
      <c r="CJ613" s="2450"/>
      <c r="CK613" s="2450"/>
      <c r="CO613" s="2477" t="s">
        <v>1218</v>
      </c>
      <c r="CP613" s="2478">
        <f t="shared" si="310"/>
        <v>-3600</v>
      </c>
      <c r="CQ613" s="2478"/>
      <c r="CR613" s="2478"/>
      <c r="CS613" s="2478"/>
      <c r="CT613" s="2478"/>
    </row>
    <row r="614" spans="1:98" s="2485" customFormat="1" hidden="1" x14ac:dyDescent="0.2">
      <c r="A614" s="2532"/>
      <c r="B614" s="2533"/>
      <c r="C614" s="2534"/>
      <c r="D614" s="2534"/>
      <c r="E614" s="2535"/>
      <c r="F614" s="2533"/>
      <c r="G614" s="2654" t="s">
        <v>2023</v>
      </c>
      <c r="H614" s="2536">
        <f>SUM(H607:H613)</f>
        <v>178655</v>
      </c>
      <c r="I614" s="2536">
        <f>SUM(I607:I613)</f>
        <v>3190</v>
      </c>
      <c r="J614" s="2536">
        <f>SUM(J607:J613)</f>
        <v>181845</v>
      </c>
      <c r="K614" s="2484">
        <f>IF(H614=0," ",(J614-H614)/H614)</f>
        <v>1.7855643558814475E-2</v>
      </c>
      <c r="M614" s="2536">
        <f>SUM(M607:M613)</f>
        <v>181845</v>
      </c>
      <c r="N614" s="2536">
        <f>SUM(N607:N613)</f>
        <v>181845</v>
      </c>
      <c r="P614" s="2537">
        <f>SUM(P604:P613)</f>
        <v>0</v>
      </c>
      <c r="R614" s="2536">
        <f>SUM(R607:R613)</f>
        <v>181845</v>
      </c>
      <c r="S614" s="2536">
        <f>SUM(S607:S613)</f>
        <v>216777.97999999998</v>
      </c>
      <c r="U614" s="2536">
        <f>SUM(U607:U613)</f>
        <v>181845</v>
      </c>
      <c r="V614" s="2536">
        <f>SUM(V607:V613)</f>
        <v>0</v>
      </c>
      <c r="W614" s="2536">
        <f>SUM(W607:W613)</f>
        <v>181845</v>
      </c>
      <c r="X614" s="2484">
        <f>IF(U614=0," ",(W614-U614)/U614)</f>
        <v>0</v>
      </c>
      <c r="Z614" s="2536">
        <f>SUM(Z607:Z613)</f>
        <v>181845</v>
      </c>
      <c r="AA614" s="2536">
        <f>SUM(AA607:AA613)</f>
        <v>181845</v>
      </c>
      <c r="AC614" s="2537"/>
      <c r="AE614" s="2536">
        <f>SUM(AE607:AE613)</f>
        <v>181845</v>
      </c>
      <c r="AF614" s="2536">
        <f>SUM(AF607:AF613)</f>
        <v>156965.33999999997</v>
      </c>
      <c r="AH614" s="2536">
        <f>SUM(AH607:AH613)</f>
        <v>181845</v>
      </c>
      <c r="AI614" s="2536">
        <f>SUM(AI607:AI613)</f>
        <v>0</v>
      </c>
      <c r="AJ614" s="2536">
        <f>SUM(AJ607:AJ613)</f>
        <v>181845</v>
      </c>
      <c r="AK614" s="2484">
        <f>IF(AH614=0," ",(AJ614-AH614)/AH614)</f>
        <v>0</v>
      </c>
      <c r="AM614" s="2536">
        <f>SUM(AM607:AM613)</f>
        <v>181845</v>
      </c>
      <c r="AN614" s="2536">
        <f>SUM(AN607:AN613)</f>
        <v>181845</v>
      </c>
      <c r="AP614" s="2537"/>
      <c r="AR614" s="2536">
        <f>SUM(AR607:AR613)</f>
        <v>181845</v>
      </c>
      <c r="AS614" s="2536">
        <f>SUM(AS607:AS613)</f>
        <v>111598.14</v>
      </c>
      <c r="AT614" s="2536"/>
      <c r="AU614" s="2536">
        <f>SUM(AU607:AU613)</f>
        <v>181845</v>
      </c>
      <c r="AV614" s="2536">
        <f>SUM(AV607:AV613)</f>
        <v>162598.58999999997</v>
      </c>
      <c r="AX614" s="2536">
        <f>SUM(AX607:AX613)</f>
        <v>181845</v>
      </c>
      <c r="AY614" s="2536">
        <f>SUM(AY607:AY613)</f>
        <v>0</v>
      </c>
      <c r="AZ614" s="2536">
        <f>SUM(AZ607:AZ613)</f>
        <v>181845</v>
      </c>
      <c r="BA614" s="2484">
        <f>IF(AX614=0," ",(AZ614-AX614)/AX614)</f>
        <v>0</v>
      </c>
      <c r="BC614" s="2536">
        <f>SUM(BC607:BC613)</f>
        <v>181845</v>
      </c>
      <c r="BD614" s="2536">
        <f>SUM(BD607:BD613)</f>
        <v>181845</v>
      </c>
      <c r="BF614" s="2537"/>
      <c r="BH614" s="2536">
        <f>SUM(BH607:BH613)</f>
        <v>181845</v>
      </c>
      <c r="BI614" s="2536">
        <f>SUM(BI607:BI613)</f>
        <v>193939.41999999998</v>
      </c>
      <c r="BJ614" s="2536"/>
      <c r="BK614" s="2536"/>
      <c r="BM614" s="2536">
        <f>SUM(BM607:BM613)</f>
        <v>181845</v>
      </c>
      <c r="BN614" s="2539">
        <f>SUM(BN607:BN613)</f>
        <v>-5000</v>
      </c>
      <c r="BO614" s="2540">
        <f>SUM(BO607:BO613)</f>
        <v>176845</v>
      </c>
      <c r="BP614" s="2490">
        <f>IF(BM614=0," ",(BO614-BM614)/BM614)</f>
        <v>-2.749594434820864E-2</v>
      </c>
      <c r="BQ614" s="2491"/>
      <c r="BR614" s="2540">
        <f>SUM(BR607:BR613)</f>
        <v>176845</v>
      </c>
      <c r="BS614" s="2540">
        <f>SUM(BS607:BS613)</f>
        <v>176845</v>
      </c>
      <c r="BT614" s="2491"/>
      <c r="BU614" s="2541"/>
      <c r="BV614" s="2491"/>
      <c r="BW614" s="2540">
        <f>SUM(BW607:BW613)</f>
        <v>176845</v>
      </c>
      <c r="BX614" s="2536">
        <f>SUM(BX607:BX613)</f>
        <v>29023.32</v>
      </c>
      <c r="BZ614" s="2540">
        <f>SUM(BZ607:BZ613)</f>
        <v>176845</v>
      </c>
      <c r="CA614" s="2540">
        <f>SUM(CA607:CA613)</f>
        <v>0</v>
      </c>
      <c r="CB614" s="2540">
        <f>SUM(CB607:CB613)</f>
        <v>176845</v>
      </c>
      <c r="CC614" s="2490">
        <f>IF(BZ614=0," ",(CB614-BZ614)/BZ614)</f>
        <v>0</v>
      </c>
      <c r="CD614" s="2491"/>
      <c r="CE614" s="2540">
        <f>SUM(CE607:CE613)</f>
        <v>176845</v>
      </c>
      <c r="CF614" s="2490">
        <f t="shared" si="325"/>
        <v>0</v>
      </c>
      <c r="CG614" s="2540">
        <f>SUM(CG607:CG613)</f>
        <v>176845</v>
      </c>
      <c r="CH614" s="2449" t="s">
        <v>1220</v>
      </c>
      <c r="CI614" s="2449"/>
      <c r="CJ614" s="2450"/>
      <c r="CK614" s="2450"/>
      <c r="CL614" s="2451"/>
      <c r="CM614" s="2451"/>
      <c r="CN614" s="2451"/>
      <c r="CO614" s="2477">
        <v>6.6509499848772302E-2</v>
      </c>
      <c r="CP614" s="2478">
        <f t="shared" si="310"/>
        <v>12094.419999999984</v>
      </c>
      <c r="CQ614" s="2478"/>
      <c r="CR614" s="2478"/>
      <c r="CS614" s="2478"/>
      <c r="CT614" s="2478"/>
    </row>
    <row r="615" spans="1:98" ht="9.9499999999999993" hidden="1" customHeight="1" x14ac:dyDescent="0.2">
      <c r="AS615" s="2466"/>
      <c r="AT615" s="2466"/>
      <c r="BZ615" s="2472"/>
      <c r="CH615" s="2449" t="s">
        <v>1091</v>
      </c>
      <c r="CI615" s="2449"/>
      <c r="CJ615" s="2450"/>
      <c r="CK615" s="2450"/>
      <c r="CP615" s="2478">
        <f t="shared" si="310"/>
        <v>0</v>
      </c>
      <c r="CQ615" s="2478"/>
      <c r="CR615" s="2478"/>
      <c r="CS615" s="2478"/>
      <c r="CT615" s="2478"/>
    </row>
    <row r="616" spans="1:98" x14ac:dyDescent="0.2">
      <c r="A616" s="2495"/>
      <c r="B616" s="2496"/>
      <c r="C616" s="2497"/>
      <c r="D616" s="2497"/>
      <c r="E616" s="2498"/>
      <c r="F616" s="2496"/>
      <c r="G616" s="2499" t="s">
        <v>2024</v>
      </c>
      <c r="H616" s="2500">
        <f>H605+H614</f>
        <v>210983</v>
      </c>
      <c r="I616" s="2500">
        <f>I605+I614</f>
        <v>3190</v>
      </c>
      <c r="J616" s="2500">
        <f>J605+J614</f>
        <v>214173</v>
      </c>
      <c r="K616" s="2501">
        <f>IF(H616=0," ",(J616-H616)/H616)</f>
        <v>1.5119701587331681E-2</v>
      </c>
      <c r="M616" s="2500">
        <f>M605+M614</f>
        <v>214173</v>
      </c>
      <c r="N616" s="2500">
        <f>N605+N614</f>
        <v>214173</v>
      </c>
      <c r="P616" s="2502">
        <f>P605+P614</f>
        <v>0</v>
      </c>
      <c r="R616" s="2500">
        <f>R605+R614</f>
        <v>214173</v>
      </c>
      <c r="S616" s="2500">
        <f>S605+S614</f>
        <v>259734.19999999998</v>
      </c>
      <c r="U616" s="2500">
        <f>U605+U614</f>
        <v>214173</v>
      </c>
      <c r="V616" s="2500">
        <f>V605+V614</f>
        <v>0</v>
      </c>
      <c r="W616" s="2500">
        <f>W605+W614</f>
        <v>214173</v>
      </c>
      <c r="X616" s="2501">
        <f>IF(U616=0," ",(W616-U616)/U616)</f>
        <v>0</v>
      </c>
      <c r="Z616" s="2500">
        <f>Z605+Z614</f>
        <v>214173</v>
      </c>
      <c r="AA616" s="2500">
        <f>AA605+AA614</f>
        <v>214173</v>
      </c>
      <c r="AC616" s="2502"/>
      <c r="AE616" s="2500">
        <f>AE605+AE614</f>
        <v>214173</v>
      </c>
      <c r="AF616" s="2503">
        <f>AF605+AF614</f>
        <v>189293.33999999997</v>
      </c>
      <c r="AH616" s="2500">
        <v>214173</v>
      </c>
      <c r="AI616" s="2500">
        <f>AI605+AI614</f>
        <v>1542</v>
      </c>
      <c r="AJ616" s="2500">
        <f>AJ605+AJ614</f>
        <v>215715</v>
      </c>
      <c r="AK616" s="2501">
        <f>IF(AH616=0," ",(AJ616-AH616)/AH616)</f>
        <v>7.1997870880082925E-3</v>
      </c>
      <c r="AM616" s="2500">
        <f>AM605+AM614</f>
        <v>215715</v>
      </c>
      <c r="AN616" s="2500">
        <f>AN605+AN614</f>
        <v>215715</v>
      </c>
      <c r="AP616" s="2502"/>
      <c r="AR616" s="2500">
        <f>AR605+AR614</f>
        <v>215715</v>
      </c>
      <c r="AS616" s="2500">
        <f>AS605+AS614</f>
        <v>137999.04000000001</v>
      </c>
      <c r="AT616" s="2500"/>
      <c r="AU616" s="2500">
        <f>AU605+AU614</f>
        <v>215715</v>
      </c>
      <c r="AV616" s="2500">
        <f>AV605+AV614</f>
        <v>196469.03999999998</v>
      </c>
      <c r="AX616" s="2500">
        <f>AX605+AX614</f>
        <v>215715</v>
      </c>
      <c r="AY616" s="2500">
        <f>AY605+AY614</f>
        <v>0</v>
      </c>
      <c r="AZ616" s="2500">
        <f>AZ605+AZ614</f>
        <v>215715</v>
      </c>
      <c r="BA616" s="2501">
        <f>IF(AX616=0," ",(AZ616-AX616)/AX616)</f>
        <v>0</v>
      </c>
      <c r="BC616" s="2500">
        <f>BC605+BC614</f>
        <v>215715</v>
      </c>
      <c r="BD616" s="2500">
        <f>BD605+BD614</f>
        <v>215715</v>
      </c>
      <c r="BF616" s="2502"/>
      <c r="BH616" s="2500">
        <f>BH605+BH614</f>
        <v>215715</v>
      </c>
      <c r="BI616" s="2500">
        <f>BI605+BI614</f>
        <v>238285.75999999998</v>
      </c>
      <c r="BJ616" s="2500"/>
      <c r="BK616" s="2500"/>
      <c r="BM616" s="2500">
        <f>BM605+BM614</f>
        <v>215715</v>
      </c>
      <c r="BN616" s="2504">
        <f>BN605+BN614</f>
        <v>0</v>
      </c>
      <c r="BO616" s="2505">
        <f>BO605+BO614</f>
        <v>215715</v>
      </c>
      <c r="BP616" s="2506">
        <f>IF(BM616=0," ",(BO616-BM616)/BM616)</f>
        <v>0</v>
      </c>
      <c r="BR616" s="2505">
        <f>BR605+BR614</f>
        <v>215715</v>
      </c>
      <c r="BS616" s="2505">
        <f>BS605+BS614</f>
        <v>215715</v>
      </c>
      <c r="BU616" s="2507"/>
      <c r="BW616" s="2505">
        <f>BW605+BW614</f>
        <v>215715</v>
      </c>
      <c r="BX616" s="2500">
        <f>BX605+BX614</f>
        <v>32014.880000000001</v>
      </c>
      <c r="BZ616" s="2505">
        <f>BZ605+BZ614</f>
        <v>215715</v>
      </c>
      <c r="CA616" s="2505">
        <f>CA605+CA614</f>
        <v>0</v>
      </c>
      <c r="CB616" s="2505">
        <f>CB605+CB614</f>
        <v>215715</v>
      </c>
      <c r="CC616" s="2506">
        <f>IF(BZ616=0," ",(CB616-BZ616)/BZ616)</f>
        <v>0</v>
      </c>
      <c r="CE616" s="2505">
        <f>CE605+CE614</f>
        <v>215715</v>
      </c>
      <c r="CF616" s="2506">
        <f>IF(CB616=0," ",(CE616-CB616)/CB616)</f>
        <v>0</v>
      </c>
      <c r="CG616" s="2505">
        <f>CG605+CG614</f>
        <v>215715</v>
      </c>
      <c r="CH616" s="2449" t="s">
        <v>1222</v>
      </c>
      <c r="CI616" s="2508" t="str">
        <f>IF(CG616-CE616=0,"",CG616-CE616)</f>
        <v/>
      </c>
      <c r="CJ616" s="2509"/>
      <c r="CK616" s="2509"/>
      <c r="CL616" s="2451" t="str">
        <f>IF(CO616&lt;-1*CM$2,"examine","ignore")</f>
        <v>ignore</v>
      </c>
      <c r="CM616" s="2545" t="str">
        <f>IF(CL616="examine",CP616+CM$2*CP616/CO616,"")</f>
        <v/>
      </c>
      <c r="CN616" s="2545"/>
      <c r="CO616" s="2477">
        <v>0.10463231578703369</v>
      </c>
      <c r="CP616" s="2510">
        <f t="shared" si="310"/>
        <v>22570.75999999998</v>
      </c>
      <c r="CQ616" s="2510">
        <f>AV616-AU616</f>
        <v>-19245.960000000021</v>
      </c>
      <c r="CR616" s="2510">
        <f>AS616-AR616</f>
        <v>-77715.959999999992</v>
      </c>
      <c r="CS616" s="2510">
        <f>AF616-AE616</f>
        <v>-24879.660000000033</v>
      </c>
    </row>
    <row r="617" spans="1:98" ht="20.100000000000001" hidden="1" customHeight="1" x14ac:dyDescent="0.2">
      <c r="AS617" s="2466"/>
      <c r="AT617" s="2466"/>
      <c r="BZ617" s="2472"/>
      <c r="CH617" s="2449" t="s">
        <v>1091</v>
      </c>
      <c r="CI617" s="2449"/>
      <c r="CJ617" s="2450"/>
      <c r="CK617" s="2450"/>
      <c r="CP617" s="2478">
        <f t="shared" si="310"/>
        <v>0</v>
      </c>
      <c r="CQ617" s="2478"/>
      <c r="CR617" s="2478"/>
      <c r="CS617" s="2478"/>
      <c r="CT617" s="2478"/>
    </row>
    <row r="618" spans="1:98" ht="15.75" hidden="1" x14ac:dyDescent="0.2">
      <c r="A618" s="2453" t="s">
        <v>224</v>
      </c>
      <c r="B618" s="2454"/>
      <c r="C618" s="2455"/>
      <c r="D618" s="2455"/>
      <c r="E618" s="2456"/>
      <c r="F618" s="2454"/>
      <c r="G618" s="2454"/>
      <c r="H618" s="2457"/>
      <c r="I618" s="2457"/>
      <c r="J618" s="2457"/>
      <c r="K618" s="2458"/>
      <c r="M618" s="2457"/>
      <c r="N618" s="2457"/>
      <c r="P618" s="2459"/>
      <c r="R618" s="2457"/>
      <c r="S618" s="2457"/>
      <c r="U618" s="2457"/>
      <c r="V618" s="2457"/>
      <c r="W618" s="2457"/>
      <c r="X618" s="2458"/>
      <c r="Z618" s="2457"/>
      <c r="AA618" s="2457"/>
      <c r="AC618" s="2459"/>
      <c r="AE618" s="2457"/>
      <c r="AF618" s="2460"/>
      <c r="AH618" s="2457"/>
      <c r="AI618" s="2457"/>
      <c r="AJ618" s="2457"/>
      <c r="AK618" s="2458"/>
      <c r="AM618" s="2457"/>
      <c r="AN618" s="2457"/>
      <c r="AP618" s="2459"/>
      <c r="AR618" s="2457"/>
      <c r="AS618" s="2457"/>
      <c r="AT618" s="2457"/>
      <c r="AU618" s="2457"/>
      <c r="AV618" s="2457"/>
      <c r="AX618" s="2457"/>
      <c r="AY618" s="2457"/>
      <c r="AZ618" s="2457"/>
      <c r="BA618" s="2458"/>
      <c r="BC618" s="2458"/>
      <c r="BD618" s="2458"/>
      <c r="BF618" s="2461"/>
      <c r="BH618" s="2458"/>
      <c r="BI618" s="2457"/>
      <c r="BJ618" s="2457"/>
      <c r="BK618" s="2457"/>
      <c r="BM618" s="2457"/>
      <c r="BN618" s="2462"/>
      <c r="BO618" s="2463"/>
      <c r="BP618" s="2464"/>
      <c r="BR618" s="2464"/>
      <c r="BS618" s="2464"/>
      <c r="BU618" s="2465"/>
      <c r="BW618" s="2464"/>
      <c r="BX618" s="2457"/>
      <c r="BZ618" s="2464"/>
      <c r="CA618" s="2462"/>
      <c r="CB618" s="2463"/>
      <c r="CC618" s="2464"/>
      <c r="CE618" s="2666"/>
      <c r="CF618" s="2464"/>
      <c r="CG618" s="2464"/>
      <c r="CH618" s="2449" t="s">
        <v>1212</v>
      </c>
      <c r="CI618" s="2449"/>
      <c r="CJ618" s="2450"/>
      <c r="CK618" s="2450"/>
      <c r="CP618" s="2478">
        <f t="shared" si="310"/>
        <v>0</v>
      </c>
      <c r="CQ618" s="2478"/>
      <c r="CR618" s="2478"/>
      <c r="CS618" s="2478"/>
      <c r="CT618" s="2478"/>
    </row>
    <row r="619" spans="1:98" hidden="1" x14ac:dyDescent="0.2">
      <c r="A619" s="2395">
        <v>424</v>
      </c>
      <c r="B619" s="2440" t="s">
        <v>1214</v>
      </c>
      <c r="C619" s="2396">
        <v>42405</v>
      </c>
      <c r="D619" s="2396">
        <v>52100</v>
      </c>
      <c r="E619" s="2397" t="s">
        <v>1268</v>
      </c>
      <c r="F619" s="2440" t="s">
        <v>1214</v>
      </c>
      <c r="G619" s="2440" t="s">
        <v>2025</v>
      </c>
      <c r="H619" s="2466">
        <v>21200</v>
      </c>
      <c r="I619" s="2470">
        <v>1485</v>
      </c>
      <c r="J619" s="2466">
        <f>H619+I619</f>
        <v>22685</v>
      </c>
      <c r="K619" s="2468">
        <f>IF(H619=0," ",(J619-H619)/H619)</f>
        <v>7.0047169811320753E-2</v>
      </c>
      <c r="M619" s="2467">
        <v>22685</v>
      </c>
      <c r="N619" s="2467">
        <v>22685</v>
      </c>
      <c r="P619" s="2469"/>
      <c r="R619" s="2466">
        <v>22685</v>
      </c>
      <c r="S619" s="2466">
        <v>24990.34</v>
      </c>
      <c r="U619" s="2466">
        <v>22685</v>
      </c>
      <c r="V619" s="2470">
        <v>0</v>
      </c>
      <c r="W619" s="2466">
        <f>U619+V619</f>
        <v>22685</v>
      </c>
      <c r="X619" s="2468">
        <f>IF(U619=0," ",(W619-U619)/U619)</f>
        <v>0</v>
      </c>
      <c r="Z619" s="2467">
        <v>22685</v>
      </c>
      <c r="AA619" s="2467">
        <f>22685+2175</f>
        <v>24860</v>
      </c>
      <c r="AC619" s="2469" t="s">
        <v>2026</v>
      </c>
      <c r="AE619" s="2466">
        <f>22685+2175</f>
        <v>24860</v>
      </c>
      <c r="AF619" s="2471">
        <v>26110.95</v>
      </c>
      <c r="AH619" s="2466">
        <v>24860</v>
      </c>
      <c r="AI619" s="2470"/>
      <c r="AJ619" s="2466">
        <f>AH619+AI619</f>
        <v>24860</v>
      </c>
      <c r="AK619" s="2468">
        <f>IF(AH619=0," ",(AJ619-AH619)/AH619)</f>
        <v>0</v>
      </c>
      <c r="AM619" s="2467">
        <f>24860+1244</f>
        <v>26104</v>
      </c>
      <c r="AN619" s="2467">
        <f>24860+1244</f>
        <v>26104</v>
      </c>
      <c r="AO619" s="2546"/>
      <c r="AP619" s="2530" t="s">
        <v>2027</v>
      </c>
      <c r="AR619" s="2466">
        <f>24860+1244</f>
        <v>26104</v>
      </c>
      <c r="AS619" s="2466">
        <v>28756.2</v>
      </c>
      <c r="AT619" s="2466"/>
      <c r="AU619" s="2466">
        <v>26104</v>
      </c>
      <c r="AV619" s="2466">
        <v>25381.91</v>
      </c>
      <c r="AX619" s="2466">
        <v>26104</v>
      </c>
      <c r="AY619" s="2470"/>
      <c r="AZ619" s="2466">
        <f>AX619+AY619</f>
        <v>26104</v>
      </c>
      <c r="BA619" s="2468">
        <f>IF(AX619=0," ",(AZ619-AX619)/AX619)</f>
        <v>0</v>
      </c>
      <c r="BC619" s="2467">
        <v>26104</v>
      </c>
      <c r="BD619" s="2467">
        <f>26104+3896</f>
        <v>30000</v>
      </c>
      <c r="BE619" s="2546"/>
      <c r="BF619" s="2530" t="s">
        <v>2028</v>
      </c>
      <c r="BH619" s="2467">
        <f>26104+3896</f>
        <v>30000</v>
      </c>
      <c r="BI619" s="2466">
        <v>30500</v>
      </c>
      <c r="BM619" s="2466">
        <f>26104+3896</f>
        <v>30000</v>
      </c>
      <c r="BN619" s="2470"/>
      <c r="BO619" s="2472">
        <f>BM619+BN619</f>
        <v>30000</v>
      </c>
      <c r="BP619" s="2473">
        <f>IF(BM619=0," ",(BO619-BM619)/BM619)</f>
        <v>0</v>
      </c>
      <c r="BR619" s="2474">
        <v>30000</v>
      </c>
      <c r="BS619" s="2474">
        <v>30000</v>
      </c>
      <c r="BU619" s="2475"/>
      <c r="BW619" s="2474">
        <v>30000</v>
      </c>
      <c r="BX619" s="2466">
        <v>13957.29</v>
      </c>
      <c r="BZ619" s="2474">
        <v>30000</v>
      </c>
      <c r="CA619" s="2470">
        <v>3000</v>
      </c>
      <c r="CB619" s="2472">
        <f>BZ619+CA619</f>
        <v>33000</v>
      </c>
      <c r="CC619" s="2473">
        <f>IF(BZ619=0," ",(CB619-BZ619)/BZ619)</f>
        <v>0.1</v>
      </c>
      <c r="CE619" s="2474">
        <v>33000</v>
      </c>
      <c r="CF619" s="2476">
        <f>IF(CB619=0," ",(CE619-CB619)/CB619)</f>
        <v>0</v>
      </c>
      <c r="CG619" s="2474">
        <v>33000</v>
      </c>
      <c r="CH619" s="2449" t="s">
        <v>1217</v>
      </c>
      <c r="CI619" s="2449"/>
      <c r="CJ619" s="2450"/>
      <c r="CK619" s="2450"/>
      <c r="CO619" s="2477">
        <v>1.6666666666666607E-2</v>
      </c>
      <c r="CP619" s="2478">
        <f t="shared" si="310"/>
        <v>500</v>
      </c>
      <c r="CQ619" s="2478"/>
      <c r="CR619" s="2478"/>
      <c r="CS619" s="2478"/>
      <c r="CT619" s="2478"/>
    </row>
    <row r="620" spans="1:98" s="2485" customFormat="1" hidden="1" x14ac:dyDescent="0.2">
      <c r="A620" s="2532"/>
      <c r="B620" s="2533"/>
      <c r="C620" s="2534"/>
      <c r="D620" s="2534"/>
      <c r="E620" s="2535"/>
      <c r="F620" s="2533"/>
      <c r="G620" s="2654" t="s">
        <v>2029</v>
      </c>
      <c r="H620" s="2536">
        <f t="shared" ref="H620" si="326">SUM(H619)</f>
        <v>21200</v>
      </c>
      <c r="I620" s="2536">
        <f>SUM(I619)</f>
        <v>1485</v>
      </c>
      <c r="J620" s="2536">
        <f>SUM(J619)</f>
        <v>22685</v>
      </c>
      <c r="K620" s="2484">
        <f>IF(H620=0," ",(J620-H620)/H620)</f>
        <v>7.0047169811320753E-2</v>
      </c>
      <c r="M620" s="2536">
        <f>SUM(M619)</f>
        <v>22685</v>
      </c>
      <c r="N620" s="2536">
        <f>SUM(N619)</f>
        <v>22685</v>
      </c>
      <c r="P620" s="2537">
        <f>SUM(P619)</f>
        <v>0</v>
      </c>
      <c r="R620" s="2536">
        <f>SUM(R619)</f>
        <v>22685</v>
      </c>
      <c r="S620" s="2536">
        <f>SUM(S619)</f>
        <v>24990.34</v>
      </c>
      <c r="U620" s="2536">
        <f>SUM(U619)</f>
        <v>22685</v>
      </c>
      <c r="V620" s="2536">
        <f>SUM(V619)</f>
        <v>0</v>
      </c>
      <c r="W620" s="2536">
        <f>SUM(W619)</f>
        <v>22685</v>
      </c>
      <c r="X620" s="2484">
        <f>IF(U620=0," ",(W620-U620)/U620)</f>
        <v>0</v>
      </c>
      <c r="Z620" s="2536">
        <f>SUM(Z619)</f>
        <v>22685</v>
      </c>
      <c r="AA620" s="2536">
        <f>SUM(AA619)</f>
        <v>24860</v>
      </c>
      <c r="AC620" s="2537"/>
      <c r="AE620" s="2536">
        <f>SUM(AE619)</f>
        <v>24860</v>
      </c>
      <c r="AF620" s="2538">
        <f>SUM(AF619)</f>
        <v>26110.95</v>
      </c>
      <c r="AH620" s="2536">
        <v>24860</v>
      </c>
      <c r="AI620" s="2536">
        <f>SUM(AI619)</f>
        <v>0</v>
      </c>
      <c r="AJ620" s="2536">
        <f>SUM(AJ619)</f>
        <v>24860</v>
      </c>
      <c r="AK620" s="2484">
        <f>IF(AH620=0," ",(AJ620-AH620)/AH620)</f>
        <v>0</v>
      </c>
      <c r="AM620" s="2536">
        <f>SUM(AM619)</f>
        <v>26104</v>
      </c>
      <c r="AN620" s="2536">
        <f>SUM(AN619)</f>
        <v>26104</v>
      </c>
      <c r="AP620" s="2537"/>
      <c r="AR620" s="2536">
        <f>SUM(AR619)</f>
        <v>26104</v>
      </c>
      <c r="AS620" s="2536">
        <f>SUM(AS619)</f>
        <v>28756.2</v>
      </c>
      <c r="AT620" s="2536"/>
      <c r="AU620" s="2536">
        <f>SUM(AU619)</f>
        <v>26104</v>
      </c>
      <c r="AV620" s="2536">
        <f>SUM(AV619)</f>
        <v>25381.91</v>
      </c>
      <c r="AX620" s="2536">
        <f>SUM(AX619)</f>
        <v>26104</v>
      </c>
      <c r="AY620" s="2536">
        <f>SUM(AY619)</f>
        <v>0</v>
      </c>
      <c r="AZ620" s="2536">
        <f>SUM(AZ619)</f>
        <v>26104</v>
      </c>
      <c r="BA620" s="2484">
        <f>IF(AX620=0," ",(AZ620-AX620)/AX620)</f>
        <v>0</v>
      </c>
      <c r="BC620" s="2536">
        <f>SUM(BC619)</f>
        <v>26104</v>
      </c>
      <c r="BD620" s="2536">
        <f>SUM(BD619)</f>
        <v>30000</v>
      </c>
      <c r="BF620" s="2537"/>
      <c r="BH620" s="2536">
        <f>SUM(BH619)</f>
        <v>30000</v>
      </c>
      <c r="BI620" s="2536">
        <f>SUM(BI619)</f>
        <v>30500</v>
      </c>
      <c r="BJ620" s="2536"/>
      <c r="BK620" s="2536"/>
      <c r="BM620" s="2536">
        <f>SUM(BM619)</f>
        <v>30000</v>
      </c>
      <c r="BN620" s="2539">
        <f>SUM(BN619)</f>
        <v>0</v>
      </c>
      <c r="BO620" s="2540">
        <f>SUM(BO619)</f>
        <v>30000</v>
      </c>
      <c r="BP620" s="2490">
        <f>IF(BM620=0," ",(BO620-BM620)/BM620)</f>
        <v>0</v>
      </c>
      <c r="BQ620" s="2491"/>
      <c r="BR620" s="2540">
        <f>SUM(BR619)</f>
        <v>30000</v>
      </c>
      <c r="BS620" s="2540">
        <f>SUM(BS619)</f>
        <v>30000</v>
      </c>
      <c r="BT620" s="2491"/>
      <c r="BU620" s="2541"/>
      <c r="BV620" s="2491"/>
      <c r="BW620" s="2540">
        <f>SUM(BW619)</f>
        <v>30000</v>
      </c>
      <c r="BX620" s="2536">
        <f>SUM(BX619)</f>
        <v>13957.29</v>
      </c>
      <c r="BZ620" s="2540">
        <f>SUM(BZ619)</f>
        <v>30000</v>
      </c>
      <c r="CA620" s="2540">
        <f>SUM(CA619)</f>
        <v>3000</v>
      </c>
      <c r="CB620" s="2540">
        <f>SUM(CB619)</f>
        <v>33000</v>
      </c>
      <c r="CC620" s="2490">
        <f>IF(BZ620=0," ",(CB620-BZ620)/BZ620)</f>
        <v>0.1</v>
      </c>
      <c r="CD620" s="2491"/>
      <c r="CE620" s="2540">
        <f>SUM(CE619)</f>
        <v>33000</v>
      </c>
      <c r="CF620" s="2490">
        <f>IF(CB620=0," ",(CE620-CB620)/CB620)</f>
        <v>0</v>
      </c>
      <c r="CG620" s="2540">
        <f>SUM(CG619)</f>
        <v>33000</v>
      </c>
      <c r="CH620" s="2449" t="s">
        <v>1220</v>
      </c>
      <c r="CI620" s="2449"/>
      <c r="CJ620" s="2450"/>
      <c r="CK620" s="2450"/>
      <c r="CL620" s="2451"/>
      <c r="CM620" s="2451"/>
      <c r="CN620" s="2451"/>
      <c r="CO620" s="2477">
        <v>1.6666666666666607E-2</v>
      </c>
      <c r="CP620" s="2478">
        <f t="shared" si="310"/>
        <v>500</v>
      </c>
      <c r="CQ620" s="2478"/>
      <c r="CR620" s="2478"/>
      <c r="CS620" s="2478"/>
      <c r="CT620" s="2478"/>
    </row>
    <row r="621" spans="1:98" ht="9.9499999999999993" hidden="1" customHeight="1" x14ac:dyDescent="0.2">
      <c r="AS621" s="2466"/>
      <c r="AT621" s="2466"/>
      <c r="BZ621" s="2472"/>
      <c r="CH621" s="2449" t="s">
        <v>1091</v>
      </c>
      <c r="CI621" s="2449"/>
      <c r="CJ621" s="2450"/>
      <c r="CK621" s="2450"/>
      <c r="CP621" s="2478">
        <f t="shared" si="310"/>
        <v>0</v>
      </c>
      <c r="CQ621" s="2478"/>
      <c r="CR621" s="2478"/>
      <c r="CS621" s="2478"/>
      <c r="CT621" s="2478"/>
    </row>
    <row r="622" spans="1:98" x14ac:dyDescent="0.2">
      <c r="A622" s="2495"/>
      <c r="B622" s="2496"/>
      <c r="C622" s="2497"/>
      <c r="D622" s="2497"/>
      <c r="E622" s="2498"/>
      <c r="F622" s="2496"/>
      <c r="G622" s="2499" t="s">
        <v>2030</v>
      </c>
      <c r="H622" s="2500">
        <f t="shared" ref="H622" si="327">H620</f>
        <v>21200</v>
      </c>
      <c r="I622" s="2500">
        <f>I620</f>
        <v>1485</v>
      </c>
      <c r="J622" s="2500">
        <f>J620</f>
        <v>22685</v>
      </c>
      <c r="K622" s="2501">
        <f>IF(H622=0," ",(J622-H622)/H622)</f>
        <v>7.0047169811320753E-2</v>
      </c>
      <c r="M622" s="2500">
        <f>M620</f>
        <v>22685</v>
      </c>
      <c r="N622" s="2500">
        <f>N620</f>
        <v>22685</v>
      </c>
      <c r="P622" s="2502">
        <f>P620</f>
        <v>0</v>
      </c>
      <c r="R622" s="2500">
        <f>R620</f>
        <v>22685</v>
      </c>
      <c r="S622" s="2500">
        <f>S620</f>
        <v>24990.34</v>
      </c>
      <c r="U622" s="2500">
        <f>U620</f>
        <v>22685</v>
      </c>
      <c r="V622" s="2500">
        <f>V620</f>
        <v>0</v>
      </c>
      <c r="W622" s="2500">
        <f>W620</f>
        <v>22685</v>
      </c>
      <c r="X622" s="2501">
        <f>IF(U622=0," ",(W622-U622)/U622)</f>
        <v>0</v>
      </c>
      <c r="Z622" s="2500">
        <f>Z620</f>
        <v>22685</v>
      </c>
      <c r="AA622" s="2500">
        <f>AA620</f>
        <v>24860</v>
      </c>
      <c r="AC622" s="2502"/>
      <c r="AE622" s="2500">
        <f>AE620</f>
        <v>24860</v>
      </c>
      <c r="AF622" s="2503">
        <f>AF620</f>
        <v>26110.95</v>
      </c>
      <c r="AH622" s="2500">
        <v>24860</v>
      </c>
      <c r="AI622" s="2500">
        <f>AI620</f>
        <v>0</v>
      </c>
      <c r="AJ622" s="2500">
        <f>AJ620</f>
        <v>24860</v>
      </c>
      <c r="AK622" s="2501">
        <f>IF(AH622=0," ",(AJ622-AH622)/AH622)</f>
        <v>0</v>
      </c>
      <c r="AM622" s="2500">
        <f>AM620</f>
        <v>26104</v>
      </c>
      <c r="AN622" s="2500">
        <f>AN620</f>
        <v>26104</v>
      </c>
      <c r="AP622" s="2502"/>
      <c r="AR622" s="2500">
        <f>AR620</f>
        <v>26104</v>
      </c>
      <c r="AS622" s="2500">
        <f>AS620</f>
        <v>28756.2</v>
      </c>
      <c r="AT622" s="2500"/>
      <c r="AU622" s="2500">
        <f>AU620</f>
        <v>26104</v>
      </c>
      <c r="AV622" s="2500">
        <f>AV620</f>
        <v>25381.91</v>
      </c>
      <c r="AX622" s="2500">
        <f>AX620</f>
        <v>26104</v>
      </c>
      <c r="AY622" s="2500">
        <f>AY620</f>
        <v>0</v>
      </c>
      <c r="AZ622" s="2500">
        <f>AZ620</f>
        <v>26104</v>
      </c>
      <c r="BA622" s="2501">
        <f>IF(AX622=0," ",(AZ622-AX622)/AX622)</f>
        <v>0</v>
      </c>
      <c r="BC622" s="2500">
        <f>BC620</f>
        <v>26104</v>
      </c>
      <c r="BD622" s="2500">
        <f>BD620</f>
        <v>30000</v>
      </c>
      <c r="BF622" s="2502"/>
      <c r="BH622" s="2500">
        <f>BH620</f>
        <v>30000</v>
      </c>
      <c r="BI622" s="2500">
        <f>BI620</f>
        <v>30500</v>
      </c>
      <c r="BJ622" s="2500"/>
      <c r="BK622" s="2500"/>
      <c r="BM622" s="2500">
        <f>BM620</f>
        <v>30000</v>
      </c>
      <c r="BN622" s="2504">
        <f>BN620</f>
        <v>0</v>
      </c>
      <c r="BO622" s="2505">
        <f>BO620</f>
        <v>30000</v>
      </c>
      <c r="BP622" s="2506">
        <f>IF(BM622=0," ",(BO622-BM622)/BM622)</f>
        <v>0</v>
      </c>
      <c r="BR622" s="2505">
        <f>BR620</f>
        <v>30000</v>
      </c>
      <c r="BS622" s="2505">
        <f>BS620</f>
        <v>30000</v>
      </c>
      <c r="BU622" s="2507"/>
      <c r="BW622" s="2505">
        <f>BW620</f>
        <v>30000</v>
      </c>
      <c r="BX622" s="2500">
        <f>BX620</f>
        <v>13957.29</v>
      </c>
      <c r="BZ622" s="2505">
        <f>BZ620</f>
        <v>30000</v>
      </c>
      <c r="CA622" s="2505">
        <f>CA620</f>
        <v>3000</v>
      </c>
      <c r="CB622" s="2505">
        <f>CB620</f>
        <v>33000</v>
      </c>
      <c r="CC622" s="2506">
        <f>IF(BZ622=0," ",(CB622-BZ622)/BZ622)</f>
        <v>0.1</v>
      </c>
      <c r="CE622" s="2505">
        <f>CE620</f>
        <v>33000</v>
      </c>
      <c r="CF622" s="2506">
        <f>IF(CB622=0," ",(CE622-CB622)/CB622)</f>
        <v>0</v>
      </c>
      <c r="CG622" s="2505">
        <f>CG620</f>
        <v>33000</v>
      </c>
      <c r="CH622" s="2449" t="s">
        <v>1222</v>
      </c>
      <c r="CI622" s="2508" t="str">
        <f>IF(CG622-CE622=0,"",CG622-CE622)</f>
        <v/>
      </c>
      <c r="CJ622" s="2509"/>
      <c r="CK622" s="2509"/>
      <c r="CL622" s="2451" t="str">
        <f>IF(CO622&lt;-1*CM$2,"examine","ignore")</f>
        <v>ignore</v>
      </c>
      <c r="CM622" s="2545" t="str">
        <f>IF(CL622="examine",CP622+CM$2*CP622/CO622,"")</f>
        <v/>
      </c>
      <c r="CN622" s="2545"/>
      <c r="CO622" s="2477">
        <v>1.6666666666666607E-2</v>
      </c>
      <c r="CP622" s="2510">
        <f t="shared" si="310"/>
        <v>500</v>
      </c>
      <c r="CQ622" s="2510">
        <f>AV622-AU622</f>
        <v>-722.09000000000015</v>
      </c>
      <c r="CR622" s="2510">
        <f>AS622-AR622</f>
        <v>2652.2000000000007</v>
      </c>
      <c r="CS622" s="2510">
        <f>AF622-AE622</f>
        <v>1250.9500000000007</v>
      </c>
    </row>
    <row r="623" spans="1:98" ht="20.100000000000001" hidden="1" customHeight="1" x14ac:dyDescent="0.2">
      <c r="AS623" s="2466"/>
      <c r="AT623" s="2466"/>
      <c r="BZ623" s="2472"/>
      <c r="CH623" s="2449" t="s">
        <v>1091</v>
      </c>
      <c r="CI623" s="2449"/>
      <c r="CJ623" s="2450"/>
      <c r="CK623" s="2450"/>
      <c r="CP623" s="2478">
        <f t="shared" si="310"/>
        <v>0</v>
      </c>
      <c r="CQ623" s="2478"/>
      <c r="CR623" s="2478"/>
      <c r="CS623" s="2478"/>
      <c r="CT623" s="2478"/>
    </row>
    <row r="624" spans="1:98" ht="15.75" hidden="1" x14ac:dyDescent="0.2">
      <c r="A624" s="2453" t="s">
        <v>2031</v>
      </c>
      <c r="B624" s="2454"/>
      <c r="C624" s="2455"/>
      <c r="D624" s="2455"/>
      <c r="E624" s="2456"/>
      <c r="F624" s="2454"/>
      <c r="G624" s="2454"/>
      <c r="H624" s="2457"/>
      <c r="I624" s="2457"/>
      <c r="J624" s="2457"/>
      <c r="K624" s="2458"/>
      <c r="M624" s="2457"/>
      <c r="N624" s="2457"/>
      <c r="P624" s="2459"/>
      <c r="R624" s="2457"/>
      <c r="S624" s="2457"/>
      <c r="U624" s="2457"/>
      <c r="V624" s="2457"/>
      <c r="W624" s="2457"/>
      <c r="X624" s="2458"/>
      <c r="Z624" s="2457"/>
      <c r="AA624" s="2569"/>
      <c r="AC624" s="2461"/>
      <c r="AE624" s="2569"/>
      <c r="AF624" s="2570"/>
      <c r="AH624" s="2569"/>
      <c r="AI624" s="2457"/>
      <c r="AJ624" s="2457"/>
      <c r="AK624" s="2458"/>
      <c r="AM624" s="2457"/>
      <c r="AN624" s="2457"/>
      <c r="AP624" s="2459"/>
      <c r="AR624" s="2457"/>
      <c r="AS624" s="2457"/>
      <c r="AT624" s="2457"/>
      <c r="AU624" s="2457"/>
      <c r="AV624" s="2457"/>
      <c r="AX624" s="2457"/>
      <c r="AY624" s="2457"/>
      <c r="AZ624" s="2457"/>
      <c r="BA624" s="2458"/>
      <c r="BC624" s="2457"/>
      <c r="BD624" s="2457"/>
      <c r="BF624" s="2461"/>
      <c r="BH624" s="2457"/>
      <c r="BI624" s="2569"/>
      <c r="BJ624" s="2569"/>
      <c r="BK624" s="2569"/>
      <c r="BM624" s="2457"/>
      <c r="BN624" s="2462"/>
      <c r="BO624" s="2463"/>
      <c r="BP624" s="2464"/>
      <c r="BR624" s="2463"/>
      <c r="BS624" s="2463"/>
      <c r="BU624" s="2465"/>
      <c r="BW624" s="2463"/>
      <c r="BX624" s="2569"/>
      <c r="BZ624" s="2463"/>
      <c r="CA624" s="2462"/>
      <c r="CB624" s="2463"/>
      <c r="CC624" s="2464"/>
      <c r="CE624" s="2463"/>
      <c r="CF624" s="2464"/>
      <c r="CG624" s="2463"/>
      <c r="CH624" s="2449" t="s">
        <v>1212</v>
      </c>
      <c r="CI624" s="2449"/>
      <c r="CJ624" s="2450"/>
      <c r="CK624" s="2450"/>
      <c r="CP624" s="2478">
        <f t="shared" si="310"/>
        <v>0</v>
      </c>
      <c r="CQ624" s="2478"/>
      <c r="CR624" s="2478"/>
      <c r="CS624" s="2478"/>
      <c r="CT624" s="2478"/>
    </row>
    <row r="625" spans="1:98" hidden="1" x14ac:dyDescent="0.2">
      <c r="A625" s="2395">
        <v>430</v>
      </c>
      <c r="B625" s="2440" t="s">
        <v>1214</v>
      </c>
      <c r="C625" s="2396">
        <v>43005</v>
      </c>
      <c r="D625" s="2396">
        <v>52910</v>
      </c>
      <c r="E625" s="2397" t="s">
        <v>1268</v>
      </c>
      <c r="F625" s="2440" t="s">
        <v>1214</v>
      </c>
      <c r="G625" s="2440" t="s">
        <v>2032</v>
      </c>
      <c r="H625" s="2466">
        <v>405213</v>
      </c>
      <c r="I625" s="2470"/>
      <c r="J625" s="2466">
        <f>H625+I625</f>
        <v>405213</v>
      </c>
      <c r="K625" s="2468">
        <f>IF(H625=0," ",(J625-H625)/H625)</f>
        <v>0</v>
      </c>
      <c r="M625" s="2467">
        <v>405213</v>
      </c>
      <c r="N625" s="2467">
        <v>405213</v>
      </c>
      <c r="P625" s="2469" t="s">
        <v>2033</v>
      </c>
      <c r="R625" s="2466">
        <v>405213</v>
      </c>
      <c r="S625" s="2466">
        <v>405213</v>
      </c>
      <c r="U625" s="2466">
        <v>405213</v>
      </c>
      <c r="V625" s="2568">
        <v>0</v>
      </c>
      <c r="W625" s="2466">
        <f>U625+V625</f>
        <v>405213</v>
      </c>
      <c r="X625" s="2468">
        <f>IF(U625=0," ",(W625-U625)/U625)</f>
        <v>0</v>
      </c>
      <c r="Z625" s="2467">
        <v>405213</v>
      </c>
      <c r="AA625" s="2467">
        <f>405213+20112</f>
        <v>425325</v>
      </c>
      <c r="AC625" s="2469" t="s">
        <v>2034</v>
      </c>
      <c r="AE625" s="2466">
        <f>405213+20112</f>
        <v>425325</v>
      </c>
      <c r="AF625" s="2471">
        <v>425325</v>
      </c>
      <c r="AH625" s="2466">
        <v>425325</v>
      </c>
      <c r="AI625" s="2568"/>
      <c r="AJ625" s="2466">
        <f>AH625+AI625</f>
        <v>425325</v>
      </c>
      <c r="AK625" s="2468">
        <f>IF(AH625=0," ",(AJ625-AH625)/AH625)</f>
        <v>0</v>
      </c>
      <c r="AM625" s="2467">
        <v>425325</v>
      </c>
      <c r="AN625" s="2467">
        <v>425325</v>
      </c>
      <c r="AO625" s="2546"/>
      <c r="AP625" s="2530"/>
      <c r="AR625" s="2466">
        <v>425325</v>
      </c>
      <c r="AS625" s="2466">
        <v>425325</v>
      </c>
      <c r="AT625" s="2466"/>
      <c r="AU625" s="2466">
        <v>425325</v>
      </c>
      <c r="AV625" s="2466">
        <v>425325</v>
      </c>
      <c r="AX625" s="2466">
        <v>425325</v>
      </c>
      <c r="AY625" s="2568"/>
      <c r="AZ625" s="2466">
        <f>AX625+AY625</f>
        <v>425325</v>
      </c>
      <c r="BA625" s="2468">
        <f>IF(AX625=0," ",(AZ625-AX625)/AX625)</f>
        <v>0</v>
      </c>
      <c r="BC625" s="2467">
        <v>425325</v>
      </c>
      <c r="BD625" s="2467">
        <v>425325</v>
      </c>
      <c r="BE625" s="2546"/>
      <c r="BF625" s="2469" t="s">
        <v>2035</v>
      </c>
      <c r="BH625" s="2467">
        <v>425325</v>
      </c>
      <c r="BI625" s="2466">
        <v>434125</v>
      </c>
      <c r="BM625" s="2466">
        <v>425325</v>
      </c>
      <c r="BN625" s="2568"/>
      <c r="BO625" s="2472">
        <f>BM625+BN625</f>
        <v>425325</v>
      </c>
      <c r="BP625" s="2473">
        <f>IF(BM625=0," ",(BO625-BM625)/BM625)</f>
        <v>0</v>
      </c>
      <c r="BR625" s="2474">
        <v>425325</v>
      </c>
      <c r="BS625" s="2474">
        <v>425325</v>
      </c>
      <c r="BU625" s="2475" t="s">
        <v>2035</v>
      </c>
      <c r="BW625" s="2474">
        <v>425325</v>
      </c>
      <c r="BX625" s="2466">
        <v>213293.21</v>
      </c>
      <c r="BZ625" s="2474">
        <v>425325</v>
      </c>
      <c r="CA625" s="2568"/>
      <c r="CB625" s="2472">
        <f>BZ625+CA625</f>
        <v>425325</v>
      </c>
      <c r="CC625" s="2473">
        <f>IF(BZ625=0," ",(CB625-BZ625)/BZ625)</f>
        <v>0</v>
      </c>
      <c r="CE625" s="2474">
        <v>425325</v>
      </c>
      <c r="CF625" s="2476">
        <f>IF(CB625=0," ",(CE625-CB625)/CB625)</f>
        <v>0</v>
      </c>
      <c r="CG625" s="2667">
        <v>570000</v>
      </c>
      <c r="CH625" s="2449" t="s">
        <v>1217</v>
      </c>
      <c r="CI625" s="2449"/>
      <c r="CJ625" s="2450"/>
      <c r="CK625" s="2450"/>
      <c r="CO625" s="2477">
        <v>2.0690060541938449E-2</v>
      </c>
      <c r="CP625" s="2478">
        <f t="shared" si="310"/>
        <v>8800</v>
      </c>
      <c r="CQ625" s="2478"/>
      <c r="CR625" s="2478"/>
      <c r="CS625" s="2478"/>
      <c r="CT625" s="2478"/>
    </row>
    <row r="626" spans="1:98" hidden="1" x14ac:dyDescent="0.2">
      <c r="A626" s="2395">
        <v>430</v>
      </c>
      <c r="B626" s="2440" t="s">
        <v>1214</v>
      </c>
      <c r="C626" s="2396">
        <v>43005</v>
      </c>
      <c r="D626" s="2396">
        <v>52940</v>
      </c>
      <c r="E626" s="2397" t="s">
        <v>1268</v>
      </c>
      <c r="F626" s="2440" t="s">
        <v>1214</v>
      </c>
      <c r="G626" s="2440" t="s">
        <v>2036</v>
      </c>
      <c r="H626" s="2466">
        <v>4500</v>
      </c>
      <c r="I626" s="2470">
        <v>90</v>
      </c>
      <c r="J626" s="2466">
        <f>H626+I626</f>
        <v>4590</v>
      </c>
      <c r="K626" s="2468">
        <f>IF(H626=0," ",(J626-H626)/H626)</f>
        <v>0.02</v>
      </c>
      <c r="M626" s="2467">
        <v>4590</v>
      </c>
      <c r="N626" s="2467">
        <v>4590</v>
      </c>
      <c r="P626" s="2469"/>
      <c r="R626" s="2466">
        <v>4590</v>
      </c>
      <c r="S626" s="2466">
        <v>3216</v>
      </c>
      <c r="U626" s="2466">
        <v>4590</v>
      </c>
      <c r="V626" s="2470">
        <v>0</v>
      </c>
      <c r="W626" s="2466">
        <f>U626+V626</f>
        <v>4590</v>
      </c>
      <c r="X626" s="2468">
        <f>IF(U626=0," ",(W626-U626)/U626)</f>
        <v>0</v>
      </c>
      <c r="Z626" s="2467">
        <v>4590</v>
      </c>
      <c r="AA626" s="2467">
        <v>4590</v>
      </c>
      <c r="AC626" s="2469"/>
      <c r="AE626" s="2466">
        <v>4590</v>
      </c>
      <c r="AF626" s="2471">
        <v>2847</v>
      </c>
      <c r="AH626" s="2466">
        <v>4590</v>
      </c>
      <c r="AI626" s="2470"/>
      <c r="AJ626" s="2466">
        <f>AH626+AI626</f>
        <v>4590</v>
      </c>
      <c r="AK626" s="2468">
        <f>IF(AH626=0," ",(AJ626-AH626)/AH626)</f>
        <v>0</v>
      </c>
      <c r="AM626" s="2467">
        <v>4590</v>
      </c>
      <c r="AN626" s="2467">
        <v>4590</v>
      </c>
      <c r="AP626" s="2469"/>
      <c r="AR626" s="2466">
        <v>4590</v>
      </c>
      <c r="AS626" s="2466">
        <v>3587</v>
      </c>
      <c r="AT626" s="2466"/>
      <c r="AU626" s="2466">
        <v>4590</v>
      </c>
      <c r="AV626" s="2466">
        <v>3071.5</v>
      </c>
      <c r="AX626" s="2466">
        <v>4590</v>
      </c>
      <c r="AY626" s="2470"/>
      <c r="AZ626" s="2466">
        <f>AX626+AY626</f>
        <v>4590</v>
      </c>
      <c r="BA626" s="2468">
        <f>IF(AX626=0," ",(AZ626-AX626)/AX626)</f>
        <v>0</v>
      </c>
      <c r="BC626" s="2467">
        <v>4590</v>
      </c>
      <c r="BD626" s="2467">
        <v>4590</v>
      </c>
      <c r="BF626" s="2469"/>
      <c r="BH626" s="2467">
        <v>4590</v>
      </c>
      <c r="BI626" s="2466">
        <v>2697.24</v>
      </c>
      <c r="BM626" s="2466">
        <v>4590</v>
      </c>
      <c r="BN626" s="2470">
        <v>-1000</v>
      </c>
      <c r="BO626" s="2472">
        <f>BM626+BN626</f>
        <v>3590</v>
      </c>
      <c r="BP626" s="2473">
        <f>IF(BM626=0," ",(BO626-BM626)/BM626)</f>
        <v>-0.2178649237472767</v>
      </c>
      <c r="BR626" s="2474">
        <v>3590</v>
      </c>
      <c r="BS626" s="2474">
        <v>3590</v>
      </c>
      <c r="BU626" s="2475"/>
      <c r="BW626" s="2474">
        <v>3590</v>
      </c>
      <c r="BZ626" s="2474">
        <v>3590</v>
      </c>
      <c r="CA626" s="2470"/>
      <c r="CB626" s="2472">
        <f>BZ626+CA626</f>
        <v>3590</v>
      </c>
      <c r="CC626" s="2473">
        <f>IF(BZ626=0," ",(CB626-BZ626)/BZ626)</f>
        <v>0</v>
      </c>
      <c r="CE626" s="2474">
        <v>3590</v>
      </c>
      <c r="CF626" s="2476">
        <f>IF(CB626=0," ",(CE626-CB626)/CB626)</f>
        <v>0</v>
      </c>
      <c r="CG626" s="2474">
        <v>3590</v>
      </c>
      <c r="CH626" s="2449" t="s">
        <v>1217</v>
      </c>
      <c r="CI626" s="2449"/>
      <c r="CJ626" s="2450"/>
      <c r="CK626" s="2450"/>
      <c r="CO626" s="2477">
        <v>-0.41236601307189547</v>
      </c>
      <c r="CP626" s="2478">
        <f t="shared" si="310"/>
        <v>-1892.7600000000002</v>
      </c>
      <c r="CQ626" s="2478"/>
      <c r="CR626" s="2478"/>
      <c r="CS626" s="2478"/>
      <c r="CT626" s="2478"/>
    </row>
    <row r="627" spans="1:98" s="2485" customFormat="1" hidden="1" x14ac:dyDescent="0.2">
      <c r="A627" s="2532"/>
      <c r="B627" s="2533"/>
      <c r="C627" s="2534"/>
      <c r="D627" s="2534"/>
      <c r="E627" s="2535"/>
      <c r="F627" s="2533"/>
      <c r="G627" s="2654" t="str">
        <f>A624</f>
        <v>REFUSE EXPENSE</v>
      </c>
      <c r="H627" s="2536">
        <f t="shared" ref="H627" si="328">SUM(H625:H626)</f>
        <v>409713</v>
      </c>
      <c r="I627" s="2536">
        <f>SUM(I625:I626)</f>
        <v>90</v>
      </c>
      <c r="J627" s="2536">
        <f>SUM(J625:J626)</f>
        <v>409803</v>
      </c>
      <c r="K627" s="2484">
        <f>IF(H627=0," ",(J627-H627)/H627)</f>
        <v>2.1966596129485762E-4</v>
      </c>
      <c r="M627" s="2536">
        <f>SUM(M625:M626)</f>
        <v>409803</v>
      </c>
      <c r="N627" s="2536">
        <f>SUM(N625:N626)</f>
        <v>409803</v>
      </c>
      <c r="P627" s="2537">
        <f>SUM(P625:P626)</f>
        <v>0</v>
      </c>
      <c r="R627" s="2536">
        <f>SUM(R625:R626)</f>
        <v>409803</v>
      </c>
      <c r="S627" s="2536">
        <f>SUM(S625:S626)</f>
        <v>408429</v>
      </c>
      <c r="U627" s="2536">
        <f>SUM(U625:U626)</f>
        <v>409803</v>
      </c>
      <c r="V627" s="2536">
        <f>SUM(V625:V626)</f>
        <v>0</v>
      </c>
      <c r="W627" s="2536">
        <f>SUM(W625:W626)</f>
        <v>409803</v>
      </c>
      <c r="X627" s="2484">
        <f>IF(U627=0," ",(W627-U627)/U627)</f>
        <v>0</v>
      </c>
      <c r="Z627" s="2536">
        <f>SUM(Z625:Z626)</f>
        <v>409803</v>
      </c>
      <c r="AA627" s="2536">
        <f>SUM(AA625:AA626)</f>
        <v>429915</v>
      </c>
      <c r="AC627" s="2537"/>
      <c r="AE627" s="2536">
        <f>SUM(AE625:AE626)</f>
        <v>429915</v>
      </c>
      <c r="AF627" s="2538">
        <f>SUM(AF625:AF626)</f>
        <v>428172</v>
      </c>
      <c r="AH627" s="2536">
        <v>429915</v>
      </c>
      <c r="AI627" s="2536">
        <f>SUM(AI625:AI626)</f>
        <v>0</v>
      </c>
      <c r="AJ627" s="2536">
        <f>SUM(AJ625:AJ626)</f>
        <v>429915</v>
      </c>
      <c r="AK627" s="2484">
        <f>IF(AH627=0," ",(AJ627-AH627)/AH627)</f>
        <v>0</v>
      </c>
      <c r="AM627" s="2536">
        <f>SUM(AM625:AM626)</f>
        <v>429915</v>
      </c>
      <c r="AN627" s="2536">
        <f>SUM(AN625:AN626)</f>
        <v>429915</v>
      </c>
      <c r="AP627" s="2537"/>
      <c r="AR627" s="2536">
        <f>SUM(AR625:AR626)</f>
        <v>429915</v>
      </c>
      <c r="AS627" s="2536">
        <f>SUM(AS625:AS626)</f>
        <v>428912</v>
      </c>
      <c r="AT627" s="2536"/>
      <c r="AU627" s="2536">
        <f>SUM(AU625:AU626)</f>
        <v>429915</v>
      </c>
      <c r="AV627" s="2536">
        <f>SUM(AV625:AV626)</f>
        <v>428396.5</v>
      </c>
      <c r="AX627" s="2536">
        <f>SUM(AX625:AX626)</f>
        <v>429915</v>
      </c>
      <c r="AY627" s="2536">
        <f>SUM(AY625:AY626)</f>
        <v>0</v>
      </c>
      <c r="AZ627" s="2536">
        <f>SUM(AZ625:AZ626)</f>
        <v>429915</v>
      </c>
      <c r="BA627" s="2484">
        <f>IF(AX627=0," ",(AZ627-AX627)/AX627)</f>
        <v>0</v>
      </c>
      <c r="BC627" s="2536">
        <f>SUM(BC625:BC626)</f>
        <v>429915</v>
      </c>
      <c r="BD627" s="2536">
        <f>SUM(BD625:BD626)</f>
        <v>429915</v>
      </c>
      <c r="BF627" s="2537"/>
      <c r="BH627" s="2536">
        <f>SUM(BH625:BH626)</f>
        <v>429915</v>
      </c>
      <c r="BI627" s="2536">
        <f>SUM(BI625:BI626)</f>
        <v>436822.24</v>
      </c>
      <c r="BJ627" s="2536"/>
      <c r="BK627" s="2536"/>
      <c r="BM627" s="2536">
        <f>SUM(BM625:BM626)</f>
        <v>429915</v>
      </c>
      <c r="BN627" s="2539">
        <f>SUM(BN625:BN626)</f>
        <v>-1000</v>
      </c>
      <c r="BO627" s="2540">
        <f>SUM(BO625:BO626)</f>
        <v>428915</v>
      </c>
      <c r="BP627" s="2490">
        <f>IF(BM627=0," ",(BO627-BM627)/BM627)</f>
        <v>-2.326041194189549E-3</v>
      </c>
      <c r="BQ627" s="2491"/>
      <c r="BR627" s="2540">
        <f>SUM(BR625:BR626)</f>
        <v>428915</v>
      </c>
      <c r="BS627" s="2540">
        <f>SUM(BS625:BS626)</f>
        <v>428915</v>
      </c>
      <c r="BT627" s="2491"/>
      <c r="BU627" s="2541"/>
      <c r="BV627" s="2491"/>
      <c r="BW627" s="2540">
        <f>SUM(BW625:BW626)</f>
        <v>428915</v>
      </c>
      <c r="BX627" s="2536">
        <f>SUM(BX625:BX626)</f>
        <v>213293.21</v>
      </c>
      <c r="BZ627" s="2540">
        <f>SUM(BZ625:BZ626)</f>
        <v>428915</v>
      </c>
      <c r="CA627" s="2540">
        <f>SUM(CA625:CA626)</f>
        <v>0</v>
      </c>
      <c r="CB627" s="2540">
        <f>SUM(CB625:CB626)</f>
        <v>428915</v>
      </c>
      <c r="CC627" s="2490">
        <f>IF(BZ627=0," ",(CB627-BZ627)/BZ627)</f>
        <v>0</v>
      </c>
      <c r="CD627" s="2491"/>
      <c r="CE627" s="2540">
        <f>SUM(CE625:CE626)</f>
        <v>428915</v>
      </c>
      <c r="CF627" s="2490">
        <f>IF(CB627=0," ",(CE627-CB627)/CB627)</f>
        <v>0</v>
      </c>
      <c r="CG627" s="2540">
        <f>SUM(CG625:CG626)</f>
        <v>573590</v>
      </c>
      <c r="CH627" s="2449" t="s">
        <v>1220</v>
      </c>
      <c r="CI627" s="2449"/>
      <c r="CJ627" s="2450"/>
      <c r="CK627" s="2450"/>
      <c r="CL627" s="2451"/>
      <c r="CM627" s="2451"/>
      <c r="CN627" s="2451"/>
      <c r="CO627" s="2477">
        <v>1.6066524778153735E-2</v>
      </c>
      <c r="CP627" s="2478">
        <f t="shared" si="310"/>
        <v>6907.2399999999907</v>
      </c>
      <c r="CQ627" s="2478"/>
      <c r="CR627" s="2478"/>
      <c r="CS627" s="2478"/>
      <c r="CT627" s="2478"/>
    </row>
    <row r="628" spans="1:98" ht="9.9499999999999993" hidden="1" customHeight="1" x14ac:dyDescent="0.2">
      <c r="AS628" s="2466"/>
      <c r="AT628" s="2466"/>
      <c r="BZ628" s="2472"/>
      <c r="CH628" s="2449" t="s">
        <v>1091</v>
      </c>
      <c r="CI628" s="2449"/>
      <c r="CJ628" s="2450"/>
      <c r="CK628" s="2450"/>
      <c r="CP628" s="2478">
        <f t="shared" si="310"/>
        <v>0</v>
      </c>
      <c r="CQ628" s="2478"/>
      <c r="CR628" s="2478"/>
      <c r="CS628" s="2478"/>
      <c r="CT628" s="2478"/>
    </row>
    <row r="629" spans="1:98" x14ac:dyDescent="0.2">
      <c r="A629" s="2495"/>
      <c r="B629" s="2496"/>
      <c r="C629" s="2497"/>
      <c r="D629" s="2497"/>
      <c r="E629" s="2498"/>
      <c r="F629" s="2496"/>
      <c r="G629" s="2499" t="s">
        <v>2037</v>
      </c>
      <c r="H629" s="2500">
        <f t="shared" ref="H629" si="329">H627</f>
        <v>409713</v>
      </c>
      <c r="I629" s="2500">
        <f>I627</f>
        <v>90</v>
      </c>
      <c r="J629" s="2500">
        <f>J627</f>
        <v>409803</v>
      </c>
      <c r="K629" s="2501">
        <f>IF(H629=0," ",(J629-H629)/H629)</f>
        <v>2.1966596129485762E-4</v>
      </c>
      <c r="M629" s="2500">
        <f>M627</f>
        <v>409803</v>
      </c>
      <c r="N629" s="2500">
        <f>N627</f>
        <v>409803</v>
      </c>
      <c r="P629" s="2502">
        <f>P627</f>
        <v>0</v>
      </c>
      <c r="R629" s="2500">
        <f>R627</f>
        <v>409803</v>
      </c>
      <c r="S629" s="2500">
        <f>S627</f>
        <v>408429</v>
      </c>
      <c r="U629" s="2500">
        <f>U627</f>
        <v>409803</v>
      </c>
      <c r="V629" s="2500">
        <f>V627</f>
        <v>0</v>
      </c>
      <c r="W629" s="2500">
        <f>W627</f>
        <v>409803</v>
      </c>
      <c r="X629" s="2501">
        <f>IF(U629=0," ",(W629-U629)/U629)</f>
        <v>0</v>
      </c>
      <c r="Z629" s="2500">
        <f>Z627</f>
        <v>409803</v>
      </c>
      <c r="AA629" s="2500">
        <f>AA627</f>
        <v>429915</v>
      </c>
      <c r="AC629" s="2502"/>
      <c r="AE629" s="2500">
        <f>AE627</f>
        <v>429915</v>
      </c>
      <c r="AF629" s="2503">
        <f>AF627</f>
        <v>428172</v>
      </c>
      <c r="AH629" s="2500">
        <v>429915</v>
      </c>
      <c r="AI629" s="2500">
        <f>AI627</f>
        <v>0</v>
      </c>
      <c r="AJ629" s="2500">
        <f>AJ627</f>
        <v>429915</v>
      </c>
      <c r="AK629" s="2501">
        <f>IF(AH629=0," ",(AJ629-AH629)/AH629)</f>
        <v>0</v>
      </c>
      <c r="AM629" s="2500">
        <f>AM627</f>
        <v>429915</v>
      </c>
      <c r="AN629" s="2500">
        <f>AN627</f>
        <v>429915</v>
      </c>
      <c r="AP629" s="2502"/>
      <c r="AR629" s="2500">
        <f>AR627</f>
        <v>429915</v>
      </c>
      <c r="AS629" s="2500">
        <f>AS627</f>
        <v>428912</v>
      </c>
      <c r="AT629" s="2500"/>
      <c r="AU629" s="2500">
        <f>AU627</f>
        <v>429915</v>
      </c>
      <c r="AV629" s="2500">
        <f>AV627</f>
        <v>428396.5</v>
      </c>
      <c r="AX629" s="2500">
        <f>AX627</f>
        <v>429915</v>
      </c>
      <c r="AY629" s="2500">
        <f>AY627</f>
        <v>0</v>
      </c>
      <c r="AZ629" s="2500">
        <f>AZ627</f>
        <v>429915</v>
      </c>
      <c r="BA629" s="2501">
        <f>IF(AX629=0," ",(AZ629-AX629)/AX629)</f>
        <v>0</v>
      </c>
      <c r="BC629" s="2500">
        <f>BC627</f>
        <v>429915</v>
      </c>
      <c r="BD629" s="2500">
        <f>BD627</f>
        <v>429915</v>
      </c>
      <c r="BF629" s="2502"/>
      <c r="BH629" s="2500">
        <f>BH627</f>
        <v>429915</v>
      </c>
      <c r="BI629" s="2500">
        <f>BI627</f>
        <v>436822.24</v>
      </c>
      <c r="BJ629" s="2500"/>
      <c r="BK629" s="2500"/>
      <c r="BM629" s="2500">
        <f>BM627</f>
        <v>429915</v>
      </c>
      <c r="BN629" s="2504">
        <f>BN627</f>
        <v>-1000</v>
      </c>
      <c r="BO629" s="2505">
        <f>BO627</f>
        <v>428915</v>
      </c>
      <c r="BP629" s="2506">
        <f>IF(BM629=0," ",(BO629-BM629)/BM629)</f>
        <v>-2.326041194189549E-3</v>
      </c>
      <c r="BR629" s="2505">
        <f>BR627</f>
        <v>428915</v>
      </c>
      <c r="BS629" s="2505">
        <f>BS627</f>
        <v>428915</v>
      </c>
      <c r="BU629" s="2507"/>
      <c r="BW629" s="2505">
        <f>BW627</f>
        <v>428915</v>
      </c>
      <c r="BX629" s="2500">
        <f>BX627</f>
        <v>213293.21</v>
      </c>
      <c r="BZ629" s="2505">
        <f>BZ627</f>
        <v>428915</v>
      </c>
      <c r="CA629" s="2505">
        <f>CA627</f>
        <v>0</v>
      </c>
      <c r="CB629" s="2505">
        <f>CB627</f>
        <v>428915</v>
      </c>
      <c r="CC629" s="2506">
        <f>IF(BZ629=0," ",(CB629-BZ629)/BZ629)</f>
        <v>0</v>
      </c>
      <c r="CE629" s="2505">
        <f>CE627</f>
        <v>428915</v>
      </c>
      <c r="CF629" s="2506">
        <f>IF(CB629=0," ",(CE629-CB629)/CB629)</f>
        <v>0</v>
      </c>
      <c r="CG629" s="2505">
        <f>CG627</f>
        <v>573590</v>
      </c>
      <c r="CH629" s="2449" t="s">
        <v>1222</v>
      </c>
      <c r="CI629" s="2508">
        <f>IF(CG629-CE629=0,"",CG629-CE629)</f>
        <v>144675</v>
      </c>
      <c r="CJ629" s="2509"/>
      <c r="CK629" s="2509"/>
      <c r="CL629" s="2451" t="str">
        <f>IF(CO629&lt;-1*CM$2,"examine","ignore")</f>
        <v>ignore</v>
      </c>
      <c r="CM629" s="2545" t="str">
        <f>IF(CL629="examine",CP629+CM$2*CP629/CO629,"")</f>
        <v/>
      </c>
      <c r="CN629" s="2545"/>
      <c r="CO629" s="2477">
        <v>1.6066524778153735E-2</v>
      </c>
      <c r="CP629" s="2510">
        <f t="shared" si="310"/>
        <v>6907.2399999999907</v>
      </c>
      <c r="CQ629" s="2510">
        <f>AV629-AU629</f>
        <v>-1518.5</v>
      </c>
      <c r="CR629" s="2510">
        <f>AS629-AR629</f>
        <v>-1003</v>
      </c>
      <c r="CS629" s="2510">
        <f>AF629-AE629</f>
        <v>-1743</v>
      </c>
    </row>
    <row r="630" spans="1:98" ht="20.100000000000001" hidden="1" customHeight="1" x14ac:dyDescent="0.2">
      <c r="AS630" s="2466"/>
      <c r="AT630" s="2466"/>
      <c r="BZ630" s="2472"/>
      <c r="CH630" s="2449" t="s">
        <v>1091</v>
      </c>
      <c r="CI630" s="2449"/>
      <c r="CJ630" s="2450"/>
      <c r="CK630" s="2450"/>
      <c r="CP630" s="2478">
        <f t="shared" si="310"/>
        <v>0</v>
      </c>
      <c r="CQ630" s="2478"/>
      <c r="CR630" s="2478"/>
      <c r="CS630" s="2478"/>
      <c r="CT630" s="2478"/>
    </row>
    <row r="631" spans="1:98" ht="15.75" hidden="1" x14ac:dyDescent="0.2">
      <c r="A631" s="2453" t="s">
        <v>2038</v>
      </c>
      <c r="B631" s="2454"/>
      <c r="C631" s="2455"/>
      <c r="D631" s="2455"/>
      <c r="E631" s="2456"/>
      <c r="F631" s="2454"/>
      <c r="G631" s="2454"/>
      <c r="H631" s="2457"/>
      <c r="I631" s="2457"/>
      <c r="J631" s="2457"/>
      <c r="K631" s="2458"/>
      <c r="M631" s="2457"/>
      <c r="N631" s="2457"/>
      <c r="P631" s="2459"/>
      <c r="R631" s="2457"/>
      <c r="S631" s="2457"/>
      <c r="U631" s="2457"/>
      <c r="V631" s="2457"/>
      <c r="W631" s="2457"/>
      <c r="X631" s="2458"/>
      <c r="Z631" s="2457"/>
      <c r="AA631" s="2457"/>
      <c r="AC631" s="2459"/>
      <c r="AE631" s="2457"/>
      <c r="AF631" s="2460"/>
      <c r="AH631" s="2457"/>
      <c r="AI631" s="2457"/>
      <c r="AJ631" s="2457"/>
      <c r="AK631" s="2458"/>
      <c r="AM631" s="2457"/>
      <c r="AN631" s="2457"/>
      <c r="AP631" s="2459"/>
      <c r="AR631" s="2457"/>
      <c r="AS631" s="2457"/>
      <c r="AT631" s="2457"/>
      <c r="AU631" s="2457"/>
      <c r="AV631" s="2457"/>
      <c r="AX631" s="2457"/>
      <c r="AY631" s="2457"/>
      <c r="AZ631" s="2457"/>
      <c r="BA631" s="2458"/>
      <c r="BC631" s="2457"/>
      <c r="BD631" s="2457"/>
      <c r="BF631" s="2461"/>
      <c r="BH631" s="2457"/>
      <c r="BI631" s="2457"/>
      <c r="BJ631" s="2457"/>
      <c r="BK631" s="2457"/>
      <c r="BM631" s="2457"/>
      <c r="BN631" s="2462"/>
      <c r="BO631" s="2463"/>
      <c r="BP631" s="2464"/>
      <c r="BR631" s="2463"/>
      <c r="BS631" s="2463"/>
      <c r="BU631" s="2465"/>
      <c r="BW631" s="2463"/>
      <c r="BX631" s="2457"/>
      <c r="BZ631" s="2463"/>
      <c r="CA631" s="2462"/>
      <c r="CB631" s="2463"/>
      <c r="CC631" s="2464"/>
      <c r="CE631" s="2463"/>
      <c r="CF631" s="2464"/>
      <c r="CG631" s="2463"/>
      <c r="CH631" s="2449" t="s">
        <v>1212</v>
      </c>
      <c r="CI631" s="2449"/>
      <c r="CJ631" s="2450"/>
      <c r="CK631" s="2450"/>
      <c r="CP631" s="2478">
        <f t="shared" si="310"/>
        <v>0</v>
      </c>
      <c r="CQ631" s="2478"/>
      <c r="CR631" s="2478"/>
      <c r="CS631" s="2478"/>
      <c r="CT631" s="2478"/>
    </row>
    <row r="632" spans="1:98" hidden="1" x14ac:dyDescent="0.2">
      <c r="A632" s="2395">
        <v>433</v>
      </c>
      <c r="B632" s="2440" t="s">
        <v>1214</v>
      </c>
      <c r="C632" s="2396">
        <v>43305</v>
      </c>
      <c r="D632" s="2396">
        <v>53430</v>
      </c>
      <c r="E632" s="2397" t="s">
        <v>1268</v>
      </c>
      <c r="F632" s="2440" t="s">
        <v>1214</v>
      </c>
      <c r="G632" s="2440" t="s">
        <v>2039</v>
      </c>
      <c r="H632" s="2466">
        <v>450</v>
      </c>
      <c r="I632" s="2470"/>
      <c r="J632" s="2466">
        <f>H632+I632</f>
        <v>450</v>
      </c>
      <c r="K632" s="2468">
        <f>IF(H632=0," ",(J632-H632)/H632)</f>
        <v>0</v>
      </c>
      <c r="M632" s="2467">
        <v>450</v>
      </c>
      <c r="N632" s="2467">
        <v>450</v>
      </c>
      <c r="P632" s="2469"/>
      <c r="R632" s="2466">
        <v>450</v>
      </c>
      <c r="S632" s="2466">
        <v>150</v>
      </c>
      <c r="U632" s="2466">
        <v>450</v>
      </c>
      <c r="V632" s="2470">
        <v>0</v>
      </c>
      <c r="W632" s="2466">
        <f>U632+V632</f>
        <v>450</v>
      </c>
      <c r="X632" s="2468">
        <f>IF(U632=0," ",(W632-U632)/U632)</f>
        <v>0</v>
      </c>
      <c r="Z632" s="2467">
        <v>450</v>
      </c>
      <c r="AA632" s="2467">
        <v>450</v>
      </c>
      <c r="AC632" s="2469"/>
      <c r="AE632" s="2466">
        <v>450</v>
      </c>
      <c r="AF632" s="2471">
        <v>0</v>
      </c>
      <c r="AH632" s="2466">
        <v>450</v>
      </c>
      <c r="AI632" s="2470"/>
      <c r="AJ632" s="2466">
        <f>AH632+AI632</f>
        <v>450</v>
      </c>
      <c r="AK632" s="2468">
        <f>IF(AH632=0," ",(AJ632-AH632)/AH632)</f>
        <v>0</v>
      </c>
      <c r="AM632" s="2467">
        <v>450</v>
      </c>
      <c r="AN632" s="2467">
        <v>450</v>
      </c>
      <c r="AP632" s="2469"/>
      <c r="AR632" s="2466">
        <v>450</v>
      </c>
      <c r="AS632" s="2466">
        <v>36.200000000000003</v>
      </c>
      <c r="AT632" s="2466"/>
      <c r="AU632" s="2466">
        <v>450</v>
      </c>
      <c r="AV632" s="2466">
        <v>94.48</v>
      </c>
      <c r="AX632" s="2466">
        <v>450</v>
      </c>
      <c r="AY632" s="2470"/>
      <c r="AZ632" s="2466">
        <f>AX632+AY632</f>
        <v>450</v>
      </c>
      <c r="BA632" s="2468">
        <f>IF(AX632=0," ",(AZ632-AX632)/AX632)</f>
        <v>0</v>
      </c>
      <c r="BC632" s="2467">
        <v>450</v>
      </c>
      <c r="BD632" s="2467">
        <v>450</v>
      </c>
      <c r="BF632" s="2469"/>
      <c r="BH632" s="2467">
        <v>450</v>
      </c>
      <c r="BI632" s="2466">
        <v>35.729999999999997</v>
      </c>
      <c r="BM632" s="2466">
        <v>450</v>
      </c>
      <c r="BN632" s="2470"/>
      <c r="BO632" s="2472">
        <f>BM632+BN632</f>
        <v>450</v>
      </c>
      <c r="BP632" s="2473">
        <f>IF(BM632=0," ",(BO632-BM632)/BM632)</f>
        <v>0</v>
      </c>
      <c r="BR632" s="2474">
        <v>450</v>
      </c>
      <c r="BS632" s="2474">
        <v>450</v>
      </c>
      <c r="BU632" s="2475"/>
      <c r="BW632" s="2474">
        <v>450</v>
      </c>
      <c r="BX632" s="2466">
        <v>19.2</v>
      </c>
      <c r="BZ632" s="2474">
        <v>450</v>
      </c>
      <c r="CA632" s="2470"/>
      <c r="CB632" s="2472">
        <f>BZ632+CA632</f>
        <v>450</v>
      </c>
      <c r="CC632" s="2473">
        <f>IF(BZ632=0," ",(CB632-BZ632)/BZ632)</f>
        <v>0</v>
      </c>
      <c r="CE632" s="2474">
        <v>450</v>
      </c>
      <c r="CF632" s="2476">
        <f>IF(CB632=0," ",(CE632-CB632)/CB632)</f>
        <v>0</v>
      </c>
      <c r="CG632" s="2474">
        <v>450</v>
      </c>
      <c r="CH632" s="2449" t="s">
        <v>1217</v>
      </c>
      <c r="CI632" s="2449"/>
      <c r="CJ632" s="2450"/>
      <c r="CK632" s="2450"/>
      <c r="CO632" s="2477">
        <v>-0.92059999999999997</v>
      </c>
      <c r="CP632" s="2478">
        <f t="shared" si="310"/>
        <v>-414.27</v>
      </c>
      <c r="CQ632" s="2478"/>
      <c r="CR632" s="2478"/>
      <c r="CS632" s="2478"/>
      <c r="CT632" s="2478"/>
    </row>
    <row r="633" spans="1:98" hidden="1" x14ac:dyDescent="0.2">
      <c r="A633" s="2395">
        <v>433</v>
      </c>
      <c r="B633" s="2440" t="s">
        <v>1214</v>
      </c>
      <c r="C633" s="2396">
        <v>43305</v>
      </c>
      <c r="D633" s="2396">
        <v>53450</v>
      </c>
      <c r="E633" s="2397" t="s">
        <v>1268</v>
      </c>
      <c r="F633" s="2440" t="s">
        <v>1214</v>
      </c>
      <c r="G633" s="2440" t="s">
        <v>2040</v>
      </c>
      <c r="H633" s="2466">
        <v>1200</v>
      </c>
      <c r="I633" s="2470"/>
      <c r="J633" s="2466">
        <f>H633+I633</f>
        <v>1200</v>
      </c>
      <c r="K633" s="2468">
        <f>IF(H633=0," ",(J633-H633)/H633)</f>
        <v>0</v>
      </c>
      <c r="M633" s="2467">
        <v>1200</v>
      </c>
      <c r="N633" s="2467">
        <v>1200</v>
      </c>
      <c r="P633" s="2469"/>
      <c r="R633" s="2466">
        <v>1200</v>
      </c>
      <c r="S633" s="2466">
        <v>1497.42</v>
      </c>
      <c r="U633" s="2466">
        <v>1200</v>
      </c>
      <c r="V633" s="2470">
        <v>0</v>
      </c>
      <c r="W633" s="2466">
        <f>U633+V633</f>
        <v>1200</v>
      </c>
      <c r="X633" s="2468">
        <f>IF(U633=0," ",(W633-U633)/U633)</f>
        <v>0</v>
      </c>
      <c r="Z633" s="2467">
        <v>1200</v>
      </c>
      <c r="AA633" s="2467">
        <v>1200</v>
      </c>
      <c r="AC633" s="2469"/>
      <c r="AE633" s="2466">
        <v>1200</v>
      </c>
      <c r="AF633" s="2471">
        <v>1530.47</v>
      </c>
      <c r="AH633" s="2466">
        <v>1200</v>
      </c>
      <c r="AI633" s="2470"/>
      <c r="AJ633" s="2466">
        <f>AH633+AI633</f>
        <v>1200</v>
      </c>
      <c r="AK633" s="2468">
        <f>IF(AH633=0," ",(AJ633-AH633)/AH633)</f>
        <v>0</v>
      </c>
      <c r="AM633" s="2467">
        <v>1200</v>
      </c>
      <c r="AN633" s="2467">
        <v>1200</v>
      </c>
      <c r="AP633" s="2469"/>
      <c r="AR633" s="2466">
        <v>1200</v>
      </c>
      <c r="AS633" s="2466">
        <v>1535.3</v>
      </c>
      <c r="AT633" s="2466"/>
      <c r="AU633" s="2466">
        <v>1200</v>
      </c>
      <c r="AV633" s="2466">
        <v>1534.95</v>
      </c>
      <c r="AX633" s="2466">
        <v>1200</v>
      </c>
      <c r="AY633" s="2470"/>
      <c r="AZ633" s="2466">
        <f>AX633+AY633</f>
        <v>1200</v>
      </c>
      <c r="BA633" s="2468">
        <f>IF(AX633=0," ",(AZ633-AX633)/AX633)</f>
        <v>0</v>
      </c>
      <c r="BC633" s="2467">
        <v>1200</v>
      </c>
      <c r="BD633" s="2467">
        <v>1200</v>
      </c>
      <c r="BF633" s="2469"/>
      <c r="BH633" s="2467">
        <v>1200</v>
      </c>
      <c r="BI633" s="2466">
        <v>1555.37</v>
      </c>
      <c r="BM633" s="2466">
        <v>1200</v>
      </c>
      <c r="BN633" s="2470"/>
      <c r="BO633" s="2472">
        <f>BM633+BN633</f>
        <v>1200</v>
      </c>
      <c r="BP633" s="2473">
        <f>IF(BM633=0," ",(BO633-BM633)/BM633)</f>
        <v>0</v>
      </c>
      <c r="BR633" s="2474">
        <v>1200</v>
      </c>
      <c r="BS633" s="2474">
        <v>1200</v>
      </c>
      <c r="BU633" s="2475"/>
      <c r="BW633" s="2474">
        <v>1200</v>
      </c>
      <c r="BX633" s="2466">
        <v>656.89</v>
      </c>
      <c r="BZ633" s="2474">
        <v>1200</v>
      </c>
      <c r="CA633" s="2470"/>
      <c r="CB633" s="2472">
        <f>BZ633+CA633</f>
        <v>1200</v>
      </c>
      <c r="CC633" s="2473">
        <f>IF(BZ633=0," ",(CB633-BZ633)/BZ633)</f>
        <v>0</v>
      </c>
      <c r="CE633" s="2474">
        <v>1200</v>
      </c>
      <c r="CF633" s="2476">
        <f>IF(CB633=0," ",(CE633-CB633)/CB633)</f>
        <v>0</v>
      </c>
      <c r="CG633" s="2474">
        <v>1200</v>
      </c>
      <c r="CH633" s="2449" t="s">
        <v>1217</v>
      </c>
      <c r="CI633" s="2449"/>
      <c r="CJ633" s="2450"/>
      <c r="CK633" s="2450"/>
      <c r="CO633" s="2477">
        <v>0.29614166666666653</v>
      </c>
      <c r="CP633" s="2478">
        <f t="shared" si="310"/>
        <v>355.36999999999989</v>
      </c>
      <c r="CQ633" s="2478"/>
      <c r="CR633" s="2478"/>
      <c r="CS633" s="2478"/>
      <c r="CT633" s="2478"/>
    </row>
    <row r="634" spans="1:98" s="2485" customFormat="1" hidden="1" x14ac:dyDescent="0.2">
      <c r="A634" s="2532"/>
      <c r="B634" s="2533"/>
      <c r="C634" s="2534"/>
      <c r="D634" s="2534"/>
      <c r="E634" s="2535"/>
      <c r="F634" s="2533"/>
      <c r="G634" s="2654" t="str">
        <f>A631</f>
        <v>RECYCLING  EXPENSE</v>
      </c>
      <c r="H634" s="2536">
        <f>SUM(H632:H633)</f>
        <v>1650</v>
      </c>
      <c r="I634" s="2536">
        <f>SUM(I632:I633)</f>
        <v>0</v>
      </c>
      <c r="J634" s="2536">
        <f>SUM(J632:J633)</f>
        <v>1650</v>
      </c>
      <c r="K634" s="2484">
        <f>IF(H634=0," ",(J634-H634)/H634)</f>
        <v>0</v>
      </c>
      <c r="M634" s="2536">
        <f>SUM(M632:M633)</f>
        <v>1650</v>
      </c>
      <c r="N634" s="2536">
        <f>SUM(N632:N633)</f>
        <v>1650</v>
      </c>
      <c r="P634" s="2537">
        <f>SUM(P632:P633)</f>
        <v>0</v>
      </c>
      <c r="R634" s="2536">
        <f>SUM(R632:R633)</f>
        <v>1650</v>
      </c>
      <c r="S634" s="2536">
        <f>SUM(S632:S633)</f>
        <v>1647.42</v>
      </c>
      <c r="U634" s="2536">
        <f>SUM(U632:U633)</f>
        <v>1650</v>
      </c>
      <c r="V634" s="2536">
        <f>SUM(V632:V633)</f>
        <v>0</v>
      </c>
      <c r="W634" s="2536">
        <f>SUM(W632:W633)</f>
        <v>1650</v>
      </c>
      <c r="X634" s="2484">
        <f>IF(U634=0," ",(W634-U634)/U634)</f>
        <v>0</v>
      </c>
      <c r="Z634" s="2536">
        <f>SUM(Z632:Z633)</f>
        <v>1650</v>
      </c>
      <c r="AA634" s="2536">
        <f>SUM(AA632:AA633)</f>
        <v>1650</v>
      </c>
      <c r="AC634" s="2537"/>
      <c r="AE634" s="2536">
        <f>SUM(AE632:AE633)</f>
        <v>1650</v>
      </c>
      <c r="AF634" s="2538">
        <f>SUM(AF632:AF633)</f>
        <v>1530.47</v>
      </c>
      <c r="AH634" s="2536">
        <v>1650</v>
      </c>
      <c r="AI634" s="2536">
        <f>SUM(AI632:AI633)</f>
        <v>0</v>
      </c>
      <c r="AJ634" s="2536">
        <f>SUM(AJ632:AJ633)</f>
        <v>1650</v>
      </c>
      <c r="AK634" s="2484">
        <f>IF(AH634=0," ",(AJ634-AH634)/AH634)</f>
        <v>0</v>
      </c>
      <c r="AM634" s="2536">
        <f>SUM(AM632:AM633)</f>
        <v>1650</v>
      </c>
      <c r="AN634" s="2536">
        <f>SUM(AN632:AN633)</f>
        <v>1650</v>
      </c>
      <c r="AP634" s="2537"/>
      <c r="AR634" s="2536">
        <f>SUM(AR632:AR633)</f>
        <v>1650</v>
      </c>
      <c r="AS634" s="2536">
        <f>SUM(AS632:AS633)</f>
        <v>1571.5</v>
      </c>
      <c r="AT634" s="2536"/>
      <c r="AU634" s="2536">
        <f>SUM(AU632:AU633)</f>
        <v>1650</v>
      </c>
      <c r="AV634" s="2536">
        <f>SUM(AV632:AV633)</f>
        <v>1629.43</v>
      </c>
      <c r="AX634" s="2536">
        <f>SUM(AX632:AX633)</f>
        <v>1650</v>
      </c>
      <c r="AY634" s="2536">
        <f>SUM(AY632:AY633)</f>
        <v>0</v>
      </c>
      <c r="AZ634" s="2536">
        <f>SUM(AZ632:AZ633)</f>
        <v>1650</v>
      </c>
      <c r="BA634" s="2484">
        <f>IF(AX634=0," ",(AZ634-AX634)/AX634)</f>
        <v>0</v>
      </c>
      <c r="BC634" s="2536">
        <f>SUM(BC632:BC633)</f>
        <v>1650</v>
      </c>
      <c r="BD634" s="2536">
        <f>SUM(BD632:BD633)</f>
        <v>1650</v>
      </c>
      <c r="BF634" s="2537"/>
      <c r="BH634" s="2536">
        <f>SUM(BH632:BH633)</f>
        <v>1650</v>
      </c>
      <c r="BI634" s="2536">
        <f>SUM(BI632:BI633)</f>
        <v>1591.1</v>
      </c>
      <c r="BJ634" s="2536"/>
      <c r="BK634" s="2536"/>
      <c r="BM634" s="2536">
        <f>SUM(BM632:BM633)</f>
        <v>1650</v>
      </c>
      <c r="BN634" s="2539">
        <f>SUM(BN632:BN633)</f>
        <v>0</v>
      </c>
      <c r="BO634" s="2540">
        <f>SUM(BO632:BO633)</f>
        <v>1650</v>
      </c>
      <c r="BP634" s="2490">
        <f>IF(BM634=0," ",(BO634-BM634)/BM634)</f>
        <v>0</v>
      </c>
      <c r="BQ634" s="2491"/>
      <c r="BR634" s="2540">
        <f>SUM(BR632:BR633)</f>
        <v>1650</v>
      </c>
      <c r="BS634" s="2540">
        <f>SUM(BS632:BS633)</f>
        <v>1650</v>
      </c>
      <c r="BT634" s="2491"/>
      <c r="BU634" s="2541"/>
      <c r="BV634" s="2491"/>
      <c r="BW634" s="2540">
        <f>SUM(BW632:BW633)</f>
        <v>1650</v>
      </c>
      <c r="BX634" s="2536">
        <f>SUM(BX632:BX633)</f>
        <v>676.09</v>
      </c>
      <c r="BZ634" s="2540">
        <f>SUM(BZ632:BZ633)</f>
        <v>1650</v>
      </c>
      <c r="CA634" s="2540">
        <f>SUM(CA632:CA633)</f>
        <v>0</v>
      </c>
      <c r="CB634" s="2540">
        <f>SUM(CB632:CB633)</f>
        <v>1650</v>
      </c>
      <c r="CC634" s="2490">
        <f>IF(BZ634=0," ",(CB634-BZ634)/BZ634)</f>
        <v>0</v>
      </c>
      <c r="CD634" s="2491"/>
      <c r="CE634" s="2540">
        <f>SUM(CE632:CE633)</f>
        <v>1650</v>
      </c>
      <c r="CF634" s="2490">
        <f>IF(CB634=0," ",(CE634-CB634)/CB634)</f>
        <v>0</v>
      </c>
      <c r="CG634" s="2540">
        <f>SUM(CG632:CG633)</f>
        <v>1650</v>
      </c>
      <c r="CH634" s="2449" t="s">
        <v>1220</v>
      </c>
      <c r="CI634" s="2449"/>
      <c r="CJ634" s="2450"/>
      <c r="CK634" s="2450"/>
      <c r="CL634" s="2451"/>
      <c r="CM634" s="2451"/>
      <c r="CN634" s="2451"/>
      <c r="CO634" s="2477">
        <v>-3.5696969696969783E-2</v>
      </c>
      <c r="CP634" s="2478">
        <f t="shared" si="310"/>
        <v>-58.900000000000091</v>
      </c>
      <c r="CQ634" s="2478"/>
      <c r="CR634" s="2478"/>
      <c r="CS634" s="2478"/>
      <c r="CT634" s="2478"/>
    </row>
    <row r="635" spans="1:98" ht="9.9499999999999993" hidden="1" customHeight="1" x14ac:dyDescent="0.2">
      <c r="AS635" s="2466"/>
      <c r="AT635" s="2466"/>
      <c r="BZ635" s="2472"/>
      <c r="CA635" s="2472"/>
      <c r="CH635" s="2449" t="s">
        <v>1091</v>
      </c>
      <c r="CI635" s="2449"/>
      <c r="CJ635" s="2450"/>
      <c r="CK635" s="2450"/>
      <c r="CP635" s="2478">
        <f t="shared" si="310"/>
        <v>0</v>
      </c>
      <c r="CQ635" s="2478"/>
      <c r="CR635" s="2478"/>
      <c r="CS635" s="2478"/>
      <c r="CT635" s="2478"/>
    </row>
    <row r="636" spans="1:98" x14ac:dyDescent="0.2">
      <c r="A636" s="2495"/>
      <c r="B636" s="2496"/>
      <c r="C636" s="2497"/>
      <c r="D636" s="2497"/>
      <c r="E636" s="2498"/>
      <c r="F636" s="2496"/>
      <c r="G636" s="2499" t="s">
        <v>2041</v>
      </c>
      <c r="H636" s="2500">
        <f t="shared" ref="H636" si="330">H634</f>
        <v>1650</v>
      </c>
      <c r="I636" s="2500">
        <f>I634</f>
        <v>0</v>
      </c>
      <c r="J636" s="2500">
        <f>J634</f>
        <v>1650</v>
      </c>
      <c r="K636" s="2501">
        <f>IF(H636=0," ",(J636-H636)/H636)</f>
        <v>0</v>
      </c>
      <c r="M636" s="2500">
        <f>M634</f>
        <v>1650</v>
      </c>
      <c r="N636" s="2500">
        <f>N634</f>
        <v>1650</v>
      </c>
      <c r="P636" s="2502">
        <f>P634</f>
        <v>0</v>
      </c>
      <c r="R636" s="2500">
        <f>R634</f>
        <v>1650</v>
      </c>
      <c r="S636" s="2500">
        <f>S634</f>
        <v>1647.42</v>
      </c>
      <c r="U636" s="2500">
        <f>U634</f>
        <v>1650</v>
      </c>
      <c r="V636" s="2500">
        <f>V634</f>
        <v>0</v>
      </c>
      <c r="W636" s="2500">
        <f>W634</f>
        <v>1650</v>
      </c>
      <c r="X636" s="2501">
        <f>IF(U636=0," ",(W636-U636)/U636)</f>
        <v>0</v>
      </c>
      <c r="Z636" s="2500">
        <f>Z634</f>
        <v>1650</v>
      </c>
      <c r="AA636" s="2500">
        <f>AA634</f>
        <v>1650</v>
      </c>
      <c r="AC636" s="2502"/>
      <c r="AE636" s="2500">
        <f>AE634</f>
        <v>1650</v>
      </c>
      <c r="AF636" s="2503">
        <f>AF634</f>
        <v>1530.47</v>
      </c>
      <c r="AH636" s="2500">
        <v>1650</v>
      </c>
      <c r="AI636" s="2500">
        <f>AI634</f>
        <v>0</v>
      </c>
      <c r="AJ636" s="2500">
        <f>AJ634</f>
        <v>1650</v>
      </c>
      <c r="AK636" s="2501">
        <f>IF(AH636=0," ",(AJ636-AH636)/AH636)</f>
        <v>0</v>
      </c>
      <c r="AM636" s="2500">
        <f>AM634</f>
        <v>1650</v>
      </c>
      <c r="AN636" s="2500">
        <f>AN634</f>
        <v>1650</v>
      </c>
      <c r="AP636" s="2502"/>
      <c r="AR636" s="2500">
        <f>AR634</f>
        <v>1650</v>
      </c>
      <c r="AS636" s="2500">
        <f>AS634</f>
        <v>1571.5</v>
      </c>
      <c r="AT636" s="2500"/>
      <c r="AU636" s="2500">
        <f>AU634</f>
        <v>1650</v>
      </c>
      <c r="AV636" s="2500">
        <f>AV634</f>
        <v>1629.43</v>
      </c>
      <c r="AX636" s="2500">
        <f>AX634</f>
        <v>1650</v>
      </c>
      <c r="AY636" s="2500">
        <f>AY634</f>
        <v>0</v>
      </c>
      <c r="AZ636" s="2500">
        <f>AZ634</f>
        <v>1650</v>
      </c>
      <c r="BA636" s="2501">
        <f>IF(AX636=0," ",(AZ636-AX636)/AX636)</f>
        <v>0</v>
      </c>
      <c r="BC636" s="2500">
        <f>BC634</f>
        <v>1650</v>
      </c>
      <c r="BD636" s="2500">
        <f>BD634</f>
        <v>1650</v>
      </c>
      <c r="BF636" s="2502"/>
      <c r="BH636" s="2500">
        <f>BH634</f>
        <v>1650</v>
      </c>
      <c r="BI636" s="2500">
        <f>BI634</f>
        <v>1591.1</v>
      </c>
      <c r="BJ636" s="2500"/>
      <c r="BK636" s="2500"/>
      <c r="BM636" s="2500">
        <f>BM634</f>
        <v>1650</v>
      </c>
      <c r="BN636" s="2504">
        <f>BN634</f>
        <v>0</v>
      </c>
      <c r="BO636" s="2505">
        <f>BO634</f>
        <v>1650</v>
      </c>
      <c r="BP636" s="2506">
        <f>IF(BM636=0," ",(BO636-BM636)/BM636)</f>
        <v>0</v>
      </c>
      <c r="BR636" s="2505">
        <f>BR634</f>
        <v>1650</v>
      </c>
      <c r="BS636" s="2505">
        <f>BS634</f>
        <v>1650</v>
      </c>
      <c r="BU636" s="2507"/>
      <c r="BW636" s="2505">
        <f>BW634</f>
        <v>1650</v>
      </c>
      <c r="BX636" s="2500">
        <f>BX634</f>
        <v>676.09</v>
      </c>
      <c r="BZ636" s="2505">
        <f>BZ634</f>
        <v>1650</v>
      </c>
      <c r="CA636" s="2505">
        <f>CA634</f>
        <v>0</v>
      </c>
      <c r="CB636" s="2505">
        <f>CB634</f>
        <v>1650</v>
      </c>
      <c r="CC636" s="2506">
        <f>IF(BZ636=0," ",(CB636-BZ636)/BZ636)</f>
        <v>0</v>
      </c>
      <c r="CE636" s="2505">
        <f>CE634</f>
        <v>1650</v>
      </c>
      <c r="CF636" s="2506">
        <f>IF(CB636=0," ",(CE636-CB636)/CB636)</f>
        <v>0</v>
      </c>
      <c r="CG636" s="2505">
        <f>CG634</f>
        <v>1650</v>
      </c>
      <c r="CH636" s="2449" t="s">
        <v>1222</v>
      </c>
      <c r="CI636" s="2508" t="str">
        <f>IF(CG636-CE636=0,"",CG636-CE636)</f>
        <v/>
      </c>
      <c r="CJ636" s="2509"/>
      <c r="CK636" s="2509"/>
      <c r="CL636" s="2451" t="str">
        <f>IF(CO636&lt;-1*CM$2,"examine","ignore")</f>
        <v>ignore</v>
      </c>
      <c r="CM636" s="2545" t="str">
        <f>IF(CL636="examine",CP636+CM$2*CP636/CO636,"")</f>
        <v/>
      </c>
      <c r="CN636" s="2545"/>
      <c r="CO636" s="2477">
        <v>-3.5696969696969783E-2</v>
      </c>
      <c r="CP636" s="2510">
        <f t="shared" si="310"/>
        <v>-58.900000000000091</v>
      </c>
      <c r="CQ636" s="2510">
        <f>AV636-AU636</f>
        <v>-20.569999999999936</v>
      </c>
      <c r="CR636" s="2510">
        <f>AS636-AR636</f>
        <v>-78.5</v>
      </c>
      <c r="CS636" s="2510">
        <f>AF636-AE636</f>
        <v>-119.52999999999997</v>
      </c>
    </row>
    <row r="637" spans="1:98" ht="20.100000000000001" hidden="1" customHeight="1" x14ac:dyDescent="0.2">
      <c r="AS637" s="2466"/>
      <c r="AT637" s="2466"/>
      <c r="BZ637" s="2472"/>
      <c r="CH637" s="2449" t="s">
        <v>1091</v>
      </c>
      <c r="CI637" s="2449"/>
      <c r="CJ637" s="2450"/>
      <c r="CK637" s="2450"/>
      <c r="CP637" s="2478">
        <f t="shared" si="310"/>
        <v>0</v>
      </c>
      <c r="CQ637" s="2478"/>
      <c r="CR637" s="2478"/>
      <c r="CS637" s="2478"/>
      <c r="CT637" s="2478"/>
    </row>
    <row r="638" spans="1:98" ht="15.75" hidden="1" x14ac:dyDescent="0.2">
      <c r="A638" s="2453" t="s">
        <v>2042</v>
      </c>
      <c r="B638" s="2454"/>
      <c r="C638" s="2455"/>
      <c r="D638" s="2455"/>
      <c r="E638" s="2456"/>
      <c r="F638" s="2454"/>
      <c r="G638" s="2454"/>
      <c r="H638" s="2457"/>
      <c r="I638" s="2457"/>
      <c r="J638" s="2457"/>
      <c r="K638" s="2458"/>
      <c r="M638" s="2457"/>
      <c r="N638" s="2457"/>
      <c r="P638" s="2459"/>
      <c r="R638" s="2457"/>
      <c r="S638" s="2457"/>
      <c r="U638" s="2457"/>
      <c r="V638" s="2457"/>
      <c r="W638" s="2457"/>
      <c r="X638" s="2458"/>
      <c r="Z638" s="2457"/>
      <c r="AA638" s="2457"/>
      <c r="AC638" s="2459"/>
      <c r="AE638" s="2457"/>
      <c r="AF638" s="2460"/>
      <c r="AH638" s="2457"/>
      <c r="AI638" s="2457"/>
      <c r="AJ638" s="2457"/>
      <c r="AK638" s="2458"/>
      <c r="AM638" s="2457"/>
      <c r="AN638" s="2457"/>
      <c r="AP638" s="2459"/>
      <c r="AR638" s="2457"/>
      <c r="AS638" s="2457"/>
      <c r="AT638" s="2457"/>
      <c r="AU638" s="2457"/>
      <c r="AV638" s="2457"/>
      <c r="AX638" s="2457"/>
      <c r="AY638" s="2457"/>
      <c r="AZ638" s="2457"/>
      <c r="BA638" s="2458"/>
      <c r="BC638" s="2457"/>
      <c r="BD638" s="2457"/>
      <c r="BF638" s="2461"/>
      <c r="BH638" s="2457"/>
      <c r="BI638" s="2457"/>
      <c r="BJ638" s="2457"/>
      <c r="BK638" s="2457"/>
      <c r="BM638" s="2457"/>
      <c r="BN638" s="2462"/>
      <c r="BO638" s="2463"/>
      <c r="BP638" s="2464"/>
      <c r="BR638" s="2463"/>
      <c r="BS638" s="2463"/>
      <c r="BU638" s="2465"/>
      <c r="BW638" s="2463"/>
      <c r="BX638" s="2457"/>
      <c r="BZ638" s="2463"/>
      <c r="CA638" s="2462"/>
      <c r="CB638" s="2463"/>
      <c r="CC638" s="2464"/>
      <c r="CE638" s="2463"/>
      <c r="CF638" s="2464"/>
      <c r="CG638" s="2463"/>
      <c r="CH638" s="2449" t="s">
        <v>1212</v>
      </c>
      <c r="CI638" s="2449"/>
      <c r="CJ638" s="2450"/>
      <c r="CK638" s="2450"/>
      <c r="CP638" s="2478">
        <f t="shared" si="310"/>
        <v>0</v>
      </c>
      <c r="CQ638" s="2478"/>
      <c r="CR638" s="2478"/>
      <c r="CS638" s="2478"/>
      <c r="CT638" s="2478"/>
    </row>
    <row r="639" spans="1:98" hidden="1" x14ac:dyDescent="0.2">
      <c r="I639" s="2470"/>
      <c r="M639" s="2467"/>
      <c r="N639" s="2467"/>
      <c r="P639" s="2469"/>
      <c r="V639" s="2470"/>
      <c r="Z639" s="2467"/>
      <c r="AA639" s="2467"/>
      <c r="AC639" s="2469"/>
      <c r="AI639" s="2470"/>
      <c r="AM639" s="2467"/>
      <c r="AN639" s="2467"/>
      <c r="AP639" s="2469"/>
      <c r="AS639" s="2466"/>
      <c r="AT639" s="2466"/>
      <c r="AY639" s="2470"/>
      <c r="BC639" s="2467"/>
      <c r="BD639" s="2467"/>
      <c r="BF639" s="2469"/>
      <c r="BH639" s="2467"/>
      <c r="BN639" s="2470"/>
      <c r="BR639" s="2474"/>
      <c r="BS639" s="2474"/>
      <c r="BU639" s="2475"/>
      <c r="BW639" s="2474"/>
      <c r="BZ639" s="2474"/>
      <c r="CA639" s="2470"/>
      <c r="CE639" s="2474"/>
      <c r="CF639" s="2476"/>
      <c r="CG639" s="2474"/>
      <c r="CH639" s="2449" t="s">
        <v>1091</v>
      </c>
      <c r="CI639" s="2449"/>
      <c r="CJ639" s="2450"/>
      <c r="CK639" s="2450"/>
      <c r="CP639" s="2478">
        <f t="shared" si="310"/>
        <v>0</v>
      </c>
      <c r="CQ639" s="2478"/>
      <c r="CR639" s="2478"/>
      <c r="CS639" s="2478"/>
      <c r="CT639" s="2478"/>
    </row>
    <row r="640" spans="1:98" hidden="1" x14ac:dyDescent="0.2">
      <c r="A640" s="2668">
        <v>470</v>
      </c>
      <c r="B640" s="2546" t="s">
        <v>1214</v>
      </c>
      <c r="C640" s="2669">
        <v>47005</v>
      </c>
      <c r="D640" s="2669">
        <v>55800</v>
      </c>
      <c r="E640" s="2670" t="s">
        <v>1268</v>
      </c>
      <c r="F640" s="2546" t="s">
        <v>1214</v>
      </c>
      <c r="G640" s="2671" t="s">
        <v>2043</v>
      </c>
      <c r="I640" s="2470"/>
      <c r="M640" s="2467"/>
      <c r="N640" s="2467"/>
      <c r="P640" s="2469"/>
      <c r="V640" s="2470"/>
      <c r="Z640" s="2467"/>
      <c r="AA640" s="2467"/>
      <c r="AC640" s="2469"/>
      <c r="AI640" s="2470"/>
      <c r="AM640" s="2467"/>
      <c r="AN640" s="2467"/>
      <c r="AP640" s="2469"/>
      <c r="AS640" s="2466"/>
      <c r="AT640" s="2466"/>
      <c r="AY640" s="2470"/>
      <c r="BC640" s="2467"/>
      <c r="BD640" s="2467"/>
      <c r="BF640" s="2469"/>
      <c r="BH640" s="2467"/>
      <c r="BN640" s="2470"/>
      <c r="BR640" s="2474"/>
      <c r="BS640" s="2474"/>
      <c r="BU640" s="2475"/>
      <c r="BW640" s="2474"/>
      <c r="BZ640" s="2474"/>
      <c r="CA640" s="2470">
        <f>54000+5400</f>
        <v>59400</v>
      </c>
      <c r="CB640" s="2472">
        <f>BZ640+CA640</f>
        <v>59400</v>
      </c>
      <c r="CC640" s="2473" t="str">
        <f>IF(BZ640=0," ",(CB640-BZ640)/BZ640)</f>
        <v xml:space="preserve"> </v>
      </c>
      <c r="CE640" s="2474">
        <v>59400</v>
      </c>
      <c r="CF640" s="2476">
        <f>IF(CB640=0," ",(CE640-CB640)/CB640)</f>
        <v>0</v>
      </c>
      <c r="CG640" s="2474">
        <v>59400</v>
      </c>
      <c r="CH640" s="2449" t="s">
        <v>1217</v>
      </c>
      <c r="CI640" s="2449"/>
      <c r="CJ640" s="2450"/>
      <c r="CK640" s="2450"/>
      <c r="CP640" s="2478">
        <f t="shared" si="310"/>
        <v>0</v>
      </c>
      <c r="CQ640" s="2478"/>
      <c r="CR640" s="2478"/>
      <c r="CS640" s="2478"/>
      <c r="CT640" s="2478"/>
    </row>
    <row r="641" spans="1:98" s="2485" customFormat="1" hidden="1" x14ac:dyDescent="0.2">
      <c r="A641" s="2532"/>
      <c r="B641" s="2533"/>
      <c r="C641" s="2534"/>
      <c r="D641" s="2534"/>
      <c r="E641" s="2535"/>
      <c r="F641" s="2533"/>
      <c r="G641" s="2654" t="str">
        <f>A638</f>
        <v>GAS DISTRIBUTION</v>
      </c>
      <c r="H641" s="2536">
        <f>SUM(H639:H640)</f>
        <v>0</v>
      </c>
      <c r="I641" s="2536">
        <f>SUM(I639:I640)</f>
        <v>0</v>
      </c>
      <c r="J641" s="2536">
        <f>SUM(J639:J640)</f>
        <v>0</v>
      </c>
      <c r="K641" s="2484" t="str">
        <f>IF(H641=0," ",(J641-H641)/H641)</f>
        <v xml:space="preserve"> </v>
      </c>
      <c r="M641" s="2536">
        <f>SUM(M639:M640)</f>
        <v>0</v>
      </c>
      <c r="N641" s="2536">
        <f>SUM(N639:N640)</f>
        <v>0</v>
      </c>
      <c r="P641" s="2537">
        <f>SUM(P639:P640)</f>
        <v>0</v>
      </c>
      <c r="R641" s="2536">
        <f>SUM(R639:R640)</f>
        <v>0</v>
      </c>
      <c r="S641" s="2536">
        <f>SUM(S639:S640)</f>
        <v>0</v>
      </c>
      <c r="U641" s="2536">
        <f>SUM(U639:U640)</f>
        <v>0</v>
      </c>
      <c r="V641" s="2536">
        <f>SUM(V639:V640)</f>
        <v>0</v>
      </c>
      <c r="W641" s="2536">
        <f>SUM(W639:W640)</f>
        <v>0</v>
      </c>
      <c r="X641" s="2484" t="str">
        <f>IF(U641=0," ",(W641-U641)/U641)</f>
        <v xml:space="preserve"> </v>
      </c>
      <c r="Z641" s="2536">
        <f>SUM(Z639:Z640)</f>
        <v>0</v>
      </c>
      <c r="AA641" s="2536">
        <f>SUM(AA639:AA640)</f>
        <v>0</v>
      </c>
      <c r="AC641" s="2537"/>
      <c r="AE641" s="2536">
        <f>SUM(AE639:AE640)</f>
        <v>0</v>
      </c>
      <c r="AF641" s="2538">
        <f>SUM(AF639:AF640)</f>
        <v>0</v>
      </c>
      <c r="AH641" s="2536">
        <v>1650</v>
      </c>
      <c r="AI641" s="2536">
        <f>SUM(AI639:AI640)</f>
        <v>0</v>
      </c>
      <c r="AJ641" s="2536">
        <f>SUM(AJ639:AJ640)</f>
        <v>0</v>
      </c>
      <c r="AK641" s="2484">
        <f>IF(AH641=0," ",(AJ641-AH641)/AH641)</f>
        <v>-1</v>
      </c>
      <c r="AM641" s="2536">
        <f>SUM(AM639:AM640)</f>
        <v>0</v>
      </c>
      <c r="AN641" s="2536">
        <f>SUM(AN639:AN640)</f>
        <v>0</v>
      </c>
      <c r="AP641" s="2537"/>
      <c r="AR641" s="2536">
        <f>SUM(AR639:AR640)</f>
        <v>0</v>
      </c>
      <c r="AS641" s="2536">
        <f>SUM(AS639:AS640)</f>
        <v>0</v>
      </c>
      <c r="AT641" s="2536"/>
      <c r="AU641" s="2536">
        <f>SUM(AU639:AU640)</f>
        <v>0</v>
      </c>
      <c r="AV641" s="2536">
        <f>SUM(AV639:AV640)</f>
        <v>0</v>
      </c>
      <c r="AX641" s="2536">
        <f>SUM(AX639:AX640)</f>
        <v>0</v>
      </c>
      <c r="AY641" s="2536">
        <f>SUM(AY639:AY640)</f>
        <v>0</v>
      </c>
      <c r="AZ641" s="2536">
        <f>SUM(AZ639:AZ640)</f>
        <v>0</v>
      </c>
      <c r="BA641" s="2484" t="str">
        <f>IF(AX641=0," ",(AZ641-AX641)/AX641)</f>
        <v xml:space="preserve"> </v>
      </c>
      <c r="BC641" s="2536">
        <f>SUM(BC639:BC640)</f>
        <v>0</v>
      </c>
      <c r="BD641" s="2536">
        <f>SUM(BD639:BD640)</f>
        <v>0</v>
      </c>
      <c r="BF641" s="2537"/>
      <c r="BH641" s="2536">
        <f>SUM(BH639:BH640)</f>
        <v>0</v>
      </c>
      <c r="BI641" s="2536">
        <f>SUM(BI639:BI640)</f>
        <v>0</v>
      </c>
      <c r="BJ641" s="2536"/>
      <c r="BK641" s="2536"/>
      <c r="BM641" s="2536">
        <f>SUM(BM639:BM640)</f>
        <v>0</v>
      </c>
      <c r="BN641" s="2539">
        <f>SUM(BN639:BN640)</f>
        <v>0</v>
      </c>
      <c r="BO641" s="2540">
        <f>SUM(BO639:BO640)</f>
        <v>0</v>
      </c>
      <c r="BP641" s="2490" t="str">
        <f>IF(BM641=0," ",(BO641-BM641)/BM641)</f>
        <v xml:space="preserve"> </v>
      </c>
      <c r="BQ641" s="2491"/>
      <c r="BR641" s="2540">
        <f>SUM(BR639:BR640)</f>
        <v>0</v>
      </c>
      <c r="BS641" s="2540">
        <f>SUM(BS639:BS640)</f>
        <v>0</v>
      </c>
      <c r="BT641" s="2491"/>
      <c r="BU641" s="2541"/>
      <c r="BV641" s="2491"/>
      <c r="BW641" s="2540">
        <f>SUM(BW639:BW640)</f>
        <v>0</v>
      </c>
      <c r="BX641" s="2536">
        <f>SUM(BX639:BX640)</f>
        <v>0</v>
      </c>
      <c r="BZ641" s="2540">
        <f>SUM(BZ639:BZ640)</f>
        <v>0</v>
      </c>
      <c r="CA641" s="2540">
        <f>SUM(CA639:CA640)</f>
        <v>59400</v>
      </c>
      <c r="CB641" s="2540">
        <f>SUM(CB639:CB640)</f>
        <v>59400</v>
      </c>
      <c r="CC641" s="2490" t="str">
        <f>IF(BZ641=0," ",(CB641-BZ641)/BZ641)</f>
        <v xml:space="preserve"> </v>
      </c>
      <c r="CD641" s="2491"/>
      <c r="CE641" s="2540">
        <f>SUM(CE639:CE640)</f>
        <v>59400</v>
      </c>
      <c r="CF641" s="2490">
        <f>IF(CB641=0," ",(CE641-CB641)/CB641)</f>
        <v>0</v>
      </c>
      <c r="CG641" s="2540">
        <f>SUM(CG639:CG640)</f>
        <v>59400</v>
      </c>
      <c r="CH641" s="2449" t="s">
        <v>1220</v>
      </c>
      <c r="CI641" s="2449"/>
      <c r="CJ641" s="2450"/>
      <c r="CK641" s="2450"/>
      <c r="CL641" s="2451"/>
      <c r="CM641" s="2451"/>
      <c r="CN641" s="2451"/>
      <c r="CO641" s="2477"/>
      <c r="CP641" s="2478">
        <f t="shared" si="310"/>
        <v>0</v>
      </c>
      <c r="CQ641" s="2478"/>
      <c r="CR641" s="2478"/>
      <c r="CS641" s="2478"/>
      <c r="CT641" s="2478"/>
    </row>
    <row r="642" spans="1:98" ht="9.9499999999999993" hidden="1" customHeight="1" x14ac:dyDescent="0.2">
      <c r="AS642" s="2466"/>
      <c r="AT642" s="2466"/>
      <c r="BZ642" s="2472"/>
      <c r="CA642" s="2472"/>
      <c r="CH642" s="2449" t="s">
        <v>1091</v>
      </c>
      <c r="CI642" s="2449"/>
      <c r="CJ642" s="2450"/>
      <c r="CK642" s="2450"/>
      <c r="CP642" s="2478">
        <f t="shared" si="310"/>
        <v>0</v>
      </c>
      <c r="CQ642" s="2478"/>
      <c r="CR642" s="2478"/>
      <c r="CS642" s="2478"/>
      <c r="CT642" s="2478"/>
    </row>
    <row r="643" spans="1:98" x14ac:dyDescent="0.2">
      <c r="A643" s="2495"/>
      <c r="B643" s="2496"/>
      <c r="C643" s="2497"/>
      <c r="D643" s="2497"/>
      <c r="E643" s="2498"/>
      <c r="F643" s="2496"/>
      <c r="G643" s="2499" t="s">
        <v>2044</v>
      </c>
      <c r="H643" s="2500">
        <f t="shared" ref="H643" si="331">H641</f>
        <v>0</v>
      </c>
      <c r="I643" s="2500">
        <f>I641</f>
        <v>0</v>
      </c>
      <c r="J643" s="2500">
        <f>J641</f>
        <v>0</v>
      </c>
      <c r="K643" s="2501" t="str">
        <f>IF(H643=0," ",(J643-H643)/H643)</f>
        <v xml:space="preserve"> </v>
      </c>
      <c r="M643" s="2500">
        <f>M641</f>
        <v>0</v>
      </c>
      <c r="N643" s="2500">
        <f>N641</f>
        <v>0</v>
      </c>
      <c r="P643" s="2502">
        <f>P641</f>
        <v>0</v>
      </c>
      <c r="R643" s="2500">
        <f>R641</f>
        <v>0</v>
      </c>
      <c r="S643" s="2500">
        <f>S641</f>
        <v>0</v>
      </c>
      <c r="U643" s="2500">
        <f>U641</f>
        <v>0</v>
      </c>
      <c r="V643" s="2500">
        <f>V641</f>
        <v>0</v>
      </c>
      <c r="W643" s="2500">
        <f>W641</f>
        <v>0</v>
      </c>
      <c r="X643" s="2501" t="str">
        <f>IF(U643=0," ",(W643-U643)/U643)</f>
        <v xml:space="preserve"> </v>
      </c>
      <c r="Z643" s="2500">
        <f>Z641</f>
        <v>0</v>
      </c>
      <c r="AA643" s="2500">
        <f>AA641</f>
        <v>0</v>
      </c>
      <c r="AC643" s="2502"/>
      <c r="AE643" s="2500">
        <f>AE641</f>
        <v>0</v>
      </c>
      <c r="AF643" s="2503">
        <f>AF641</f>
        <v>0</v>
      </c>
      <c r="AH643" s="2500">
        <v>1650</v>
      </c>
      <c r="AI643" s="2500">
        <f>AI641</f>
        <v>0</v>
      </c>
      <c r="AJ643" s="2500">
        <f>AJ641</f>
        <v>0</v>
      </c>
      <c r="AK643" s="2501">
        <f>IF(AH643=0," ",(AJ643-AH643)/AH643)</f>
        <v>-1</v>
      </c>
      <c r="AM643" s="2500">
        <f>AM641</f>
        <v>0</v>
      </c>
      <c r="AN643" s="2500">
        <f>AN641</f>
        <v>0</v>
      </c>
      <c r="AP643" s="2502"/>
      <c r="AR643" s="2500">
        <f>AR641</f>
        <v>0</v>
      </c>
      <c r="AS643" s="2500">
        <f>AS641</f>
        <v>0</v>
      </c>
      <c r="AT643" s="2500"/>
      <c r="AU643" s="2500">
        <f>AU641</f>
        <v>0</v>
      </c>
      <c r="AV643" s="2500">
        <f>AV641</f>
        <v>0</v>
      </c>
      <c r="AX643" s="2500">
        <f>AX641</f>
        <v>0</v>
      </c>
      <c r="AY643" s="2500">
        <f>AY641</f>
        <v>0</v>
      </c>
      <c r="AZ643" s="2500">
        <f>AZ641</f>
        <v>0</v>
      </c>
      <c r="BA643" s="2501" t="str">
        <f>IF(AX643=0," ",(AZ643-AX643)/AX643)</f>
        <v xml:space="preserve"> </v>
      </c>
      <c r="BC643" s="2500">
        <f>BC641</f>
        <v>0</v>
      </c>
      <c r="BD643" s="2500">
        <f>BD641</f>
        <v>0</v>
      </c>
      <c r="BF643" s="2502"/>
      <c r="BH643" s="2500">
        <f>BH641</f>
        <v>0</v>
      </c>
      <c r="BI643" s="2500">
        <f>BI641</f>
        <v>0</v>
      </c>
      <c r="BJ643" s="2500"/>
      <c r="BK643" s="2500"/>
      <c r="BM643" s="2500">
        <f>BM641</f>
        <v>0</v>
      </c>
      <c r="BN643" s="2504">
        <f>BN641</f>
        <v>0</v>
      </c>
      <c r="BO643" s="2505">
        <f>BO641</f>
        <v>0</v>
      </c>
      <c r="BP643" s="2506" t="str">
        <f>IF(BM643=0," ",(BO643-BM643)/BM643)</f>
        <v xml:space="preserve"> </v>
      </c>
      <c r="BR643" s="2505">
        <f>BR641</f>
        <v>0</v>
      </c>
      <c r="BS643" s="2505">
        <f>BS641</f>
        <v>0</v>
      </c>
      <c r="BU643" s="2507"/>
      <c r="BW643" s="2505">
        <f>BW641</f>
        <v>0</v>
      </c>
      <c r="BX643" s="2500">
        <f>BX641</f>
        <v>0</v>
      </c>
      <c r="BZ643" s="2505">
        <f>BZ641</f>
        <v>0</v>
      </c>
      <c r="CA643" s="2505">
        <f>CA641</f>
        <v>59400</v>
      </c>
      <c r="CB643" s="2505">
        <f>CB641</f>
        <v>59400</v>
      </c>
      <c r="CC643" s="2506" t="str">
        <f>IF(BZ643=0," ",(CB643-BZ643)/BZ643)</f>
        <v xml:space="preserve"> </v>
      </c>
      <c r="CE643" s="2505">
        <f>CE641</f>
        <v>59400</v>
      </c>
      <c r="CF643" s="2506">
        <f>IF(CB643=0," ",(CE643-CB643)/CB643)</f>
        <v>0</v>
      </c>
      <c r="CG643" s="2505">
        <f>CG641</f>
        <v>59400</v>
      </c>
      <c r="CH643" s="2449" t="s">
        <v>1222</v>
      </c>
      <c r="CI643" s="2508" t="str">
        <f>IF(CG643-CE643=0,"",CG643-CE643)</f>
        <v/>
      </c>
      <c r="CJ643" s="2509"/>
      <c r="CK643" s="2509"/>
      <c r="CL643" s="2451" t="str">
        <f>IF(CO643&lt;-1*CM$2,"examine","ignore")</f>
        <v>ignore</v>
      </c>
      <c r="CM643" s="2545" t="str">
        <f>IF(CL643="examine",CP643+CM$2*CP643/CO643,"")</f>
        <v/>
      </c>
      <c r="CN643" s="2545"/>
      <c r="CP643" s="2510">
        <f t="shared" si="310"/>
        <v>0</v>
      </c>
      <c r="CQ643" s="2510">
        <f>AV643-AU643</f>
        <v>0</v>
      </c>
      <c r="CR643" s="2510">
        <f>AS643-AR643</f>
        <v>0</v>
      </c>
      <c r="CS643" s="2510">
        <f>AF643-AE643</f>
        <v>0</v>
      </c>
    </row>
    <row r="644" spans="1:98" ht="20.100000000000001" hidden="1" customHeight="1" x14ac:dyDescent="0.2">
      <c r="AS644" s="2466"/>
      <c r="AT644" s="2466"/>
      <c r="BZ644" s="2472"/>
      <c r="CH644" s="2449" t="s">
        <v>1091</v>
      </c>
      <c r="CI644" s="2449"/>
      <c r="CJ644" s="2450"/>
      <c r="CK644" s="2450"/>
      <c r="CP644" s="2478">
        <f t="shared" si="310"/>
        <v>0</v>
      </c>
      <c r="CQ644" s="2478"/>
      <c r="CR644" s="2478"/>
      <c r="CS644" s="2478"/>
      <c r="CT644" s="2478"/>
    </row>
    <row r="645" spans="1:98" ht="15.75" hidden="1" x14ac:dyDescent="0.2">
      <c r="A645" s="2453" t="s">
        <v>2045</v>
      </c>
      <c r="B645" s="2454"/>
      <c r="C645" s="2455"/>
      <c r="D645" s="2455"/>
      <c r="E645" s="2456"/>
      <c r="F645" s="2454"/>
      <c r="G645" s="2454"/>
      <c r="H645" s="2457"/>
      <c r="I645" s="2457"/>
      <c r="J645" s="2457"/>
      <c r="K645" s="2458"/>
      <c r="M645" s="2457"/>
      <c r="N645" s="2457"/>
      <c r="P645" s="2459"/>
      <c r="R645" s="2457"/>
      <c r="S645" s="2457"/>
      <c r="U645" s="2457"/>
      <c r="V645" s="2457"/>
      <c r="W645" s="2457"/>
      <c r="X645" s="2458"/>
      <c r="Z645" s="2457"/>
      <c r="AA645" s="2457"/>
      <c r="AC645" s="2459"/>
      <c r="AE645" s="2457"/>
      <c r="AF645" s="2460"/>
      <c r="AH645" s="2457"/>
      <c r="AI645" s="2457"/>
      <c r="AJ645" s="2457"/>
      <c r="AK645" s="2458"/>
      <c r="AM645" s="2457"/>
      <c r="AN645" s="2457"/>
      <c r="AP645" s="2459"/>
      <c r="AR645" s="2457"/>
      <c r="AS645" s="2457"/>
      <c r="AT645" s="2457"/>
      <c r="AU645" s="2457"/>
      <c r="AV645" s="2457"/>
      <c r="AX645" s="2457"/>
      <c r="AY645" s="2457"/>
      <c r="AZ645" s="2457"/>
      <c r="BA645" s="2458"/>
      <c r="BC645" s="2457"/>
      <c r="BD645" s="2457"/>
      <c r="BF645" s="2461"/>
      <c r="BH645" s="2457"/>
      <c r="BI645" s="2457"/>
      <c r="BJ645" s="2457"/>
      <c r="BK645" s="2457"/>
      <c r="BM645" s="2457"/>
      <c r="BN645" s="2462"/>
      <c r="BO645" s="2463"/>
      <c r="BP645" s="2464"/>
      <c r="BR645" s="2463"/>
      <c r="BS645" s="2463"/>
      <c r="BU645" s="2465"/>
      <c r="BW645" s="2463"/>
      <c r="BX645" s="2457"/>
      <c r="BZ645" s="2463"/>
      <c r="CA645" s="2462"/>
      <c r="CB645" s="2463"/>
      <c r="CC645" s="2464"/>
      <c r="CE645" s="2463"/>
      <c r="CF645" s="2464"/>
      <c r="CG645" s="2463"/>
      <c r="CH645" s="2449" t="s">
        <v>1212</v>
      </c>
      <c r="CI645" s="2449"/>
      <c r="CJ645" s="2450"/>
      <c r="CK645" s="2450"/>
      <c r="CP645" s="2478">
        <f t="shared" si="310"/>
        <v>0</v>
      </c>
      <c r="CQ645" s="2478"/>
      <c r="CR645" s="2478"/>
      <c r="CS645" s="2478"/>
      <c r="CT645" s="2478"/>
    </row>
    <row r="646" spans="1:98" hidden="1" x14ac:dyDescent="0.2">
      <c r="A646" s="2395">
        <v>492</v>
      </c>
      <c r="B646" s="2440" t="s">
        <v>1214</v>
      </c>
      <c r="C646" s="2396">
        <v>49201</v>
      </c>
      <c r="D646" s="2396">
        <v>51120</v>
      </c>
      <c r="E646" s="2397" t="s">
        <v>59</v>
      </c>
      <c r="F646" s="2440" t="s">
        <v>1214</v>
      </c>
      <c r="G646" s="2440" t="s">
        <v>2046</v>
      </c>
      <c r="H646" s="2466">
        <v>81036</v>
      </c>
      <c r="I646" s="2470">
        <v>3484</v>
      </c>
      <c r="J646" s="2466">
        <f>H646+I646</f>
        <v>84520</v>
      </c>
      <c r="K646" s="2468">
        <f>IF(H646=0," ",(J646-H646)/H646)</f>
        <v>4.2993237573424159E-2</v>
      </c>
      <c r="M646" s="2467">
        <v>84520</v>
      </c>
      <c r="N646" s="2467">
        <v>84520</v>
      </c>
      <c r="P646" s="2469"/>
      <c r="R646" s="2466">
        <v>84520</v>
      </c>
      <c r="S646" s="2466">
        <v>82347.199999999997</v>
      </c>
      <c r="U646" s="2466">
        <v>84520</v>
      </c>
      <c r="V646" s="2470">
        <v>1780</v>
      </c>
      <c r="W646" s="2466">
        <f>U646+V646</f>
        <v>86300</v>
      </c>
      <c r="X646" s="2468">
        <f>IF(U646=0," ",(W646-U646)/U646)</f>
        <v>2.106010411736867E-2</v>
      </c>
      <c r="Z646" s="2467">
        <v>86300</v>
      </c>
      <c r="AA646" s="2467">
        <v>86300</v>
      </c>
      <c r="AC646" s="2469" t="s">
        <v>2047</v>
      </c>
      <c r="AE646" s="2466">
        <v>86300</v>
      </c>
      <c r="AF646" s="2471">
        <v>86299.199999999997</v>
      </c>
      <c r="AH646" s="2466">
        <v>86300</v>
      </c>
      <c r="AI646" s="2470">
        <v>4835</v>
      </c>
      <c r="AJ646" s="2466">
        <f>AH646+AI646</f>
        <v>91135</v>
      </c>
      <c r="AK646" s="2468">
        <f>IF(AH646=0," ",(AJ646-AH646)/AH646)</f>
        <v>5.6025492468134416E-2</v>
      </c>
      <c r="AM646" s="2467">
        <v>91135</v>
      </c>
      <c r="AN646" s="2467">
        <v>91135</v>
      </c>
      <c r="AP646" s="2469" t="s">
        <v>2048</v>
      </c>
      <c r="AR646" s="2466">
        <v>91135</v>
      </c>
      <c r="AS646" s="2466">
        <v>91134.080000000002</v>
      </c>
      <c r="AT646" s="2466"/>
      <c r="AU646" s="2466">
        <v>93292</v>
      </c>
      <c r="AV646" s="2466">
        <v>50776.28</v>
      </c>
      <c r="AX646" s="2466">
        <v>93292</v>
      </c>
      <c r="AY646" s="2652">
        <v>-49853</v>
      </c>
      <c r="AZ646" s="2466">
        <f>AX646+AY646</f>
        <v>43439</v>
      </c>
      <c r="BA646" s="2468">
        <f>IF(AX646=0," ",(AZ646-AX646)/AX646)</f>
        <v>-0.53437593791536253</v>
      </c>
      <c r="BC646" s="2467">
        <v>43439</v>
      </c>
      <c r="BD646" s="2467">
        <v>43439</v>
      </c>
      <c r="BF646" s="2511" t="s">
        <v>1943</v>
      </c>
      <c r="BH646" s="2467">
        <v>43439</v>
      </c>
      <c r="BI646" s="2466">
        <v>41723.879999999997</v>
      </c>
      <c r="BM646" s="2466">
        <v>43439</v>
      </c>
      <c r="BN646" s="2470">
        <v>869</v>
      </c>
      <c r="BO646" s="2472">
        <f>BM646+BN646</f>
        <v>44308</v>
      </c>
      <c r="BP646" s="2473">
        <f>IF(BM646=0," ",(BO646-BM646)/BM646)</f>
        <v>2.0005064573309698E-2</v>
      </c>
      <c r="BR646" s="2474">
        <v>44308</v>
      </c>
      <c r="BS646" s="2474">
        <v>44308</v>
      </c>
      <c r="BU646" s="2512" t="s">
        <v>1944</v>
      </c>
      <c r="BW646" s="2474">
        <v>44308</v>
      </c>
      <c r="BX646" s="2466">
        <v>21359</v>
      </c>
      <c r="BZ646" s="2474">
        <v>44308</v>
      </c>
      <c r="CA646" s="2470">
        <v>-212</v>
      </c>
      <c r="CB646" s="2472">
        <f>BZ646+CA646</f>
        <v>44096</v>
      </c>
      <c r="CC646" s="2473">
        <f>IF(BZ646=0," ",(CB646-BZ646)/BZ646)</f>
        <v>-4.7846889952153108E-3</v>
      </c>
      <c r="CE646" s="2474">
        <v>46218</v>
      </c>
      <c r="CF646" s="2476">
        <f>IF(CB646=0," ",(CE646-CB646)/CB646)</f>
        <v>4.8122278664731497E-2</v>
      </c>
      <c r="CG646" s="2474">
        <v>46218</v>
      </c>
      <c r="CH646" s="2449" t="s">
        <v>1217</v>
      </c>
      <c r="CI646" s="2449"/>
      <c r="CJ646" s="2450"/>
      <c r="CK646" s="2450"/>
      <c r="CO646" s="2477">
        <v>-3.9483413522410804E-2</v>
      </c>
      <c r="CP646" s="2478">
        <f t="shared" ref="CP646:CP709" si="332">IFERROR(BI646-BH646,"")</f>
        <v>-1715.1200000000026</v>
      </c>
      <c r="CQ646" s="2478"/>
      <c r="CR646" s="2478"/>
      <c r="CS646" s="2478"/>
      <c r="CT646" s="2478"/>
    </row>
    <row r="647" spans="1:98" hidden="1" x14ac:dyDescent="0.2">
      <c r="A647" s="2513">
        <v>492</v>
      </c>
      <c r="B647" s="2514" t="s">
        <v>1214</v>
      </c>
      <c r="C647" s="2515">
        <v>49201</v>
      </c>
      <c r="D647" s="2515">
        <v>51490</v>
      </c>
      <c r="E647" s="2516" t="s">
        <v>59</v>
      </c>
      <c r="F647" s="2514" t="s">
        <v>1214</v>
      </c>
      <c r="G647" s="2514" t="s">
        <v>2049</v>
      </c>
      <c r="H647" s="2466">
        <v>1750</v>
      </c>
      <c r="I647" s="2523"/>
      <c r="J647" s="2466">
        <f>H647+I647</f>
        <v>1750</v>
      </c>
      <c r="K647" s="2468">
        <f>IF(H647=0," ",(J647-H647)/H647)</f>
        <v>0</v>
      </c>
      <c r="M647" s="2520">
        <v>1750</v>
      </c>
      <c r="N647" s="2520">
        <v>1750</v>
      </c>
      <c r="P647" s="2522"/>
      <c r="R647" s="2519">
        <v>1750</v>
      </c>
      <c r="S647" s="2519">
        <v>1750</v>
      </c>
      <c r="U647" s="2519">
        <v>1750</v>
      </c>
      <c r="V647" s="2523"/>
      <c r="W647" s="2466">
        <f>U647+V647</f>
        <v>1750</v>
      </c>
      <c r="X647" s="2468">
        <f>IF(U647=0," ",(W647-U647)/U647)</f>
        <v>0</v>
      </c>
      <c r="Z647" s="2520">
        <v>1750</v>
      </c>
      <c r="AA647" s="2520">
        <v>1750</v>
      </c>
      <c r="AC647" s="2522"/>
      <c r="AE647" s="2519">
        <v>1750</v>
      </c>
      <c r="AF647" s="2524">
        <v>1750</v>
      </c>
      <c r="AH647" s="2519">
        <v>1750</v>
      </c>
      <c r="AI647" s="2523"/>
      <c r="AJ647" s="2466">
        <f>AH647+AI647</f>
        <v>1750</v>
      </c>
      <c r="AK647" s="2468">
        <f>IF(AH647=0," ",(AJ647-AH647)/AH647)</f>
        <v>0</v>
      </c>
      <c r="AM647" s="2467">
        <v>1750</v>
      </c>
      <c r="AN647" s="2467">
        <v>1750</v>
      </c>
      <c r="AP647" s="2522"/>
      <c r="AR647" s="2466">
        <v>1750</v>
      </c>
      <c r="AS647" s="2466">
        <v>1750</v>
      </c>
      <c r="AT647" s="2466"/>
      <c r="AU647" s="2466">
        <v>1750</v>
      </c>
      <c r="AV647" s="2466">
        <v>1750</v>
      </c>
      <c r="AX647" s="2466">
        <v>1750</v>
      </c>
      <c r="AY647" s="2523">
        <v>-1750</v>
      </c>
      <c r="AZ647" s="2466">
        <f>AX647+AY647</f>
        <v>0</v>
      </c>
      <c r="BA647" s="2468">
        <f>IF(AX647=0," ",(AZ647-AX647)/AX647)</f>
        <v>-1</v>
      </c>
      <c r="BC647" s="2467">
        <v>0</v>
      </c>
      <c r="BD647" s="2467">
        <v>0</v>
      </c>
      <c r="BF647" s="2522"/>
      <c r="BH647" s="2467">
        <v>0</v>
      </c>
      <c r="BI647" s="2519">
        <v>1662.72</v>
      </c>
      <c r="BM647" s="2466">
        <v>0</v>
      </c>
      <c r="BN647" s="2523">
        <v>400</v>
      </c>
      <c r="BO647" s="2472">
        <f>BM647+BN647</f>
        <v>400</v>
      </c>
      <c r="BP647" s="2473" t="str">
        <f>IF(BM647=0," ",(BO647-BM647)/BM647)</f>
        <v xml:space="preserve"> </v>
      </c>
      <c r="BR647" s="2474">
        <v>400</v>
      </c>
      <c r="BS647" s="2474">
        <v>400</v>
      </c>
      <c r="BU647" s="2528" t="s">
        <v>1946</v>
      </c>
      <c r="BW647" s="2474">
        <v>400</v>
      </c>
      <c r="BX647" s="2519">
        <v>400</v>
      </c>
      <c r="BZ647" s="2474">
        <v>400</v>
      </c>
      <c r="CA647" s="2523"/>
      <c r="CB647" s="2472">
        <f>BZ647+CA647</f>
        <v>400</v>
      </c>
      <c r="CC647" s="2473">
        <f>IF(BZ647=0," ",(CB647-BZ647)/BZ647)</f>
        <v>0</v>
      </c>
      <c r="CE647" s="2474">
        <v>400</v>
      </c>
      <c r="CF647" s="2476">
        <f>IF(CB647=0," ",(CE647-CB647)/CB647)</f>
        <v>0</v>
      </c>
      <c r="CG647" s="2474">
        <v>400</v>
      </c>
      <c r="CH647" s="2449" t="s">
        <v>1217</v>
      </c>
      <c r="CI647" s="2449"/>
      <c r="CJ647" s="2450" t="s">
        <v>1239</v>
      </c>
      <c r="CK647" s="2518">
        <f t="shared" ref="CK647" si="333">-CG647</f>
        <v>-400</v>
      </c>
      <c r="CO647" s="2477" t="s">
        <v>1257</v>
      </c>
      <c r="CP647" s="2478">
        <f t="shared" si="332"/>
        <v>1662.72</v>
      </c>
      <c r="CQ647" s="2478"/>
      <c r="CR647" s="2478"/>
      <c r="CS647" s="2478"/>
      <c r="CT647" s="2478"/>
    </row>
    <row r="648" spans="1:98" hidden="1" x14ac:dyDescent="0.2">
      <c r="H648" s="2560">
        <f t="shared" ref="H648" si="334">SUM(H646:H647)</f>
        <v>82786</v>
      </c>
      <c r="I648" s="2560">
        <f>SUM(I646:I647)</f>
        <v>3484</v>
      </c>
      <c r="J648" s="2560">
        <f>SUM(J646:J647)</f>
        <v>86270</v>
      </c>
      <c r="K648" s="2561">
        <f>IF(H648=0," ",(J648-H648)/H648)</f>
        <v>4.2084410407556831E-2</v>
      </c>
      <c r="M648" s="2560">
        <f>SUM(M646:M647)</f>
        <v>86270</v>
      </c>
      <c r="N648" s="2560">
        <f>SUM(N646:N647)</f>
        <v>86270</v>
      </c>
      <c r="P648" s="2562">
        <f>SUM(P646:P647)</f>
        <v>0</v>
      </c>
      <c r="R648" s="2560">
        <f>SUM(R646:R647)</f>
        <v>86270</v>
      </c>
      <c r="S648" s="2560">
        <f>SUM(S646:S647)</f>
        <v>84097.2</v>
      </c>
      <c r="U648" s="2560">
        <f>SUM(U646:U647)</f>
        <v>86270</v>
      </c>
      <c r="V648" s="2560">
        <f>SUM(V646:V647)</f>
        <v>1780</v>
      </c>
      <c r="W648" s="2560">
        <f>SUM(W646:W647)</f>
        <v>88050</v>
      </c>
      <c r="X648" s="2561">
        <f>IF(U648=0," ",(W648-U648)/U648)</f>
        <v>2.0632896719601251E-2</v>
      </c>
      <c r="Z648" s="2560">
        <f>SUM(Z646:Z647)</f>
        <v>88050</v>
      </c>
      <c r="AA648" s="2560">
        <f>SUM(AA646:AA647)</f>
        <v>88050</v>
      </c>
      <c r="AC648" s="2562"/>
      <c r="AE648" s="2560">
        <f>SUM(AE646:AE647)</f>
        <v>88050</v>
      </c>
      <c r="AF648" s="2563">
        <f>SUM(AF646:AF647)</f>
        <v>88049.2</v>
      </c>
      <c r="AH648" s="2560">
        <v>88050</v>
      </c>
      <c r="AI648" s="2560">
        <f>SUM(AI646:AI647)</f>
        <v>4835</v>
      </c>
      <c r="AJ648" s="2560">
        <f>SUM(AJ646:AJ647)</f>
        <v>92885</v>
      </c>
      <c r="AK648" s="2561">
        <f>IF(AH648=0," ",(AJ648-AH648)/AH648)</f>
        <v>5.4911981828506533E-2</v>
      </c>
      <c r="AM648" s="2560">
        <f>SUM(AM646:AM647)</f>
        <v>92885</v>
      </c>
      <c r="AN648" s="2560">
        <f>SUM(AN646:AN647)</f>
        <v>92885</v>
      </c>
      <c r="AP648" s="2562"/>
      <c r="AR648" s="2560">
        <f>SUM(AR646:AR647)</f>
        <v>92885</v>
      </c>
      <c r="AS648" s="2560">
        <f>SUM(AS646:AS647)</f>
        <v>92884.08</v>
      </c>
      <c r="AT648" s="2560"/>
      <c r="AU648" s="2560">
        <f>SUM(AU646:AU647)</f>
        <v>95042</v>
      </c>
      <c r="AV648" s="2560">
        <f>SUM(AV646:AV647)</f>
        <v>52526.28</v>
      </c>
      <c r="AX648" s="2560">
        <f>SUM(AX646:AX647)</f>
        <v>95042</v>
      </c>
      <c r="AY648" s="2560">
        <f>SUM(AY646:AY647)</f>
        <v>-51603</v>
      </c>
      <c r="AZ648" s="2560">
        <f>SUM(AZ646:AZ647)</f>
        <v>43439</v>
      </c>
      <c r="BA648" s="2561">
        <f>IF(AX648=0," ",(AZ648-AX648)/AX648)</f>
        <v>-0.54294943288230468</v>
      </c>
      <c r="BC648" s="2560">
        <f>SUM(BC646:BC647)</f>
        <v>43439</v>
      </c>
      <c r="BD648" s="2560">
        <f>SUM(BD646:BD647)</f>
        <v>43439</v>
      </c>
      <c r="BF648" s="2562"/>
      <c r="BH648" s="2560">
        <f>SUM(BH646:BH647)</f>
        <v>43439</v>
      </c>
      <c r="BI648" s="2560">
        <f>SUM(BI646:BI647)</f>
        <v>43386.6</v>
      </c>
      <c r="BM648" s="2560">
        <f>SUM(BM646:BM647)</f>
        <v>43439</v>
      </c>
      <c r="BN648" s="2560">
        <f>SUM(BN646:BN647)</f>
        <v>1269</v>
      </c>
      <c r="BO648" s="2564">
        <f>SUM(BO646:BO647)</f>
        <v>44708</v>
      </c>
      <c r="BP648" s="2565">
        <f>IF(BM648=0," ",(BO648-BM648)/BM648)</f>
        <v>2.9213379681852714E-2</v>
      </c>
      <c r="BR648" s="2564">
        <f>SUM(BR646:BR647)</f>
        <v>44708</v>
      </c>
      <c r="BS648" s="2564">
        <f>SUM(BS646:BS647)</f>
        <v>44708</v>
      </c>
      <c r="BU648" s="2566"/>
      <c r="BW648" s="2564">
        <f>SUM(BW646:BW647)</f>
        <v>44708</v>
      </c>
      <c r="BX648" s="2560">
        <f>SUM(BX646:BX647)</f>
        <v>21759</v>
      </c>
      <c r="BZ648" s="2564">
        <f>SUM(BZ646:BZ647)</f>
        <v>44708</v>
      </c>
      <c r="CA648" s="2564">
        <f>SUM(CA646:CA647)</f>
        <v>-212</v>
      </c>
      <c r="CB648" s="2564">
        <f>SUM(CB646:CB647)</f>
        <v>44496</v>
      </c>
      <c r="CC648" s="2565">
        <f>IF(BZ648=0," ",(CB648-BZ648)/BZ648)</f>
        <v>-4.7418806477587906E-3</v>
      </c>
      <c r="CE648" s="2564">
        <f>SUM(CE646:CE647)</f>
        <v>46618</v>
      </c>
      <c r="CF648" s="2565">
        <f>IF(CB648=0," ",(CE648-CB648)/CB648)</f>
        <v>4.768967997123337E-2</v>
      </c>
      <c r="CG648" s="2564">
        <f>SUM(CG646:CG647)</f>
        <v>46618</v>
      </c>
      <c r="CH648" s="2449" t="s">
        <v>1243</v>
      </c>
      <c r="CI648" s="2449"/>
      <c r="CJ648" s="2450"/>
      <c r="CK648" s="2450"/>
      <c r="CO648" s="2477">
        <v>-1.2062892792191748E-3</v>
      </c>
      <c r="CP648" s="2478">
        <f t="shared" si="332"/>
        <v>-52.400000000001455</v>
      </c>
      <c r="CQ648" s="2478"/>
      <c r="CR648" s="2478"/>
      <c r="CS648" s="2478"/>
      <c r="CT648" s="2478"/>
    </row>
    <row r="649" spans="1:98" hidden="1" x14ac:dyDescent="0.2">
      <c r="AS649" s="2466"/>
      <c r="AT649" s="2466"/>
      <c r="BZ649" s="2472"/>
      <c r="CH649" s="2449" t="s">
        <v>1091</v>
      </c>
      <c r="CI649" s="2449"/>
      <c r="CJ649" s="2450"/>
      <c r="CK649" s="2450"/>
      <c r="CP649" s="2478">
        <f t="shared" si="332"/>
        <v>0</v>
      </c>
      <c r="CQ649" s="2478"/>
      <c r="CR649" s="2478"/>
      <c r="CS649" s="2478"/>
      <c r="CT649" s="2478"/>
    </row>
    <row r="650" spans="1:98" hidden="1" x14ac:dyDescent="0.2">
      <c r="A650" s="2395">
        <v>492</v>
      </c>
      <c r="B650" s="2440" t="s">
        <v>1214</v>
      </c>
      <c r="C650" s="2396">
        <v>49202</v>
      </c>
      <c r="D650" s="2396">
        <v>51130</v>
      </c>
      <c r="E650" s="2397" t="s">
        <v>319</v>
      </c>
      <c r="F650" s="2440" t="s">
        <v>1214</v>
      </c>
      <c r="G650" s="2440" t="s">
        <v>2050</v>
      </c>
      <c r="H650" s="2466">
        <v>48618</v>
      </c>
      <c r="I650" s="2470"/>
      <c r="J650" s="2466">
        <f t="shared" ref="J650:J655" si="335">H650+I650</f>
        <v>48618</v>
      </c>
      <c r="K650" s="2468">
        <f t="shared" ref="K650:K655" si="336">IF(H650=0," ",(J650-H650)/H650)</f>
        <v>0</v>
      </c>
      <c r="M650" s="2467">
        <v>48618</v>
      </c>
      <c r="N650" s="2467">
        <v>48618</v>
      </c>
      <c r="P650" s="2469"/>
      <c r="R650" s="2466">
        <v>48618</v>
      </c>
      <c r="S650" s="2466">
        <v>49616.61</v>
      </c>
      <c r="U650" s="2466">
        <v>48618</v>
      </c>
      <c r="V650" s="2470"/>
      <c r="W650" s="2466">
        <f t="shared" ref="W650:W655" si="337">U650+V650</f>
        <v>48618</v>
      </c>
      <c r="X650" s="2468">
        <f t="shared" ref="X650:X655" si="338">IF(U650=0," ",(W650-U650)/U650)</f>
        <v>0</v>
      </c>
      <c r="Z650" s="2467">
        <v>48618</v>
      </c>
      <c r="AA650" s="2467">
        <v>48618</v>
      </c>
      <c r="AC650" s="2469"/>
      <c r="AE650" s="2466">
        <v>48618</v>
      </c>
      <c r="AF650" s="2471">
        <v>50917.89</v>
      </c>
      <c r="AH650" s="2466">
        <v>48618</v>
      </c>
      <c r="AI650" s="2470">
        <v>4253</v>
      </c>
      <c r="AJ650" s="2466">
        <f t="shared" ref="AJ650:AJ655" si="339">AH650+AI650</f>
        <v>52871</v>
      </c>
      <c r="AK650" s="2468">
        <f t="shared" ref="AK650:AK655" si="340">IF(AH650=0," ",(AJ650-AH650)/AH650)</f>
        <v>8.7477888847751858E-2</v>
      </c>
      <c r="AM650" s="2467">
        <v>52871</v>
      </c>
      <c r="AN650" s="2467">
        <v>52871</v>
      </c>
      <c r="AP650" s="2469" t="s">
        <v>2051</v>
      </c>
      <c r="AR650" s="2466">
        <v>52871</v>
      </c>
      <c r="AS650" s="2466">
        <v>54537.49</v>
      </c>
      <c r="AT650" s="2466"/>
      <c r="AU650" s="2466">
        <v>52669</v>
      </c>
      <c r="AV650" s="2466">
        <v>52668.5</v>
      </c>
      <c r="AX650" s="2466">
        <v>52669</v>
      </c>
      <c r="AY650" s="2470"/>
      <c r="AZ650" s="2466">
        <f t="shared" ref="AZ650:AZ655" si="341">AX650+AY650</f>
        <v>52669</v>
      </c>
      <c r="BA650" s="2468">
        <f t="shared" ref="BA650:BA655" si="342">IF(AX650=0," ",(AZ650-AX650)/AX650)</f>
        <v>0</v>
      </c>
      <c r="BC650" s="2467">
        <v>52669</v>
      </c>
      <c r="BD650" s="2467">
        <v>52669</v>
      </c>
      <c r="BF650" s="2469"/>
      <c r="BH650" s="2467">
        <v>52669</v>
      </c>
      <c r="BI650" s="2466">
        <v>54208.88</v>
      </c>
      <c r="BM650" s="2466">
        <v>52669</v>
      </c>
      <c r="BN650" s="2470">
        <v>2677</v>
      </c>
      <c r="BO650" s="2472">
        <f t="shared" ref="BO650:BO655" si="343">BM650+BN650</f>
        <v>55346</v>
      </c>
      <c r="BP650" s="2473">
        <f t="shared" ref="BP650:BP655" si="344">IF(BM650=0," ",(BO650-BM650)/BM650)</f>
        <v>5.0826862101046158E-2</v>
      </c>
      <c r="BR650" s="2474">
        <v>55346</v>
      </c>
      <c r="BS650" s="2474">
        <v>55346</v>
      </c>
      <c r="BU650" s="2475" t="s">
        <v>1949</v>
      </c>
      <c r="BW650" s="2474">
        <v>55346</v>
      </c>
      <c r="BX650" s="2466">
        <v>26718.55</v>
      </c>
      <c r="BZ650" s="2474">
        <v>55346</v>
      </c>
      <c r="CA650" s="2470">
        <v>-212</v>
      </c>
      <c r="CB650" s="2472">
        <f t="shared" ref="CB650:CB655" si="345">BZ650+CA650</f>
        <v>55134</v>
      </c>
      <c r="CC650" s="2473">
        <f t="shared" ref="CC650:CC655" si="346">IF(BZ650=0," ",(CB650-BZ650)/BZ650)</f>
        <v>-3.8304484515592815E-3</v>
      </c>
      <c r="CE650" s="2474">
        <v>55134</v>
      </c>
      <c r="CF650" s="2476">
        <f t="shared" ref="CF650:CF658" si="347">IF(CB650=0," ",(CE650-CB650)/CB650)</f>
        <v>0</v>
      </c>
      <c r="CG650" s="2474">
        <v>55134</v>
      </c>
      <c r="CH650" s="2449" t="s">
        <v>1217</v>
      </c>
      <c r="CI650" s="2449"/>
      <c r="CJ650" s="2450"/>
      <c r="CK650" s="2450"/>
      <c r="CO650" s="2477">
        <v>2.9236932540963378E-2</v>
      </c>
      <c r="CP650" s="2478">
        <f t="shared" si="332"/>
        <v>1539.8799999999974</v>
      </c>
      <c r="CQ650" s="2478"/>
      <c r="CR650" s="2478"/>
      <c r="CS650" s="2478"/>
      <c r="CT650" s="2478"/>
    </row>
    <row r="651" spans="1:98" hidden="1" x14ac:dyDescent="0.2">
      <c r="A651" s="2395">
        <v>492</v>
      </c>
      <c r="B651" s="2440" t="s">
        <v>1214</v>
      </c>
      <c r="C651" s="2396">
        <v>49202</v>
      </c>
      <c r="D651" s="2396">
        <v>51131</v>
      </c>
      <c r="E651" s="2397" t="s">
        <v>319</v>
      </c>
      <c r="F651" s="2440" t="s">
        <v>1214</v>
      </c>
      <c r="G651" s="2440" t="s">
        <v>2052</v>
      </c>
      <c r="H651" s="2466">
        <v>42573</v>
      </c>
      <c r="I651" s="2470"/>
      <c r="J651" s="2466">
        <f t="shared" si="335"/>
        <v>42573</v>
      </c>
      <c r="K651" s="2468">
        <f t="shared" si="336"/>
        <v>0</v>
      </c>
      <c r="M651" s="2467">
        <v>42573</v>
      </c>
      <c r="N651" s="2467">
        <v>42573</v>
      </c>
      <c r="P651" s="2469"/>
      <c r="R651" s="2466">
        <v>42573</v>
      </c>
      <c r="S651" s="2466">
        <v>43474.3</v>
      </c>
      <c r="U651" s="2466">
        <v>42573</v>
      </c>
      <c r="V651" s="2470"/>
      <c r="W651" s="2466">
        <f t="shared" si="337"/>
        <v>42573</v>
      </c>
      <c r="X651" s="2468">
        <f t="shared" si="338"/>
        <v>0</v>
      </c>
      <c r="Z651" s="2467">
        <v>42573</v>
      </c>
      <c r="AA651" s="2467">
        <v>42573</v>
      </c>
      <c r="AC651" s="2469"/>
      <c r="AE651" s="2466">
        <v>42573</v>
      </c>
      <c r="AF651" s="2471">
        <v>44653.440000000002</v>
      </c>
      <c r="AH651" s="2466">
        <v>42573</v>
      </c>
      <c r="AI651" s="2470">
        <v>3859</v>
      </c>
      <c r="AJ651" s="2466">
        <f t="shared" si="339"/>
        <v>46432</v>
      </c>
      <c r="AK651" s="2468">
        <f t="shared" si="340"/>
        <v>9.0644305075987128E-2</v>
      </c>
      <c r="AM651" s="2467">
        <f>46432+40326</f>
        <v>86758</v>
      </c>
      <c r="AN651" s="2467">
        <f>46432+40326</f>
        <v>86758</v>
      </c>
      <c r="AP651" s="2469" t="s">
        <v>2051</v>
      </c>
      <c r="AR651" s="2466">
        <f>46432+40326</f>
        <v>86758</v>
      </c>
      <c r="AS651" s="2466">
        <v>87787.1</v>
      </c>
      <c r="AT651" s="2466"/>
      <c r="AU651" s="2466">
        <v>92509</v>
      </c>
      <c r="AV651" s="2466">
        <v>89768.08</v>
      </c>
      <c r="AX651" s="2466">
        <v>92509</v>
      </c>
      <c r="AY651" s="2470"/>
      <c r="AZ651" s="2466">
        <f t="shared" si="341"/>
        <v>92509</v>
      </c>
      <c r="BA651" s="2468">
        <f t="shared" si="342"/>
        <v>0</v>
      </c>
      <c r="BC651" s="2467">
        <v>92509</v>
      </c>
      <c r="BD651" s="2467">
        <v>92509</v>
      </c>
      <c r="BF651" s="2469"/>
      <c r="BH651" s="2467">
        <v>92509</v>
      </c>
      <c r="BI651" s="2466">
        <v>91455.93</v>
      </c>
      <c r="BM651" s="2466">
        <v>92509</v>
      </c>
      <c r="BN651" s="2470">
        <f>97211-BM651</f>
        <v>4702</v>
      </c>
      <c r="BO651" s="2472">
        <f t="shared" si="343"/>
        <v>97211</v>
      </c>
      <c r="BP651" s="2473">
        <f t="shared" si="344"/>
        <v>5.0827487055313536E-2</v>
      </c>
      <c r="BR651" s="2474">
        <v>97211</v>
      </c>
      <c r="BS651" s="2474">
        <v>97211</v>
      </c>
      <c r="BU651" s="2475" t="s">
        <v>2053</v>
      </c>
      <c r="BW651" s="2474">
        <v>97211</v>
      </c>
      <c r="BX651" s="2466">
        <v>31006.79</v>
      </c>
      <c r="BZ651" s="2474">
        <v>97211</v>
      </c>
      <c r="CA651" s="2470">
        <v>-373</v>
      </c>
      <c r="CB651" s="2472">
        <f t="shared" si="345"/>
        <v>96838</v>
      </c>
      <c r="CC651" s="2473">
        <f t="shared" si="346"/>
        <v>-3.8370143296540516E-3</v>
      </c>
      <c r="CE651" s="2474">
        <v>96838</v>
      </c>
      <c r="CF651" s="2476">
        <f t="shared" si="347"/>
        <v>0</v>
      </c>
      <c r="CG651" s="2474">
        <v>96838</v>
      </c>
      <c r="CH651" s="2449" t="s">
        <v>1217</v>
      </c>
      <c r="CI651" s="2449"/>
      <c r="CJ651" s="2450"/>
      <c r="CK651" s="2450"/>
      <c r="CO651" s="2477">
        <v>-1.1383432963279372E-2</v>
      </c>
      <c r="CP651" s="2478">
        <f t="shared" si="332"/>
        <v>-1053.070000000007</v>
      </c>
      <c r="CQ651" s="2478"/>
      <c r="CR651" s="2478"/>
      <c r="CS651" s="2478"/>
      <c r="CT651" s="2478"/>
    </row>
    <row r="652" spans="1:98" hidden="1" x14ac:dyDescent="0.2">
      <c r="A652" s="2395">
        <v>492</v>
      </c>
      <c r="B652" s="2440" t="s">
        <v>1214</v>
      </c>
      <c r="C652" s="2396">
        <v>49202</v>
      </c>
      <c r="D652" s="2396">
        <v>51140</v>
      </c>
      <c r="E652" s="2397" t="s">
        <v>319</v>
      </c>
      <c r="F652" s="2440" t="s">
        <v>1214</v>
      </c>
      <c r="G652" s="2440" t="s">
        <v>2054</v>
      </c>
      <c r="H652" s="2466">
        <v>38760</v>
      </c>
      <c r="I652" s="2470">
        <v>775</v>
      </c>
      <c r="J652" s="2466">
        <f t="shared" si="335"/>
        <v>39535</v>
      </c>
      <c r="K652" s="2468">
        <f t="shared" si="336"/>
        <v>1.999484004127967E-2</v>
      </c>
      <c r="M652" s="2467">
        <v>39535</v>
      </c>
      <c r="N652" s="2467">
        <v>39535</v>
      </c>
      <c r="P652" s="2469"/>
      <c r="R652" s="2466">
        <v>39535</v>
      </c>
      <c r="S652" s="2466">
        <v>38495.1</v>
      </c>
      <c r="U652" s="2466">
        <v>39535</v>
      </c>
      <c r="V652" s="2470">
        <v>791</v>
      </c>
      <c r="W652" s="2466">
        <f t="shared" si="337"/>
        <v>40326</v>
      </c>
      <c r="X652" s="2468">
        <f t="shared" si="338"/>
        <v>2.0007588212975845E-2</v>
      </c>
      <c r="Z652" s="2467">
        <v>40326</v>
      </c>
      <c r="AA652" s="2467">
        <v>40326</v>
      </c>
      <c r="AC652" s="2469"/>
      <c r="AE652" s="2466">
        <v>40326</v>
      </c>
      <c r="AF652" s="2471">
        <v>33531.42</v>
      </c>
      <c r="AH652" s="2466">
        <v>40326</v>
      </c>
      <c r="AI652" s="2470"/>
      <c r="AJ652" s="2466">
        <f t="shared" si="339"/>
        <v>40326</v>
      </c>
      <c r="AK652" s="2468">
        <f t="shared" si="340"/>
        <v>0</v>
      </c>
      <c r="AM652" s="2467"/>
      <c r="AN652" s="2467"/>
      <c r="AP652" s="2530" t="s">
        <v>2055</v>
      </c>
      <c r="AR652" s="2466">
        <v>0</v>
      </c>
      <c r="AS652" s="2466">
        <v>0</v>
      </c>
      <c r="AT652" s="2466"/>
      <c r="AU652" s="2466">
        <v>0</v>
      </c>
      <c r="AV652" s="2466">
        <v>0</v>
      </c>
      <c r="AX652" s="2466">
        <v>0</v>
      </c>
      <c r="AY652" s="2470"/>
      <c r="AZ652" s="2466">
        <f t="shared" si="341"/>
        <v>0</v>
      </c>
      <c r="BA652" s="2468" t="str">
        <f t="shared" si="342"/>
        <v xml:space="preserve"> </v>
      </c>
      <c r="BC652" s="2467">
        <v>0</v>
      </c>
      <c r="BD652" s="2467">
        <v>0</v>
      </c>
      <c r="BF652" s="2469"/>
      <c r="BH652" s="2467">
        <v>0</v>
      </c>
      <c r="BM652" s="2466">
        <v>0</v>
      </c>
      <c r="BN652" s="2470"/>
      <c r="BO652" s="2472">
        <f t="shared" si="343"/>
        <v>0</v>
      </c>
      <c r="BP652" s="2473" t="str">
        <f t="shared" si="344"/>
        <v xml:space="preserve"> </v>
      </c>
      <c r="BR652" s="2474">
        <v>0</v>
      </c>
      <c r="BS652" s="2474">
        <v>0</v>
      </c>
      <c r="BU652" s="2475"/>
      <c r="BW652" s="2474">
        <v>0</v>
      </c>
      <c r="BZ652" s="2474">
        <v>0</v>
      </c>
      <c r="CA652" s="2470"/>
      <c r="CB652" s="2472">
        <f t="shared" si="345"/>
        <v>0</v>
      </c>
      <c r="CC652" s="2473" t="str">
        <f t="shared" si="346"/>
        <v xml:space="preserve"> </v>
      </c>
      <c r="CE652" s="2474">
        <v>0</v>
      </c>
      <c r="CF652" s="2476" t="str">
        <f t="shared" si="347"/>
        <v xml:space="preserve"> </v>
      </c>
      <c r="CG652" s="2474">
        <v>0</v>
      </c>
      <c r="CH652" s="2449" t="s">
        <v>1217</v>
      </c>
      <c r="CI652" s="2449"/>
      <c r="CJ652" s="2450"/>
      <c r="CK652" s="2450"/>
      <c r="CP652" s="2478">
        <f t="shared" si="332"/>
        <v>0</v>
      </c>
      <c r="CQ652" s="2478"/>
      <c r="CR652" s="2478"/>
      <c r="CS652" s="2478"/>
      <c r="CT652" s="2478"/>
    </row>
    <row r="653" spans="1:98" hidden="1" x14ac:dyDescent="0.2">
      <c r="A653" s="2395">
        <v>492</v>
      </c>
      <c r="B653" s="2440" t="s">
        <v>1214</v>
      </c>
      <c r="C653" s="2396">
        <v>49202</v>
      </c>
      <c r="D653" s="2396">
        <v>51141</v>
      </c>
      <c r="E653" s="2397" t="s">
        <v>319</v>
      </c>
      <c r="F653" s="2440" t="s">
        <v>1214</v>
      </c>
      <c r="G653" s="2440" t="s">
        <v>2056</v>
      </c>
      <c r="H653" s="2466">
        <v>11678</v>
      </c>
      <c r="I653" s="2470">
        <v>516</v>
      </c>
      <c r="J653" s="2466">
        <f t="shared" si="335"/>
        <v>12194</v>
      </c>
      <c r="K653" s="2468">
        <f t="shared" si="336"/>
        <v>4.4185648227436203E-2</v>
      </c>
      <c r="M653" s="2467">
        <v>12194</v>
      </c>
      <c r="N653" s="2467">
        <v>12194</v>
      </c>
      <c r="P653" s="2469"/>
      <c r="R653" s="2466">
        <v>12194</v>
      </c>
      <c r="S653" s="2466">
        <v>10910.12</v>
      </c>
      <c r="U653" s="2466">
        <v>12194</v>
      </c>
      <c r="V653" s="2470">
        <v>583</v>
      </c>
      <c r="W653" s="2466">
        <f t="shared" si="337"/>
        <v>12777</v>
      </c>
      <c r="X653" s="2468">
        <f t="shared" si="338"/>
        <v>4.7810398556667216E-2</v>
      </c>
      <c r="Z653" s="2467">
        <v>12777</v>
      </c>
      <c r="AA653" s="2467">
        <v>12777</v>
      </c>
      <c r="AC653" s="2469" t="s">
        <v>1738</v>
      </c>
      <c r="AE653" s="2466">
        <v>12777</v>
      </c>
      <c r="AF653" s="2471">
        <v>12285</v>
      </c>
      <c r="AH653" s="2466">
        <v>12777</v>
      </c>
      <c r="AI653" s="2470">
        <v>753</v>
      </c>
      <c r="AJ653" s="2466">
        <f t="shared" si="339"/>
        <v>13530</v>
      </c>
      <c r="AK653" s="2468">
        <f t="shared" si="340"/>
        <v>5.8934022070908663E-2</v>
      </c>
      <c r="AM653" s="2467">
        <v>13530</v>
      </c>
      <c r="AN653" s="2467">
        <v>13530</v>
      </c>
      <c r="AP653" s="2469" t="s">
        <v>2057</v>
      </c>
      <c r="AR653" s="2466">
        <v>13530</v>
      </c>
      <c r="AS653" s="2466">
        <v>13310.21</v>
      </c>
      <c r="AT653" s="2466"/>
      <c r="AU653" s="2466">
        <v>13749</v>
      </c>
      <c r="AV653" s="2466">
        <v>20335.32</v>
      </c>
      <c r="AX653" s="2466">
        <v>13749</v>
      </c>
      <c r="AY653" s="2652">
        <v>13740</v>
      </c>
      <c r="AZ653" s="2466">
        <f t="shared" si="341"/>
        <v>27489</v>
      </c>
      <c r="BA653" s="2468">
        <f t="shared" si="342"/>
        <v>0.99934540693868645</v>
      </c>
      <c r="BC653" s="2467">
        <v>27489</v>
      </c>
      <c r="BD653" s="2467">
        <v>27489</v>
      </c>
      <c r="BF653" s="2511" t="s">
        <v>1954</v>
      </c>
      <c r="BH653" s="2467">
        <v>27489</v>
      </c>
      <c r="BI653" s="2466">
        <v>27516.03</v>
      </c>
      <c r="BM653" s="2466">
        <v>27489</v>
      </c>
      <c r="BN653" s="2470">
        <v>432</v>
      </c>
      <c r="BO653" s="2472">
        <f t="shared" si="343"/>
        <v>27921</v>
      </c>
      <c r="BP653" s="2473">
        <f t="shared" si="344"/>
        <v>1.5715377059914874E-2</v>
      </c>
      <c r="BR653" s="2474">
        <v>27921</v>
      </c>
      <c r="BS653" s="2474">
        <v>27921</v>
      </c>
      <c r="BU653" s="2512" t="s">
        <v>1955</v>
      </c>
      <c r="BW653" s="2474">
        <v>27921</v>
      </c>
      <c r="BX653" s="2466">
        <v>13508.28</v>
      </c>
      <c r="BZ653" s="2474">
        <v>27921</v>
      </c>
      <c r="CA653" s="2470">
        <v>0</v>
      </c>
      <c r="CB653" s="2472">
        <f t="shared" si="345"/>
        <v>27921</v>
      </c>
      <c r="CC653" s="2473">
        <f t="shared" si="346"/>
        <v>0</v>
      </c>
      <c r="CE653" s="2474">
        <v>28485</v>
      </c>
      <c r="CF653" s="2476">
        <f t="shared" si="347"/>
        <v>2.0199849575588267E-2</v>
      </c>
      <c r="CG653" s="2474">
        <v>28485</v>
      </c>
      <c r="CH653" s="2449" t="s">
        <v>1217</v>
      </c>
      <c r="CI653" s="2449"/>
      <c r="CJ653" s="2450"/>
      <c r="CK653" s="2450"/>
      <c r="CO653" s="2477">
        <v>9.8330241187372103E-4</v>
      </c>
      <c r="CP653" s="2478">
        <f t="shared" si="332"/>
        <v>27.029999999998836</v>
      </c>
      <c r="CQ653" s="2478"/>
      <c r="CR653" s="2478"/>
      <c r="CS653" s="2478"/>
      <c r="CT653" s="2478"/>
    </row>
    <row r="654" spans="1:98" hidden="1" x14ac:dyDescent="0.2">
      <c r="A654" s="2395">
        <v>492</v>
      </c>
      <c r="B654" s="2440" t="s">
        <v>1214</v>
      </c>
      <c r="C654" s="2396">
        <v>49202</v>
      </c>
      <c r="D654" s="2396">
        <v>51310</v>
      </c>
      <c r="E654" s="2397" t="s">
        <v>319</v>
      </c>
      <c r="F654" s="2440" t="s">
        <v>1214</v>
      </c>
      <c r="G654" s="2440" t="s">
        <v>2058</v>
      </c>
      <c r="H654" s="2466">
        <v>3595</v>
      </c>
      <c r="I654" s="2470"/>
      <c r="J654" s="2466">
        <f t="shared" si="335"/>
        <v>3595</v>
      </c>
      <c r="K654" s="2468">
        <f t="shared" si="336"/>
        <v>0</v>
      </c>
      <c r="M654" s="2467">
        <v>3595</v>
      </c>
      <c r="N654" s="2467">
        <v>3595</v>
      </c>
      <c r="P654" s="2469"/>
      <c r="R654" s="2466">
        <v>3595</v>
      </c>
      <c r="S654" s="2466">
        <v>2818.6</v>
      </c>
      <c r="U654" s="2466">
        <v>3595</v>
      </c>
      <c r="V654" s="2470"/>
      <c r="W654" s="2466">
        <f t="shared" si="337"/>
        <v>3595</v>
      </c>
      <c r="X654" s="2468">
        <f t="shared" si="338"/>
        <v>0</v>
      </c>
      <c r="Z654" s="2467">
        <v>3595</v>
      </c>
      <c r="AA654" s="2467">
        <v>3595</v>
      </c>
      <c r="AC654" s="2469"/>
      <c r="AE654" s="2466">
        <v>3595</v>
      </c>
      <c r="AF654" s="2471">
        <v>3024.68</v>
      </c>
      <c r="AH654" s="2466">
        <v>3595</v>
      </c>
      <c r="AI654" s="2470"/>
      <c r="AJ654" s="2466">
        <f t="shared" si="339"/>
        <v>3595</v>
      </c>
      <c r="AK654" s="2468">
        <f t="shared" si="340"/>
        <v>0</v>
      </c>
      <c r="AM654" s="2467">
        <v>3595</v>
      </c>
      <c r="AN654" s="2467">
        <v>3595</v>
      </c>
      <c r="AP654" s="2469"/>
      <c r="AR654" s="2466">
        <v>3595</v>
      </c>
      <c r="AS654" s="2466">
        <v>1298.99</v>
      </c>
      <c r="AT654" s="2466"/>
      <c r="AU654" s="2466">
        <v>3595</v>
      </c>
      <c r="AV654" s="2466">
        <v>1406.85</v>
      </c>
      <c r="AX654" s="2466">
        <v>3595</v>
      </c>
      <c r="AY654" s="2470"/>
      <c r="AZ654" s="2466">
        <f t="shared" si="341"/>
        <v>3595</v>
      </c>
      <c r="BA654" s="2468">
        <f t="shared" si="342"/>
        <v>0</v>
      </c>
      <c r="BC654" s="2467">
        <v>3595</v>
      </c>
      <c r="BD654" s="2467">
        <v>3595</v>
      </c>
      <c r="BF654" s="2469"/>
      <c r="BH654" s="2467">
        <v>3595</v>
      </c>
      <c r="BI654" s="2466">
        <v>2085.9299999999998</v>
      </c>
      <c r="BM654" s="2466">
        <v>3595</v>
      </c>
      <c r="BN654" s="2470">
        <v>54</v>
      </c>
      <c r="BO654" s="2472">
        <f t="shared" si="343"/>
        <v>3649</v>
      </c>
      <c r="BP654" s="2473">
        <f t="shared" si="344"/>
        <v>1.502086230876217E-2</v>
      </c>
      <c r="BR654" s="2474">
        <v>3649</v>
      </c>
      <c r="BS654" s="2474">
        <v>3649</v>
      </c>
      <c r="BU654" s="2475" t="s">
        <v>1949</v>
      </c>
      <c r="BW654" s="2474">
        <v>3649</v>
      </c>
      <c r="BX654" s="2466">
        <v>2657.47</v>
      </c>
      <c r="BZ654" s="2474">
        <v>3649</v>
      </c>
      <c r="CA654" s="2470"/>
      <c r="CB654" s="2472">
        <f t="shared" si="345"/>
        <v>3649</v>
      </c>
      <c r="CC654" s="2473">
        <f t="shared" si="346"/>
        <v>0</v>
      </c>
      <c r="CE654" s="2474">
        <v>3649</v>
      </c>
      <c r="CF654" s="2476">
        <f t="shared" si="347"/>
        <v>0</v>
      </c>
      <c r="CG654" s="2474">
        <v>3649</v>
      </c>
      <c r="CH654" s="2449" t="s">
        <v>1217</v>
      </c>
      <c r="CI654" s="2449"/>
      <c r="CJ654" s="2450"/>
      <c r="CK654" s="2450"/>
      <c r="CO654" s="2477">
        <v>-0.41976912378303199</v>
      </c>
      <c r="CP654" s="2478">
        <f t="shared" si="332"/>
        <v>-1509.0700000000002</v>
      </c>
      <c r="CQ654" s="2478"/>
      <c r="CR654" s="2478"/>
      <c r="CS654" s="2478"/>
      <c r="CT654" s="2478"/>
    </row>
    <row r="655" spans="1:98" hidden="1" x14ac:dyDescent="0.2">
      <c r="A655" s="2395">
        <v>492</v>
      </c>
      <c r="B655" s="2440" t="s">
        <v>1214</v>
      </c>
      <c r="C655" s="2396">
        <v>49202</v>
      </c>
      <c r="D655" s="2396">
        <v>51490</v>
      </c>
      <c r="E655" s="2397" t="s">
        <v>319</v>
      </c>
      <c r="F655" s="2440" t="s">
        <v>1214</v>
      </c>
      <c r="G655" s="2440" t="s">
        <v>2059</v>
      </c>
      <c r="H655" s="2466">
        <v>2250</v>
      </c>
      <c r="I655" s="2470"/>
      <c r="J655" s="2466">
        <f t="shared" si="335"/>
        <v>2250</v>
      </c>
      <c r="K655" s="2468">
        <f t="shared" si="336"/>
        <v>0</v>
      </c>
      <c r="M655" s="2467">
        <v>2250</v>
      </c>
      <c r="N655" s="2467">
        <v>2250</v>
      </c>
      <c r="P655" s="2469"/>
      <c r="R655" s="2466">
        <v>2250</v>
      </c>
      <c r="S655" s="2466">
        <v>2250</v>
      </c>
      <c r="U655" s="2466">
        <v>2250</v>
      </c>
      <c r="V655" s="2470">
        <v>250</v>
      </c>
      <c r="W655" s="2466">
        <f t="shared" si="337"/>
        <v>2500</v>
      </c>
      <c r="X655" s="2468">
        <f t="shared" si="338"/>
        <v>0.1111111111111111</v>
      </c>
      <c r="Z655" s="2467">
        <v>2500</v>
      </c>
      <c r="AA655" s="2467">
        <v>2500</v>
      </c>
      <c r="AC655" s="2469"/>
      <c r="AE655" s="2466">
        <v>2500</v>
      </c>
      <c r="AF655" s="2471">
        <v>2520</v>
      </c>
      <c r="AH655" s="2466">
        <v>2500</v>
      </c>
      <c r="AI655" s="2470"/>
      <c r="AJ655" s="2466">
        <f t="shared" si="339"/>
        <v>2500</v>
      </c>
      <c r="AK655" s="2468">
        <f t="shared" si="340"/>
        <v>0</v>
      </c>
      <c r="AM655" s="2467">
        <v>2500</v>
      </c>
      <c r="AN655" s="2467">
        <v>2500</v>
      </c>
      <c r="AP655" s="2469"/>
      <c r="AR655" s="2466">
        <v>2500</v>
      </c>
      <c r="AS655" s="2466">
        <v>2500</v>
      </c>
      <c r="AT655" s="2466"/>
      <c r="AU655" s="2466">
        <v>2500</v>
      </c>
      <c r="AV655" s="2466">
        <v>2500</v>
      </c>
      <c r="AX655" s="2466">
        <v>2500</v>
      </c>
      <c r="AY655" s="2470"/>
      <c r="AZ655" s="2466">
        <f t="shared" si="341"/>
        <v>2500</v>
      </c>
      <c r="BA655" s="2468">
        <f t="shared" si="342"/>
        <v>0</v>
      </c>
      <c r="BC655" s="2467">
        <v>2500</v>
      </c>
      <c r="BD655" s="2467">
        <v>2500</v>
      </c>
      <c r="BF655" s="2469"/>
      <c r="BH655" s="2467">
        <v>2500</v>
      </c>
      <c r="BI655" s="2466">
        <v>2750</v>
      </c>
      <c r="BM655" s="2466">
        <v>2500</v>
      </c>
      <c r="BN655" s="2470">
        <v>250</v>
      </c>
      <c r="BO655" s="2472">
        <f t="shared" si="343"/>
        <v>2750</v>
      </c>
      <c r="BP655" s="2473">
        <f t="shared" si="344"/>
        <v>0.1</v>
      </c>
      <c r="BR655" s="2474">
        <v>2750</v>
      </c>
      <c r="BS655" s="2474">
        <v>2750</v>
      </c>
      <c r="BU655" s="2475" t="s">
        <v>1949</v>
      </c>
      <c r="BW655" s="2474">
        <v>2750</v>
      </c>
      <c r="BX655" s="2466">
        <v>2750</v>
      </c>
      <c r="BZ655" s="2474">
        <v>2750</v>
      </c>
      <c r="CA655" s="2470">
        <v>-1350</v>
      </c>
      <c r="CB655" s="2472">
        <f t="shared" si="345"/>
        <v>1400</v>
      </c>
      <c r="CC655" s="2473">
        <f t="shared" si="346"/>
        <v>-0.49090909090909091</v>
      </c>
      <c r="CE655" s="2474">
        <v>1400</v>
      </c>
      <c r="CF655" s="2476">
        <f t="shared" si="347"/>
        <v>0</v>
      </c>
      <c r="CG655" s="2474">
        <v>1400</v>
      </c>
      <c r="CH655" s="2449" t="s">
        <v>1217</v>
      </c>
      <c r="CI655" s="2449"/>
      <c r="CJ655" s="2450"/>
      <c r="CK655" s="2450"/>
      <c r="CO655" s="2477">
        <v>0.10000000000000009</v>
      </c>
      <c r="CP655" s="2478">
        <f t="shared" si="332"/>
        <v>250</v>
      </c>
      <c r="CQ655" s="2478"/>
      <c r="CR655" s="2478"/>
      <c r="CS655" s="2478"/>
      <c r="CT655" s="2478"/>
    </row>
    <row r="656" spans="1:98" hidden="1" x14ac:dyDescent="0.2">
      <c r="A656" s="2395">
        <v>492</v>
      </c>
      <c r="B656" s="2440" t="s">
        <v>1214</v>
      </c>
      <c r="C656" s="2396">
        <v>49202</v>
      </c>
      <c r="D656" s="2396">
        <v>51920</v>
      </c>
      <c r="E656" s="2397" t="s">
        <v>319</v>
      </c>
      <c r="F656" s="2440" t="s">
        <v>1214</v>
      </c>
      <c r="G656" s="2587" t="s">
        <v>2060</v>
      </c>
      <c r="H656" s="2466">
        <v>3200</v>
      </c>
      <c r="I656" s="2470"/>
      <c r="J656" s="2466">
        <f>H656+I656</f>
        <v>3200</v>
      </c>
      <c r="K656" s="2468">
        <f>IF(H656=0," ",(J656-H656)/H656)</f>
        <v>0</v>
      </c>
      <c r="M656" s="2467">
        <v>3200</v>
      </c>
      <c r="N656" s="2467">
        <v>3200</v>
      </c>
      <c r="P656" s="2469"/>
      <c r="R656" s="2466">
        <v>3200</v>
      </c>
      <c r="S656" s="2466">
        <v>2730</v>
      </c>
      <c r="U656" s="2466">
        <v>3200</v>
      </c>
      <c r="V656" s="2470"/>
      <c r="W656" s="2466">
        <f>U656+V656</f>
        <v>3200</v>
      </c>
      <c r="X656" s="2468">
        <f>IF(U656=0," ",(W656-U656)/U656)</f>
        <v>0</v>
      </c>
      <c r="Z656" s="2467">
        <v>3200</v>
      </c>
      <c r="AA656" s="2467">
        <v>3200</v>
      </c>
      <c r="AC656" s="2469"/>
      <c r="AE656" s="2466">
        <v>3200</v>
      </c>
      <c r="AF656" s="2471">
        <v>3567.31</v>
      </c>
      <c r="AH656" s="2466">
        <v>3200</v>
      </c>
      <c r="AI656" s="2470">
        <v>2730</v>
      </c>
      <c r="AJ656" s="2466">
        <f>AH656+AI656</f>
        <v>5930</v>
      </c>
      <c r="AK656" s="2468">
        <f>IF(AH656=0," ",(AJ656-AH656)/AH656)</f>
        <v>0.85312500000000002</v>
      </c>
      <c r="AM656" s="2467">
        <v>2730</v>
      </c>
      <c r="AN656" s="2467">
        <v>2730</v>
      </c>
      <c r="AP656" s="2626" t="s">
        <v>2061</v>
      </c>
      <c r="AR656" s="2466">
        <v>2730</v>
      </c>
      <c r="AS656" s="2466">
        <v>2730</v>
      </c>
      <c r="AT656" s="2466"/>
      <c r="AU656" s="2466">
        <v>3640</v>
      </c>
      <c r="AV656" s="2466">
        <v>3640</v>
      </c>
      <c r="AX656" s="2466">
        <v>3640</v>
      </c>
      <c r="AY656" s="2470"/>
      <c r="AZ656" s="2466">
        <f>AX656+AY656</f>
        <v>3640</v>
      </c>
      <c r="BA656" s="2468">
        <f>IF(AX656=0," ",(AZ656-AX656)/AX656)</f>
        <v>0</v>
      </c>
      <c r="BC656" s="2467">
        <v>3640</v>
      </c>
      <c r="BD656" s="2467">
        <v>3640</v>
      </c>
      <c r="BF656" s="2469"/>
      <c r="BH656" s="2467">
        <v>3640</v>
      </c>
      <c r="BI656" s="2466">
        <v>2730</v>
      </c>
      <c r="BM656" s="2466">
        <v>3640</v>
      </c>
      <c r="BN656" s="2470">
        <v>-240</v>
      </c>
      <c r="BO656" s="2472">
        <f>BM656+BN656</f>
        <v>3400</v>
      </c>
      <c r="BP656" s="2473">
        <f>IF(BM656=0," ",(BO656-BM656)/BM656)</f>
        <v>-6.5934065934065936E-2</v>
      </c>
      <c r="BR656" s="2474">
        <v>3400</v>
      </c>
      <c r="BS656" s="2474">
        <v>3400</v>
      </c>
      <c r="BU656" s="2475" t="s">
        <v>1949</v>
      </c>
      <c r="BW656" s="2474">
        <v>3400</v>
      </c>
      <c r="BX656" s="2466">
        <v>2400</v>
      </c>
      <c r="BZ656" s="2474">
        <v>3400</v>
      </c>
      <c r="CA656" s="2470"/>
      <c r="CB656" s="2472">
        <f>BZ656+CA656</f>
        <v>3400</v>
      </c>
      <c r="CC656" s="2473">
        <f>IF(BZ656=0," ",(CB656-BZ656)/BZ656)</f>
        <v>0</v>
      </c>
      <c r="CE656" s="2474">
        <v>3400</v>
      </c>
      <c r="CF656" s="2476">
        <f t="shared" si="347"/>
        <v>0</v>
      </c>
      <c r="CG656" s="2474">
        <v>3400</v>
      </c>
      <c r="CH656" s="2449" t="s">
        <v>1217</v>
      </c>
      <c r="CI656" s="2449"/>
      <c r="CJ656" s="2450"/>
      <c r="CK656" s="2450"/>
      <c r="CO656" s="2477">
        <v>-0.25</v>
      </c>
      <c r="CP656" s="2478">
        <f t="shared" si="332"/>
        <v>-910</v>
      </c>
      <c r="CQ656" s="2478"/>
      <c r="CR656" s="2478"/>
      <c r="CS656" s="2478"/>
      <c r="CT656" s="2478"/>
    </row>
    <row r="657" spans="1:98" hidden="1" x14ac:dyDescent="0.2">
      <c r="A657" s="2395">
        <v>492</v>
      </c>
      <c r="B657" s="2440" t="s">
        <v>1214</v>
      </c>
      <c r="C657" s="2396">
        <v>49202</v>
      </c>
      <c r="D657" s="2396">
        <v>51970</v>
      </c>
      <c r="E657" s="2397" t="s">
        <v>319</v>
      </c>
      <c r="F657" s="2440" t="s">
        <v>1214</v>
      </c>
      <c r="G657" s="2440" t="s">
        <v>2062</v>
      </c>
      <c r="H657" s="2466">
        <v>200</v>
      </c>
      <c r="I657" s="2470"/>
      <c r="J657" s="2466">
        <f>H657+I657</f>
        <v>200</v>
      </c>
      <c r="K657" s="2468">
        <f>IF(H657=0," ",(J657-H657)/H657)</f>
        <v>0</v>
      </c>
      <c r="M657" s="2467">
        <v>200</v>
      </c>
      <c r="N657" s="2467">
        <v>200</v>
      </c>
      <c r="P657" s="2469"/>
      <c r="R657" s="2466">
        <v>200</v>
      </c>
      <c r="S657" s="2466">
        <v>40</v>
      </c>
      <c r="U657" s="2466">
        <v>200</v>
      </c>
      <c r="V657" s="2470"/>
      <c r="W657" s="2466">
        <f>U657+V657</f>
        <v>200</v>
      </c>
      <c r="X657" s="2468">
        <f>IF(U657=0," ",(W657-U657)/U657)</f>
        <v>0</v>
      </c>
      <c r="Z657" s="2467">
        <v>200</v>
      </c>
      <c r="AA657" s="2467">
        <v>200</v>
      </c>
      <c r="AC657" s="2469"/>
      <c r="AE657" s="2466">
        <v>200</v>
      </c>
      <c r="AF657" s="2471">
        <v>30</v>
      </c>
      <c r="AH657" s="2466">
        <v>200</v>
      </c>
      <c r="AI657" s="2470"/>
      <c r="AJ657" s="2466">
        <f>AH657+AI657</f>
        <v>200</v>
      </c>
      <c r="AK657" s="2468">
        <f>IF(AH657=0," ",(AJ657-AH657)/AH657)</f>
        <v>0</v>
      </c>
      <c r="AM657" s="2467">
        <v>200</v>
      </c>
      <c r="AN657" s="2467">
        <v>200</v>
      </c>
      <c r="AP657" s="2469"/>
      <c r="AR657" s="2466">
        <v>200</v>
      </c>
      <c r="AS657" s="2466">
        <v>20</v>
      </c>
      <c r="AT657" s="2466"/>
      <c r="AU657" s="2466">
        <v>200</v>
      </c>
      <c r="AV657" s="2466">
        <v>40</v>
      </c>
      <c r="AX657" s="2466">
        <v>200</v>
      </c>
      <c r="AY657" s="2470"/>
      <c r="AZ657" s="2466">
        <f>AX657+AY657</f>
        <v>200</v>
      </c>
      <c r="BA657" s="2468">
        <f>IF(AX657=0," ",(AZ657-AX657)/AX657)</f>
        <v>0</v>
      </c>
      <c r="BC657" s="2467">
        <v>200</v>
      </c>
      <c r="BD657" s="2467">
        <v>200</v>
      </c>
      <c r="BF657" s="2469"/>
      <c r="BH657" s="2467">
        <v>200</v>
      </c>
      <c r="BI657" s="2466">
        <v>10</v>
      </c>
      <c r="BM657" s="2466">
        <v>200</v>
      </c>
      <c r="BN657" s="2470">
        <v>-200</v>
      </c>
      <c r="BO657" s="2472">
        <f>BM657+BN657</f>
        <v>0</v>
      </c>
      <c r="BP657" s="2473">
        <f>IF(BM657=0," ",(BO657-BM657)/BM657)</f>
        <v>-1</v>
      </c>
      <c r="BR657" s="2474">
        <v>0</v>
      </c>
      <c r="BS657" s="2474">
        <v>0</v>
      </c>
      <c r="BU657" s="2475" t="s">
        <v>1962</v>
      </c>
      <c r="BW657" s="2474">
        <v>0</v>
      </c>
      <c r="BZ657" s="2474">
        <v>0</v>
      </c>
      <c r="CA657" s="2470"/>
      <c r="CB657" s="2472">
        <f>BZ657+CA657</f>
        <v>0</v>
      </c>
      <c r="CC657" s="2473" t="str">
        <f>IF(BZ657=0," ",(CB657-BZ657)/BZ657)</f>
        <v xml:space="preserve"> </v>
      </c>
      <c r="CE657" s="2474">
        <v>0</v>
      </c>
      <c r="CF657" s="2476" t="str">
        <f t="shared" si="347"/>
        <v xml:space="preserve"> </v>
      </c>
      <c r="CG657" s="2474">
        <v>0</v>
      </c>
      <c r="CH657" s="2449" t="s">
        <v>1217</v>
      </c>
      <c r="CI657" s="2449"/>
      <c r="CJ657" s="2450"/>
      <c r="CK657" s="2450"/>
      <c r="CO657" s="2477">
        <v>-0.95</v>
      </c>
      <c r="CP657" s="2478">
        <f t="shared" si="332"/>
        <v>-190</v>
      </c>
      <c r="CQ657" s="2478"/>
      <c r="CR657" s="2478"/>
      <c r="CS657" s="2478"/>
      <c r="CT657" s="2478"/>
    </row>
    <row r="658" spans="1:98" hidden="1" x14ac:dyDescent="0.2">
      <c r="H658" s="2560">
        <f>SUM(H650:H657)</f>
        <v>150874</v>
      </c>
      <c r="I658" s="2560">
        <f>SUM(I650:I657)</f>
        <v>1291</v>
      </c>
      <c r="J658" s="2560">
        <f>SUM(J650:J657)</f>
        <v>152165</v>
      </c>
      <c r="K658" s="2561">
        <f>IF(H658=0," ",(J658-H658)/H658)</f>
        <v>8.5568089929345011E-3</v>
      </c>
      <c r="M658" s="2560">
        <f>SUM(M650:M657)</f>
        <v>152165</v>
      </c>
      <c r="N658" s="2560">
        <f>SUM(N650:N657)</f>
        <v>152165</v>
      </c>
      <c r="P658" s="2562">
        <f>SUM(P650:P655)</f>
        <v>0</v>
      </c>
      <c r="R658" s="2560">
        <f>SUM(R650:R657)</f>
        <v>152165</v>
      </c>
      <c r="S658" s="2560">
        <f>SUM(S650:S657)</f>
        <v>150334.73000000001</v>
      </c>
      <c r="U658" s="2560">
        <f>SUM(U650:U657)</f>
        <v>152165</v>
      </c>
      <c r="V658" s="2560">
        <f>SUM(V650:V657)</f>
        <v>1624</v>
      </c>
      <c r="W658" s="2560">
        <f>SUM(W650:W657)</f>
        <v>153789</v>
      </c>
      <c r="X658" s="2561">
        <f>IF(U658=0," ",(W658-U658)/U658)</f>
        <v>1.0672625110899352E-2</v>
      </c>
      <c r="Z658" s="2560">
        <f>SUM(Z650:Z657)</f>
        <v>153789</v>
      </c>
      <c r="AA658" s="2560">
        <f>SUM(AA650:AA657)</f>
        <v>153789</v>
      </c>
      <c r="AC658" s="2562"/>
      <c r="AE658" s="2560">
        <f>SUM(AE650:AE657)</f>
        <v>153789</v>
      </c>
      <c r="AF658" s="2560">
        <f>SUM(AF650:AF657)</f>
        <v>150529.74</v>
      </c>
      <c r="AH658" s="2560">
        <f>SUM(AH650:AH657)</f>
        <v>153789</v>
      </c>
      <c r="AI658" s="2560">
        <f>SUM(AI650:AI657)</f>
        <v>11595</v>
      </c>
      <c r="AJ658" s="2560">
        <f>SUM(AJ650:AJ657)</f>
        <v>165384</v>
      </c>
      <c r="AK658" s="2561">
        <f>IF(AH658=0," ",(AJ658-AH658)/AH658)</f>
        <v>7.5395509431753896E-2</v>
      </c>
      <c r="AM658" s="2560">
        <f>SUM(AM650:AM657)</f>
        <v>162184</v>
      </c>
      <c r="AN658" s="2560">
        <f>SUM(AN650:AN657)</f>
        <v>162184</v>
      </c>
      <c r="AP658" s="2562"/>
      <c r="AR658" s="2560">
        <f>SUM(AR650:AR657)</f>
        <v>162184</v>
      </c>
      <c r="AS658" s="2560">
        <f>SUM(AS650:AS657)</f>
        <v>162183.78999999998</v>
      </c>
      <c r="AT658" s="2560"/>
      <c r="AU658" s="2560">
        <f>SUM(AU650:AU657)</f>
        <v>168862</v>
      </c>
      <c r="AV658" s="2560">
        <f>SUM(AV650:AV657)</f>
        <v>170358.75000000003</v>
      </c>
      <c r="AX658" s="2560">
        <f>SUM(AX650:AX657)</f>
        <v>168862</v>
      </c>
      <c r="AY658" s="2560">
        <f>SUM(AY650:AY657)</f>
        <v>13740</v>
      </c>
      <c r="AZ658" s="2560">
        <f>SUM(AZ650:AZ657)</f>
        <v>182602</v>
      </c>
      <c r="BA658" s="2561">
        <f>IF(AX658=0," ",(AZ658-AX658)/AX658)</f>
        <v>8.136821783468158E-2</v>
      </c>
      <c r="BC658" s="2560">
        <f>SUM(BC650:BC657)</f>
        <v>182602</v>
      </c>
      <c r="BD658" s="2560">
        <f>SUM(BD650:BD657)</f>
        <v>182602</v>
      </c>
      <c r="BF658" s="2562"/>
      <c r="BH658" s="2560">
        <f>SUM(BH650:BH657)</f>
        <v>182602</v>
      </c>
      <c r="BI658" s="2560">
        <f>SUM(BI650:BI657)</f>
        <v>180756.77</v>
      </c>
      <c r="BM658" s="2560">
        <f>SUM(BM650:BM657)</f>
        <v>182602</v>
      </c>
      <c r="BN658" s="2560">
        <f>SUM(BN650:BN657)</f>
        <v>7675</v>
      </c>
      <c r="BO658" s="2564">
        <f>SUM(BO650:BO657)</f>
        <v>190277</v>
      </c>
      <c r="BP658" s="2565">
        <f>IF(BM658=0," ",(BO658-BM658)/BM658)</f>
        <v>4.2031303052540499E-2</v>
      </c>
      <c r="BR658" s="2564">
        <f>SUM(BR650:BR657)</f>
        <v>190277</v>
      </c>
      <c r="BS658" s="2564">
        <f>SUM(BS650:BS657)</f>
        <v>190277</v>
      </c>
      <c r="BU658" s="2566"/>
      <c r="BW658" s="2564">
        <f>SUM(BW650:BW657)</f>
        <v>190277</v>
      </c>
      <c r="BX658" s="2560">
        <f>SUM(BX650:BX657)</f>
        <v>79041.09</v>
      </c>
      <c r="BZ658" s="2564">
        <f>SUM(BZ650:BZ657)</f>
        <v>190277</v>
      </c>
      <c r="CA658" s="2564">
        <f>SUM(CA650:CA657)</f>
        <v>-1935</v>
      </c>
      <c r="CB658" s="2564">
        <f>SUM(CB650:CB657)</f>
        <v>188342</v>
      </c>
      <c r="CC658" s="2565">
        <f>IF(BZ658=0," ",(CB658-BZ658)/BZ658)</f>
        <v>-1.0169384633980986E-2</v>
      </c>
      <c r="CE658" s="2564">
        <f>SUM(CE650:CE657)</f>
        <v>188906</v>
      </c>
      <c r="CF658" s="2565">
        <f t="shared" si="347"/>
        <v>2.9945524630724959E-3</v>
      </c>
      <c r="CG658" s="2564">
        <f>SUM(CG650:CG657)</f>
        <v>188906</v>
      </c>
      <c r="CH658" s="2449" t="s">
        <v>1243</v>
      </c>
      <c r="CI658" s="2449"/>
      <c r="CJ658" s="2450"/>
      <c r="CK658" s="2450"/>
      <c r="CO658" s="2477">
        <v>-1.0105201476435122E-2</v>
      </c>
      <c r="CP658" s="2478">
        <f t="shared" si="332"/>
        <v>-1845.2300000000105</v>
      </c>
      <c r="CQ658" s="2478"/>
      <c r="CR658" s="2478"/>
      <c r="CS658" s="2478"/>
      <c r="CT658" s="2478"/>
    </row>
    <row r="659" spans="1:98" hidden="1" x14ac:dyDescent="0.2">
      <c r="AS659" s="2466"/>
      <c r="AT659" s="2466"/>
      <c r="BZ659" s="2472"/>
      <c r="CH659" s="2449" t="s">
        <v>1091</v>
      </c>
      <c r="CI659" s="2449"/>
      <c r="CJ659" s="2450"/>
      <c r="CK659" s="2450"/>
      <c r="CP659" s="2478">
        <f t="shared" si="332"/>
        <v>0</v>
      </c>
      <c r="CQ659" s="2478"/>
      <c r="CR659" s="2478"/>
      <c r="CS659" s="2478"/>
      <c r="CT659" s="2478"/>
    </row>
    <row r="660" spans="1:98" s="2485" customFormat="1" hidden="1" x14ac:dyDescent="0.2">
      <c r="A660" s="2532"/>
      <c r="B660" s="2533"/>
      <c r="C660" s="2534"/>
      <c r="D660" s="2534"/>
      <c r="E660" s="2535"/>
      <c r="F660" s="2533"/>
      <c r="G660" s="2654" t="s">
        <v>2063</v>
      </c>
      <c r="H660" s="2536">
        <f>H648+H658</f>
        <v>233660</v>
      </c>
      <c r="I660" s="2536">
        <f>I648+I658</f>
        <v>4775</v>
      </c>
      <c r="J660" s="2536">
        <f>J648+J658</f>
        <v>238435</v>
      </c>
      <c r="K660" s="2484">
        <f>IF(H660=0," ",(J660-H660)/H660)</f>
        <v>2.0435675768210221E-2</v>
      </c>
      <c r="M660" s="2536">
        <f>M648+M658</f>
        <v>238435</v>
      </c>
      <c r="N660" s="2536">
        <f>N648+N658</f>
        <v>238435</v>
      </c>
      <c r="P660" s="2537">
        <f>P648+P658</f>
        <v>0</v>
      </c>
      <c r="R660" s="2536">
        <f>R648+R658</f>
        <v>238435</v>
      </c>
      <c r="S660" s="2536">
        <f>S648+S658</f>
        <v>234431.93</v>
      </c>
      <c r="U660" s="2536">
        <f>U648+U658</f>
        <v>238435</v>
      </c>
      <c r="V660" s="2536">
        <f>V648+V658</f>
        <v>3404</v>
      </c>
      <c r="W660" s="2536">
        <f>W648+W658</f>
        <v>241839</v>
      </c>
      <c r="X660" s="2484">
        <f>IF(U660=0," ",(W660-U660)/U660)</f>
        <v>1.4276427537903412E-2</v>
      </c>
      <c r="Z660" s="2536">
        <f>Z648+Z658</f>
        <v>241839</v>
      </c>
      <c r="AA660" s="2536">
        <f>AA648+AA658</f>
        <v>241839</v>
      </c>
      <c r="AC660" s="2537"/>
      <c r="AE660" s="2536">
        <f>AE648+AE658</f>
        <v>241839</v>
      </c>
      <c r="AF660" s="2538">
        <f>AF648+AF658</f>
        <v>238578.94</v>
      </c>
      <c r="AH660" s="2536">
        <f>AH648+AH658</f>
        <v>241839</v>
      </c>
      <c r="AI660" s="2536">
        <f>AI648+AI658</f>
        <v>16430</v>
      </c>
      <c r="AJ660" s="2536">
        <f>AJ648+AJ658</f>
        <v>258269</v>
      </c>
      <c r="AK660" s="2484">
        <f>IF(AH660=0," ",(AJ660-AH660)/AH660)</f>
        <v>6.7937760245452547E-2</v>
      </c>
      <c r="AM660" s="2536">
        <f>AM648+AM658</f>
        <v>255069</v>
      </c>
      <c r="AN660" s="2536">
        <f>AN648+AN658</f>
        <v>255069</v>
      </c>
      <c r="AP660" s="2537"/>
      <c r="AR660" s="2536">
        <f>AR648+AR658</f>
        <v>255069</v>
      </c>
      <c r="AS660" s="2536">
        <f>AS648+AS658</f>
        <v>255067.87</v>
      </c>
      <c r="AT660" s="2536"/>
      <c r="AU660" s="2536">
        <f>AU648+AU658</f>
        <v>263904</v>
      </c>
      <c r="AV660" s="2536">
        <f>AV648+AV658</f>
        <v>222885.03000000003</v>
      </c>
      <c r="AX660" s="2536">
        <f>AX648+AX658</f>
        <v>263904</v>
      </c>
      <c r="AY660" s="2536">
        <f>AY648+AY658</f>
        <v>-37863</v>
      </c>
      <c r="AZ660" s="2536">
        <f>AZ648+AZ658</f>
        <v>226041</v>
      </c>
      <c r="BA660" s="2484">
        <f>IF(AX660=0," ",(AZ660-AX660)/AX660)</f>
        <v>-0.14347262640960348</v>
      </c>
      <c r="BC660" s="2536">
        <f>BC648+BC658</f>
        <v>226041</v>
      </c>
      <c r="BD660" s="2536">
        <f>BD648+BD658</f>
        <v>226041</v>
      </c>
      <c r="BF660" s="2537"/>
      <c r="BH660" s="2536">
        <f>BH648+BH658</f>
        <v>226041</v>
      </c>
      <c r="BI660" s="2536">
        <f>BI648+BI658</f>
        <v>224143.37</v>
      </c>
      <c r="BJ660" s="2536"/>
      <c r="BK660" s="2536"/>
      <c r="BM660" s="2536">
        <f>BM648+BM658</f>
        <v>226041</v>
      </c>
      <c r="BN660" s="2539">
        <f>BN648+BN658</f>
        <v>8944</v>
      </c>
      <c r="BO660" s="2540">
        <f>BO648+BO658</f>
        <v>234985</v>
      </c>
      <c r="BP660" s="2490">
        <f>IF(BM660=0," ",(BO660-BM660)/BM660)</f>
        <v>3.956804296565667E-2</v>
      </c>
      <c r="BQ660" s="2491"/>
      <c r="BR660" s="2540">
        <f>BR648+BR658</f>
        <v>234985</v>
      </c>
      <c r="BS660" s="2540">
        <f>BS648+BS658</f>
        <v>234985</v>
      </c>
      <c r="BT660" s="2491"/>
      <c r="BU660" s="2541"/>
      <c r="BV660" s="2491"/>
      <c r="BW660" s="2540">
        <f>BW648+BW658</f>
        <v>234985</v>
      </c>
      <c r="BX660" s="2536">
        <f>BX648+BX658</f>
        <v>100800.09</v>
      </c>
      <c r="BZ660" s="2540">
        <f>BZ648+BZ658</f>
        <v>234985</v>
      </c>
      <c r="CA660" s="2540">
        <f>CA648+CA658</f>
        <v>-2147</v>
      </c>
      <c r="CB660" s="2540">
        <f>CB648+CB658</f>
        <v>232838</v>
      </c>
      <c r="CC660" s="2490">
        <f>IF(BZ660=0," ",(CB660-BZ660)/BZ660)</f>
        <v>-9.1367534097921144E-3</v>
      </c>
      <c r="CD660" s="2491"/>
      <c r="CE660" s="2540">
        <f>CE648+CE658</f>
        <v>235524</v>
      </c>
      <c r="CF660" s="2490">
        <f>IF(CB660=0," ",(CE660-CB660)/CB660)</f>
        <v>1.1535917676667898E-2</v>
      </c>
      <c r="CG660" s="2540">
        <f>CG648+CG658</f>
        <v>235524</v>
      </c>
      <c r="CH660" s="2449" t="s">
        <v>1220</v>
      </c>
      <c r="CI660" s="2449"/>
      <c r="CJ660" s="2450"/>
      <c r="CK660" s="2450"/>
      <c r="CL660" s="2451"/>
      <c r="CM660" s="2451"/>
      <c r="CN660" s="2451"/>
      <c r="CO660" s="2477">
        <v>-8.3950699209435209E-3</v>
      </c>
      <c r="CP660" s="2478">
        <f t="shared" si="332"/>
        <v>-1897.6300000000047</v>
      </c>
      <c r="CQ660" s="2478"/>
      <c r="CR660" s="2478"/>
      <c r="CS660" s="2478"/>
      <c r="CT660" s="2478"/>
    </row>
    <row r="661" spans="1:98" s="2485" customFormat="1" hidden="1" x14ac:dyDescent="0.2">
      <c r="A661" s="2328"/>
      <c r="C661" s="2329"/>
      <c r="D661" s="2329"/>
      <c r="E661" s="2330"/>
      <c r="G661" s="2672"/>
      <c r="H661" s="2549"/>
      <c r="I661" s="2549"/>
      <c r="J661" s="2549"/>
      <c r="K661" s="2550"/>
      <c r="M661" s="2549"/>
      <c r="N661" s="2549"/>
      <c r="P661" s="2551"/>
      <c r="R661" s="2549"/>
      <c r="S661" s="2549"/>
      <c r="U661" s="2549"/>
      <c r="V661" s="2549"/>
      <c r="W661" s="2549"/>
      <c r="X661" s="2550"/>
      <c r="Z661" s="2549"/>
      <c r="AA661" s="2549"/>
      <c r="AC661" s="2551"/>
      <c r="AE661" s="2549"/>
      <c r="AF661" s="2552"/>
      <c r="AH661" s="2549"/>
      <c r="AI661" s="2549"/>
      <c r="AJ661" s="2549"/>
      <c r="AK661" s="2550"/>
      <c r="AM661" s="2549"/>
      <c r="AN661" s="2549"/>
      <c r="AP661" s="2551"/>
      <c r="AR661" s="2549"/>
      <c r="AS661" s="2549"/>
      <c r="AT661" s="2549"/>
      <c r="AU661" s="2549"/>
      <c r="AV661" s="2549"/>
      <c r="AX661" s="2549"/>
      <c r="AY661" s="2549"/>
      <c r="AZ661" s="2549"/>
      <c r="BA661" s="2550"/>
      <c r="BC661" s="2549"/>
      <c r="BD661" s="2549"/>
      <c r="BF661" s="2551"/>
      <c r="BH661" s="2549"/>
      <c r="BI661" s="2549"/>
      <c r="BJ661" s="2549"/>
      <c r="BK661" s="2549"/>
      <c r="BM661" s="2549"/>
      <c r="BN661" s="2466"/>
      <c r="BO661" s="2553"/>
      <c r="BP661" s="2554"/>
      <c r="BQ661" s="2491"/>
      <c r="BR661" s="2553"/>
      <c r="BS661" s="2553"/>
      <c r="BT661" s="2491"/>
      <c r="BU661" s="2555"/>
      <c r="BV661" s="2491"/>
      <c r="BW661" s="2553"/>
      <c r="BX661" s="2549"/>
      <c r="BZ661" s="2553"/>
      <c r="CA661" s="2466"/>
      <c r="CB661" s="2553"/>
      <c r="CC661" s="2554"/>
      <c r="CD661" s="2491"/>
      <c r="CE661" s="2553"/>
      <c r="CF661" s="2554"/>
      <c r="CG661" s="2553"/>
      <c r="CH661" s="2449" t="s">
        <v>1091</v>
      </c>
      <c r="CI661" s="2449"/>
      <c r="CJ661" s="2450"/>
      <c r="CK661" s="2450"/>
      <c r="CL661" s="2451"/>
      <c r="CM661" s="2451"/>
      <c r="CN661" s="2451"/>
      <c r="CO661" s="2477"/>
      <c r="CP661" s="2478">
        <f t="shared" si="332"/>
        <v>0</v>
      </c>
      <c r="CQ661" s="2478"/>
      <c r="CR661" s="2478"/>
      <c r="CS661" s="2478"/>
      <c r="CT661" s="2478"/>
    </row>
    <row r="662" spans="1:98" hidden="1" x14ac:dyDescent="0.2">
      <c r="A662" s="2395">
        <v>492</v>
      </c>
      <c r="B662" s="2440" t="s">
        <v>1214</v>
      </c>
      <c r="C662" s="2396">
        <v>49205</v>
      </c>
      <c r="D662" s="2396">
        <v>52100</v>
      </c>
      <c r="E662" s="2397" t="s">
        <v>1268</v>
      </c>
      <c r="F662" s="2440" t="s">
        <v>1214</v>
      </c>
      <c r="G662" s="2440" t="s">
        <v>2064</v>
      </c>
      <c r="H662" s="2466">
        <v>10500</v>
      </c>
      <c r="I662" s="2470"/>
      <c r="J662" s="2466">
        <f t="shared" ref="J662:J689" si="348">H662+I662</f>
        <v>10500</v>
      </c>
      <c r="K662" s="2468">
        <f t="shared" ref="K662:K689" si="349">IF(H662=0," ",(J662-H662)/H662)</f>
        <v>0</v>
      </c>
      <c r="M662" s="2467">
        <v>10500</v>
      </c>
      <c r="N662" s="2467">
        <v>10500</v>
      </c>
      <c r="P662" s="2469"/>
      <c r="R662" s="2466">
        <v>10500</v>
      </c>
      <c r="S662" s="2466">
        <v>5653.49</v>
      </c>
      <c r="U662" s="2466">
        <v>10500</v>
      </c>
      <c r="V662" s="2470"/>
      <c r="W662" s="2466">
        <f t="shared" ref="W662:W689" si="350">U662+V662</f>
        <v>10500</v>
      </c>
      <c r="X662" s="2468">
        <f t="shared" ref="X662:X689" si="351">IF(U662=0," ",(W662-U662)/U662)</f>
        <v>0</v>
      </c>
      <c r="Z662" s="2467">
        <v>10500</v>
      </c>
      <c r="AA662" s="2467">
        <v>10500</v>
      </c>
      <c r="AC662" s="2469"/>
      <c r="AE662" s="2466">
        <v>10500</v>
      </c>
      <c r="AF662" s="2471">
        <v>5618.05</v>
      </c>
      <c r="AH662" s="2466">
        <v>10500</v>
      </c>
      <c r="AI662" s="2470"/>
      <c r="AJ662" s="2466">
        <f t="shared" ref="AJ662:AJ689" si="352">AH662+AI662</f>
        <v>10500</v>
      </c>
      <c r="AK662" s="2468">
        <f t="shared" ref="AK662:AK667" si="353">IF(AH662=0," ",(AJ662-AH662)/AH662)</f>
        <v>0</v>
      </c>
      <c r="AM662" s="2467">
        <v>10500</v>
      </c>
      <c r="AN662" s="2467">
        <v>10500</v>
      </c>
      <c r="AP662" s="2469"/>
      <c r="AR662" s="2466">
        <v>10500</v>
      </c>
      <c r="AS662" s="2466">
        <v>9612.0400000000009</v>
      </c>
      <c r="AT662" s="2466"/>
      <c r="AU662" s="2466">
        <v>10500</v>
      </c>
      <c r="AV662" s="2466">
        <v>4253.57</v>
      </c>
      <c r="AX662" s="2466">
        <v>10500</v>
      </c>
      <c r="AY662" s="2470"/>
      <c r="AZ662" s="2466">
        <f t="shared" ref="AZ662:AZ669" si="354">AX662+AY662</f>
        <v>10500</v>
      </c>
      <c r="BA662" s="2468">
        <f t="shared" ref="BA662:BA667" si="355">IF(AX662=0," ",(AZ662-AX662)/AX662)</f>
        <v>0</v>
      </c>
      <c r="BC662" s="2467">
        <v>10500</v>
      </c>
      <c r="BD662" s="2467">
        <v>10500</v>
      </c>
      <c r="BF662" s="2469"/>
      <c r="BH662" s="2467">
        <v>10500</v>
      </c>
      <c r="BI662" s="2466">
        <v>3127.21</v>
      </c>
      <c r="BM662" s="2466">
        <v>10500</v>
      </c>
      <c r="BN662" s="2470">
        <v>-1000</v>
      </c>
      <c r="BO662" s="2472">
        <f t="shared" ref="BO662:BO669" si="356">BM662+BN662</f>
        <v>9500</v>
      </c>
      <c r="BP662" s="2473">
        <f t="shared" ref="BP662:BP667" si="357">IF(BM662=0," ",(BO662-BM662)/BM662)</f>
        <v>-9.5238095238095233E-2</v>
      </c>
      <c r="BR662" s="2474">
        <v>9500</v>
      </c>
      <c r="BS662" s="2474">
        <v>9500</v>
      </c>
      <c r="BU662" s="2475" t="s">
        <v>2065</v>
      </c>
      <c r="BW662" s="2474">
        <v>9500</v>
      </c>
      <c r="BX662" s="2466">
        <v>1275.5999999999999</v>
      </c>
      <c r="BZ662" s="2474">
        <v>9500</v>
      </c>
      <c r="CA662" s="2470">
        <v>950</v>
      </c>
      <c r="CB662" s="2472">
        <f t="shared" ref="CB662:CB669" si="358">BZ662+CA662</f>
        <v>10450</v>
      </c>
      <c r="CC662" s="2473">
        <f t="shared" ref="CC662:CC667" si="359">IF(BZ662=0," ",(CB662-BZ662)/BZ662)</f>
        <v>0.1</v>
      </c>
      <c r="CE662" s="2474">
        <v>10450</v>
      </c>
      <c r="CF662" s="2476">
        <f t="shared" ref="CF662:CF667" si="360">IF(CB662=0," ",(CE662-CB662)/CB662)</f>
        <v>0</v>
      </c>
      <c r="CG662" s="2572">
        <f>10450-2950</f>
        <v>7500</v>
      </c>
      <c r="CH662" s="2449" t="s">
        <v>1217</v>
      </c>
      <c r="CI662" s="2449"/>
      <c r="CJ662" s="2450"/>
      <c r="CK662" s="2450"/>
      <c r="CO662" s="2477">
        <v>-0.70217047619047612</v>
      </c>
      <c r="CP662" s="2478">
        <f t="shared" si="332"/>
        <v>-7372.79</v>
      </c>
      <c r="CQ662" s="2478"/>
      <c r="CR662" s="2478"/>
      <c r="CS662" s="2478"/>
      <c r="CT662" s="2478"/>
    </row>
    <row r="663" spans="1:98" hidden="1" x14ac:dyDescent="0.2">
      <c r="A663" s="2395">
        <v>492</v>
      </c>
      <c r="B663" s="2440" t="s">
        <v>1214</v>
      </c>
      <c r="C663" s="2396">
        <v>49205</v>
      </c>
      <c r="D663" s="2396">
        <v>52200</v>
      </c>
      <c r="E663" s="2397" t="s">
        <v>1268</v>
      </c>
      <c r="F663" s="2440" t="s">
        <v>1214</v>
      </c>
      <c r="G663" s="2440" t="s">
        <v>2066</v>
      </c>
      <c r="H663" s="2466">
        <v>3000</v>
      </c>
      <c r="I663" s="2470"/>
      <c r="J663" s="2466">
        <f t="shared" si="348"/>
        <v>3000</v>
      </c>
      <c r="K663" s="2468">
        <f t="shared" si="349"/>
        <v>0</v>
      </c>
      <c r="M663" s="2467">
        <v>3000</v>
      </c>
      <c r="N663" s="2467">
        <v>3000</v>
      </c>
      <c r="P663" s="2469"/>
      <c r="R663" s="2466">
        <v>3000</v>
      </c>
      <c r="S663" s="2466">
        <v>1462.27</v>
      </c>
      <c r="U663" s="2466">
        <v>3000</v>
      </c>
      <c r="V663" s="2470"/>
      <c r="W663" s="2466">
        <f t="shared" si="350"/>
        <v>3000</v>
      </c>
      <c r="X663" s="2468">
        <f t="shared" si="351"/>
        <v>0</v>
      </c>
      <c r="Z663" s="2467">
        <v>3000</v>
      </c>
      <c r="AA663" s="2467">
        <v>3000</v>
      </c>
      <c r="AC663" s="2469"/>
      <c r="AE663" s="2466">
        <v>3000</v>
      </c>
      <c r="AF663" s="2471">
        <v>2032.46</v>
      </c>
      <c r="AH663" s="2466">
        <v>3000</v>
      </c>
      <c r="AI663" s="2470"/>
      <c r="AJ663" s="2466">
        <f t="shared" si="352"/>
        <v>3000</v>
      </c>
      <c r="AK663" s="2468">
        <f t="shared" si="353"/>
        <v>0</v>
      </c>
      <c r="AM663" s="2467">
        <v>3000</v>
      </c>
      <c r="AN663" s="2467">
        <v>3000</v>
      </c>
      <c r="AP663" s="2469"/>
      <c r="AR663" s="2466">
        <v>3000</v>
      </c>
      <c r="AS663" s="2466">
        <v>2106.6799999999998</v>
      </c>
      <c r="AT663" s="2466"/>
      <c r="AU663" s="2466">
        <v>3000</v>
      </c>
      <c r="AV663" s="2466">
        <v>2245.9</v>
      </c>
      <c r="AX663" s="2466">
        <v>3000</v>
      </c>
      <c r="AY663" s="2470"/>
      <c r="AZ663" s="2466">
        <f t="shared" si="354"/>
        <v>3000</v>
      </c>
      <c r="BA663" s="2468">
        <f t="shared" si="355"/>
        <v>0</v>
      </c>
      <c r="BC663" s="2467">
        <v>3000</v>
      </c>
      <c r="BD663" s="2467">
        <v>3000</v>
      </c>
      <c r="BF663" s="2469"/>
      <c r="BH663" s="2467">
        <v>3000</v>
      </c>
      <c r="BI663" s="2466">
        <v>2279</v>
      </c>
      <c r="BM663" s="2466">
        <v>3000</v>
      </c>
      <c r="BN663" s="2470"/>
      <c r="BO663" s="2472">
        <f t="shared" si="356"/>
        <v>3000</v>
      </c>
      <c r="BP663" s="2473">
        <f t="shared" si="357"/>
        <v>0</v>
      </c>
      <c r="BR663" s="2474">
        <v>3000</v>
      </c>
      <c r="BS663" s="2474">
        <v>3000</v>
      </c>
      <c r="BU663" s="2475"/>
      <c r="BW663" s="2474">
        <v>3000</v>
      </c>
      <c r="BX663" s="2466">
        <v>396.7</v>
      </c>
      <c r="BZ663" s="2474">
        <v>3000</v>
      </c>
      <c r="CA663" s="2470">
        <v>300</v>
      </c>
      <c r="CB663" s="2472">
        <f t="shared" si="358"/>
        <v>3300</v>
      </c>
      <c r="CC663" s="2473">
        <f t="shared" si="359"/>
        <v>0.1</v>
      </c>
      <c r="CE663" s="2474">
        <v>3300</v>
      </c>
      <c r="CF663" s="2476">
        <f t="shared" si="360"/>
        <v>0</v>
      </c>
      <c r="CG663" s="2474">
        <v>3300</v>
      </c>
      <c r="CH663" s="2449" t="s">
        <v>1217</v>
      </c>
      <c r="CI663" s="2449"/>
      <c r="CJ663" s="2450"/>
      <c r="CK663" s="2450"/>
      <c r="CO663" s="2477">
        <v>-0.24033333333333329</v>
      </c>
      <c r="CP663" s="2478">
        <f t="shared" si="332"/>
        <v>-721</v>
      </c>
      <c r="CQ663" s="2478"/>
      <c r="CR663" s="2478"/>
      <c r="CS663" s="2478"/>
      <c r="CT663" s="2478"/>
    </row>
    <row r="664" spans="1:98" hidden="1" x14ac:dyDescent="0.2">
      <c r="A664" s="2395">
        <v>492</v>
      </c>
      <c r="B664" s="2440" t="s">
        <v>1214</v>
      </c>
      <c r="C664" s="2396">
        <v>49205</v>
      </c>
      <c r="D664" s="2396">
        <v>52300</v>
      </c>
      <c r="E664" s="2397" t="s">
        <v>1268</v>
      </c>
      <c r="F664" s="2440" t="s">
        <v>1214</v>
      </c>
      <c r="G664" s="2440" t="s">
        <v>2067</v>
      </c>
      <c r="H664" s="2466">
        <v>1060</v>
      </c>
      <c r="I664" s="2470"/>
      <c r="J664" s="2466">
        <f t="shared" si="348"/>
        <v>1060</v>
      </c>
      <c r="K664" s="2468">
        <f t="shared" si="349"/>
        <v>0</v>
      </c>
      <c r="M664" s="2467">
        <v>1060</v>
      </c>
      <c r="N664" s="2467">
        <v>1060</v>
      </c>
      <c r="P664" s="2469"/>
      <c r="R664" s="2466">
        <v>1060</v>
      </c>
      <c r="S664" s="2466">
        <v>631.75</v>
      </c>
      <c r="U664" s="2466">
        <v>1060</v>
      </c>
      <c r="V664" s="2470"/>
      <c r="W664" s="2466">
        <f t="shared" si="350"/>
        <v>1060</v>
      </c>
      <c r="X664" s="2468">
        <f t="shared" si="351"/>
        <v>0</v>
      </c>
      <c r="Z664" s="2467">
        <v>1060</v>
      </c>
      <c r="AA664" s="2467">
        <v>1060</v>
      </c>
      <c r="AC664" s="2469"/>
      <c r="AE664" s="2466">
        <v>1060</v>
      </c>
      <c r="AF664" s="2471">
        <v>465.4</v>
      </c>
      <c r="AH664" s="2466">
        <v>1060</v>
      </c>
      <c r="AI664" s="2470"/>
      <c r="AJ664" s="2466">
        <f t="shared" si="352"/>
        <v>1060</v>
      </c>
      <c r="AK664" s="2468">
        <f t="shared" si="353"/>
        <v>0</v>
      </c>
      <c r="AM664" s="2467">
        <v>1060</v>
      </c>
      <c r="AN664" s="2467">
        <v>1060</v>
      </c>
      <c r="AP664" s="2469"/>
      <c r="AR664" s="2466">
        <v>1060</v>
      </c>
      <c r="AS664" s="2466">
        <v>328.2</v>
      </c>
      <c r="AT664" s="2466"/>
      <c r="AU664" s="2466">
        <v>1060</v>
      </c>
      <c r="AV664" s="2466">
        <v>512.1</v>
      </c>
      <c r="AX664" s="2466">
        <v>1060</v>
      </c>
      <c r="AY664" s="2470"/>
      <c r="AZ664" s="2466">
        <f t="shared" si="354"/>
        <v>1060</v>
      </c>
      <c r="BA664" s="2468">
        <f t="shared" si="355"/>
        <v>0</v>
      </c>
      <c r="BC664" s="2467">
        <v>1060</v>
      </c>
      <c r="BD664" s="2467">
        <v>1060</v>
      </c>
      <c r="BF664" s="2469"/>
      <c r="BH664" s="2467">
        <v>1060</v>
      </c>
      <c r="BI664" s="2466">
        <v>265.45</v>
      </c>
      <c r="BM664" s="2466">
        <v>1060</v>
      </c>
      <c r="BN664" s="2470"/>
      <c r="BO664" s="2472">
        <f t="shared" si="356"/>
        <v>1060</v>
      </c>
      <c r="BP664" s="2473">
        <f t="shared" si="357"/>
        <v>0</v>
      </c>
      <c r="BR664" s="2474">
        <v>1060</v>
      </c>
      <c r="BS664" s="2474">
        <v>1060</v>
      </c>
      <c r="BU664" s="2475"/>
      <c r="BW664" s="2474">
        <v>1060</v>
      </c>
      <c r="BX664" s="2466">
        <v>60.1</v>
      </c>
      <c r="BZ664" s="2474">
        <v>1060</v>
      </c>
      <c r="CA664" s="2470"/>
      <c r="CB664" s="2472">
        <f t="shared" si="358"/>
        <v>1060</v>
      </c>
      <c r="CC664" s="2473">
        <f t="shared" si="359"/>
        <v>0</v>
      </c>
      <c r="CE664" s="2474">
        <v>1060</v>
      </c>
      <c r="CF664" s="2476">
        <f t="shared" si="360"/>
        <v>0</v>
      </c>
      <c r="CG664" s="2474">
        <v>1060</v>
      </c>
      <c r="CH664" s="2449" t="s">
        <v>1217</v>
      </c>
      <c r="CI664" s="2449"/>
      <c r="CJ664" s="2450"/>
      <c r="CK664" s="2450"/>
      <c r="CO664" s="2477">
        <v>-0.74957547169811323</v>
      </c>
      <c r="CP664" s="2478">
        <f t="shared" si="332"/>
        <v>-794.55</v>
      </c>
      <c r="CQ664" s="2478"/>
      <c r="CR664" s="2478"/>
      <c r="CS664" s="2478"/>
      <c r="CT664" s="2478"/>
    </row>
    <row r="665" spans="1:98" hidden="1" x14ac:dyDescent="0.2">
      <c r="A665" s="2395">
        <v>492</v>
      </c>
      <c r="B665" s="2440" t="s">
        <v>1214</v>
      </c>
      <c r="C665" s="2396">
        <v>49205</v>
      </c>
      <c r="D665" s="2396">
        <v>52400</v>
      </c>
      <c r="E665" s="2397" t="s">
        <v>1268</v>
      </c>
      <c r="F665" s="2440" t="s">
        <v>1214</v>
      </c>
      <c r="G665" s="2440" t="s">
        <v>2068</v>
      </c>
      <c r="H665" s="2466">
        <v>4000</v>
      </c>
      <c r="I665" s="2470"/>
      <c r="J665" s="2466">
        <f t="shared" si="348"/>
        <v>4000</v>
      </c>
      <c r="K665" s="2468">
        <f t="shared" si="349"/>
        <v>0</v>
      </c>
      <c r="M665" s="2467">
        <v>4000</v>
      </c>
      <c r="N665" s="2467">
        <v>4000</v>
      </c>
      <c r="P665" s="2469"/>
      <c r="R665" s="2466">
        <v>4000</v>
      </c>
      <c r="S665" s="2466">
        <v>4472.07</v>
      </c>
      <c r="U665" s="2466">
        <v>4000</v>
      </c>
      <c r="V665" s="2470"/>
      <c r="W665" s="2466">
        <f t="shared" si="350"/>
        <v>4000</v>
      </c>
      <c r="X665" s="2468">
        <f t="shared" si="351"/>
        <v>0</v>
      </c>
      <c r="Z665" s="2467">
        <v>4000</v>
      </c>
      <c r="AA665" s="2467">
        <v>4000</v>
      </c>
      <c r="AC665" s="2469"/>
      <c r="AE665" s="2466">
        <v>4000</v>
      </c>
      <c r="AF665" s="2471">
        <v>3040.24</v>
      </c>
      <c r="AH665" s="2466">
        <v>4000</v>
      </c>
      <c r="AI665" s="2470"/>
      <c r="AJ665" s="2466">
        <f t="shared" si="352"/>
        <v>4000</v>
      </c>
      <c r="AK665" s="2468">
        <f t="shared" si="353"/>
        <v>0</v>
      </c>
      <c r="AM665" s="2467">
        <v>4000</v>
      </c>
      <c r="AN665" s="2467">
        <v>4000</v>
      </c>
      <c r="AP665" s="2469"/>
      <c r="AR665" s="2466">
        <v>4000</v>
      </c>
      <c r="AS665" s="2466">
        <v>8487.49</v>
      </c>
      <c r="AT665" s="2466"/>
      <c r="AU665" s="2466">
        <v>4000</v>
      </c>
      <c r="AV665" s="2466">
        <v>3801.85</v>
      </c>
      <c r="AX665" s="2466">
        <v>4000</v>
      </c>
      <c r="AY665" s="2470"/>
      <c r="AZ665" s="2466">
        <f t="shared" si="354"/>
        <v>4000</v>
      </c>
      <c r="BA665" s="2468">
        <f t="shared" si="355"/>
        <v>0</v>
      </c>
      <c r="BC665" s="2467">
        <v>4000</v>
      </c>
      <c r="BD665" s="2467">
        <v>4000</v>
      </c>
      <c r="BF665" s="2469"/>
      <c r="BH665" s="2467">
        <v>4000</v>
      </c>
      <c r="BI665" s="2466">
        <v>3604.17</v>
      </c>
      <c r="BM665" s="2466">
        <v>4000</v>
      </c>
      <c r="BN665" s="2470"/>
      <c r="BO665" s="2472">
        <f t="shared" si="356"/>
        <v>4000</v>
      </c>
      <c r="BP665" s="2473">
        <f t="shared" si="357"/>
        <v>0</v>
      </c>
      <c r="BR665" s="2474">
        <v>4000</v>
      </c>
      <c r="BS665" s="2474">
        <v>4000</v>
      </c>
      <c r="BU665" s="2475"/>
      <c r="BW665" s="2474">
        <v>4000</v>
      </c>
      <c r="BX665" s="2466">
        <v>1245.21</v>
      </c>
      <c r="BZ665" s="2474">
        <v>4000</v>
      </c>
      <c r="CA665" s="2470"/>
      <c r="CB665" s="2472">
        <f t="shared" si="358"/>
        <v>4000</v>
      </c>
      <c r="CC665" s="2473">
        <f t="shared" si="359"/>
        <v>0</v>
      </c>
      <c r="CE665" s="2474">
        <v>4000</v>
      </c>
      <c r="CF665" s="2476">
        <f t="shared" si="360"/>
        <v>0</v>
      </c>
      <c r="CG665" s="2474">
        <v>4000</v>
      </c>
      <c r="CH665" s="2449" t="s">
        <v>1217</v>
      </c>
      <c r="CI665" s="2449"/>
      <c r="CJ665" s="2450"/>
      <c r="CK665" s="2450"/>
      <c r="CO665" s="2477">
        <v>-9.8957500000000032E-2</v>
      </c>
      <c r="CP665" s="2478">
        <f t="shared" si="332"/>
        <v>-395.82999999999993</v>
      </c>
      <c r="CQ665" s="2478"/>
      <c r="CR665" s="2478"/>
      <c r="CS665" s="2478"/>
      <c r="CT665" s="2478"/>
    </row>
    <row r="666" spans="1:98" hidden="1" x14ac:dyDescent="0.2">
      <c r="A666" s="2395">
        <v>492</v>
      </c>
      <c r="B666" s="2440" t="s">
        <v>1214</v>
      </c>
      <c r="C666" s="2396">
        <v>49205</v>
      </c>
      <c r="D666" s="2396">
        <v>52450</v>
      </c>
      <c r="E666" s="2397" t="s">
        <v>1268</v>
      </c>
      <c r="F666" s="2440" t="s">
        <v>1214</v>
      </c>
      <c r="G666" s="2440" t="s">
        <v>2069</v>
      </c>
      <c r="H666" s="2466">
        <v>5000</v>
      </c>
      <c r="I666" s="2470"/>
      <c r="J666" s="2466">
        <f t="shared" si="348"/>
        <v>5000</v>
      </c>
      <c r="K666" s="2468">
        <f t="shared" si="349"/>
        <v>0</v>
      </c>
      <c r="M666" s="2467">
        <v>5000</v>
      </c>
      <c r="N666" s="2467">
        <v>5000</v>
      </c>
      <c r="P666" s="2469"/>
      <c r="R666" s="2466">
        <v>5000</v>
      </c>
      <c r="S666" s="2466">
        <v>6668.39</v>
      </c>
      <c r="U666" s="2466">
        <v>5000</v>
      </c>
      <c r="V666" s="2470"/>
      <c r="W666" s="2466">
        <f t="shared" si="350"/>
        <v>5000</v>
      </c>
      <c r="X666" s="2468">
        <f t="shared" si="351"/>
        <v>0</v>
      </c>
      <c r="Z666" s="2467">
        <v>5000</v>
      </c>
      <c r="AA666" s="2467">
        <v>5000</v>
      </c>
      <c r="AC666" s="2469" t="s">
        <v>2070</v>
      </c>
      <c r="AE666" s="2466">
        <v>5000</v>
      </c>
      <c r="AF666" s="2471">
        <v>4993.05</v>
      </c>
      <c r="AH666" s="2466">
        <v>5000</v>
      </c>
      <c r="AI666" s="2470"/>
      <c r="AJ666" s="2466">
        <f t="shared" si="352"/>
        <v>5000</v>
      </c>
      <c r="AK666" s="2468">
        <f t="shared" si="353"/>
        <v>0</v>
      </c>
      <c r="AM666" s="2467">
        <v>5000</v>
      </c>
      <c r="AN666" s="2467">
        <v>5000</v>
      </c>
      <c r="AP666" s="2469"/>
      <c r="AR666" s="2466">
        <v>5000</v>
      </c>
      <c r="AS666" s="2466">
        <v>10326.18</v>
      </c>
      <c r="AT666" s="2466"/>
      <c r="AU666" s="2466">
        <v>5000</v>
      </c>
      <c r="AV666" s="2466">
        <v>8766.52</v>
      </c>
      <c r="AX666" s="2466">
        <v>5000</v>
      </c>
      <c r="AY666" s="2470"/>
      <c r="AZ666" s="2466">
        <f t="shared" si="354"/>
        <v>5000</v>
      </c>
      <c r="BA666" s="2468">
        <f t="shared" si="355"/>
        <v>0</v>
      </c>
      <c r="BC666" s="2467">
        <v>5000</v>
      </c>
      <c r="BD666" s="2467">
        <f>5000+3000</f>
        <v>8000</v>
      </c>
      <c r="BF666" s="2530" t="s">
        <v>2071</v>
      </c>
      <c r="BH666" s="2467">
        <f>5000+3000</f>
        <v>8000</v>
      </c>
      <c r="BI666" s="2466">
        <v>10148.42</v>
      </c>
      <c r="BM666" s="2466">
        <f>5000+3000</f>
        <v>8000</v>
      </c>
      <c r="BN666" s="2470"/>
      <c r="BO666" s="2472">
        <f t="shared" si="356"/>
        <v>8000</v>
      </c>
      <c r="BP666" s="2473">
        <f t="shared" si="357"/>
        <v>0</v>
      </c>
      <c r="BR666" s="2474">
        <v>8000</v>
      </c>
      <c r="BS666" s="2474">
        <v>8000</v>
      </c>
      <c r="BU666" s="2475"/>
      <c r="BW666" s="2474">
        <v>8000</v>
      </c>
      <c r="BX666" s="2466">
        <v>2156.3200000000002</v>
      </c>
      <c r="BZ666" s="2474">
        <v>8000</v>
      </c>
      <c r="CA666" s="2470"/>
      <c r="CB666" s="2472">
        <f t="shared" si="358"/>
        <v>8000</v>
      </c>
      <c r="CC666" s="2473">
        <f t="shared" si="359"/>
        <v>0</v>
      </c>
      <c r="CE666" s="2474">
        <v>8000</v>
      </c>
      <c r="CF666" s="2476">
        <f t="shared" si="360"/>
        <v>0</v>
      </c>
      <c r="CG666" s="2474">
        <v>8000</v>
      </c>
      <c r="CH666" s="2449" t="s">
        <v>1217</v>
      </c>
      <c r="CI666" s="2449"/>
      <c r="CJ666" s="2450"/>
      <c r="CK666" s="2450"/>
      <c r="CO666" s="2477">
        <v>0.26855249999999997</v>
      </c>
      <c r="CP666" s="2478">
        <f t="shared" si="332"/>
        <v>2148.42</v>
      </c>
      <c r="CQ666" s="2478"/>
      <c r="CR666" s="2478"/>
      <c r="CS666" s="2478"/>
      <c r="CT666" s="2478"/>
    </row>
    <row r="667" spans="1:98" hidden="1" x14ac:dyDescent="0.2">
      <c r="A667" s="2395">
        <v>492</v>
      </c>
      <c r="B667" s="2440" t="s">
        <v>1214</v>
      </c>
      <c r="C667" s="2396">
        <v>49205</v>
      </c>
      <c r="D667" s="2396">
        <v>52720</v>
      </c>
      <c r="E667" s="2397" t="s">
        <v>1268</v>
      </c>
      <c r="F667" s="2440" t="s">
        <v>1214</v>
      </c>
      <c r="G667" s="2440" t="s">
        <v>2072</v>
      </c>
      <c r="H667" s="2466">
        <v>1794</v>
      </c>
      <c r="I667" s="2470"/>
      <c r="J667" s="2466">
        <f t="shared" si="348"/>
        <v>1794</v>
      </c>
      <c r="K667" s="2468">
        <f t="shared" si="349"/>
        <v>0</v>
      </c>
      <c r="M667" s="2467">
        <v>1794</v>
      </c>
      <c r="N667" s="2467">
        <v>1794</v>
      </c>
      <c r="P667" s="2469"/>
      <c r="R667" s="2466">
        <v>1794</v>
      </c>
      <c r="S667" s="2466">
        <v>675</v>
      </c>
      <c r="U667" s="2466">
        <v>1794</v>
      </c>
      <c r="V667" s="2470"/>
      <c r="W667" s="2466">
        <f t="shared" si="350"/>
        <v>1794</v>
      </c>
      <c r="X667" s="2468">
        <f t="shared" si="351"/>
        <v>0</v>
      </c>
      <c r="Z667" s="2467">
        <v>1794</v>
      </c>
      <c r="AA667" s="2467">
        <v>1794</v>
      </c>
      <c r="AC667" s="2469"/>
      <c r="AE667" s="2466">
        <v>1794</v>
      </c>
      <c r="AF667" s="2471">
        <v>0</v>
      </c>
      <c r="AH667" s="2466">
        <v>1794</v>
      </c>
      <c r="AI667" s="2470"/>
      <c r="AJ667" s="2466">
        <f t="shared" si="352"/>
        <v>1794</v>
      </c>
      <c r="AK667" s="2468">
        <f t="shared" si="353"/>
        <v>0</v>
      </c>
      <c r="AM667" s="2467">
        <v>1794</v>
      </c>
      <c r="AN667" s="2467">
        <v>1794</v>
      </c>
      <c r="AP667" s="2469"/>
      <c r="AR667" s="2466">
        <v>1794</v>
      </c>
      <c r="AS667" s="2466">
        <v>0</v>
      </c>
      <c r="AT667" s="2466"/>
      <c r="AU667" s="2466">
        <v>1794</v>
      </c>
      <c r="AV667" s="2466">
        <v>0</v>
      </c>
      <c r="AX667" s="2466">
        <v>1794</v>
      </c>
      <c r="AY667" s="2470"/>
      <c r="AZ667" s="2466">
        <f t="shared" si="354"/>
        <v>1794</v>
      </c>
      <c r="BA667" s="2468">
        <f t="shared" si="355"/>
        <v>0</v>
      </c>
      <c r="BC667" s="2467">
        <v>1794</v>
      </c>
      <c r="BD667" s="2467">
        <v>1794</v>
      </c>
      <c r="BF667" s="2469"/>
      <c r="BH667" s="2467">
        <v>1794</v>
      </c>
      <c r="BI667" s="2466">
        <v>0</v>
      </c>
      <c r="BM667" s="2466">
        <v>1794</v>
      </c>
      <c r="BN667" s="2470"/>
      <c r="BO667" s="2472">
        <f t="shared" si="356"/>
        <v>1794</v>
      </c>
      <c r="BP667" s="2473">
        <f t="shared" si="357"/>
        <v>0</v>
      </c>
      <c r="BR667" s="2474">
        <v>1794</v>
      </c>
      <c r="BS667" s="2474">
        <v>1794</v>
      </c>
      <c r="BU667" s="2475"/>
      <c r="BW667" s="2474">
        <v>1794</v>
      </c>
      <c r="BZ667" s="2474">
        <v>1794</v>
      </c>
      <c r="CA667" s="2470"/>
      <c r="CB667" s="2472">
        <f t="shared" si="358"/>
        <v>1794</v>
      </c>
      <c r="CC667" s="2473">
        <f t="shared" si="359"/>
        <v>0</v>
      </c>
      <c r="CE667" s="2474">
        <v>1794</v>
      </c>
      <c r="CF667" s="2476">
        <f t="shared" si="360"/>
        <v>0</v>
      </c>
      <c r="CG667" s="2474">
        <v>1794</v>
      </c>
      <c r="CH667" s="2449" t="s">
        <v>1217</v>
      </c>
      <c r="CI667" s="2449"/>
      <c r="CJ667" s="2450"/>
      <c r="CK667" s="2450"/>
      <c r="CO667" s="2477" t="s">
        <v>1218</v>
      </c>
      <c r="CP667" s="2478">
        <f t="shared" si="332"/>
        <v>-1794</v>
      </c>
      <c r="CQ667" s="2478"/>
      <c r="CR667" s="2478"/>
      <c r="CS667" s="2478"/>
      <c r="CT667" s="2478"/>
    </row>
    <row r="668" spans="1:98" hidden="1" x14ac:dyDescent="0.2">
      <c r="A668" s="2395">
        <v>492</v>
      </c>
      <c r="B668" s="2440" t="s">
        <v>1214</v>
      </c>
      <c r="C668" s="2396">
        <v>49205</v>
      </c>
      <c r="D668" s="2396">
        <v>52920</v>
      </c>
      <c r="E668" s="2397" t="s">
        <v>1268</v>
      </c>
      <c r="F668" s="2440" t="s">
        <v>1214</v>
      </c>
      <c r="G668" s="2440" t="s">
        <v>2073</v>
      </c>
      <c r="I668" s="2470"/>
      <c r="M668" s="2467"/>
      <c r="N668" s="2467"/>
      <c r="P668" s="2469"/>
      <c r="V668" s="2470"/>
      <c r="Z668" s="2467"/>
      <c r="AA668" s="2467">
        <v>1000</v>
      </c>
      <c r="AC668" s="2469" t="s">
        <v>2074</v>
      </c>
      <c r="AE668" s="2466">
        <v>1000</v>
      </c>
      <c r="AF668" s="2471">
        <v>270</v>
      </c>
      <c r="AH668" s="2466">
        <v>1000</v>
      </c>
      <c r="AI668" s="2470"/>
      <c r="AJ668" s="2466">
        <f t="shared" si="352"/>
        <v>1000</v>
      </c>
      <c r="AM668" s="2467">
        <v>1000</v>
      </c>
      <c r="AN668" s="2467">
        <v>1000</v>
      </c>
      <c r="AO668" s="2546"/>
      <c r="AP668" s="2530"/>
      <c r="AR668" s="2466">
        <v>1000</v>
      </c>
      <c r="AS668" s="2466">
        <v>665</v>
      </c>
      <c r="AT668" s="2466"/>
      <c r="AU668" s="2466">
        <v>1000</v>
      </c>
      <c r="AV668" s="2466">
        <v>785.45</v>
      </c>
      <c r="AX668" s="2466">
        <v>1000</v>
      </c>
      <c r="AY668" s="2470"/>
      <c r="AZ668" s="2466">
        <f t="shared" si="354"/>
        <v>1000</v>
      </c>
      <c r="BC668" s="2467">
        <v>1000</v>
      </c>
      <c r="BD668" s="2467">
        <v>1000</v>
      </c>
      <c r="BE668" s="2546"/>
      <c r="BF668" s="2469"/>
      <c r="BH668" s="2467">
        <v>1000</v>
      </c>
      <c r="BI668" s="2466">
        <v>740.45</v>
      </c>
      <c r="BM668" s="2466">
        <v>1000</v>
      </c>
      <c r="BN668" s="2470"/>
      <c r="BO668" s="2472">
        <f t="shared" si="356"/>
        <v>1000</v>
      </c>
      <c r="BR668" s="2474">
        <v>1000</v>
      </c>
      <c r="BS668" s="2474">
        <v>1000</v>
      </c>
      <c r="BU668" s="2475"/>
      <c r="BW668" s="2474">
        <v>1000</v>
      </c>
      <c r="BX668" s="2466">
        <v>270</v>
      </c>
      <c r="BZ668" s="2474">
        <v>1000</v>
      </c>
      <c r="CA668" s="2470"/>
      <c r="CB668" s="2472">
        <f t="shared" si="358"/>
        <v>1000</v>
      </c>
      <c r="CE668" s="2474">
        <v>1000</v>
      </c>
      <c r="CF668" s="2476"/>
      <c r="CG668" s="2474">
        <v>1000</v>
      </c>
      <c r="CH668" s="2449" t="s">
        <v>1217</v>
      </c>
      <c r="CI668" s="2449"/>
      <c r="CJ668" s="2450"/>
      <c r="CK668" s="2450"/>
      <c r="CO668" s="2477">
        <v>-0.25954999999999995</v>
      </c>
      <c r="CP668" s="2478">
        <f t="shared" si="332"/>
        <v>-259.54999999999995</v>
      </c>
      <c r="CQ668" s="2478"/>
      <c r="CR668" s="2478"/>
      <c r="CS668" s="2478"/>
      <c r="CT668" s="2478"/>
    </row>
    <row r="669" spans="1:98" hidden="1" x14ac:dyDescent="0.2">
      <c r="A669" s="2395">
        <v>492</v>
      </c>
      <c r="B669" s="2440" t="s">
        <v>1214</v>
      </c>
      <c r="C669" s="2396">
        <v>49205</v>
      </c>
      <c r="D669" s="2396">
        <v>53050</v>
      </c>
      <c r="E669" s="2397" t="s">
        <v>1268</v>
      </c>
      <c r="F669" s="2440" t="s">
        <v>1214</v>
      </c>
      <c r="G669" s="2440" t="s">
        <v>2075</v>
      </c>
      <c r="H669" s="2466">
        <v>600</v>
      </c>
      <c r="I669" s="2470"/>
      <c r="J669" s="2466">
        <f t="shared" si="348"/>
        <v>600</v>
      </c>
      <c r="K669" s="2468">
        <f t="shared" si="349"/>
        <v>0</v>
      </c>
      <c r="M669" s="2467">
        <v>600</v>
      </c>
      <c r="N669" s="2467">
        <v>600</v>
      </c>
      <c r="P669" s="2469"/>
      <c r="R669" s="2466">
        <v>600</v>
      </c>
      <c r="S669" s="2466">
        <v>0</v>
      </c>
      <c r="U669" s="2466">
        <v>600</v>
      </c>
      <c r="V669" s="2470"/>
      <c r="W669" s="2466">
        <f t="shared" si="350"/>
        <v>600</v>
      </c>
      <c r="X669" s="2468">
        <f t="shared" si="351"/>
        <v>0</v>
      </c>
      <c r="Z669" s="2467">
        <v>600</v>
      </c>
      <c r="AA669" s="2467">
        <v>600</v>
      </c>
      <c r="AC669" s="2469"/>
      <c r="AE669" s="2466">
        <v>600</v>
      </c>
      <c r="AF669" s="2471">
        <v>0</v>
      </c>
      <c r="AH669" s="2466">
        <v>600</v>
      </c>
      <c r="AI669" s="2470"/>
      <c r="AJ669" s="2466">
        <f t="shared" si="352"/>
        <v>600</v>
      </c>
      <c r="AK669" s="2468">
        <f t="shared" ref="AK669:AK689" si="361">IF(AH669=0," ",(AJ669-AH669)/AH669)</f>
        <v>0</v>
      </c>
      <c r="AM669" s="2467">
        <v>600</v>
      </c>
      <c r="AN669" s="2467">
        <v>600</v>
      </c>
      <c r="AP669" s="2469"/>
      <c r="AR669" s="2466">
        <v>600</v>
      </c>
      <c r="AS669" s="2466">
        <v>0</v>
      </c>
      <c r="AT669" s="2466"/>
      <c r="AU669" s="2466">
        <v>600</v>
      </c>
      <c r="AV669" s="2466">
        <v>0</v>
      </c>
      <c r="AX669" s="2466">
        <v>600</v>
      </c>
      <c r="AY669" s="2470"/>
      <c r="AZ669" s="2466">
        <f t="shared" si="354"/>
        <v>600</v>
      </c>
      <c r="BA669" s="2468">
        <f>IF(AX669=0," ",(AZ669-AX669)/AX669)</f>
        <v>0</v>
      </c>
      <c r="BC669" s="2467">
        <v>600</v>
      </c>
      <c r="BD669" s="2467">
        <v>600</v>
      </c>
      <c r="BF669" s="2469"/>
      <c r="BH669" s="2467">
        <v>600</v>
      </c>
      <c r="BI669" s="2466">
        <v>100</v>
      </c>
      <c r="BM669" s="2466">
        <v>600</v>
      </c>
      <c r="BN669" s="2470">
        <v>-600</v>
      </c>
      <c r="BO669" s="2472">
        <f t="shared" si="356"/>
        <v>0</v>
      </c>
      <c r="BP669" s="2473">
        <f>IF(BM669=0," ",(BO669-BM669)/BM669)</f>
        <v>-1</v>
      </c>
      <c r="BR669" s="2474">
        <v>0</v>
      </c>
      <c r="BS669" s="2474">
        <v>0</v>
      </c>
      <c r="BU669" s="2578" t="s">
        <v>1430</v>
      </c>
      <c r="BW669" s="2474">
        <v>0</v>
      </c>
      <c r="BZ669" s="2474">
        <v>0</v>
      </c>
      <c r="CA669" s="2470"/>
      <c r="CB669" s="2472">
        <f t="shared" si="358"/>
        <v>0</v>
      </c>
      <c r="CC669" s="2473" t="str">
        <f>IF(BZ669=0," ",(CB669-BZ669)/BZ669)</f>
        <v xml:space="preserve"> </v>
      </c>
      <c r="CE669" s="2474">
        <v>0</v>
      </c>
      <c r="CF669" s="2476" t="str">
        <f t="shared" ref="CF669:CF674" si="362">IF(CB669=0," ",(CE669-CB669)/CB669)</f>
        <v xml:space="preserve"> </v>
      </c>
      <c r="CG669" s="2474">
        <v>0</v>
      </c>
      <c r="CH669" s="2449" t="s">
        <v>1217</v>
      </c>
      <c r="CI669" s="2449"/>
      <c r="CJ669" s="2450"/>
      <c r="CK669" s="2450"/>
      <c r="CO669" s="2477">
        <v>-0.83333333333333337</v>
      </c>
      <c r="CP669" s="2478">
        <f t="shared" si="332"/>
        <v>-500</v>
      </c>
      <c r="CQ669" s="2478"/>
      <c r="CR669" s="2478"/>
      <c r="CS669" s="2478"/>
      <c r="CT669" s="2478"/>
    </row>
    <row r="670" spans="1:98" hidden="1" x14ac:dyDescent="0.2">
      <c r="A670" s="2395">
        <v>492</v>
      </c>
      <c r="B670" s="2440" t="s">
        <v>1214</v>
      </c>
      <c r="C670" s="2396">
        <v>49205</v>
      </c>
      <c r="D670" s="2396">
        <v>53200</v>
      </c>
      <c r="E670" s="2397" t="s">
        <v>1268</v>
      </c>
      <c r="F670" s="2440" t="s">
        <v>1214</v>
      </c>
      <c r="G670" s="2440" t="s">
        <v>2076</v>
      </c>
      <c r="H670" s="2466">
        <v>200</v>
      </c>
      <c r="I670" s="2470"/>
      <c r="J670" s="2466">
        <f>H670+I670</f>
        <v>200</v>
      </c>
      <c r="K670" s="2468">
        <f>IF(H670=0," ",(J670-H670)/H670)</f>
        <v>0</v>
      </c>
      <c r="M670" s="2467">
        <v>200</v>
      </c>
      <c r="N670" s="2467">
        <v>200</v>
      </c>
      <c r="P670" s="2469"/>
      <c r="R670" s="2466">
        <v>200</v>
      </c>
      <c r="S670" s="2466">
        <v>446.38</v>
      </c>
      <c r="U670" s="2466">
        <v>200</v>
      </c>
      <c r="V670" s="2470"/>
      <c r="W670" s="2466">
        <f>U670+V670</f>
        <v>200</v>
      </c>
      <c r="X670" s="2468">
        <f>IF(U670=0," ",(W670-U670)/U670)</f>
        <v>0</v>
      </c>
      <c r="Z670" s="2467">
        <v>200</v>
      </c>
      <c r="AA670" s="2467">
        <v>200</v>
      </c>
      <c r="AC670" s="2469"/>
      <c r="AE670" s="2466">
        <v>200</v>
      </c>
      <c r="AF670" s="2471">
        <v>360</v>
      </c>
      <c r="AH670" s="2466">
        <v>200</v>
      </c>
      <c r="AI670" s="2470"/>
      <c r="AJ670" s="2466">
        <f>AH670+AI670</f>
        <v>200</v>
      </c>
      <c r="AK670" s="2468">
        <f>IF(AH670=0," ",(AJ670-AH670)/AH670)</f>
        <v>0</v>
      </c>
      <c r="AM670" s="2467">
        <v>200</v>
      </c>
      <c r="AN670" s="2467">
        <v>200</v>
      </c>
      <c r="AP670" s="2469"/>
      <c r="AR670" s="2466">
        <v>200</v>
      </c>
      <c r="AS670" s="2466">
        <v>390</v>
      </c>
      <c r="AT670" s="2466"/>
      <c r="AU670" s="2466">
        <v>200</v>
      </c>
      <c r="AV670" s="2466">
        <v>146.41</v>
      </c>
      <c r="AX670" s="2466">
        <v>200</v>
      </c>
      <c r="AY670" s="2470"/>
      <c r="AZ670" s="2466">
        <f>AX670+AY670</f>
        <v>200</v>
      </c>
      <c r="BA670" s="2468">
        <f>IF(AX670=0," ",(AZ670-AX670)/AX670)</f>
        <v>0</v>
      </c>
      <c r="BC670" s="2467">
        <v>200</v>
      </c>
      <c r="BD670" s="2467">
        <v>200</v>
      </c>
      <c r="BF670" s="2469"/>
      <c r="BH670" s="2467">
        <v>200</v>
      </c>
      <c r="BI670" s="2466">
        <v>245</v>
      </c>
      <c r="BM670" s="2466">
        <v>200</v>
      </c>
      <c r="BN670" s="2470"/>
      <c r="BO670" s="2472">
        <f>BM670+BN670</f>
        <v>200</v>
      </c>
      <c r="BP670" s="2473">
        <f>IF(BM670=0," ",(BO670-BM670)/BM670)</f>
        <v>0</v>
      </c>
      <c r="BR670" s="2474">
        <v>200</v>
      </c>
      <c r="BS670" s="2474">
        <v>200</v>
      </c>
      <c r="BU670" s="2475"/>
      <c r="BW670" s="2474">
        <v>200</v>
      </c>
      <c r="BX670" s="2466">
        <v>160</v>
      </c>
      <c r="BZ670" s="2474">
        <v>200</v>
      </c>
      <c r="CA670" s="2470"/>
      <c r="CB670" s="2472">
        <f>BZ670+CA670</f>
        <v>200</v>
      </c>
      <c r="CC670" s="2473">
        <f>IF(BZ670=0," ",(CB670-BZ670)/BZ670)</f>
        <v>0</v>
      </c>
      <c r="CE670" s="2474">
        <v>200</v>
      </c>
      <c r="CF670" s="2476">
        <f t="shared" si="362"/>
        <v>0</v>
      </c>
      <c r="CG670" s="2474">
        <v>200</v>
      </c>
      <c r="CH670" s="2449" t="s">
        <v>1217</v>
      </c>
      <c r="CI670" s="2449"/>
      <c r="CJ670" s="2450"/>
      <c r="CK670" s="2450"/>
      <c r="CO670" s="2477">
        <v>0.22500000000000009</v>
      </c>
      <c r="CP670" s="2478">
        <f t="shared" si="332"/>
        <v>45</v>
      </c>
      <c r="CQ670" s="2478"/>
      <c r="CR670" s="2478"/>
      <c r="CS670" s="2478"/>
      <c r="CT670" s="2478"/>
    </row>
    <row r="671" spans="1:98" hidden="1" x14ac:dyDescent="0.2">
      <c r="A671" s="2395">
        <v>492</v>
      </c>
      <c r="B671" s="2440" t="s">
        <v>1214</v>
      </c>
      <c r="C671" s="2396">
        <v>49205</v>
      </c>
      <c r="D671" s="2396">
        <v>53400</v>
      </c>
      <c r="E671" s="2397" t="s">
        <v>1268</v>
      </c>
      <c r="F671" s="2440" t="s">
        <v>1214</v>
      </c>
      <c r="G671" s="2440" t="s">
        <v>2077</v>
      </c>
      <c r="H671" s="2466">
        <v>0</v>
      </c>
      <c r="I671" s="2470"/>
      <c r="J671" s="2466">
        <f t="shared" si="348"/>
        <v>0</v>
      </c>
      <c r="K671" s="2468" t="str">
        <f t="shared" si="349"/>
        <v xml:space="preserve"> </v>
      </c>
      <c r="M671" s="2467">
        <v>0</v>
      </c>
      <c r="N671" s="2467">
        <v>0</v>
      </c>
      <c r="P671" s="2469"/>
      <c r="R671" s="2466">
        <v>0</v>
      </c>
      <c r="S671" s="2466">
        <v>909.31</v>
      </c>
      <c r="U671" s="2466">
        <v>0</v>
      </c>
      <c r="V671" s="2470"/>
      <c r="W671" s="2466">
        <f t="shared" si="350"/>
        <v>0</v>
      </c>
      <c r="X671" s="2468" t="str">
        <f t="shared" si="351"/>
        <v xml:space="preserve"> </v>
      </c>
      <c r="Z671" s="2467">
        <v>0</v>
      </c>
      <c r="AA671" s="2467">
        <v>0</v>
      </c>
      <c r="AC671" s="2469"/>
      <c r="AE671" s="2466">
        <v>0</v>
      </c>
      <c r="AF671" s="2471">
        <v>1918.27</v>
      </c>
      <c r="AH671" s="2466">
        <v>0</v>
      </c>
      <c r="AI671" s="2470"/>
      <c r="AJ671" s="2466">
        <f t="shared" si="352"/>
        <v>0</v>
      </c>
      <c r="AK671" s="2468" t="str">
        <f t="shared" si="361"/>
        <v xml:space="preserve"> </v>
      </c>
      <c r="AM671" s="2467">
        <v>0</v>
      </c>
      <c r="AN671" s="2467">
        <v>0</v>
      </c>
      <c r="AP671" s="2469"/>
      <c r="AR671" s="2466">
        <v>0</v>
      </c>
      <c r="AS671" s="2466">
        <v>2234.92</v>
      </c>
      <c r="AT671" s="2466"/>
      <c r="AU671" s="2466">
        <v>0</v>
      </c>
      <c r="AV671" s="2466">
        <v>1216.54</v>
      </c>
      <c r="AX671" s="2466">
        <v>0</v>
      </c>
      <c r="AY671" s="2470"/>
      <c r="AZ671" s="2466">
        <f t="shared" ref="AZ671:AZ689" si="363">AX671+AY671</f>
        <v>0</v>
      </c>
      <c r="BA671" s="2468" t="str">
        <f t="shared" ref="BA671:BA689" si="364">IF(AX671=0," ",(AZ671-AX671)/AX671)</f>
        <v xml:space="preserve"> </v>
      </c>
      <c r="BC671" s="2467">
        <v>0</v>
      </c>
      <c r="BD671" s="2467">
        <v>0</v>
      </c>
      <c r="BF671" s="2469"/>
      <c r="BH671" s="2467">
        <v>0</v>
      </c>
      <c r="BI671" s="2466">
        <v>1395.53</v>
      </c>
      <c r="BM671" s="2466">
        <v>0</v>
      </c>
      <c r="BN671" s="2470">
        <v>1650</v>
      </c>
      <c r="BO671" s="2472">
        <f t="shared" ref="BO671:BO689" si="365">BM671+BN671</f>
        <v>1650</v>
      </c>
      <c r="BP671" s="2473" t="str">
        <f t="shared" ref="BP671:BP689" si="366">IF(BM671=0," ",(BO671-BM671)/BM671)</f>
        <v xml:space="preserve"> </v>
      </c>
      <c r="BR671" s="2474">
        <v>1650</v>
      </c>
      <c r="BS671" s="2474">
        <v>1650</v>
      </c>
      <c r="BU671" s="2578" t="s">
        <v>1430</v>
      </c>
      <c r="BW671" s="2474">
        <v>1650</v>
      </c>
      <c r="BX671" s="2466">
        <v>649.95000000000005</v>
      </c>
      <c r="BZ671" s="2474">
        <v>1650</v>
      </c>
      <c r="CA671" s="2470"/>
      <c r="CB671" s="2472">
        <f t="shared" ref="CB671:CB689" si="367">BZ671+CA671</f>
        <v>1650</v>
      </c>
      <c r="CC671" s="2473">
        <f t="shared" ref="CC671:CC674" si="368">IF(BZ671=0," ",(CB671-BZ671)/BZ671)</f>
        <v>0</v>
      </c>
      <c r="CE671" s="2474">
        <v>1650</v>
      </c>
      <c r="CF671" s="2476">
        <f t="shared" si="362"/>
        <v>0</v>
      </c>
      <c r="CG671" s="2474">
        <v>1650</v>
      </c>
      <c r="CH671" s="2449" t="s">
        <v>1217</v>
      </c>
      <c r="CI671" s="2449"/>
      <c r="CJ671" s="2450"/>
      <c r="CK671" s="2450"/>
      <c r="CO671" s="2477" t="s">
        <v>1257</v>
      </c>
      <c r="CP671" s="2478">
        <f t="shared" si="332"/>
        <v>1395.53</v>
      </c>
      <c r="CQ671" s="2478"/>
      <c r="CR671" s="2478"/>
      <c r="CS671" s="2478"/>
      <c r="CT671" s="2478"/>
    </row>
    <row r="672" spans="1:98" hidden="1" x14ac:dyDescent="0.2">
      <c r="A672" s="2395">
        <v>492</v>
      </c>
      <c r="B672" s="2440" t="s">
        <v>1214</v>
      </c>
      <c r="C672" s="2396">
        <v>49205</v>
      </c>
      <c r="D672" s="2396">
        <v>53430</v>
      </c>
      <c r="E672" s="2397" t="s">
        <v>1268</v>
      </c>
      <c r="F672" s="2440" t="s">
        <v>1214</v>
      </c>
      <c r="G672" s="2440" t="s">
        <v>2078</v>
      </c>
      <c r="H672" s="2466">
        <v>150</v>
      </c>
      <c r="I672" s="2470"/>
      <c r="J672" s="2466">
        <f t="shared" si="348"/>
        <v>150</v>
      </c>
      <c r="K672" s="2468">
        <f t="shared" si="349"/>
        <v>0</v>
      </c>
      <c r="M672" s="2467">
        <v>150</v>
      </c>
      <c r="N672" s="2467">
        <v>150</v>
      </c>
      <c r="P672" s="2469"/>
      <c r="R672" s="2466">
        <v>150</v>
      </c>
      <c r="S672" s="2466">
        <v>32.86</v>
      </c>
      <c r="U672" s="2466">
        <v>150</v>
      </c>
      <c r="V672" s="2470"/>
      <c r="W672" s="2466">
        <f t="shared" si="350"/>
        <v>150</v>
      </c>
      <c r="X672" s="2468">
        <f t="shared" si="351"/>
        <v>0</v>
      </c>
      <c r="Z672" s="2467">
        <v>150</v>
      </c>
      <c r="AA672" s="2467">
        <v>150</v>
      </c>
      <c r="AC672" s="2469"/>
      <c r="AE672" s="2466">
        <v>150</v>
      </c>
      <c r="AF672" s="2471">
        <v>30.55</v>
      </c>
      <c r="AH672" s="2466">
        <v>150</v>
      </c>
      <c r="AI672" s="2470"/>
      <c r="AJ672" s="2466">
        <f t="shared" si="352"/>
        <v>150</v>
      </c>
      <c r="AK672" s="2468">
        <f t="shared" si="361"/>
        <v>0</v>
      </c>
      <c r="AM672" s="2467">
        <v>150</v>
      </c>
      <c r="AN672" s="2467">
        <v>150</v>
      </c>
      <c r="AP672" s="2469"/>
      <c r="AR672" s="2466">
        <v>150</v>
      </c>
      <c r="AS672" s="2466">
        <v>11.3</v>
      </c>
      <c r="AT672" s="2466"/>
      <c r="AU672" s="2466">
        <v>150</v>
      </c>
      <c r="AV672" s="2466">
        <v>55</v>
      </c>
      <c r="AX672" s="2466">
        <v>150</v>
      </c>
      <c r="AY672" s="2470"/>
      <c r="AZ672" s="2466">
        <f t="shared" si="363"/>
        <v>150</v>
      </c>
      <c r="BA672" s="2468">
        <f t="shared" si="364"/>
        <v>0</v>
      </c>
      <c r="BC672" s="2467">
        <v>150</v>
      </c>
      <c r="BD672" s="2467">
        <v>150</v>
      </c>
      <c r="BF672" s="2469"/>
      <c r="BH672" s="2467">
        <v>150</v>
      </c>
      <c r="BM672" s="2466">
        <v>150</v>
      </c>
      <c r="BN672" s="2470"/>
      <c r="BO672" s="2472">
        <f t="shared" si="365"/>
        <v>150</v>
      </c>
      <c r="BP672" s="2473">
        <f t="shared" si="366"/>
        <v>0</v>
      </c>
      <c r="BR672" s="2474">
        <v>150</v>
      </c>
      <c r="BS672" s="2474">
        <v>150</v>
      </c>
      <c r="BU672" s="2475"/>
      <c r="BW672" s="2474">
        <v>150</v>
      </c>
      <c r="BZ672" s="2474">
        <v>150</v>
      </c>
      <c r="CA672" s="2470"/>
      <c r="CB672" s="2472">
        <f t="shared" si="367"/>
        <v>150</v>
      </c>
      <c r="CC672" s="2473">
        <f t="shared" si="368"/>
        <v>0</v>
      </c>
      <c r="CE672" s="2474">
        <v>150</v>
      </c>
      <c r="CF672" s="2476">
        <f t="shared" si="362"/>
        <v>0</v>
      </c>
      <c r="CG672" s="2474">
        <v>150</v>
      </c>
      <c r="CH672" s="2449" t="s">
        <v>1217</v>
      </c>
      <c r="CI672" s="2449"/>
      <c r="CJ672" s="2450"/>
      <c r="CK672" s="2450"/>
      <c r="CO672" s="2477" t="s">
        <v>1218</v>
      </c>
      <c r="CP672" s="2478">
        <f t="shared" si="332"/>
        <v>-150</v>
      </c>
      <c r="CQ672" s="2478"/>
      <c r="CR672" s="2478"/>
      <c r="CS672" s="2478"/>
      <c r="CT672" s="2478"/>
    </row>
    <row r="673" spans="1:98" hidden="1" x14ac:dyDescent="0.2">
      <c r="A673" s="2395">
        <v>492</v>
      </c>
      <c r="B673" s="2440" t="s">
        <v>1214</v>
      </c>
      <c r="C673" s="2396">
        <v>49205</v>
      </c>
      <c r="D673" s="2396">
        <v>53450</v>
      </c>
      <c r="E673" s="2397" t="s">
        <v>1268</v>
      </c>
      <c r="F673" s="2440" t="s">
        <v>1214</v>
      </c>
      <c r="G673" s="2440" t="s">
        <v>2079</v>
      </c>
      <c r="H673" s="2466">
        <v>100</v>
      </c>
      <c r="I673" s="2470"/>
      <c r="J673" s="2466">
        <f t="shared" si="348"/>
        <v>100</v>
      </c>
      <c r="K673" s="2468">
        <f t="shared" si="349"/>
        <v>0</v>
      </c>
      <c r="M673" s="2467">
        <v>100</v>
      </c>
      <c r="N673" s="2467">
        <v>100</v>
      </c>
      <c r="P673" s="2469"/>
      <c r="R673" s="2466">
        <v>100</v>
      </c>
      <c r="S673" s="2466">
        <v>0</v>
      </c>
      <c r="U673" s="2466">
        <v>100</v>
      </c>
      <c r="V673" s="2470"/>
      <c r="W673" s="2466">
        <f t="shared" si="350"/>
        <v>100</v>
      </c>
      <c r="X673" s="2468">
        <f t="shared" si="351"/>
        <v>0</v>
      </c>
      <c r="Z673" s="2467">
        <v>100</v>
      </c>
      <c r="AA673" s="2467">
        <v>100</v>
      </c>
      <c r="AC673" s="2469"/>
      <c r="AE673" s="2466">
        <v>100</v>
      </c>
      <c r="AF673" s="2471">
        <v>0</v>
      </c>
      <c r="AH673" s="2466">
        <v>100</v>
      </c>
      <c r="AI673" s="2470"/>
      <c r="AJ673" s="2466">
        <f t="shared" si="352"/>
        <v>100</v>
      </c>
      <c r="AK673" s="2468">
        <f t="shared" si="361"/>
        <v>0</v>
      </c>
      <c r="AM673" s="2467">
        <v>100</v>
      </c>
      <c r="AN673" s="2467">
        <v>100</v>
      </c>
      <c r="AP673" s="2469"/>
      <c r="AR673" s="2466">
        <v>100</v>
      </c>
      <c r="AS673" s="2466">
        <v>0</v>
      </c>
      <c r="AT673" s="2466"/>
      <c r="AU673" s="2466">
        <v>100</v>
      </c>
      <c r="AV673" s="2466">
        <v>0</v>
      </c>
      <c r="AX673" s="2466">
        <v>100</v>
      </c>
      <c r="AY673" s="2470"/>
      <c r="AZ673" s="2466">
        <f t="shared" si="363"/>
        <v>100</v>
      </c>
      <c r="BA673" s="2468">
        <f t="shared" si="364"/>
        <v>0</v>
      </c>
      <c r="BC673" s="2467">
        <v>100</v>
      </c>
      <c r="BD673" s="2467">
        <v>100</v>
      </c>
      <c r="BF673" s="2469"/>
      <c r="BH673" s="2467">
        <v>100</v>
      </c>
      <c r="BM673" s="2466">
        <v>100</v>
      </c>
      <c r="BN673" s="2470"/>
      <c r="BO673" s="2472">
        <f t="shared" si="365"/>
        <v>100</v>
      </c>
      <c r="BP673" s="2473">
        <f t="shared" si="366"/>
        <v>0</v>
      </c>
      <c r="BR673" s="2474">
        <v>100</v>
      </c>
      <c r="BS673" s="2474">
        <v>100</v>
      </c>
      <c r="BU673" s="2475"/>
      <c r="BW673" s="2474">
        <v>100</v>
      </c>
      <c r="BZ673" s="2474">
        <v>100</v>
      </c>
      <c r="CA673" s="2470"/>
      <c r="CB673" s="2472">
        <f t="shared" si="367"/>
        <v>100</v>
      </c>
      <c r="CC673" s="2473">
        <f t="shared" si="368"/>
        <v>0</v>
      </c>
      <c r="CE673" s="2474">
        <v>100</v>
      </c>
      <c r="CF673" s="2476">
        <f t="shared" si="362"/>
        <v>0</v>
      </c>
      <c r="CG673" s="2474">
        <v>100</v>
      </c>
      <c r="CH673" s="2449" t="s">
        <v>1217</v>
      </c>
      <c r="CI673" s="2449"/>
      <c r="CJ673" s="2450"/>
      <c r="CK673" s="2450"/>
      <c r="CO673" s="2477" t="s">
        <v>1218</v>
      </c>
      <c r="CP673" s="2478">
        <f t="shared" si="332"/>
        <v>-100</v>
      </c>
      <c r="CQ673" s="2478"/>
      <c r="CR673" s="2478"/>
      <c r="CS673" s="2478"/>
      <c r="CT673" s="2478"/>
    </row>
    <row r="674" spans="1:98" hidden="1" x14ac:dyDescent="0.2">
      <c r="A674" s="2395">
        <v>492</v>
      </c>
      <c r="B674" s="2440" t="s">
        <v>1214</v>
      </c>
      <c r="C674" s="2396">
        <v>49205</v>
      </c>
      <c r="D674" s="2396">
        <v>53800</v>
      </c>
      <c r="E674" s="2397" t="s">
        <v>1268</v>
      </c>
      <c r="F674" s="2440" t="s">
        <v>1214</v>
      </c>
      <c r="G674" s="2440" t="s">
        <v>2080</v>
      </c>
      <c r="H674" s="2466">
        <v>2569</v>
      </c>
      <c r="I674" s="2470"/>
      <c r="J674" s="2466">
        <f t="shared" si="348"/>
        <v>2569</v>
      </c>
      <c r="K674" s="2468">
        <f t="shared" si="349"/>
        <v>0</v>
      </c>
      <c r="M674" s="2467">
        <v>2569</v>
      </c>
      <c r="N674" s="2467">
        <v>2569</v>
      </c>
      <c r="P674" s="2469"/>
      <c r="R674" s="2466">
        <v>2569</v>
      </c>
      <c r="S674" s="2466">
        <v>3849.8</v>
      </c>
      <c r="U674" s="2466">
        <v>2569</v>
      </c>
      <c r="V674" s="2470"/>
      <c r="W674" s="2466">
        <f t="shared" si="350"/>
        <v>2569</v>
      </c>
      <c r="X674" s="2468">
        <f t="shared" si="351"/>
        <v>0</v>
      </c>
      <c r="Z674" s="2467">
        <v>2569</v>
      </c>
      <c r="AA674" s="2467">
        <v>2569</v>
      </c>
      <c r="AC674" s="2469"/>
      <c r="AE674" s="2466">
        <v>2569</v>
      </c>
      <c r="AF674" s="2471">
        <v>3547.72</v>
      </c>
      <c r="AH674" s="2466">
        <v>2569</v>
      </c>
      <c r="AI674" s="2470"/>
      <c r="AJ674" s="2466">
        <f t="shared" si="352"/>
        <v>2569</v>
      </c>
      <c r="AK674" s="2468">
        <f t="shared" si="361"/>
        <v>0</v>
      </c>
      <c r="AM674" s="2467">
        <v>2569</v>
      </c>
      <c r="AN674" s="2467">
        <v>2569</v>
      </c>
      <c r="AP674" s="2469"/>
      <c r="AR674" s="2466">
        <v>2569</v>
      </c>
      <c r="AS674" s="2466">
        <v>1918.46</v>
      </c>
      <c r="AT674" s="2466"/>
      <c r="AU674" s="2466">
        <v>2569</v>
      </c>
      <c r="AV674" s="2466">
        <v>1135.5999999999999</v>
      </c>
      <c r="AX674" s="2466">
        <v>2569</v>
      </c>
      <c r="AY674" s="2470"/>
      <c r="AZ674" s="2466">
        <f t="shared" si="363"/>
        <v>2569</v>
      </c>
      <c r="BA674" s="2468">
        <f t="shared" si="364"/>
        <v>0</v>
      </c>
      <c r="BC674" s="2467">
        <v>2569</v>
      </c>
      <c r="BD674" s="2467">
        <v>2569</v>
      </c>
      <c r="BF674" s="2469"/>
      <c r="BH674" s="2467">
        <v>2569</v>
      </c>
      <c r="BI674" s="2466">
        <v>1327.53</v>
      </c>
      <c r="BM674" s="2466">
        <v>2569</v>
      </c>
      <c r="BN674" s="2470">
        <v>-569</v>
      </c>
      <c r="BO674" s="2472">
        <f t="shared" si="365"/>
        <v>2000</v>
      </c>
      <c r="BP674" s="2473">
        <f t="shared" si="366"/>
        <v>-0.22148695990657843</v>
      </c>
      <c r="BR674" s="2474">
        <v>2000</v>
      </c>
      <c r="BS674" s="2474">
        <v>2000</v>
      </c>
      <c r="BU674" s="2578" t="s">
        <v>1430</v>
      </c>
      <c r="BW674" s="2474">
        <v>2000</v>
      </c>
      <c r="BX674" s="2466">
        <v>1570</v>
      </c>
      <c r="BZ674" s="2474">
        <v>2000</v>
      </c>
      <c r="CA674" s="2470"/>
      <c r="CB674" s="2472">
        <f t="shared" si="367"/>
        <v>2000</v>
      </c>
      <c r="CC674" s="2473">
        <f t="shared" si="368"/>
        <v>0</v>
      </c>
      <c r="CE674" s="2474">
        <v>2000</v>
      </c>
      <c r="CF674" s="2476">
        <f t="shared" si="362"/>
        <v>0</v>
      </c>
      <c r="CG674" s="2474">
        <v>2000</v>
      </c>
      <c r="CH674" s="2449" t="s">
        <v>1217</v>
      </c>
      <c r="CI674" s="2449"/>
      <c r="CJ674" s="2450"/>
      <c r="CK674" s="2450"/>
      <c r="CO674" s="2477">
        <v>-0.48325029194239</v>
      </c>
      <c r="CP674" s="2478">
        <f t="shared" si="332"/>
        <v>-1241.47</v>
      </c>
      <c r="CQ674" s="2478"/>
      <c r="CR674" s="2478"/>
      <c r="CS674" s="2478"/>
      <c r="CT674" s="2478"/>
    </row>
    <row r="675" spans="1:98" hidden="1" x14ac:dyDescent="0.2">
      <c r="A675" s="2395">
        <v>492</v>
      </c>
      <c r="C675" s="2396">
        <v>49205</v>
      </c>
      <c r="D675" s="2396">
        <v>53802</v>
      </c>
      <c r="E675" s="2397" t="s">
        <v>1268</v>
      </c>
      <c r="G675" s="2546" t="s">
        <v>2081</v>
      </c>
      <c r="I675" s="2470"/>
      <c r="M675" s="2467"/>
      <c r="N675" s="2467"/>
      <c r="P675" s="2469"/>
      <c r="V675" s="2470"/>
      <c r="Z675" s="2467"/>
      <c r="AA675" s="2467"/>
      <c r="AC675" s="2469"/>
      <c r="AI675" s="2470"/>
      <c r="AM675" s="2467"/>
      <c r="AN675" s="2467"/>
      <c r="AP675" s="2469"/>
      <c r="AS675" s="2466"/>
      <c r="AT675" s="2466"/>
      <c r="AY675" s="2470"/>
      <c r="BC675" s="2467"/>
      <c r="BD675" s="2467"/>
      <c r="BF675" s="2469"/>
      <c r="BH675" s="2467"/>
      <c r="BN675" s="2470"/>
      <c r="BR675" s="2474"/>
      <c r="BS675" s="2648">
        <v>50000</v>
      </c>
      <c r="BU675" s="2547" t="s">
        <v>2082</v>
      </c>
      <c r="BW675" s="2467">
        <v>50000</v>
      </c>
      <c r="BX675" s="2466">
        <v>24200</v>
      </c>
      <c r="BZ675" s="2474">
        <v>50000</v>
      </c>
      <c r="CA675" s="2470"/>
      <c r="CB675" s="2472">
        <f t="shared" si="367"/>
        <v>50000</v>
      </c>
      <c r="CE675" s="2474">
        <v>50000</v>
      </c>
      <c r="CF675" s="2476"/>
      <c r="CG675" s="2474">
        <v>50000</v>
      </c>
      <c r="CH675" s="2449" t="s">
        <v>1217</v>
      </c>
      <c r="CI675" s="2449"/>
      <c r="CJ675" s="2450"/>
      <c r="CK675" s="2450"/>
      <c r="CP675" s="2478">
        <f t="shared" si="332"/>
        <v>0</v>
      </c>
      <c r="CQ675" s="2478"/>
      <c r="CR675" s="2478"/>
      <c r="CS675" s="2478"/>
      <c r="CT675" s="2478"/>
    </row>
    <row r="676" spans="1:98" hidden="1" x14ac:dyDescent="0.2">
      <c r="A676" s="2395">
        <v>492</v>
      </c>
      <c r="B676" s="2440" t="s">
        <v>1214</v>
      </c>
      <c r="C676" s="2396">
        <v>49205</v>
      </c>
      <c r="D676" s="2396">
        <v>54200</v>
      </c>
      <c r="E676" s="2397" t="s">
        <v>1268</v>
      </c>
      <c r="F676" s="2440" t="s">
        <v>1214</v>
      </c>
      <c r="G676" s="2440" t="s">
        <v>2083</v>
      </c>
      <c r="H676" s="2466">
        <v>1020</v>
      </c>
      <c r="I676" s="2470"/>
      <c r="J676" s="2466">
        <f t="shared" si="348"/>
        <v>1020</v>
      </c>
      <c r="K676" s="2468">
        <f t="shared" si="349"/>
        <v>0</v>
      </c>
      <c r="M676" s="2467">
        <v>1020</v>
      </c>
      <c r="N676" s="2467">
        <v>1020</v>
      </c>
      <c r="P676" s="2469"/>
      <c r="R676" s="2466">
        <v>1020</v>
      </c>
      <c r="S676" s="2466">
        <v>931.66</v>
      </c>
      <c r="U676" s="2466">
        <v>1020</v>
      </c>
      <c r="V676" s="2470"/>
      <c r="W676" s="2466">
        <f t="shared" si="350"/>
        <v>1020</v>
      </c>
      <c r="X676" s="2468">
        <f t="shared" si="351"/>
        <v>0</v>
      </c>
      <c r="Z676" s="2467">
        <v>1020</v>
      </c>
      <c r="AA676" s="2467">
        <v>1020</v>
      </c>
      <c r="AC676" s="2469"/>
      <c r="AE676" s="2466">
        <v>1020</v>
      </c>
      <c r="AF676" s="2471">
        <v>225.01</v>
      </c>
      <c r="AH676" s="2466">
        <v>1020</v>
      </c>
      <c r="AI676" s="2470"/>
      <c r="AJ676" s="2466">
        <f t="shared" si="352"/>
        <v>1020</v>
      </c>
      <c r="AK676" s="2468">
        <f t="shared" si="361"/>
        <v>0</v>
      </c>
      <c r="AM676" s="2467">
        <v>1020</v>
      </c>
      <c r="AN676" s="2467">
        <v>1020</v>
      </c>
      <c r="AP676" s="2469"/>
      <c r="AR676" s="2466">
        <v>1020</v>
      </c>
      <c r="AS676" s="2466">
        <v>359.96</v>
      </c>
      <c r="AT676" s="2466"/>
      <c r="AU676" s="2466">
        <v>1020</v>
      </c>
      <c r="AV676" s="2466">
        <v>1993.11</v>
      </c>
      <c r="AX676" s="2466">
        <v>1020</v>
      </c>
      <c r="AY676" s="2470"/>
      <c r="AZ676" s="2466">
        <f t="shared" si="363"/>
        <v>1020</v>
      </c>
      <c r="BA676" s="2468">
        <f t="shared" si="364"/>
        <v>0</v>
      </c>
      <c r="BC676" s="2467">
        <v>1020</v>
      </c>
      <c r="BD676" s="2467">
        <v>1020</v>
      </c>
      <c r="BF676" s="2469"/>
      <c r="BH676" s="2467">
        <v>1020</v>
      </c>
      <c r="BI676" s="2466">
        <v>1020</v>
      </c>
      <c r="BM676" s="2466">
        <v>1020</v>
      </c>
      <c r="BN676" s="2470"/>
      <c r="BO676" s="2472">
        <f t="shared" si="365"/>
        <v>1020</v>
      </c>
      <c r="BP676" s="2473">
        <f t="shared" si="366"/>
        <v>0</v>
      </c>
      <c r="BR676" s="2474">
        <v>1020</v>
      </c>
      <c r="BS676" s="2474">
        <v>1020</v>
      </c>
      <c r="BU676" s="2578"/>
      <c r="BW676" s="2474">
        <v>1020</v>
      </c>
      <c r="BX676" s="2466">
        <v>28.48</v>
      </c>
      <c r="BZ676" s="2474">
        <v>1020</v>
      </c>
      <c r="CA676" s="2470"/>
      <c r="CB676" s="2472">
        <f t="shared" si="367"/>
        <v>1020</v>
      </c>
      <c r="CC676" s="2473">
        <f t="shared" ref="CC676:CC689" si="369">IF(BZ676=0," ",(CB676-BZ676)/BZ676)</f>
        <v>0</v>
      </c>
      <c r="CE676" s="2474">
        <v>1020</v>
      </c>
      <c r="CF676" s="2476">
        <f t="shared" ref="CF676:CF690" si="370">IF(CB676=0," ",(CE676-CB676)/CB676)</f>
        <v>0</v>
      </c>
      <c r="CG676" s="2474">
        <v>1020</v>
      </c>
      <c r="CH676" s="2449" t="s">
        <v>1217</v>
      </c>
      <c r="CI676" s="2449"/>
      <c r="CJ676" s="2450"/>
      <c r="CK676" s="2450"/>
      <c r="CO676" s="2477">
        <v>0</v>
      </c>
      <c r="CP676" s="2478">
        <f t="shared" si="332"/>
        <v>0</v>
      </c>
      <c r="CQ676" s="2478"/>
      <c r="CR676" s="2478"/>
      <c r="CS676" s="2478"/>
      <c r="CT676" s="2478"/>
    </row>
    <row r="677" spans="1:98" hidden="1" x14ac:dyDescent="0.2">
      <c r="A677" s="2395">
        <v>492</v>
      </c>
      <c r="B677" s="2440" t="s">
        <v>1214</v>
      </c>
      <c r="C677" s="2396">
        <v>49205</v>
      </c>
      <c r="D677" s="2396">
        <v>54310</v>
      </c>
      <c r="E677" s="2397" t="s">
        <v>1268</v>
      </c>
      <c r="F677" s="2440" t="s">
        <v>1214</v>
      </c>
      <c r="G677" s="2440" t="s">
        <v>2084</v>
      </c>
      <c r="H677" s="2466">
        <v>1530</v>
      </c>
      <c r="I677" s="2470"/>
      <c r="J677" s="2466">
        <f t="shared" si="348"/>
        <v>1530</v>
      </c>
      <c r="K677" s="2468">
        <f t="shared" si="349"/>
        <v>0</v>
      </c>
      <c r="M677" s="2467">
        <v>1530</v>
      </c>
      <c r="N677" s="2467">
        <v>1530</v>
      </c>
      <c r="P677" s="2469"/>
      <c r="R677" s="2466">
        <v>1530</v>
      </c>
      <c r="S677" s="2466">
        <v>1621.5</v>
      </c>
      <c r="U677" s="2466">
        <v>1530</v>
      </c>
      <c r="V677" s="2470"/>
      <c r="W677" s="2466">
        <f t="shared" si="350"/>
        <v>1530</v>
      </c>
      <c r="X677" s="2468">
        <f t="shared" si="351"/>
        <v>0</v>
      </c>
      <c r="Z677" s="2467">
        <v>1530</v>
      </c>
      <c r="AA677" s="2467">
        <v>1530</v>
      </c>
      <c r="AC677" s="2469"/>
      <c r="AE677" s="2466">
        <v>1530</v>
      </c>
      <c r="AF677" s="2471">
        <v>0</v>
      </c>
      <c r="AH677" s="2466">
        <v>1530</v>
      </c>
      <c r="AI677" s="2470"/>
      <c r="AJ677" s="2466">
        <f t="shared" si="352"/>
        <v>1530</v>
      </c>
      <c r="AK677" s="2468">
        <f t="shared" si="361"/>
        <v>0</v>
      </c>
      <c r="AM677" s="2467">
        <v>1530</v>
      </c>
      <c r="AN677" s="2467">
        <v>1530</v>
      </c>
      <c r="AP677" s="2469"/>
      <c r="AR677" s="2466">
        <v>1530</v>
      </c>
      <c r="AS677" s="2466">
        <v>0</v>
      </c>
      <c r="AT677" s="2466"/>
      <c r="AU677" s="2466">
        <v>1530</v>
      </c>
      <c r="AV677" s="2466">
        <v>1486.95</v>
      </c>
      <c r="AX677" s="2466">
        <v>1530</v>
      </c>
      <c r="AY677" s="2470"/>
      <c r="AZ677" s="2466">
        <f t="shared" si="363"/>
        <v>1530</v>
      </c>
      <c r="BA677" s="2468">
        <f t="shared" si="364"/>
        <v>0</v>
      </c>
      <c r="BC677" s="2467">
        <v>1530</v>
      </c>
      <c r="BD677" s="2467">
        <v>1530</v>
      </c>
      <c r="BF677" s="2469"/>
      <c r="BH677" s="2467">
        <v>1530</v>
      </c>
      <c r="BI677" s="2466">
        <v>1052.8699999999999</v>
      </c>
      <c r="BM677" s="2466">
        <v>1530</v>
      </c>
      <c r="BN677" s="2470"/>
      <c r="BO677" s="2472">
        <f t="shared" si="365"/>
        <v>1530</v>
      </c>
      <c r="BP677" s="2473">
        <f t="shared" si="366"/>
        <v>0</v>
      </c>
      <c r="BR677" s="2474">
        <v>1530</v>
      </c>
      <c r="BS677" s="2474">
        <v>1530</v>
      </c>
      <c r="BU677" s="2475"/>
      <c r="BW677" s="2474">
        <v>1530</v>
      </c>
      <c r="BX677" s="2466">
        <v>489.94</v>
      </c>
      <c r="BZ677" s="2474">
        <v>1530</v>
      </c>
      <c r="CA677" s="2470"/>
      <c r="CB677" s="2472">
        <f t="shared" si="367"/>
        <v>1530</v>
      </c>
      <c r="CC677" s="2473">
        <f t="shared" si="369"/>
        <v>0</v>
      </c>
      <c r="CE677" s="2474">
        <v>1530</v>
      </c>
      <c r="CF677" s="2476">
        <f t="shared" si="370"/>
        <v>0</v>
      </c>
      <c r="CG677" s="2474">
        <v>1530</v>
      </c>
      <c r="CH677" s="2449" t="s">
        <v>1217</v>
      </c>
      <c r="CI677" s="2449"/>
      <c r="CJ677" s="2450"/>
      <c r="CK677" s="2450"/>
      <c r="CO677" s="2477">
        <v>-0.31184967320261447</v>
      </c>
      <c r="CP677" s="2478">
        <f t="shared" si="332"/>
        <v>-477.13000000000011</v>
      </c>
      <c r="CQ677" s="2478"/>
      <c r="CR677" s="2478"/>
      <c r="CS677" s="2478"/>
      <c r="CT677" s="2478"/>
    </row>
    <row r="678" spans="1:98" hidden="1" x14ac:dyDescent="0.2">
      <c r="A678" s="2395">
        <v>492</v>
      </c>
      <c r="B678" s="2440" t="s">
        <v>1214</v>
      </c>
      <c r="C678" s="2396">
        <v>49205</v>
      </c>
      <c r="D678" s="2396">
        <v>54330</v>
      </c>
      <c r="E678" s="2397" t="s">
        <v>1268</v>
      </c>
      <c r="F678" s="2440" t="s">
        <v>1214</v>
      </c>
      <c r="G678" s="2440" t="s">
        <v>2085</v>
      </c>
      <c r="H678" s="2466">
        <v>700</v>
      </c>
      <c r="I678" s="2470"/>
      <c r="J678" s="2466">
        <f t="shared" si="348"/>
        <v>700</v>
      </c>
      <c r="K678" s="2468">
        <f t="shared" si="349"/>
        <v>0</v>
      </c>
      <c r="M678" s="2467">
        <v>700</v>
      </c>
      <c r="N678" s="2467">
        <v>700</v>
      </c>
      <c r="P678" s="2469"/>
      <c r="R678" s="2466">
        <v>700</v>
      </c>
      <c r="S678" s="2466">
        <v>1213.3699999999999</v>
      </c>
      <c r="U678" s="2466">
        <v>700</v>
      </c>
      <c r="V678" s="2470"/>
      <c r="W678" s="2466">
        <f t="shared" si="350"/>
        <v>700</v>
      </c>
      <c r="X678" s="2468">
        <f t="shared" si="351"/>
        <v>0</v>
      </c>
      <c r="Z678" s="2467">
        <v>700</v>
      </c>
      <c r="AA678" s="2467">
        <v>700</v>
      </c>
      <c r="AC678" s="2469"/>
      <c r="AE678" s="2466">
        <v>700</v>
      </c>
      <c r="AF678" s="2471">
        <v>737.67</v>
      </c>
      <c r="AH678" s="2466">
        <v>700</v>
      </c>
      <c r="AI678" s="2470"/>
      <c r="AJ678" s="2466">
        <f t="shared" si="352"/>
        <v>700</v>
      </c>
      <c r="AK678" s="2468">
        <f t="shared" si="361"/>
        <v>0</v>
      </c>
      <c r="AM678" s="2467">
        <v>700</v>
      </c>
      <c r="AN678" s="2467">
        <v>700</v>
      </c>
      <c r="AP678" s="2469"/>
      <c r="AR678" s="2466">
        <v>700</v>
      </c>
      <c r="AS678" s="2466">
        <v>831.75</v>
      </c>
      <c r="AT678" s="2466"/>
      <c r="AU678" s="2466">
        <v>700</v>
      </c>
      <c r="AV678" s="2466">
        <v>124.8</v>
      </c>
      <c r="AX678" s="2466">
        <v>700</v>
      </c>
      <c r="AY678" s="2470"/>
      <c r="AZ678" s="2466">
        <f t="shared" si="363"/>
        <v>700</v>
      </c>
      <c r="BA678" s="2468">
        <f t="shared" si="364"/>
        <v>0</v>
      </c>
      <c r="BC678" s="2467">
        <v>700</v>
      </c>
      <c r="BD678" s="2467">
        <v>700</v>
      </c>
      <c r="BF678" s="2469"/>
      <c r="BH678" s="2467">
        <v>700</v>
      </c>
      <c r="BM678" s="2466">
        <v>700</v>
      </c>
      <c r="BN678" s="2470"/>
      <c r="BO678" s="2472">
        <f t="shared" si="365"/>
        <v>700</v>
      </c>
      <c r="BP678" s="2473">
        <f t="shared" si="366"/>
        <v>0</v>
      </c>
      <c r="BR678" s="2474">
        <v>700</v>
      </c>
      <c r="BS678" s="2474">
        <v>700</v>
      </c>
      <c r="BU678" s="2475"/>
      <c r="BW678" s="2474">
        <v>700</v>
      </c>
      <c r="BX678" s="2466">
        <v>25.17</v>
      </c>
      <c r="BZ678" s="2474">
        <v>700</v>
      </c>
      <c r="CA678" s="2470"/>
      <c r="CB678" s="2472">
        <f t="shared" si="367"/>
        <v>700</v>
      </c>
      <c r="CC678" s="2473">
        <f t="shared" si="369"/>
        <v>0</v>
      </c>
      <c r="CE678" s="2474">
        <v>700</v>
      </c>
      <c r="CF678" s="2476">
        <f t="shared" si="370"/>
        <v>0</v>
      </c>
      <c r="CG678" s="2474">
        <v>700</v>
      </c>
      <c r="CH678" s="2449" t="s">
        <v>1217</v>
      </c>
      <c r="CI678" s="2449"/>
      <c r="CJ678" s="2450"/>
      <c r="CK678" s="2450"/>
      <c r="CO678" s="2477" t="s">
        <v>1218</v>
      </c>
      <c r="CP678" s="2478">
        <f t="shared" si="332"/>
        <v>-700</v>
      </c>
      <c r="CQ678" s="2478"/>
      <c r="CR678" s="2478"/>
      <c r="CS678" s="2478"/>
      <c r="CT678" s="2478"/>
    </row>
    <row r="679" spans="1:98" hidden="1" x14ac:dyDescent="0.2">
      <c r="A679" s="2395">
        <v>492</v>
      </c>
      <c r="B679" s="2440" t="s">
        <v>1214</v>
      </c>
      <c r="C679" s="2396">
        <v>49205</v>
      </c>
      <c r="D679" s="2396">
        <v>54500</v>
      </c>
      <c r="E679" s="2397" t="s">
        <v>1268</v>
      </c>
      <c r="F679" s="2440" t="s">
        <v>1214</v>
      </c>
      <c r="G679" s="2440" t="s">
        <v>2086</v>
      </c>
      <c r="H679" s="2466">
        <v>500</v>
      </c>
      <c r="I679" s="2470"/>
      <c r="J679" s="2466">
        <f t="shared" si="348"/>
        <v>500</v>
      </c>
      <c r="K679" s="2468">
        <f t="shared" si="349"/>
        <v>0</v>
      </c>
      <c r="M679" s="2467">
        <v>500</v>
      </c>
      <c r="N679" s="2467">
        <v>500</v>
      </c>
      <c r="P679" s="2469"/>
      <c r="R679" s="2466">
        <v>500</v>
      </c>
      <c r="S679" s="2466">
        <v>426.49</v>
      </c>
      <c r="U679" s="2466">
        <v>500</v>
      </c>
      <c r="V679" s="2470"/>
      <c r="W679" s="2466">
        <f t="shared" si="350"/>
        <v>500</v>
      </c>
      <c r="X679" s="2468">
        <f t="shared" si="351"/>
        <v>0</v>
      </c>
      <c r="Z679" s="2467">
        <v>500</v>
      </c>
      <c r="AA679" s="2467">
        <v>500</v>
      </c>
      <c r="AC679" s="2469"/>
      <c r="AE679" s="2466">
        <v>500</v>
      </c>
      <c r="AF679" s="2471">
        <v>751.98</v>
      </c>
      <c r="AH679" s="2466">
        <v>500</v>
      </c>
      <c r="AI679" s="2470"/>
      <c r="AJ679" s="2466">
        <f t="shared" si="352"/>
        <v>500</v>
      </c>
      <c r="AK679" s="2468">
        <f t="shared" si="361"/>
        <v>0</v>
      </c>
      <c r="AM679" s="2467">
        <v>500</v>
      </c>
      <c r="AN679" s="2467">
        <v>500</v>
      </c>
      <c r="AP679" s="2469"/>
      <c r="AR679" s="2466">
        <v>500</v>
      </c>
      <c r="AS679" s="2466">
        <v>-375.83</v>
      </c>
      <c r="AT679" s="2466"/>
      <c r="AU679" s="2466">
        <v>500</v>
      </c>
      <c r="AV679" s="2466">
        <v>-28.07</v>
      </c>
      <c r="AX679" s="2466">
        <v>500</v>
      </c>
      <c r="AY679" s="2470"/>
      <c r="AZ679" s="2466">
        <f t="shared" si="363"/>
        <v>500</v>
      </c>
      <c r="BA679" s="2468">
        <f t="shared" si="364"/>
        <v>0</v>
      </c>
      <c r="BC679" s="2467">
        <v>500</v>
      </c>
      <c r="BD679" s="2467">
        <v>500</v>
      </c>
      <c r="BF679" s="2469"/>
      <c r="BH679" s="2467">
        <v>500</v>
      </c>
      <c r="BM679" s="2466">
        <v>500</v>
      </c>
      <c r="BN679" s="2470"/>
      <c r="BO679" s="2472">
        <f t="shared" si="365"/>
        <v>500</v>
      </c>
      <c r="BP679" s="2473">
        <f t="shared" si="366"/>
        <v>0</v>
      </c>
      <c r="BR679" s="2474">
        <v>500</v>
      </c>
      <c r="BS679" s="2474">
        <v>500</v>
      </c>
      <c r="BU679" s="2475"/>
      <c r="BW679" s="2474">
        <v>500</v>
      </c>
      <c r="BZ679" s="2474">
        <v>500</v>
      </c>
      <c r="CA679" s="2470"/>
      <c r="CB679" s="2472">
        <f t="shared" si="367"/>
        <v>500</v>
      </c>
      <c r="CC679" s="2473">
        <f t="shared" si="369"/>
        <v>0</v>
      </c>
      <c r="CE679" s="2474">
        <v>500</v>
      </c>
      <c r="CF679" s="2476">
        <f t="shared" si="370"/>
        <v>0</v>
      </c>
      <c r="CG679" s="2474">
        <v>500</v>
      </c>
      <c r="CH679" s="2449" t="s">
        <v>1217</v>
      </c>
      <c r="CI679" s="2449"/>
      <c r="CJ679" s="2450"/>
      <c r="CK679" s="2450"/>
      <c r="CO679" s="2477" t="s">
        <v>1218</v>
      </c>
      <c r="CP679" s="2478">
        <f t="shared" si="332"/>
        <v>-500</v>
      </c>
      <c r="CQ679" s="2478"/>
      <c r="CR679" s="2478"/>
      <c r="CS679" s="2478"/>
      <c r="CT679" s="2478"/>
    </row>
    <row r="680" spans="1:98" hidden="1" x14ac:dyDescent="0.2">
      <c r="A680" s="2395">
        <v>492</v>
      </c>
      <c r="B680" s="2440" t="s">
        <v>1214</v>
      </c>
      <c r="C680" s="2396">
        <v>49205</v>
      </c>
      <c r="D680" s="2396">
        <v>54610</v>
      </c>
      <c r="E680" s="2397" t="s">
        <v>1268</v>
      </c>
      <c r="F680" s="2440" t="s">
        <v>1214</v>
      </c>
      <c r="G680" s="2440" t="s">
        <v>2087</v>
      </c>
      <c r="H680" s="2466">
        <v>9284</v>
      </c>
      <c r="I680" s="2470"/>
      <c r="J680" s="2466">
        <f t="shared" si="348"/>
        <v>9284</v>
      </c>
      <c r="K680" s="2468">
        <f t="shared" si="349"/>
        <v>0</v>
      </c>
      <c r="M680" s="2467">
        <v>9284</v>
      </c>
      <c r="N680" s="2467">
        <v>9284</v>
      </c>
      <c r="P680" s="2469"/>
      <c r="R680" s="2466">
        <v>9284</v>
      </c>
      <c r="S680" s="2466">
        <v>15345.18</v>
      </c>
      <c r="U680" s="2466">
        <v>9284</v>
      </c>
      <c r="V680" s="2470"/>
      <c r="W680" s="2466">
        <f t="shared" si="350"/>
        <v>9284</v>
      </c>
      <c r="X680" s="2468">
        <f t="shared" si="351"/>
        <v>0</v>
      </c>
      <c r="Z680" s="2467">
        <v>9284</v>
      </c>
      <c r="AA680" s="2467">
        <f>9284+1000</f>
        <v>10284</v>
      </c>
      <c r="AC680" s="2469" t="s">
        <v>2088</v>
      </c>
      <c r="AE680" s="2466">
        <f>9284+1000</f>
        <v>10284</v>
      </c>
      <c r="AF680" s="2471">
        <v>20638.740000000002</v>
      </c>
      <c r="AH680" s="2466">
        <v>10284</v>
      </c>
      <c r="AI680" s="2470"/>
      <c r="AJ680" s="2466">
        <f t="shared" si="352"/>
        <v>10284</v>
      </c>
      <c r="AK680" s="2468">
        <f t="shared" si="361"/>
        <v>0</v>
      </c>
      <c r="AM680" s="2467">
        <v>10284</v>
      </c>
      <c r="AN680" s="2467">
        <v>10284</v>
      </c>
      <c r="AO680" s="2546"/>
      <c r="AP680" s="2530"/>
      <c r="AR680" s="2466">
        <v>10284</v>
      </c>
      <c r="AS680" s="2466">
        <v>11891</v>
      </c>
      <c r="AT680" s="2466"/>
      <c r="AU680" s="2466">
        <v>10284</v>
      </c>
      <c r="AV680" s="2466">
        <v>7907.34</v>
      </c>
      <c r="AX680" s="2466">
        <v>10284</v>
      </c>
      <c r="AY680" s="2470"/>
      <c r="AZ680" s="2466">
        <f t="shared" si="363"/>
        <v>10284</v>
      </c>
      <c r="BA680" s="2468">
        <f t="shared" si="364"/>
        <v>0</v>
      </c>
      <c r="BC680" s="2467">
        <v>10284</v>
      </c>
      <c r="BD680" s="2467">
        <v>10284</v>
      </c>
      <c r="BE680" s="2546"/>
      <c r="BF680" s="2655" t="s">
        <v>2089</v>
      </c>
      <c r="BH680" s="2467">
        <v>10284</v>
      </c>
      <c r="BI680" s="2466">
        <v>10762.26</v>
      </c>
      <c r="BM680" s="2466">
        <v>10284</v>
      </c>
      <c r="BN680" s="2470"/>
      <c r="BO680" s="2472">
        <f t="shared" si="365"/>
        <v>10284</v>
      </c>
      <c r="BP680" s="2473">
        <f t="shared" si="366"/>
        <v>0</v>
      </c>
      <c r="BR680" s="2474">
        <v>10284</v>
      </c>
      <c r="BS680" s="2474">
        <v>10284</v>
      </c>
      <c r="BU680" s="2578" t="s">
        <v>1430</v>
      </c>
      <c r="BW680" s="2474">
        <v>10284</v>
      </c>
      <c r="BX680" s="2466">
        <v>7178.43</v>
      </c>
      <c r="BZ680" s="2474">
        <v>10284</v>
      </c>
      <c r="CA680" s="2470"/>
      <c r="CB680" s="2472">
        <f t="shared" si="367"/>
        <v>10284</v>
      </c>
      <c r="CC680" s="2473">
        <f t="shared" si="369"/>
        <v>0</v>
      </c>
      <c r="CE680" s="2474">
        <v>10284</v>
      </c>
      <c r="CF680" s="2476">
        <f t="shared" si="370"/>
        <v>0</v>
      </c>
      <c r="CG680" s="2474">
        <v>10284</v>
      </c>
      <c r="CH680" s="2449" t="s">
        <v>1217</v>
      </c>
      <c r="CI680" s="2449"/>
      <c r="CJ680" s="2450"/>
      <c r="CK680" s="2450"/>
      <c r="CO680" s="2477">
        <v>4.6505250875145787E-2</v>
      </c>
      <c r="CP680" s="2478">
        <f t="shared" si="332"/>
        <v>478.26000000000022</v>
      </c>
      <c r="CQ680" s="2478"/>
      <c r="CR680" s="2478"/>
      <c r="CS680" s="2478"/>
      <c r="CT680" s="2478"/>
    </row>
    <row r="681" spans="1:98" hidden="1" x14ac:dyDescent="0.2">
      <c r="A681" s="2395">
        <v>492</v>
      </c>
      <c r="B681" s="2440" t="s">
        <v>1214</v>
      </c>
      <c r="C681" s="2396">
        <v>49205</v>
      </c>
      <c r="D681" s="2396">
        <v>54810</v>
      </c>
      <c r="E681" s="2397" t="s">
        <v>1268</v>
      </c>
      <c r="F681" s="2440" t="s">
        <v>1214</v>
      </c>
      <c r="G681" s="2440" t="s">
        <v>2090</v>
      </c>
      <c r="H681" s="2466">
        <v>2040</v>
      </c>
      <c r="I681" s="2470">
        <v>1092</v>
      </c>
      <c r="J681" s="2466">
        <f t="shared" si="348"/>
        <v>3132</v>
      </c>
      <c r="K681" s="2468">
        <f t="shared" si="349"/>
        <v>0.53529411764705881</v>
      </c>
      <c r="M681" s="2467">
        <v>3132</v>
      </c>
      <c r="N681" s="2467">
        <v>3132</v>
      </c>
      <c r="P681" s="2469"/>
      <c r="R681" s="2466">
        <v>3132</v>
      </c>
      <c r="S681" s="2466">
        <v>553.82000000000005</v>
      </c>
      <c r="U681" s="2466">
        <v>3132</v>
      </c>
      <c r="V681" s="2470"/>
      <c r="W681" s="2466">
        <f t="shared" si="350"/>
        <v>3132</v>
      </c>
      <c r="X681" s="2468">
        <f t="shared" si="351"/>
        <v>0</v>
      </c>
      <c r="Z681" s="2467">
        <v>3132</v>
      </c>
      <c r="AA681" s="2467">
        <v>3132</v>
      </c>
      <c r="AC681" s="2469"/>
      <c r="AE681" s="2466">
        <v>3132</v>
      </c>
      <c r="AF681" s="2471">
        <v>942.02</v>
      </c>
      <c r="AH681" s="2466">
        <v>3132</v>
      </c>
      <c r="AI681" s="2470"/>
      <c r="AJ681" s="2466">
        <f t="shared" si="352"/>
        <v>3132</v>
      </c>
      <c r="AK681" s="2468">
        <f t="shared" si="361"/>
        <v>0</v>
      </c>
      <c r="AM681" s="2467">
        <v>3132</v>
      </c>
      <c r="AN681" s="2467">
        <v>3132</v>
      </c>
      <c r="AP681" s="2469"/>
      <c r="AR681" s="2466">
        <v>3132</v>
      </c>
      <c r="AS681" s="2466">
        <v>102.23</v>
      </c>
      <c r="AT681" s="2466"/>
      <c r="AU681" s="2466">
        <v>3132</v>
      </c>
      <c r="AV681" s="2466">
        <v>1630.81</v>
      </c>
      <c r="AX681" s="2466">
        <v>3132</v>
      </c>
      <c r="AY681" s="2470"/>
      <c r="AZ681" s="2466">
        <f t="shared" si="363"/>
        <v>3132</v>
      </c>
      <c r="BA681" s="2468">
        <f t="shared" si="364"/>
        <v>0</v>
      </c>
      <c r="BC681" s="2467">
        <v>3132</v>
      </c>
      <c r="BD681" s="2467">
        <v>3132</v>
      </c>
      <c r="BF681" s="2469"/>
      <c r="BH681" s="2467">
        <v>3132</v>
      </c>
      <c r="BI681" s="2466">
        <v>1876.68</v>
      </c>
      <c r="BM681" s="2466">
        <v>3132</v>
      </c>
      <c r="BN681" s="2470"/>
      <c r="BO681" s="2472">
        <f t="shared" si="365"/>
        <v>3132</v>
      </c>
      <c r="BP681" s="2473">
        <f t="shared" si="366"/>
        <v>0</v>
      </c>
      <c r="BR681" s="2474">
        <v>3132</v>
      </c>
      <c r="BS681" s="2474">
        <v>3132</v>
      </c>
      <c r="BU681" s="2475"/>
      <c r="BW681" s="2474">
        <v>3132</v>
      </c>
      <c r="BX681" s="2466">
        <v>198</v>
      </c>
      <c r="BZ681" s="2474">
        <v>3132</v>
      </c>
      <c r="CA681" s="2470"/>
      <c r="CB681" s="2472">
        <f t="shared" si="367"/>
        <v>3132</v>
      </c>
      <c r="CC681" s="2473">
        <f t="shared" si="369"/>
        <v>0</v>
      </c>
      <c r="CE681" s="2474">
        <v>3132</v>
      </c>
      <c r="CF681" s="2476">
        <f t="shared" si="370"/>
        <v>0</v>
      </c>
      <c r="CG681" s="2474">
        <v>3132</v>
      </c>
      <c r="CH681" s="2449" t="s">
        <v>1217</v>
      </c>
      <c r="CI681" s="2449"/>
      <c r="CJ681" s="2450"/>
      <c r="CK681" s="2450"/>
      <c r="CO681" s="2477">
        <v>-0.4008045977011494</v>
      </c>
      <c r="CP681" s="2478">
        <f t="shared" si="332"/>
        <v>-1255.32</v>
      </c>
      <c r="CQ681" s="2478"/>
      <c r="CR681" s="2478"/>
      <c r="CS681" s="2478"/>
      <c r="CT681" s="2478"/>
    </row>
    <row r="682" spans="1:98" hidden="1" x14ac:dyDescent="0.2">
      <c r="A682" s="2395">
        <v>492</v>
      </c>
      <c r="B682" s="2440" t="s">
        <v>1214</v>
      </c>
      <c r="C682" s="2396">
        <v>49205</v>
      </c>
      <c r="D682" s="2396">
        <v>55050</v>
      </c>
      <c r="E682" s="2397" t="s">
        <v>1268</v>
      </c>
      <c r="F682" s="2440" t="s">
        <v>1214</v>
      </c>
      <c r="G682" s="2440" t="s">
        <v>2091</v>
      </c>
      <c r="H682" s="2466">
        <v>300</v>
      </c>
      <c r="I682" s="2470"/>
      <c r="J682" s="2466">
        <f t="shared" si="348"/>
        <v>300</v>
      </c>
      <c r="K682" s="2468">
        <f t="shared" si="349"/>
        <v>0</v>
      </c>
      <c r="M682" s="2467">
        <v>300</v>
      </c>
      <c r="N682" s="2467">
        <v>300</v>
      </c>
      <c r="P682" s="2469"/>
      <c r="R682" s="2466">
        <v>300</v>
      </c>
      <c r="S682" s="2466">
        <v>7.19</v>
      </c>
      <c r="U682" s="2466">
        <v>300</v>
      </c>
      <c r="V682" s="2470"/>
      <c r="W682" s="2466">
        <f t="shared" si="350"/>
        <v>300</v>
      </c>
      <c r="X682" s="2468">
        <f t="shared" si="351"/>
        <v>0</v>
      </c>
      <c r="Z682" s="2467">
        <v>300</v>
      </c>
      <c r="AA682" s="2467">
        <v>300</v>
      </c>
      <c r="AC682" s="2469"/>
      <c r="AE682" s="2466">
        <v>300</v>
      </c>
      <c r="AF682" s="2471">
        <v>0</v>
      </c>
      <c r="AH682" s="2466">
        <v>300</v>
      </c>
      <c r="AI682" s="2470"/>
      <c r="AJ682" s="2466">
        <f t="shared" si="352"/>
        <v>300</v>
      </c>
      <c r="AK682" s="2468">
        <f t="shared" si="361"/>
        <v>0</v>
      </c>
      <c r="AM682" s="2467">
        <v>300</v>
      </c>
      <c r="AN682" s="2467">
        <v>300</v>
      </c>
      <c r="AP682" s="2469"/>
      <c r="AR682" s="2466">
        <v>300</v>
      </c>
      <c r="AS682" s="2466">
        <v>0</v>
      </c>
      <c r="AT682" s="2466"/>
      <c r="AU682" s="2466">
        <v>300</v>
      </c>
      <c r="AV682" s="2466">
        <v>0</v>
      </c>
      <c r="AX682" s="2466">
        <v>300</v>
      </c>
      <c r="AY682" s="2470"/>
      <c r="AZ682" s="2466">
        <f t="shared" si="363"/>
        <v>300</v>
      </c>
      <c r="BA682" s="2468">
        <f t="shared" si="364"/>
        <v>0</v>
      </c>
      <c r="BC682" s="2467">
        <v>300</v>
      </c>
      <c r="BD682" s="2467">
        <v>300</v>
      </c>
      <c r="BF682" s="2469"/>
      <c r="BH682" s="2467">
        <v>300</v>
      </c>
      <c r="BM682" s="2466">
        <v>300</v>
      </c>
      <c r="BN682" s="2470">
        <v>-100</v>
      </c>
      <c r="BO682" s="2472">
        <f t="shared" si="365"/>
        <v>200</v>
      </c>
      <c r="BP682" s="2473">
        <f t="shared" si="366"/>
        <v>-0.33333333333333331</v>
      </c>
      <c r="BR682" s="2474">
        <v>200</v>
      </c>
      <c r="BS682" s="2474">
        <v>200</v>
      </c>
      <c r="BU682" s="2578" t="s">
        <v>1430</v>
      </c>
      <c r="BW682" s="2474">
        <v>200</v>
      </c>
      <c r="BZ682" s="2474">
        <v>200</v>
      </c>
      <c r="CA682" s="2470"/>
      <c r="CB682" s="2472">
        <f t="shared" si="367"/>
        <v>200</v>
      </c>
      <c r="CC682" s="2473">
        <f t="shared" si="369"/>
        <v>0</v>
      </c>
      <c r="CE682" s="2474">
        <v>200</v>
      </c>
      <c r="CF682" s="2476">
        <f t="shared" si="370"/>
        <v>0</v>
      </c>
      <c r="CG682" s="2474">
        <v>200</v>
      </c>
      <c r="CH682" s="2449" t="s">
        <v>1217</v>
      </c>
      <c r="CI682" s="2449"/>
      <c r="CJ682" s="2450"/>
      <c r="CK682" s="2450"/>
      <c r="CO682" s="2477" t="s">
        <v>1218</v>
      </c>
      <c r="CP682" s="2478">
        <f t="shared" si="332"/>
        <v>-300</v>
      </c>
      <c r="CQ682" s="2478"/>
      <c r="CR682" s="2478"/>
      <c r="CS682" s="2478"/>
      <c r="CT682" s="2478"/>
    </row>
    <row r="683" spans="1:98" hidden="1" x14ac:dyDescent="0.2">
      <c r="A683" s="2395">
        <v>492</v>
      </c>
      <c r="B683" s="2440" t="s">
        <v>1214</v>
      </c>
      <c r="C683" s="2396">
        <v>49205</v>
      </c>
      <c r="D683" s="2396">
        <v>55300</v>
      </c>
      <c r="E683" s="2397" t="s">
        <v>1268</v>
      </c>
      <c r="F683" s="2440" t="s">
        <v>1214</v>
      </c>
      <c r="G683" s="2440" t="s">
        <v>2092</v>
      </c>
      <c r="H683" s="2466">
        <v>500</v>
      </c>
      <c r="I683" s="2470"/>
      <c r="J683" s="2466">
        <f t="shared" si="348"/>
        <v>500</v>
      </c>
      <c r="K683" s="2468">
        <f t="shared" si="349"/>
        <v>0</v>
      </c>
      <c r="M683" s="2467">
        <v>500</v>
      </c>
      <c r="N683" s="2467">
        <v>500</v>
      </c>
      <c r="P683" s="2469"/>
      <c r="R683" s="2466">
        <v>500</v>
      </c>
      <c r="S683" s="2466">
        <v>0</v>
      </c>
      <c r="U683" s="2466">
        <v>500</v>
      </c>
      <c r="V683" s="2470"/>
      <c r="W683" s="2466">
        <f t="shared" si="350"/>
        <v>500</v>
      </c>
      <c r="X683" s="2468">
        <f t="shared" si="351"/>
        <v>0</v>
      </c>
      <c r="Z683" s="2467">
        <v>500</v>
      </c>
      <c r="AA683" s="2467">
        <v>500</v>
      </c>
      <c r="AC683" s="2469"/>
      <c r="AE683" s="2466">
        <v>500</v>
      </c>
      <c r="AF683" s="2471">
        <v>0</v>
      </c>
      <c r="AH683" s="2466">
        <v>500</v>
      </c>
      <c r="AI683" s="2470"/>
      <c r="AJ683" s="2466">
        <f t="shared" si="352"/>
        <v>500</v>
      </c>
      <c r="AK683" s="2468">
        <f t="shared" si="361"/>
        <v>0</v>
      </c>
      <c r="AM683" s="2467">
        <v>500</v>
      </c>
      <c r="AN683" s="2467">
        <v>500</v>
      </c>
      <c r="AP683" s="2469"/>
      <c r="AR683" s="2466">
        <v>500</v>
      </c>
      <c r="AS683" s="2466">
        <v>0</v>
      </c>
      <c r="AT683" s="2466"/>
      <c r="AU683" s="2466">
        <v>500</v>
      </c>
      <c r="AV683" s="2466">
        <v>0</v>
      </c>
      <c r="AX683" s="2466">
        <v>500</v>
      </c>
      <c r="AY683" s="2470"/>
      <c r="AZ683" s="2466">
        <f t="shared" si="363"/>
        <v>500</v>
      </c>
      <c r="BA683" s="2468">
        <f t="shared" si="364"/>
        <v>0</v>
      </c>
      <c r="BC683" s="2467">
        <v>500</v>
      </c>
      <c r="BD683" s="2467">
        <v>500</v>
      </c>
      <c r="BF683" s="2469"/>
      <c r="BH683" s="2467">
        <v>500</v>
      </c>
      <c r="BM683" s="2466">
        <v>500</v>
      </c>
      <c r="BN683" s="2470">
        <v>-500</v>
      </c>
      <c r="BO683" s="2472">
        <f t="shared" si="365"/>
        <v>0</v>
      </c>
      <c r="BP683" s="2473">
        <f t="shared" si="366"/>
        <v>-1</v>
      </c>
      <c r="BR683" s="2474">
        <v>0</v>
      </c>
      <c r="BS683" s="2474">
        <v>0</v>
      </c>
      <c r="BU683" s="2475" t="s">
        <v>2093</v>
      </c>
      <c r="BW683" s="2474">
        <v>0</v>
      </c>
      <c r="BZ683" s="2474">
        <v>0</v>
      </c>
      <c r="CA683" s="2470"/>
      <c r="CB683" s="2472">
        <f t="shared" si="367"/>
        <v>0</v>
      </c>
      <c r="CC683" s="2473" t="str">
        <f t="shared" si="369"/>
        <v xml:space="preserve"> </v>
      </c>
      <c r="CE683" s="2474">
        <v>0</v>
      </c>
      <c r="CF683" s="2476" t="str">
        <f t="shared" si="370"/>
        <v xml:space="preserve"> </v>
      </c>
      <c r="CG683" s="2474">
        <v>0</v>
      </c>
      <c r="CH683" s="2449" t="s">
        <v>1217</v>
      </c>
      <c r="CI683" s="2449"/>
      <c r="CJ683" s="2450"/>
      <c r="CK683" s="2450"/>
      <c r="CO683" s="2477" t="s">
        <v>1218</v>
      </c>
      <c r="CP683" s="2478">
        <f t="shared" si="332"/>
        <v>-500</v>
      </c>
      <c r="CQ683" s="2478"/>
      <c r="CR683" s="2478"/>
      <c r="CS683" s="2478"/>
      <c r="CT683" s="2478"/>
    </row>
    <row r="684" spans="1:98" hidden="1" x14ac:dyDescent="0.2">
      <c r="A684" s="2395">
        <v>492</v>
      </c>
      <c r="B684" s="2440" t="s">
        <v>1214</v>
      </c>
      <c r="C684" s="2396">
        <v>49205</v>
      </c>
      <c r="D684" s="2396">
        <v>55310</v>
      </c>
      <c r="E684" s="2397" t="s">
        <v>1268</v>
      </c>
      <c r="F684" s="2440" t="s">
        <v>1214</v>
      </c>
      <c r="G684" s="2440" t="s">
        <v>2094</v>
      </c>
      <c r="H684" s="2466">
        <v>3600</v>
      </c>
      <c r="I684" s="2470"/>
      <c r="J684" s="2466">
        <f t="shared" si="348"/>
        <v>3600</v>
      </c>
      <c r="K684" s="2468">
        <f t="shared" si="349"/>
        <v>0</v>
      </c>
      <c r="M684" s="2467">
        <v>3600</v>
      </c>
      <c r="N684" s="2467">
        <v>3600</v>
      </c>
      <c r="P684" s="2469"/>
      <c r="R684" s="2466">
        <v>3600</v>
      </c>
      <c r="S684" s="2466">
        <v>3212.37</v>
      </c>
      <c r="U684" s="2466">
        <v>3600</v>
      </c>
      <c r="V684" s="2470"/>
      <c r="W684" s="2466">
        <f t="shared" si="350"/>
        <v>3600</v>
      </c>
      <c r="X684" s="2468">
        <f t="shared" si="351"/>
        <v>0</v>
      </c>
      <c r="Z684" s="2467">
        <v>3600</v>
      </c>
      <c r="AA684" s="2467">
        <v>3600</v>
      </c>
      <c r="AC684" s="2469"/>
      <c r="AE684" s="2466">
        <v>3600</v>
      </c>
      <c r="AF684" s="2471">
        <v>0</v>
      </c>
      <c r="AH684" s="2466">
        <v>3600</v>
      </c>
      <c r="AI684" s="2470"/>
      <c r="AJ684" s="2466">
        <f t="shared" si="352"/>
        <v>3600</v>
      </c>
      <c r="AK684" s="2468">
        <f t="shared" si="361"/>
        <v>0</v>
      </c>
      <c r="AM684" s="2467">
        <v>3600</v>
      </c>
      <c r="AN684" s="2467">
        <v>3600</v>
      </c>
      <c r="AP684" s="2469"/>
      <c r="AR684" s="2466">
        <v>3600</v>
      </c>
      <c r="AS684" s="2466">
        <v>0</v>
      </c>
      <c r="AT684" s="2466"/>
      <c r="AU684" s="2466">
        <v>3600</v>
      </c>
      <c r="AV684" s="2466">
        <v>3570.83</v>
      </c>
      <c r="AX684" s="2466">
        <v>3600</v>
      </c>
      <c r="AY684" s="2470">
        <v>-3600</v>
      </c>
      <c r="AZ684" s="2466">
        <f t="shared" si="363"/>
        <v>0</v>
      </c>
      <c r="BA684" s="2468">
        <f t="shared" si="364"/>
        <v>-1</v>
      </c>
      <c r="BC684" s="2467">
        <v>0</v>
      </c>
      <c r="BD684" s="2467">
        <v>0</v>
      </c>
      <c r="BF684" s="2469" t="s">
        <v>2095</v>
      </c>
      <c r="BH684" s="2467">
        <v>0</v>
      </c>
      <c r="BM684" s="2466">
        <v>0</v>
      </c>
      <c r="BN684" s="2470"/>
      <c r="BO684" s="2472">
        <f t="shared" si="365"/>
        <v>0</v>
      </c>
      <c r="BP684" s="2473" t="str">
        <f t="shared" si="366"/>
        <v xml:space="preserve"> </v>
      </c>
      <c r="BR684" s="2474">
        <v>0</v>
      </c>
      <c r="BS684" s="2474">
        <v>0</v>
      </c>
      <c r="BU684" s="2475"/>
      <c r="BW684" s="2474">
        <v>0</v>
      </c>
      <c r="BZ684" s="2474">
        <v>0</v>
      </c>
      <c r="CA684" s="2470"/>
      <c r="CB684" s="2472">
        <f t="shared" si="367"/>
        <v>0</v>
      </c>
      <c r="CC684" s="2473" t="str">
        <f t="shared" si="369"/>
        <v xml:space="preserve"> </v>
      </c>
      <c r="CE684" s="2474">
        <v>0</v>
      </c>
      <c r="CF684" s="2476" t="str">
        <f t="shared" si="370"/>
        <v xml:space="preserve"> </v>
      </c>
      <c r="CG684" s="2474">
        <v>0</v>
      </c>
      <c r="CH684" s="2449" t="s">
        <v>1217</v>
      </c>
      <c r="CI684" s="2449"/>
      <c r="CJ684" s="2450"/>
      <c r="CK684" s="2450"/>
      <c r="CP684" s="2478">
        <f t="shared" si="332"/>
        <v>0</v>
      </c>
      <c r="CQ684" s="2478"/>
      <c r="CR684" s="2478"/>
      <c r="CS684" s="2478"/>
      <c r="CT684" s="2478"/>
    </row>
    <row r="685" spans="1:98" hidden="1" x14ac:dyDescent="0.2">
      <c r="A685" s="2395">
        <v>492</v>
      </c>
      <c r="B685" s="2440" t="s">
        <v>1214</v>
      </c>
      <c r="C685" s="2396">
        <v>49205</v>
      </c>
      <c r="D685" s="2396">
        <v>55350</v>
      </c>
      <c r="E685" s="2397" t="s">
        <v>1268</v>
      </c>
      <c r="F685" s="2440" t="s">
        <v>1214</v>
      </c>
      <c r="G685" s="2440" t="s">
        <v>2096</v>
      </c>
      <c r="H685" s="2466">
        <v>75</v>
      </c>
      <c r="I685" s="2470"/>
      <c r="J685" s="2466">
        <f t="shared" si="348"/>
        <v>75</v>
      </c>
      <c r="K685" s="2468">
        <f t="shared" si="349"/>
        <v>0</v>
      </c>
      <c r="M685" s="2467">
        <v>75</v>
      </c>
      <c r="N685" s="2467">
        <v>75</v>
      </c>
      <c r="P685" s="2469"/>
      <c r="R685" s="2466">
        <v>75</v>
      </c>
      <c r="S685" s="2466">
        <v>0</v>
      </c>
      <c r="U685" s="2466">
        <v>75</v>
      </c>
      <c r="V685" s="2470"/>
      <c r="W685" s="2466">
        <f t="shared" si="350"/>
        <v>75</v>
      </c>
      <c r="X685" s="2468">
        <f t="shared" si="351"/>
        <v>0</v>
      </c>
      <c r="Z685" s="2467">
        <v>75</v>
      </c>
      <c r="AA685" s="2467">
        <v>75</v>
      </c>
      <c r="AC685" s="2469"/>
      <c r="AE685" s="2466">
        <v>75</v>
      </c>
      <c r="AF685" s="2471">
        <v>0</v>
      </c>
      <c r="AH685" s="2466">
        <v>75</v>
      </c>
      <c r="AI685" s="2470"/>
      <c r="AJ685" s="2466">
        <f t="shared" si="352"/>
        <v>75</v>
      </c>
      <c r="AK685" s="2468">
        <f t="shared" si="361"/>
        <v>0</v>
      </c>
      <c r="AM685" s="2467">
        <v>75</v>
      </c>
      <c r="AN685" s="2467">
        <v>75</v>
      </c>
      <c r="AP685" s="2469"/>
      <c r="AR685" s="2466">
        <v>75</v>
      </c>
      <c r="AS685" s="2466">
        <v>0</v>
      </c>
      <c r="AT685" s="2466"/>
      <c r="AU685" s="2466">
        <v>75</v>
      </c>
      <c r="AV685" s="2466">
        <v>0</v>
      </c>
      <c r="AX685" s="2466">
        <v>75</v>
      </c>
      <c r="AY685" s="2470"/>
      <c r="AZ685" s="2466">
        <f t="shared" si="363"/>
        <v>75</v>
      </c>
      <c r="BA685" s="2468">
        <f t="shared" si="364"/>
        <v>0</v>
      </c>
      <c r="BC685" s="2467">
        <v>75</v>
      </c>
      <c r="BD685" s="2467">
        <v>75</v>
      </c>
      <c r="BF685" s="2469"/>
      <c r="BH685" s="2467">
        <v>75</v>
      </c>
      <c r="BM685" s="2466">
        <v>75</v>
      </c>
      <c r="BN685" s="2470"/>
      <c r="BO685" s="2472">
        <f t="shared" si="365"/>
        <v>75</v>
      </c>
      <c r="BP685" s="2473">
        <f t="shared" si="366"/>
        <v>0</v>
      </c>
      <c r="BR685" s="2474">
        <v>75</v>
      </c>
      <c r="BS685" s="2474">
        <v>75</v>
      </c>
      <c r="BU685" s="2475"/>
      <c r="BW685" s="2474">
        <v>75</v>
      </c>
      <c r="BZ685" s="2474">
        <v>75</v>
      </c>
      <c r="CA685" s="2470"/>
      <c r="CB685" s="2472">
        <f t="shared" si="367"/>
        <v>75</v>
      </c>
      <c r="CC685" s="2473">
        <f t="shared" si="369"/>
        <v>0</v>
      </c>
      <c r="CE685" s="2474">
        <v>75</v>
      </c>
      <c r="CF685" s="2476">
        <f t="shared" si="370"/>
        <v>0</v>
      </c>
      <c r="CG685" s="2474">
        <v>75</v>
      </c>
      <c r="CH685" s="2449" t="s">
        <v>1217</v>
      </c>
      <c r="CI685" s="2449"/>
      <c r="CJ685" s="2450"/>
      <c r="CK685" s="2450"/>
      <c r="CO685" s="2477" t="s">
        <v>1218</v>
      </c>
      <c r="CP685" s="2478">
        <f t="shared" si="332"/>
        <v>-75</v>
      </c>
      <c r="CQ685" s="2478"/>
      <c r="CR685" s="2478"/>
      <c r="CS685" s="2478"/>
      <c r="CT685" s="2478"/>
    </row>
    <row r="686" spans="1:98" hidden="1" x14ac:dyDescent="0.2">
      <c r="A686" s="2395">
        <v>492</v>
      </c>
      <c r="B686" s="2440" t="s">
        <v>1214</v>
      </c>
      <c r="C686" s="2396">
        <v>49205</v>
      </c>
      <c r="D686" s="2396">
        <v>55800</v>
      </c>
      <c r="E686" s="2397" t="s">
        <v>1268</v>
      </c>
      <c r="F686" s="2440" t="s">
        <v>1214</v>
      </c>
      <c r="G686" s="2440" t="s">
        <v>2097</v>
      </c>
      <c r="H686" s="2466">
        <v>200</v>
      </c>
      <c r="I686" s="2470"/>
      <c r="J686" s="2466">
        <f t="shared" si="348"/>
        <v>200</v>
      </c>
      <c r="K686" s="2468">
        <f t="shared" si="349"/>
        <v>0</v>
      </c>
      <c r="M686" s="2467">
        <v>200</v>
      </c>
      <c r="N686" s="2467">
        <v>200</v>
      </c>
      <c r="P686" s="2469"/>
      <c r="R686" s="2466">
        <v>200</v>
      </c>
      <c r="S686" s="2466">
        <v>394.74</v>
      </c>
      <c r="U686" s="2466">
        <v>200</v>
      </c>
      <c r="V686" s="2470"/>
      <c r="W686" s="2466">
        <f t="shared" si="350"/>
        <v>200</v>
      </c>
      <c r="X686" s="2468">
        <f t="shared" si="351"/>
        <v>0</v>
      </c>
      <c r="Z686" s="2467">
        <v>200</v>
      </c>
      <c r="AA686" s="2467">
        <v>200</v>
      </c>
      <c r="AC686" s="2469"/>
      <c r="AE686" s="2466">
        <v>200</v>
      </c>
      <c r="AF686" s="2471">
        <v>0</v>
      </c>
      <c r="AH686" s="2466">
        <v>200</v>
      </c>
      <c r="AI686" s="2470"/>
      <c r="AJ686" s="2466">
        <f t="shared" si="352"/>
        <v>200</v>
      </c>
      <c r="AK686" s="2468">
        <f t="shared" si="361"/>
        <v>0</v>
      </c>
      <c r="AM686" s="2467">
        <v>200</v>
      </c>
      <c r="AN686" s="2467">
        <v>200</v>
      </c>
      <c r="AP686" s="2469"/>
      <c r="AR686" s="2466">
        <v>200</v>
      </c>
      <c r="AS686" s="2466">
        <v>94.98</v>
      </c>
      <c r="AT686" s="2466"/>
      <c r="AU686" s="2466">
        <v>200</v>
      </c>
      <c r="AV686" s="2466">
        <v>0</v>
      </c>
      <c r="AX686" s="2466">
        <v>200</v>
      </c>
      <c r="AY686" s="2470"/>
      <c r="AZ686" s="2466">
        <f t="shared" si="363"/>
        <v>200</v>
      </c>
      <c r="BA686" s="2468">
        <f t="shared" si="364"/>
        <v>0</v>
      </c>
      <c r="BC686" s="2467">
        <v>200</v>
      </c>
      <c r="BD686" s="2467">
        <v>200</v>
      </c>
      <c r="BF686" s="2469"/>
      <c r="BH686" s="2467">
        <v>200</v>
      </c>
      <c r="BI686" s="2466">
        <v>301.83</v>
      </c>
      <c r="BM686" s="2466">
        <v>200</v>
      </c>
      <c r="BN686" s="2470"/>
      <c r="BO686" s="2472">
        <f t="shared" si="365"/>
        <v>200</v>
      </c>
      <c r="BP686" s="2473">
        <f t="shared" si="366"/>
        <v>0</v>
      </c>
      <c r="BR686" s="2474">
        <v>200</v>
      </c>
      <c r="BS686" s="2474">
        <v>200</v>
      </c>
      <c r="BU686" s="2475"/>
      <c r="BW686" s="2474">
        <v>200</v>
      </c>
      <c r="BZ686" s="2474">
        <v>200</v>
      </c>
      <c r="CA686" s="2470"/>
      <c r="CB686" s="2472">
        <f t="shared" si="367"/>
        <v>200</v>
      </c>
      <c r="CC686" s="2473">
        <f t="shared" si="369"/>
        <v>0</v>
      </c>
      <c r="CE686" s="2474">
        <v>200</v>
      </c>
      <c r="CF686" s="2476">
        <f t="shared" si="370"/>
        <v>0</v>
      </c>
      <c r="CG686" s="2474">
        <v>200</v>
      </c>
      <c r="CH686" s="2449" t="s">
        <v>1217</v>
      </c>
      <c r="CI686" s="2449"/>
      <c r="CJ686" s="2450"/>
      <c r="CK686" s="2450"/>
      <c r="CO686" s="2477">
        <v>0.50914999999999999</v>
      </c>
      <c r="CP686" s="2478">
        <f t="shared" si="332"/>
        <v>101.82999999999998</v>
      </c>
      <c r="CQ686" s="2478"/>
      <c r="CR686" s="2478"/>
      <c r="CS686" s="2478"/>
      <c r="CT686" s="2478"/>
    </row>
    <row r="687" spans="1:98" hidden="1" x14ac:dyDescent="0.2">
      <c r="A687" s="2395">
        <v>492</v>
      </c>
      <c r="B687" s="2440" t="s">
        <v>1214</v>
      </c>
      <c r="C687" s="2396">
        <v>49205</v>
      </c>
      <c r="D687" s="2396">
        <v>55820</v>
      </c>
      <c r="E687" s="2397" t="s">
        <v>1268</v>
      </c>
      <c r="F687" s="2440" t="s">
        <v>1214</v>
      </c>
      <c r="G687" s="2440" t="s">
        <v>2098</v>
      </c>
      <c r="I687" s="2470"/>
      <c r="M687" s="2467"/>
      <c r="N687" s="2467"/>
      <c r="P687" s="2469"/>
      <c r="V687" s="2470"/>
      <c r="Z687" s="2467"/>
      <c r="AA687" s="2467"/>
      <c r="AC687" s="2469"/>
      <c r="AI687" s="2470"/>
      <c r="AM687" s="2467"/>
      <c r="AN687" s="2467"/>
      <c r="AP687" s="2469"/>
      <c r="AR687" s="2466">
        <v>470</v>
      </c>
      <c r="AS687" s="2466">
        <v>0</v>
      </c>
      <c r="AT687" s="2466"/>
      <c r="AU687" s="2466">
        <v>470</v>
      </c>
      <c r="AV687" s="2466">
        <v>539.63</v>
      </c>
      <c r="AX687" s="2466">
        <v>470</v>
      </c>
      <c r="AY687" s="2470"/>
      <c r="AZ687" s="2466">
        <f t="shared" si="363"/>
        <v>470</v>
      </c>
      <c r="BA687" s="2468">
        <f t="shared" si="364"/>
        <v>0</v>
      </c>
      <c r="BC687" s="2467">
        <v>470</v>
      </c>
      <c r="BD687" s="2467">
        <v>470</v>
      </c>
      <c r="BF687" s="2469"/>
      <c r="BH687" s="2467">
        <v>470</v>
      </c>
      <c r="BI687" s="2466">
        <v>571.78</v>
      </c>
      <c r="BM687" s="2466">
        <v>470</v>
      </c>
      <c r="BN687" s="2470"/>
      <c r="BO687" s="2472">
        <f t="shared" si="365"/>
        <v>470</v>
      </c>
      <c r="BP687" s="2473">
        <f t="shared" si="366"/>
        <v>0</v>
      </c>
      <c r="BR687" s="2474">
        <v>470</v>
      </c>
      <c r="BS687" s="2474">
        <v>470</v>
      </c>
      <c r="BU687" s="2475"/>
      <c r="BW687" s="2474">
        <v>470</v>
      </c>
      <c r="BX687" s="2466">
        <v>469.13</v>
      </c>
      <c r="BZ687" s="2474">
        <v>470</v>
      </c>
      <c r="CA687" s="2470"/>
      <c r="CB687" s="2472">
        <f t="shared" si="367"/>
        <v>470</v>
      </c>
      <c r="CC687" s="2473">
        <f t="shared" si="369"/>
        <v>0</v>
      </c>
      <c r="CE687" s="2474">
        <v>470</v>
      </c>
      <c r="CF687" s="2476">
        <f t="shared" si="370"/>
        <v>0</v>
      </c>
      <c r="CG687" s="2474">
        <v>470</v>
      </c>
      <c r="CH687" s="2449" t="s">
        <v>1217</v>
      </c>
      <c r="CI687" s="2449"/>
      <c r="CJ687" s="2450"/>
      <c r="CK687" s="2450"/>
      <c r="CO687" s="2477">
        <v>0.2165531914893617</v>
      </c>
      <c r="CP687" s="2478">
        <f t="shared" si="332"/>
        <v>101.77999999999997</v>
      </c>
      <c r="CQ687" s="2478"/>
      <c r="CR687" s="2478"/>
      <c r="CS687" s="2478"/>
      <c r="CT687" s="2478"/>
    </row>
    <row r="688" spans="1:98" hidden="1" x14ac:dyDescent="0.2">
      <c r="A688" s="2395">
        <v>492</v>
      </c>
      <c r="B688" s="2440" t="s">
        <v>1214</v>
      </c>
      <c r="C688" s="2396">
        <v>49205</v>
      </c>
      <c r="D688" s="2396">
        <v>55830</v>
      </c>
      <c r="E688" s="2397" t="s">
        <v>1268</v>
      </c>
      <c r="F688" s="2440" t="s">
        <v>1214</v>
      </c>
      <c r="G688" s="2440" t="s">
        <v>2099</v>
      </c>
      <c r="H688" s="2466">
        <v>1986</v>
      </c>
      <c r="I688" s="2470"/>
      <c r="J688" s="2466">
        <f t="shared" si="348"/>
        <v>1986</v>
      </c>
      <c r="K688" s="2468">
        <f t="shared" si="349"/>
        <v>0</v>
      </c>
      <c r="M688" s="2467">
        <v>1986</v>
      </c>
      <c r="N688" s="2467">
        <v>1986</v>
      </c>
      <c r="P688" s="2469"/>
      <c r="R688" s="2466">
        <v>1986</v>
      </c>
      <c r="S688" s="2466">
        <v>1981.26</v>
      </c>
      <c r="U688" s="2466">
        <v>1986</v>
      </c>
      <c r="V688" s="2470"/>
      <c r="W688" s="2466">
        <f t="shared" si="350"/>
        <v>1986</v>
      </c>
      <c r="X688" s="2468">
        <f t="shared" si="351"/>
        <v>0</v>
      </c>
      <c r="Z688" s="2467">
        <v>1986</v>
      </c>
      <c r="AA688" s="2467">
        <v>1986</v>
      </c>
      <c r="AC688" s="2469"/>
      <c r="AE688" s="2466">
        <v>1986</v>
      </c>
      <c r="AF688" s="2471">
        <v>275</v>
      </c>
      <c r="AH688" s="2466">
        <v>1986</v>
      </c>
      <c r="AI688" s="2470"/>
      <c r="AJ688" s="2466">
        <f t="shared" si="352"/>
        <v>1986</v>
      </c>
      <c r="AK688" s="2468">
        <f t="shared" si="361"/>
        <v>0</v>
      </c>
      <c r="AM688" s="2467">
        <v>1986</v>
      </c>
      <c r="AN688" s="2467">
        <v>1986</v>
      </c>
      <c r="AP688" s="2469"/>
      <c r="AR688" s="2466">
        <v>1986</v>
      </c>
      <c r="AS688" s="2466">
        <v>2077.9499999999998</v>
      </c>
      <c r="AT688" s="2466"/>
      <c r="AU688" s="2466">
        <v>1986</v>
      </c>
      <c r="AV688" s="2466">
        <v>1986</v>
      </c>
      <c r="AX688" s="2466">
        <v>1986</v>
      </c>
      <c r="AY688" s="2542">
        <v>500</v>
      </c>
      <c r="AZ688" s="2466">
        <f t="shared" si="363"/>
        <v>2486</v>
      </c>
      <c r="BA688" s="2468">
        <f t="shared" si="364"/>
        <v>0.25176233635448136</v>
      </c>
      <c r="BC688" s="2467">
        <v>2486</v>
      </c>
      <c r="BD688" s="2467">
        <v>2486</v>
      </c>
      <c r="BF688" s="2543" t="s">
        <v>1273</v>
      </c>
      <c r="BH688" s="2467">
        <v>2486</v>
      </c>
      <c r="BI688" s="2466">
        <v>2486</v>
      </c>
      <c r="BM688" s="2466">
        <v>2486</v>
      </c>
      <c r="BN688" s="2470">
        <v>619</v>
      </c>
      <c r="BO688" s="2472">
        <f t="shared" si="365"/>
        <v>3105</v>
      </c>
      <c r="BP688" s="2473">
        <f t="shared" si="366"/>
        <v>0.24899436846339501</v>
      </c>
      <c r="BR688" s="2474">
        <v>3105</v>
      </c>
      <c r="BS688" s="2474">
        <v>3105</v>
      </c>
      <c r="BU688" s="2547" t="s">
        <v>2100</v>
      </c>
      <c r="BW688" s="2474">
        <v>3105</v>
      </c>
      <c r="BX688" s="2466">
        <v>1525</v>
      </c>
      <c r="BZ688" s="2474">
        <v>3105</v>
      </c>
      <c r="CA688" s="2470"/>
      <c r="CB688" s="2472">
        <f t="shared" si="367"/>
        <v>3105</v>
      </c>
      <c r="CC688" s="2473">
        <f t="shared" si="369"/>
        <v>0</v>
      </c>
      <c r="CE688" s="2474">
        <v>3105</v>
      </c>
      <c r="CF688" s="2476">
        <f t="shared" si="370"/>
        <v>0</v>
      </c>
      <c r="CG688" s="2474">
        <v>3105</v>
      </c>
      <c r="CH688" s="2449" t="s">
        <v>1217</v>
      </c>
      <c r="CI688" s="2449"/>
      <c r="CJ688" s="2450"/>
      <c r="CK688" s="2450"/>
      <c r="CO688" s="2477">
        <v>0</v>
      </c>
      <c r="CP688" s="2478">
        <f t="shared" si="332"/>
        <v>0</v>
      </c>
      <c r="CQ688" s="2478"/>
      <c r="CR688" s="2478"/>
      <c r="CS688" s="2478"/>
      <c r="CT688" s="2478"/>
    </row>
    <row r="689" spans="1:98" hidden="1" x14ac:dyDescent="0.2">
      <c r="A689" s="2395">
        <v>492</v>
      </c>
      <c r="B689" s="2440" t="s">
        <v>1214</v>
      </c>
      <c r="C689" s="2396">
        <v>49205</v>
      </c>
      <c r="D689" s="2396">
        <v>55831</v>
      </c>
      <c r="E689" s="2397" t="s">
        <v>1268</v>
      </c>
      <c r="F689" s="2440" t="s">
        <v>1214</v>
      </c>
      <c r="G689" s="2440" t="s">
        <v>2101</v>
      </c>
      <c r="H689" s="2466">
        <v>500</v>
      </c>
      <c r="I689" s="2470"/>
      <c r="J689" s="2466">
        <f t="shared" si="348"/>
        <v>500</v>
      </c>
      <c r="K689" s="2468">
        <f t="shared" si="349"/>
        <v>0</v>
      </c>
      <c r="M689" s="2467">
        <v>500</v>
      </c>
      <c r="N689" s="2467">
        <v>500</v>
      </c>
      <c r="P689" s="2469"/>
      <c r="R689" s="2466">
        <v>500</v>
      </c>
      <c r="S689" s="2466">
        <v>0</v>
      </c>
      <c r="U689" s="2466">
        <v>500</v>
      </c>
      <c r="V689" s="2470"/>
      <c r="W689" s="2466">
        <f t="shared" si="350"/>
        <v>500</v>
      </c>
      <c r="X689" s="2468">
        <f t="shared" si="351"/>
        <v>0</v>
      </c>
      <c r="Z689" s="2467">
        <v>500</v>
      </c>
      <c r="AA689" s="2467">
        <v>500</v>
      </c>
      <c r="AC689" s="2469"/>
      <c r="AE689" s="2466">
        <v>500</v>
      </c>
      <c r="AF689" s="2471">
        <v>0</v>
      </c>
      <c r="AH689" s="2466">
        <v>500</v>
      </c>
      <c r="AI689" s="2470"/>
      <c r="AJ689" s="2466">
        <f t="shared" si="352"/>
        <v>500</v>
      </c>
      <c r="AK689" s="2468">
        <f t="shared" si="361"/>
        <v>0</v>
      </c>
      <c r="AM689" s="2467">
        <v>500</v>
      </c>
      <c r="AN689" s="2467">
        <v>500</v>
      </c>
      <c r="AP689" s="2469"/>
      <c r="AR689" s="2466">
        <v>500</v>
      </c>
      <c r="AS689" s="2466">
        <v>0</v>
      </c>
      <c r="AT689" s="2466"/>
      <c r="AU689" s="2466">
        <v>500</v>
      </c>
      <c r="AV689" s="2466">
        <v>0</v>
      </c>
      <c r="AX689" s="2466">
        <v>500</v>
      </c>
      <c r="AY689" s="2542">
        <v>-500</v>
      </c>
      <c r="AZ689" s="2466">
        <f t="shared" si="363"/>
        <v>0</v>
      </c>
      <c r="BA689" s="2468">
        <f t="shared" si="364"/>
        <v>-1</v>
      </c>
      <c r="BC689" s="2467">
        <v>0</v>
      </c>
      <c r="BD689" s="2467">
        <v>0</v>
      </c>
      <c r="BF689" s="2543" t="s">
        <v>1273</v>
      </c>
      <c r="BH689" s="2467">
        <v>0</v>
      </c>
      <c r="BM689" s="2466">
        <v>0</v>
      </c>
      <c r="BN689" s="2470"/>
      <c r="BO689" s="2472">
        <f t="shared" si="365"/>
        <v>0</v>
      </c>
      <c r="BP689" s="2473" t="str">
        <f t="shared" si="366"/>
        <v xml:space="preserve"> </v>
      </c>
      <c r="BR689" s="2474">
        <v>0</v>
      </c>
      <c r="BS689" s="2474">
        <v>0</v>
      </c>
      <c r="BU689" s="2544"/>
      <c r="BW689" s="2474">
        <v>0</v>
      </c>
      <c r="BZ689" s="2474">
        <v>0</v>
      </c>
      <c r="CA689" s="2470"/>
      <c r="CB689" s="2472">
        <f t="shared" si="367"/>
        <v>0</v>
      </c>
      <c r="CC689" s="2473" t="str">
        <f t="shared" si="369"/>
        <v xml:space="preserve"> </v>
      </c>
      <c r="CE689" s="2474">
        <v>0</v>
      </c>
      <c r="CF689" s="2476" t="str">
        <f t="shared" si="370"/>
        <v xml:space="preserve"> </v>
      </c>
      <c r="CG689" s="2474">
        <v>0</v>
      </c>
      <c r="CH689" s="2449" t="s">
        <v>1217</v>
      </c>
      <c r="CI689" s="2449"/>
      <c r="CJ689" s="2450"/>
      <c r="CK689" s="2450"/>
      <c r="CP689" s="2478">
        <f t="shared" si="332"/>
        <v>0</v>
      </c>
      <c r="CQ689" s="2478"/>
      <c r="CR689" s="2478"/>
      <c r="CS689" s="2478"/>
      <c r="CT689" s="2478"/>
    </row>
    <row r="690" spans="1:98" s="2485" customFormat="1" hidden="1" x14ac:dyDescent="0.2">
      <c r="A690" s="2532"/>
      <c r="B690" s="2533"/>
      <c r="C690" s="2534"/>
      <c r="D690" s="2534"/>
      <c r="E690" s="2535"/>
      <c r="F690" s="2533"/>
      <c r="G690" s="2654" t="s">
        <v>2102</v>
      </c>
      <c r="H690" s="2536">
        <f>SUM(H662:H689)</f>
        <v>51208</v>
      </c>
      <c r="I690" s="2536">
        <f>SUM(I662:I689)</f>
        <v>1092</v>
      </c>
      <c r="J690" s="2536">
        <f>SUM(J662:J689)</f>
        <v>52300</v>
      </c>
      <c r="K690" s="2484">
        <f>IF(H690=0," ",(J690-H690)/H690)</f>
        <v>2.1324793001093578E-2</v>
      </c>
      <c r="M690" s="2536">
        <f>SUM(M662:M689)</f>
        <v>52300</v>
      </c>
      <c r="N690" s="2536">
        <f>SUM(N662:N689)</f>
        <v>52300</v>
      </c>
      <c r="P690" s="2537">
        <f>SUM(P662:P689)</f>
        <v>0</v>
      </c>
      <c r="R690" s="2536">
        <f>SUM(R662:R689)</f>
        <v>52300</v>
      </c>
      <c r="S690" s="2536">
        <f>SUM(S662:S689)</f>
        <v>50488.900000000009</v>
      </c>
      <c r="U690" s="2536">
        <f>SUM(U662:U689)</f>
        <v>52300</v>
      </c>
      <c r="V690" s="2536">
        <f>SUM(V662:V689)</f>
        <v>0</v>
      </c>
      <c r="W690" s="2536">
        <f>SUM(W662:W689)</f>
        <v>52300</v>
      </c>
      <c r="X690" s="2484">
        <f>IF(U690=0," ",(W690-U690)/U690)</f>
        <v>0</v>
      </c>
      <c r="Z690" s="2536">
        <f>SUM(Z662:Z689)</f>
        <v>52300</v>
      </c>
      <c r="AA690" s="2536">
        <f>SUM(AA662:AA689)</f>
        <v>54300</v>
      </c>
      <c r="AC690" s="2537"/>
      <c r="AE690" s="2536">
        <f>SUM(AE662:AE689)</f>
        <v>54300</v>
      </c>
      <c r="AF690" s="2538">
        <f>SUM(AF662:AF689)</f>
        <v>45846.159999999996</v>
      </c>
      <c r="AH690" s="2536">
        <f>SUM(AH662:AH689)</f>
        <v>54300</v>
      </c>
      <c r="AI690" s="2536">
        <f>SUM(AI662:AI689)</f>
        <v>0</v>
      </c>
      <c r="AJ690" s="2536">
        <f>SUM(AJ662:AJ689)</f>
        <v>54300</v>
      </c>
      <c r="AK690" s="2484">
        <f>IF(AH690=0," ",(AJ690-AH690)/AH690)</f>
        <v>0</v>
      </c>
      <c r="AM690" s="2536">
        <f>SUM(AM662:AM689)</f>
        <v>54300</v>
      </c>
      <c r="AN690" s="2536">
        <f>SUM(AN662:AN689)</f>
        <v>54300</v>
      </c>
      <c r="AP690" s="2537"/>
      <c r="AR690" s="2536">
        <f>SUM(AR662:AR689)</f>
        <v>54770</v>
      </c>
      <c r="AS690" s="2536">
        <f>SUM(AS662:AS689)</f>
        <v>51062.310000000005</v>
      </c>
      <c r="AT690" s="2536"/>
      <c r="AU690" s="2536">
        <f>SUM(AU662:AU689)</f>
        <v>54770</v>
      </c>
      <c r="AV690" s="2536">
        <f>SUM(AV662:AV689)</f>
        <v>42130.340000000004</v>
      </c>
      <c r="AX690" s="2536">
        <f>SUM(AX662:AX689)</f>
        <v>54770</v>
      </c>
      <c r="AY690" s="2536">
        <f>SUM(AY662:AY689)</f>
        <v>-3600</v>
      </c>
      <c r="AZ690" s="2536">
        <f>SUM(AZ662:AZ689)</f>
        <v>51170</v>
      </c>
      <c r="BA690" s="2484">
        <f>IF(AX690=0," ",(AZ690-AX690)/AX690)</f>
        <v>-6.5729413912725951E-2</v>
      </c>
      <c r="BC690" s="2536">
        <f>SUM(BC662:BC689)</f>
        <v>51170</v>
      </c>
      <c r="BD690" s="2536">
        <f>SUM(BD662:BD689)</f>
        <v>54170</v>
      </c>
      <c r="BF690" s="2537"/>
      <c r="BH690" s="2536">
        <f>SUM(BH662:BH689)</f>
        <v>54170</v>
      </c>
      <c r="BI690" s="2536">
        <f>SUM(BI662:BI689)</f>
        <v>41304.18</v>
      </c>
      <c r="BJ690" s="2536"/>
      <c r="BK690" s="2536"/>
      <c r="BM690" s="2536">
        <f>SUM(BM662:BM689)</f>
        <v>54170</v>
      </c>
      <c r="BN690" s="2539">
        <f>SUM(BN662:BN689)</f>
        <v>-500</v>
      </c>
      <c r="BO690" s="2540">
        <f>SUM(BO662:BO689)</f>
        <v>53670</v>
      </c>
      <c r="BP690" s="2490">
        <f>IF(BM690=0," ",(BO690-BM690)/BM690)</f>
        <v>-9.2302012183865609E-3</v>
      </c>
      <c r="BQ690" s="2491"/>
      <c r="BR690" s="2540">
        <f>SUM(BR662:BR689)</f>
        <v>53670</v>
      </c>
      <c r="BS690" s="2540">
        <f>SUM(BS662:BS689)</f>
        <v>103670</v>
      </c>
      <c r="BT690" s="2491"/>
      <c r="BU690" s="2541"/>
      <c r="BV690" s="2491"/>
      <c r="BW690" s="2540">
        <f>SUM(BW662:BW689)</f>
        <v>103670</v>
      </c>
      <c r="BX690" s="2536">
        <f>SUM(BX662:BX689)</f>
        <v>41898.029999999992</v>
      </c>
      <c r="BZ690" s="2540">
        <f>SUM(BZ662:BZ689)</f>
        <v>103670</v>
      </c>
      <c r="CA690" s="2540">
        <f>SUM(CA662:CA689)</f>
        <v>1250</v>
      </c>
      <c r="CB690" s="2540">
        <f>SUM(CB662:CB689)</f>
        <v>104920</v>
      </c>
      <c r="CC690" s="2490">
        <f>IF(BZ690=0," ",(CB690-BZ690)/BZ690)</f>
        <v>1.2057490112858107E-2</v>
      </c>
      <c r="CD690" s="2491"/>
      <c r="CE690" s="2540">
        <f>SUM(CE662:CE689)</f>
        <v>104920</v>
      </c>
      <c r="CF690" s="2490">
        <f t="shared" si="370"/>
        <v>0</v>
      </c>
      <c r="CG690" s="2540">
        <f>SUM(CG662:CG689)</f>
        <v>101970</v>
      </c>
      <c r="CH690" s="2449" t="s">
        <v>1220</v>
      </c>
      <c r="CI690" s="2449"/>
      <c r="CJ690" s="2450"/>
      <c r="CK690" s="2450"/>
      <c r="CL690" s="2451"/>
      <c r="CM690" s="2451"/>
      <c r="CN690" s="2451"/>
      <c r="CO690" s="2477">
        <v>-0.23750821487908436</v>
      </c>
      <c r="CP690" s="2478">
        <f t="shared" si="332"/>
        <v>-12865.82</v>
      </c>
      <c r="CQ690" s="2478"/>
      <c r="CR690" s="2478"/>
      <c r="CS690" s="2478"/>
      <c r="CT690" s="2478"/>
    </row>
    <row r="691" spans="1:98" ht="9.9499999999999993" hidden="1" customHeight="1" x14ac:dyDescent="0.2">
      <c r="AS691" s="2466"/>
      <c r="AT691" s="2466"/>
      <c r="BZ691" s="2472"/>
      <c r="CA691" s="2472"/>
      <c r="CH691" s="2449" t="s">
        <v>1091</v>
      </c>
      <c r="CI691" s="2449"/>
      <c r="CJ691" s="2450"/>
      <c r="CK691" s="2450"/>
      <c r="CP691" s="2478">
        <f t="shared" si="332"/>
        <v>0</v>
      </c>
      <c r="CQ691" s="2478"/>
      <c r="CR691" s="2478"/>
      <c r="CS691" s="2478"/>
      <c r="CT691" s="2478"/>
    </row>
    <row r="692" spans="1:98" x14ac:dyDescent="0.2">
      <c r="A692" s="2495"/>
      <c r="B692" s="2496"/>
      <c r="C692" s="2497"/>
      <c r="D692" s="2497"/>
      <c r="E692" s="2498"/>
      <c r="F692" s="2496"/>
      <c r="G692" s="2499" t="s">
        <v>2103</v>
      </c>
      <c r="H692" s="2500">
        <f>H660+H690</f>
        <v>284868</v>
      </c>
      <c r="I692" s="2500">
        <f>I660+I690</f>
        <v>5867</v>
      </c>
      <c r="J692" s="2500">
        <f>J660+J690</f>
        <v>290735</v>
      </c>
      <c r="K692" s="2501">
        <f>IF(H692=0," ",(J692-H692)/H692)</f>
        <v>2.0595503882499967E-2</v>
      </c>
      <c r="M692" s="2500">
        <f>M660+M690</f>
        <v>290735</v>
      </c>
      <c r="N692" s="2500">
        <f>N660+N690</f>
        <v>290735</v>
      </c>
      <c r="P692" s="2502"/>
      <c r="R692" s="2500">
        <f>R660+R690</f>
        <v>290735</v>
      </c>
      <c r="S692" s="2500">
        <f>S660+S690</f>
        <v>284920.83</v>
      </c>
      <c r="U692" s="2500">
        <f>U660+U690</f>
        <v>290735</v>
      </c>
      <c r="V692" s="2500">
        <f>V660+V690</f>
        <v>3404</v>
      </c>
      <c r="W692" s="2500">
        <f>W660+W690</f>
        <v>294139</v>
      </c>
      <c r="X692" s="2501">
        <f>IF(U692=0," ",(W692-U692)/U692)</f>
        <v>1.1708256659844875E-2</v>
      </c>
      <c r="Z692" s="2500">
        <f>Z660+Z690</f>
        <v>294139</v>
      </c>
      <c r="AA692" s="2500">
        <f>AA660+AA690</f>
        <v>296139</v>
      </c>
      <c r="AC692" s="2502"/>
      <c r="AE692" s="2500">
        <f>AE660+AE690</f>
        <v>296139</v>
      </c>
      <c r="AF692" s="2500">
        <f>AF660+AF690</f>
        <v>284425.09999999998</v>
      </c>
      <c r="AH692" s="2500">
        <f>AH660+AH690</f>
        <v>296139</v>
      </c>
      <c r="AI692" s="2500">
        <f>AI660+AI690</f>
        <v>16430</v>
      </c>
      <c r="AJ692" s="2500">
        <f>AJ660+AJ690</f>
        <v>312569</v>
      </c>
      <c r="AK692" s="2501">
        <f>IF(AH692=0," ",(AJ692-AH692)/AH692)</f>
        <v>5.5480703318374139E-2</v>
      </c>
      <c r="AM692" s="2500">
        <f>AM660+AM690</f>
        <v>309369</v>
      </c>
      <c r="AN692" s="2500">
        <f>AN660+AN690</f>
        <v>309369</v>
      </c>
      <c r="AP692" s="2502"/>
      <c r="AR692" s="2500">
        <f>AR660+AR690</f>
        <v>309839</v>
      </c>
      <c r="AS692" s="2500">
        <f>AS660+AS690</f>
        <v>306130.18</v>
      </c>
      <c r="AT692" s="2500"/>
      <c r="AU692" s="2500">
        <f>AU660+AU690</f>
        <v>318674</v>
      </c>
      <c r="AV692" s="2500">
        <f>AV660+AV690</f>
        <v>265015.37000000005</v>
      </c>
      <c r="AX692" s="2500">
        <f>AX660+AX690</f>
        <v>318674</v>
      </c>
      <c r="AY692" s="2500">
        <f>AY660+AY690</f>
        <v>-41463</v>
      </c>
      <c r="AZ692" s="2500">
        <f>AZ660+AZ690</f>
        <v>277211</v>
      </c>
      <c r="BA692" s="2501">
        <f>IF(AX692=0," ",(AZ692-AX692)/AX692)</f>
        <v>-0.13011102254969029</v>
      </c>
      <c r="BC692" s="2500">
        <f>BC660+BC690</f>
        <v>277211</v>
      </c>
      <c r="BD692" s="2500">
        <f>BD660+BD690</f>
        <v>280211</v>
      </c>
      <c r="BF692" s="2502"/>
      <c r="BH692" s="2500">
        <f>BH660+BH690</f>
        <v>280211</v>
      </c>
      <c r="BI692" s="2500">
        <f>BI660+BI690</f>
        <v>265447.55</v>
      </c>
      <c r="BJ692" s="2500"/>
      <c r="BK692" s="2500"/>
      <c r="BM692" s="2500">
        <f>BM660+BM690</f>
        <v>280211</v>
      </c>
      <c r="BN692" s="2500">
        <f>BN660+BN690</f>
        <v>8444</v>
      </c>
      <c r="BO692" s="2500">
        <f>BO660+BO690</f>
        <v>288655</v>
      </c>
      <c r="BP692" s="2506">
        <f>IF(BM692=0," ",(BO692-BM692)/BM692)</f>
        <v>3.0134434408356559E-2</v>
      </c>
      <c r="BR692" s="2500">
        <f>BR660+BR690</f>
        <v>288655</v>
      </c>
      <c r="BS692" s="2500">
        <f>BS660+BS690</f>
        <v>338655</v>
      </c>
      <c r="BU692" s="2507"/>
      <c r="BW692" s="2500">
        <f>BW660+BW690</f>
        <v>338655</v>
      </c>
      <c r="BX692" s="2500">
        <f>BX660+BX690</f>
        <v>142698.12</v>
      </c>
      <c r="BZ692" s="2500">
        <f>BZ660+BZ690</f>
        <v>338655</v>
      </c>
      <c r="CA692" s="2500">
        <f>CA660+CA690</f>
        <v>-897</v>
      </c>
      <c r="CB692" s="2500">
        <f>CB660+CB690</f>
        <v>337758</v>
      </c>
      <c r="CC692" s="2506">
        <f>IF(BZ692=0," ",(CB692-BZ692)/BZ692)</f>
        <v>-2.6487132922886122E-3</v>
      </c>
      <c r="CE692" s="2500">
        <f>CE660+CE690</f>
        <v>340444</v>
      </c>
      <c r="CF692" s="2506">
        <f>IF(CB692=0," ",(CE692-CB692)/CB692)</f>
        <v>7.9524393204602108E-3</v>
      </c>
      <c r="CG692" s="2500">
        <f>CG660+CG690</f>
        <v>337494</v>
      </c>
      <c r="CH692" s="2449" t="s">
        <v>1222</v>
      </c>
      <c r="CI692" s="2508">
        <f>IF(CG692-CE692=0,"",CG692-CE692)</f>
        <v>-2950</v>
      </c>
      <c r="CJ692" s="2509"/>
      <c r="CK692" s="2509"/>
      <c r="CL692" s="2451" t="str">
        <f>IF(CO692&lt;-1*CM$2,"examine","ignore")</f>
        <v>examine</v>
      </c>
      <c r="CM692" s="2545">
        <f>IF(CL692="examine",CP692+CM$2*CP692/CO692,"")</f>
        <v>-3555.0100000000166</v>
      </c>
      <c r="CN692" s="2545">
        <f>IF(CI692="",CM692,CM692-CI692)</f>
        <v>-605.01000000001659</v>
      </c>
      <c r="CO692" s="2477">
        <v>-5.2686903797495521E-2</v>
      </c>
      <c r="CP692" s="2510">
        <f t="shared" si="332"/>
        <v>-14763.450000000012</v>
      </c>
      <c r="CQ692" s="2510">
        <f>AV692-AU692</f>
        <v>-53658.629999999946</v>
      </c>
      <c r="CR692" s="2510">
        <f>AS692-AR692</f>
        <v>-3708.820000000007</v>
      </c>
      <c r="CS692" s="2510">
        <f>AF692-AE692</f>
        <v>-11713.900000000023</v>
      </c>
    </row>
    <row r="693" spans="1:98" ht="20.100000000000001" hidden="1" customHeight="1" x14ac:dyDescent="0.2">
      <c r="AS693" s="2466"/>
      <c r="AT693" s="2466"/>
      <c r="BZ693" s="2472"/>
      <c r="CH693" s="2449" t="s">
        <v>1091</v>
      </c>
      <c r="CI693" s="2449"/>
      <c r="CJ693" s="2450"/>
      <c r="CK693" s="2450"/>
      <c r="CP693" s="2478">
        <f t="shared" si="332"/>
        <v>0</v>
      </c>
      <c r="CQ693" s="2478"/>
      <c r="CR693" s="2478"/>
      <c r="CS693" s="2478"/>
      <c r="CT693" s="2478"/>
    </row>
    <row r="694" spans="1:98" ht="15.75" hidden="1" x14ac:dyDescent="0.2">
      <c r="A694" s="2453" t="s">
        <v>2104</v>
      </c>
      <c r="B694" s="2454"/>
      <c r="C694" s="2455"/>
      <c r="D694" s="2455"/>
      <c r="E694" s="2456"/>
      <c r="F694" s="2454"/>
      <c r="G694" s="2454"/>
      <c r="H694" s="2457"/>
      <c r="I694" s="2457"/>
      <c r="J694" s="2457"/>
      <c r="K694" s="2458"/>
      <c r="M694" s="2457"/>
      <c r="N694" s="2457"/>
      <c r="P694" s="2459"/>
      <c r="R694" s="2457"/>
      <c r="S694" s="2457"/>
      <c r="U694" s="2457"/>
      <c r="V694" s="2457"/>
      <c r="W694" s="2457"/>
      <c r="X694" s="2458"/>
      <c r="Z694" s="2457"/>
      <c r="AA694" s="2457"/>
      <c r="AC694" s="2459"/>
      <c r="AE694" s="2457"/>
      <c r="AF694" s="2460"/>
      <c r="AH694" s="2457"/>
      <c r="AI694" s="2457"/>
      <c r="AJ694" s="2457"/>
      <c r="AK694" s="2458"/>
      <c r="AM694" s="2457"/>
      <c r="AN694" s="2457"/>
      <c r="AP694" s="2459"/>
      <c r="AR694" s="2457"/>
      <c r="AS694" s="2457"/>
      <c r="AT694" s="2457"/>
      <c r="AU694" s="2457"/>
      <c r="AV694" s="2457"/>
      <c r="AX694" s="2457"/>
      <c r="AY694" s="2457"/>
      <c r="AZ694" s="2457"/>
      <c r="BA694" s="2458"/>
      <c r="BC694" s="2457"/>
      <c r="BD694" s="2457"/>
      <c r="BF694" s="2461"/>
      <c r="BH694" s="2457"/>
      <c r="BI694" s="2457"/>
      <c r="BJ694" s="2457"/>
      <c r="BK694" s="2457"/>
      <c r="BM694" s="2457"/>
      <c r="BN694" s="2462"/>
      <c r="BO694" s="2463"/>
      <c r="BP694" s="2464"/>
      <c r="BR694" s="2463"/>
      <c r="BS694" s="2463"/>
      <c r="BU694" s="2465"/>
      <c r="BW694" s="2463"/>
      <c r="BX694" s="2457"/>
      <c r="BZ694" s="2463"/>
      <c r="CA694" s="2462"/>
      <c r="CB694" s="2463"/>
      <c r="CC694" s="2464"/>
      <c r="CE694" s="2463"/>
      <c r="CF694" s="2464"/>
      <c r="CG694" s="2463"/>
      <c r="CH694" s="2449" t="s">
        <v>1212</v>
      </c>
      <c r="CI694" s="2449"/>
      <c r="CJ694" s="2450"/>
      <c r="CK694" s="2450"/>
      <c r="CP694" s="2478">
        <f t="shared" si="332"/>
        <v>0</v>
      </c>
      <c r="CQ694" s="2478"/>
      <c r="CR694" s="2478"/>
      <c r="CS694" s="2478"/>
      <c r="CT694" s="2478"/>
    </row>
    <row r="695" spans="1:98" hidden="1" x14ac:dyDescent="0.2">
      <c r="A695" s="2395">
        <v>494</v>
      </c>
      <c r="B695" s="2440" t="s">
        <v>1214</v>
      </c>
      <c r="C695" s="2396">
        <v>49405</v>
      </c>
      <c r="D695" s="2396">
        <v>53000</v>
      </c>
      <c r="E695" s="2397" t="s">
        <v>1268</v>
      </c>
      <c r="F695" s="2440" t="s">
        <v>1214</v>
      </c>
      <c r="G695" s="2440" t="s">
        <v>2105</v>
      </c>
      <c r="I695" s="2470"/>
      <c r="J695" s="2466">
        <f>H695+I695</f>
        <v>0</v>
      </c>
      <c r="K695" s="2468" t="str">
        <f>IF(H695=0," ",(J695-H695)/H695)</f>
        <v xml:space="preserve"> </v>
      </c>
      <c r="M695" s="2467"/>
      <c r="N695" s="2467"/>
      <c r="P695" s="2469"/>
      <c r="V695" s="2568"/>
      <c r="W695" s="2466">
        <f>U695+V695</f>
        <v>0</v>
      </c>
      <c r="X695" s="2468" t="str">
        <f>IF(U695=0," ",(W695-U695)/U695)</f>
        <v xml:space="preserve"> </v>
      </c>
      <c r="Z695" s="2467"/>
      <c r="AA695" s="2467">
        <v>40000</v>
      </c>
      <c r="AC695" s="2469" t="s">
        <v>2106</v>
      </c>
      <c r="AE695" s="2466">
        <v>40000</v>
      </c>
      <c r="AF695" s="2471">
        <v>24451.46</v>
      </c>
      <c r="AH695" s="2466">
        <v>40000</v>
      </c>
      <c r="AI695" s="2568"/>
      <c r="AJ695" s="2466">
        <f>AH695+AI695</f>
        <v>40000</v>
      </c>
      <c r="AK695" s="2468">
        <f>IF(AH695=0," ",(AJ695-AH695)/AH695)</f>
        <v>0</v>
      </c>
      <c r="AM695" s="2467">
        <v>40000</v>
      </c>
      <c r="AN695" s="2467">
        <v>40000</v>
      </c>
      <c r="AO695" s="2546"/>
      <c r="AP695" s="2530"/>
      <c r="AR695" s="2466">
        <v>40000</v>
      </c>
      <c r="AS695" s="2466">
        <v>34050.589999999997</v>
      </c>
      <c r="AT695" s="2466"/>
      <c r="AU695" s="2466">
        <f>40000+7000</f>
        <v>47000</v>
      </c>
      <c r="AV695" s="2466">
        <v>39481.71</v>
      </c>
      <c r="AX695" s="2466">
        <f>40000+7000</f>
        <v>47000</v>
      </c>
      <c r="AY695" s="2470">
        <v>-8300</v>
      </c>
      <c r="AZ695" s="2466">
        <f>AX695+AY695</f>
        <v>38700</v>
      </c>
      <c r="BA695" s="2468">
        <f>IF(AX695=0," ",(AZ695-AX695)/AX695)</f>
        <v>-0.17659574468085107</v>
      </c>
      <c r="BC695" s="2467">
        <v>38700</v>
      </c>
      <c r="BD695" s="2467">
        <v>38700</v>
      </c>
      <c r="BE695" s="2546"/>
      <c r="BF695" s="2469"/>
      <c r="BH695" s="2467">
        <v>38700</v>
      </c>
      <c r="BI695" s="2466">
        <v>36215</v>
      </c>
      <c r="BM695" s="2466">
        <v>38700</v>
      </c>
      <c r="BN695" s="2470">
        <v>-12700</v>
      </c>
      <c r="BO695" s="2472">
        <f>BM695+BN695</f>
        <v>26000</v>
      </c>
      <c r="BP695" s="2473">
        <f>IF(BM695=0," ",(BO695-BM695)/BM695)</f>
        <v>-0.32816537467700257</v>
      </c>
      <c r="BR695" s="2474">
        <v>26000</v>
      </c>
      <c r="BS695" s="2474">
        <v>26000</v>
      </c>
      <c r="BU695" s="2475" t="s">
        <v>2107</v>
      </c>
      <c r="BW695" s="2474">
        <v>26000</v>
      </c>
      <c r="BX695" s="2466">
        <v>5165</v>
      </c>
      <c r="BZ695" s="2474">
        <v>26000</v>
      </c>
      <c r="CA695" s="2470"/>
      <c r="CB695" s="2472">
        <f>BZ695+CA695</f>
        <v>26000</v>
      </c>
      <c r="CC695" s="2473">
        <f>IF(BZ695=0," ",(CB695-BZ695)/BZ695)</f>
        <v>0</v>
      </c>
      <c r="CE695" s="2474">
        <v>26000</v>
      </c>
      <c r="CF695" s="2476">
        <f>IF(CB695=0," ",(CE695-CB695)/CB695)</f>
        <v>0</v>
      </c>
      <c r="CG695" s="2474">
        <v>26000</v>
      </c>
      <c r="CH695" s="2449" t="s">
        <v>1217</v>
      </c>
      <c r="CI695" s="2449"/>
      <c r="CJ695" s="2450"/>
      <c r="CK695" s="2450"/>
      <c r="CO695" s="2477">
        <v>-6.4211886304909593E-2</v>
      </c>
      <c r="CP695" s="2478">
        <f t="shared" si="332"/>
        <v>-2485</v>
      </c>
      <c r="CQ695" s="2478"/>
      <c r="CR695" s="2478"/>
      <c r="CS695" s="2478"/>
      <c r="CT695" s="2478"/>
    </row>
    <row r="696" spans="1:98" hidden="1" x14ac:dyDescent="0.2">
      <c r="A696" s="2395">
        <v>494</v>
      </c>
      <c r="C696" s="2396">
        <v>49405</v>
      </c>
      <c r="E696" s="2397" t="s">
        <v>1268</v>
      </c>
      <c r="G696" s="2440" t="s">
        <v>2108</v>
      </c>
      <c r="I696" s="2470"/>
      <c r="M696" s="2467"/>
      <c r="N696" s="2467"/>
      <c r="P696" s="2469"/>
      <c r="V696" s="2568"/>
      <c r="Z696" s="2467"/>
      <c r="AA696" s="2467"/>
      <c r="AC696" s="2469"/>
      <c r="AI696" s="2568"/>
      <c r="AM696" s="2467"/>
      <c r="AN696" s="2467"/>
      <c r="AO696" s="2546"/>
      <c r="AP696" s="2530"/>
      <c r="AS696" s="2466"/>
      <c r="AT696" s="2466"/>
      <c r="AY696" s="2470"/>
      <c r="BC696" s="2467"/>
      <c r="BD696" s="2467"/>
      <c r="BE696" s="2546"/>
      <c r="BF696" s="2469"/>
      <c r="BH696" s="2467"/>
      <c r="BN696" s="2470"/>
      <c r="BO696" s="2472">
        <f>BM696+BN696</f>
        <v>0</v>
      </c>
      <c r="BP696" s="2473" t="str">
        <f>IF(BM696=0," ",(BO696-BM696)/BM696)</f>
        <v xml:space="preserve"> </v>
      </c>
      <c r="BR696" s="2474">
        <v>0</v>
      </c>
      <c r="BS696" s="2474">
        <v>0</v>
      </c>
      <c r="BU696" s="2547" t="s">
        <v>2109</v>
      </c>
      <c r="BW696" s="2474">
        <v>0</v>
      </c>
      <c r="BZ696" s="2474">
        <v>0</v>
      </c>
      <c r="CA696" s="2470"/>
      <c r="CB696" s="2472">
        <f>BZ696+CA696</f>
        <v>0</v>
      </c>
      <c r="CC696" s="2473" t="str">
        <f>IF(BZ696=0," ",(CB696-BZ696)/BZ696)</f>
        <v xml:space="preserve"> </v>
      </c>
      <c r="CE696" s="2474">
        <v>0</v>
      </c>
      <c r="CF696" s="2476" t="str">
        <f>IF(CB696=0," ",(CE696-CB696)/CB696)</f>
        <v xml:space="preserve"> </v>
      </c>
      <c r="CG696" s="2474">
        <v>0</v>
      </c>
      <c r="CH696" s="2449" t="s">
        <v>1091</v>
      </c>
      <c r="CI696" s="2449"/>
      <c r="CJ696" s="2450"/>
      <c r="CK696" s="2450"/>
      <c r="CP696" s="2478">
        <f t="shared" si="332"/>
        <v>0</v>
      </c>
      <c r="CQ696" s="2478"/>
      <c r="CR696" s="2478"/>
      <c r="CS696" s="2478"/>
      <c r="CT696" s="2478"/>
    </row>
    <row r="697" spans="1:98" hidden="1" x14ac:dyDescent="0.2">
      <c r="A697" s="2395">
        <v>494</v>
      </c>
      <c r="B697" s="2440" t="s">
        <v>1214</v>
      </c>
      <c r="C697" s="2396">
        <v>49405</v>
      </c>
      <c r="E697" s="2397" t="s">
        <v>1268</v>
      </c>
      <c r="F697" s="2440" t="s">
        <v>1214</v>
      </c>
      <c r="G697" s="2440" t="s">
        <v>2110</v>
      </c>
      <c r="I697" s="2470"/>
      <c r="M697" s="2467"/>
      <c r="N697" s="2467"/>
      <c r="P697" s="2469"/>
      <c r="V697" s="2568"/>
      <c r="Z697" s="2467"/>
      <c r="AA697" s="2467"/>
      <c r="AC697" s="2469"/>
      <c r="AI697" s="2568"/>
      <c r="AM697" s="2467"/>
      <c r="AN697" s="2467"/>
      <c r="AO697" s="2546"/>
      <c r="AP697" s="2530"/>
      <c r="AS697" s="2466"/>
      <c r="AT697" s="2466"/>
      <c r="AY697" s="2542">
        <v>3600</v>
      </c>
      <c r="AZ697" s="2466">
        <f>AX697+AY697</f>
        <v>3600</v>
      </c>
      <c r="BC697" s="2467">
        <v>3600</v>
      </c>
      <c r="BD697" s="2467">
        <v>3600</v>
      </c>
      <c r="BE697" s="2546"/>
      <c r="BF697" s="2469" t="s">
        <v>2111</v>
      </c>
      <c r="BH697" s="2467"/>
      <c r="BN697" s="2470"/>
      <c r="BO697" s="2472">
        <f>BM697+BN697</f>
        <v>0</v>
      </c>
      <c r="BP697" s="2473" t="str">
        <f>IF(BM697=0," ",(BO697-BM697)/BM697)</f>
        <v xml:space="preserve"> </v>
      </c>
      <c r="BR697" s="2474">
        <v>0</v>
      </c>
      <c r="BS697" s="2474">
        <v>0</v>
      </c>
      <c r="BU697" s="2547" t="s">
        <v>2112</v>
      </c>
      <c r="BW697" s="2474">
        <v>0</v>
      </c>
      <c r="BZ697" s="2474">
        <v>0</v>
      </c>
      <c r="CA697" s="2470"/>
      <c r="CB697" s="2472">
        <f>BZ697+CA697</f>
        <v>0</v>
      </c>
      <c r="CC697" s="2473" t="str">
        <f>IF(BZ697=0," ",(CB697-BZ697)/BZ697)</f>
        <v xml:space="preserve"> </v>
      </c>
      <c r="CE697" s="2474">
        <v>0</v>
      </c>
      <c r="CF697" s="2476" t="str">
        <f>IF(CB697=0," ",(CE697-CB697)/CB697)</f>
        <v xml:space="preserve"> </v>
      </c>
      <c r="CG697" s="2474">
        <v>0</v>
      </c>
      <c r="CH697" s="2449" t="s">
        <v>1091</v>
      </c>
      <c r="CI697" s="2449"/>
      <c r="CJ697" s="2450"/>
      <c r="CK697" s="2450"/>
      <c r="CP697" s="2478">
        <f t="shared" si="332"/>
        <v>0</v>
      </c>
      <c r="CQ697" s="2478"/>
      <c r="CR697" s="2478"/>
      <c r="CS697" s="2478"/>
      <c r="CT697" s="2478"/>
    </row>
    <row r="698" spans="1:98" hidden="1" x14ac:dyDescent="0.2">
      <c r="A698" s="2395">
        <v>494</v>
      </c>
      <c r="B698" s="2440" t="s">
        <v>1214</v>
      </c>
      <c r="C698" s="2396">
        <v>49405</v>
      </c>
      <c r="D698" s="2396">
        <v>55310</v>
      </c>
      <c r="E698" s="2397" t="s">
        <v>1268</v>
      </c>
      <c r="F698" s="2440" t="s">
        <v>1214</v>
      </c>
      <c r="G698" s="2440" t="s">
        <v>2113</v>
      </c>
      <c r="I698" s="2470"/>
      <c r="M698" s="2467"/>
      <c r="N698" s="2467"/>
      <c r="P698" s="2469"/>
      <c r="V698" s="2568"/>
      <c r="Z698" s="2467"/>
      <c r="AA698" s="2467"/>
      <c r="AC698" s="2469"/>
      <c r="AI698" s="2568"/>
      <c r="AM698" s="2467"/>
      <c r="AN698" s="2467"/>
      <c r="AO698" s="2546"/>
      <c r="AP698" s="2530"/>
      <c r="AS698" s="2466"/>
      <c r="AT698" s="2466"/>
      <c r="AY698" s="2542">
        <v>3600</v>
      </c>
      <c r="AZ698" s="2466">
        <f>AX698+AY698</f>
        <v>3600</v>
      </c>
      <c r="BC698" s="2467">
        <v>3600</v>
      </c>
      <c r="BD698" s="2467">
        <v>3600</v>
      </c>
      <c r="BE698" s="2546"/>
      <c r="BF698" s="2469" t="s">
        <v>2111</v>
      </c>
      <c r="BH698" s="2467">
        <v>3600</v>
      </c>
      <c r="BI698" s="2466">
        <v>5334.74</v>
      </c>
      <c r="BM698" s="2466">
        <v>3600</v>
      </c>
      <c r="BN698" s="2470"/>
      <c r="BO698" s="2472">
        <f>BM698+BN698</f>
        <v>3600</v>
      </c>
      <c r="BP698" s="2473">
        <f>IF(BM698=0," ",(BO698-BM698)/BM698)</f>
        <v>0</v>
      </c>
      <c r="BR698" s="2474">
        <v>3600</v>
      </c>
      <c r="BS698" s="2474">
        <v>3600</v>
      </c>
      <c r="BU698" s="2601" t="s">
        <v>2114</v>
      </c>
      <c r="BW698" s="2474">
        <v>3600</v>
      </c>
      <c r="BZ698" s="2474">
        <v>3600</v>
      </c>
      <c r="CA698" s="2470"/>
      <c r="CB698" s="2472">
        <f>BZ698+CA698</f>
        <v>3600</v>
      </c>
      <c r="CC698" s="2473">
        <f>IF(BZ698=0," ",(CB698-BZ698)/BZ698)</f>
        <v>0</v>
      </c>
      <c r="CE698" s="2474">
        <v>3600</v>
      </c>
      <c r="CF698" s="2476">
        <f>IF(CB698=0," ",(CE698-CB698)/CB698)</f>
        <v>0</v>
      </c>
      <c r="CG698" s="2474">
        <v>3600</v>
      </c>
      <c r="CH698" s="2449" t="s">
        <v>1217</v>
      </c>
      <c r="CI698" s="2449"/>
      <c r="CJ698" s="2450"/>
      <c r="CK698" s="2450"/>
      <c r="CO698" s="2477">
        <v>0.48187222222222226</v>
      </c>
      <c r="CP698" s="2478">
        <f t="shared" si="332"/>
        <v>1734.7399999999998</v>
      </c>
      <c r="CQ698" s="2478"/>
      <c r="CR698" s="2478"/>
      <c r="CS698" s="2478"/>
      <c r="CT698" s="2478"/>
    </row>
    <row r="699" spans="1:98" s="2485" customFormat="1" hidden="1" x14ac:dyDescent="0.2">
      <c r="A699" s="2532"/>
      <c r="B699" s="2533"/>
      <c r="C699" s="2534"/>
      <c r="D699" s="2534"/>
      <c r="E699" s="2535"/>
      <c r="F699" s="2533"/>
      <c r="G699" s="2654" t="s">
        <v>2115</v>
      </c>
      <c r="H699" s="2536">
        <f>SUM(H695:H695)</f>
        <v>0</v>
      </c>
      <c r="I699" s="2536">
        <f>SUM(I695:I695)</f>
        <v>0</v>
      </c>
      <c r="J699" s="2536">
        <f>SUM(J695:J695)</f>
        <v>0</v>
      </c>
      <c r="K699" s="2484" t="str">
        <f>IF(H699=0," ",(J699-H699)/H699)</f>
        <v xml:space="preserve"> </v>
      </c>
      <c r="M699" s="2536">
        <f>SUM(M695:M695)</f>
        <v>0</v>
      </c>
      <c r="N699" s="2536">
        <f>SUM(N695:N695)</f>
        <v>0</v>
      </c>
      <c r="P699" s="2537">
        <f>SUM(P695:P695)</f>
        <v>0</v>
      </c>
      <c r="R699" s="2536">
        <f>SUM(R695:R695)</f>
        <v>0</v>
      </c>
      <c r="S699" s="2536">
        <f>SUM(S695:S695)</f>
        <v>0</v>
      </c>
      <c r="U699" s="2536">
        <f>SUM(U695:U695)</f>
        <v>0</v>
      </c>
      <c r="V699" s="2536">
        <f>SUM(V695:V695)</f>
        <v>0</v>
      </c>
      <c r="W699" s="2536">
        <f>SUM(W695:W695)</f>
        <v>0</v>
      </c>
      <c r="X699" s="2484" t="str">
        <f>IF(U699=0," ",(W699-U699)/U699)</f>
        <v xml:space="preserve"> </v>
      </c>
      <c r="Z699" s="2536">
        <f>SUM(Z695:Z695)</f>
        <v>0</v>
      </c>
      <c r="AA699" s="2536">
        <f>SUM(AA695:AA695)</f>
        <v>40000</v>
      </c>
      <c r="AC699" s="2537"/>
      <c r="AE699" s="2536">
        <f>SUM(AE695:AE695)</f>
        <v>40000</v>
      </c>
      <c r="AF699" s="2538">
        <f>SUM(AF695:AF695)</f>
        <v>24451.46</v>
      </c>
      <c r="AH699" s="2536">
        <v>40000</v>
      </c>
      <c r="AI699" s="2536">
        <f>SUM(AI695:AI695)</f>
        <v>0</v>
      </c>
      <c r="AJ699" s="2536">
        <f>SUM(AJ695:AJ695)</f>
        <v>40000</v>
      </c>
      <c r="AK699" s="2484">
        <f>IF(AH699=0," ",(AJ699-AH699)/AH699)</f>
        <v>0</v>
      </c>
      <c r="AM699" s="2536">
        <f>SUM(AM695:AM695)</f>
        <v>40000</v>
      </c>
      <c r="AN699" s="2536">
        <f>SUM(AN695:AN695)</f>
        <v>40000</v>
      </c>
      <c r="AP699" s="2537"/>
      <c r="AR699" s="2536">
        <f>SUM(AR695:AR695)</f>
        <v>40000</v>
      </c>
      <c r="AS699" s="2536">
        <f>SUM(AS695:AS695)</f>
        <v>34050.589999999997</v>
      </c>
      <c r="AT699" s="2536"/>
      <c r="AU699" s="2536">
        <f>SUM(AU695:AU695)</f>
        <v>47000</v>
      </c>
      <c r="AV699" s="2536">
        <f>SUM(AV695:AV695)</f>
        <v>39481.71</v>
      </c>
      <c r="AX699" s="2536">
        <f>SUM(AX695:AX698)</f>
        <v>47000</v>
      </c>
      <c r="AY699" s="2536">
        <f>SUM(AY695:AY698)</f>
        <v>-1100</v>
      </c>
      <c r="AZ699" s="2536">
        <f>SUM(AZ695:AZ698)</f>
        <v>45900</v>
      </c>
      <c r="BA699" s="2484">
        <f>IF(AX699=0," ",(AZ699-AX699)/AX699)</f>
        <v>-2.3404255319148935E-2</v>
      </c>
      <c r="BC699" s="2536">
        <f>SUM(BC695:BC698)</f>
        <v>45900</v>
      </c>
      <c r="BD699" s="2536">
        <f>SUM(BD695:BD698)</f>
        <v>45900</v>
      </c>
      <c r="BF699" s="2537"/>
      <c r="BH699" s="2536">
        <f>SUM(BH695:BH698)</f>
        <v>42300</v>
      </c>
      <c r="BI699" s="2536">
        <f>SUM(BI695:BI698)</f>
        <v>41549.74</v>
      </c>
      <c r="BJ699" s="2536"/>
      <c r="BK699" s="2536"/>
      <c r="BM699" s="2536">
        <f>SUM(BM695:BM698)</f>
        <v>42300</v>
      </c>
      <c r="BN699" s="2539">
        <f>SUM(BN695:BN698)</f>
        <v>-12700</v>
      </c>
      <c r="BO699" s="2540">
        <f>SUM(BO695:BO698)</f>
        <v>29600</v>
      </c>
      <c r="BP699" s="2490">
        <f>IF(BM699=0," ",(BO699-BM699)/BM699)</f>
        <v>-0.30023640661938533</v>
      </c>
      <c r="BQ699" s="2491"/>
      <c r="BR699" s="2540">
        <f>SUM(BR695:BR698)</f>
        <v>29600</v>
      </c>
      <c r="BS699" s="2540">
        <f>SUM(BS695:BS698)</f>
        <v>29600</v>
      </c>
      <c r="BT699" s="2491"/>
      <c r="BU699" s="2541"/>
      <c r="BV699" s="2491"/>
      <c r="BW699" s="2540">
        <f>SUM(BW695:BW698)</f>
        <v>29600</v>
      </c>
      <c r="BX699" s="2536">
        <f>SUM(BX695:BX698)</f>
        <v>5165</v>
      </c>
      <c r="BZ699" s="2540">
        <f>SUM(BZ695:BZ698)</f>
        <v>29600</v>
      </c>
      <c r="CA699" s="2540">
        <f>SUM(CA695:CA698)</f>
        <v>0</v>
      </c>
      <c r="CB699" s="2540">
        <f>SUM(CB695:CB698)</f>
        <v>29600</v>
      </c>
      <c r="CC699" s="2490">
        <f>IF(BZ699=0," ",(CB699-BZ699)/BZ699)</f>
        <v>0</v>
      </c>
      <c r="CD699" s="2491"/>
      <c r="CE699" s="2540">
        <f>SUM(CE695:CE698)</f>
        <v>29600</v>
      </c>
      <c r="CF699" s="2490">
        <f>IF(CB699=0," ",(CE699-CB699)/CB699)</f>
        <v>0</v>
      </c>
      <c r="CG699" s="2540">
        <f>SUM(CG695:CG698)</f>
        <v>29600</v>
      </c>
      <c r="CH699" s="2449" t="s">
        <v>1220</v>
      </c>
      <c r="CI699" s="2449"/>
      <c r="CJ699" s="2450"/>
      <c r="CK699" s="2450"/>
      <c r="CL699" s="2451"/>
      <c r="CM699" s="2451"/>
      <c r="CN699" s="2451"/>
      <c r="CO699" s="2477">
        <v>-1.773664302600475E-2</v>
      </c>
      <c r="CP699" s="2478">
        <f t="shared" si="332"/>
        <v>-750.26000000000204</v>
      </c>
      <c r="CQ699" s="2478"/>
      <c r="CR699" s="2478"/>
      <c r="CS699" s="2478"/>
      <c r="CT699" s="2478"/>
    </row>
    <row r="700" spans="1:98" ht="9.9499999999999993" hidden="1" customHeight="1" x14ac:dyDescent="0.2">
      <c r="AS700" s="2466"/>
      <c r="AT700" s="2466"/>
      <c r="BZ700" s="2472"/>
      <c r="CA700" s="2472"/>
      <c r="CH700" s="2449" t="s">
        <v>1091</v>
      </c>
      <c r="CI700" s="2449"/>
      <c r="CJ700" s="2450"/>
      <c r="CK700" s="2450"/>
      <c r="CP700" s="2478">
        <f t="shared" si="332"/>
        <v>0</v>
      </c>
      <c r="CQ700" s="2478"/>
      <c r="CR700" s="2478"/>
      <c r="CS700" s="2478"/>
      <c r="CT700" s="2478"/>
    </row>
    <row r="701" spans="1:98" x14ac:dyDescent="0.2">
      <c r="A701" s="2495"/>
      <c r="B701" s="2496"/>
      <c r="C701" s="2497"/>
      <c r="D701" s="2497"/>
      <c r="E701" s="2498"/>
      <c r="F701" s="2496"/>
      <c r="G701" s="2499" t="s">
        <v>2116</v>
      </c>
      <c r="H701" s="2500">
        <f>H699</f>
        <v>0</v>
      </c>
      <c r="I701" s="2500">
        <f>I699</f>
        <v>0</v>
      </c>
      <c r="J701" s="2500">
        <f>J699</f>
        <v>0</v>
      </c>
      <c r="K701" s="2501" t="str">
        <f>IF(H701=0," ",(J701-H701)/H701)</f>
        <v xml:space="preserve"> </v>
      </c>
      <c r="M701" s="2500">
        <f>M699</f>
        <v>0</v>
      </c>
      <c r="N701" s="2500">
        <f>N699</f>
        <v>0</v>
      </c>
      <c r="P701" s="2502">
        <f>P699</f>
        <v>0</v>
      </c>
      <c r="R701" s="2500">
        <f>R699</f>
        <v>0</v>
      </c>
      <c r="S701" s="2500">
        <f>S699</f>
        <v>0</v>
      </c>
      <c r="U701" s="2500">
        <f>U699</f>
        <v>0</v>
      </c>
      <c r="V701" s="2500">
        <f>V699</f>
        <v>0</v>
      </c>
      <c r="W701" s="2500">
        <f>W699</f>
        <v>0</v>
      </c>
      <c r="X701" s="2501" t="str">
        <f>IF(U701=0," ",(W701-U701)/U701)</f>
        <v xml:space="preserve"> </v>
      </c>
      <c r="Z701" s="2500">
        <f>Z699</f>
        <v>0</v>
      </c>
      <c r="AA701" s="2500">
        <f>AA699</f>
        <v>40000</v>
      </c>
      <c r="AC701" s="2502"/>
      <c r="AE701" s="2500">
        <f>AE699</f>
        <v>40000</v>
      </c>
      <c r="AF701" s="2503">
        <f>AF699</f>
        <v>24451.46</v>
      </c>
      <c r="AH701" s="2500">
        <v>40000</v>
      </c>
      <c r="AI701" s="2500">
        <f>AI699</f>
        <v>0</v>
      </c>
      <c r="AJ701" s="2500">
        <f>AJ699</f>
        <v>40000</v>
      </c>
      <c r="AK701" s="2501">
        <f>IF(AH701=0," ",(AJ701-AH701)/AH701)</f>
        <v>0</v>
      </c>
      <c r="AM701" s="2500">
        <f>AM699</f>
        <v>40000</v>
      </c>
      <c r="AN701" s="2500">
        <f>AN699</f>
        <v>40000</v>
      </c>
      <c r="AP701" s="2502"/>
      <c r="AR701" s="2500">
        <f>AR699</f>
        <v>40000</v>
      </c>
      <c r="AS701" s="2500">
        <f>AS699</f>
        <v>34050.589999999997</v>
      </c>
      <c r="AT701" s="2500"/>
      <c r="AU701" s="2500">
        <f>AU699</f>
        <v>47000</v>
      </c>
      <c r="AV701" s="2500">
        <f>AV699</f>
        <v>39481.71</v>
      </c>
      <c r="AX701" s="2500">
        <f>AX699</f>
        <v>47000</v>
      </c>
      <c r="AY701" s="2500">
        <f>AY699</f>
        <v>-1100</v>
      </c>
      <c r="AZ701" s="2500">
        <f>AZ699</f>
        <v>45900</v>
      </c>
      <c r="BA701" s="2501">
        <f>IF(AX701=0," ",(AZ701-AX701)/AX701)</f>
        <v>-2.3404255319148935E-2</v>
      </c>
      <c r="BC701" s="2500">
        <f>BC699</f>
        <v>45900</v>
      </c>
      <c r="BD701" s="2500">
        <f>BD699</f>
        <v>45900</v>
      </c>
      <c r="BF701" s="2502"/>
      <c r="BH701" s="2500">
        <f>BH699</f>
        <v>42300</v>
      </c>
      <c r="BI701" s="2500">
        <f>BI699</f>
        <v>41549.74</v>
      </c>
      <c r="BJ701" s="2500"/>
      <c r="BK701" s="2500"/>
      <c r="BM701" s="2500">
        <f>BM699</f>
        <v>42300</v>
      </c>
      <c r="BN701" s="2504">
        <f>BN699</f>
        <v>-12700</v>
      </c>
      <c r="BO701" s="2505">
        <f>BO699</f>
        <v>29600</v>
      </c>
      <c r="BP701" s="2506">
        <f>IF(BM701=0," ",(BO701-BM701)/BM701)</f>
        <v>-0.30023640661938533</v>
      </c>
      <c r="BR701" s="2505">
        <f>BR699</f>
        <v>29600</v>
      </c>
      <c r="BS701" s="2505">
        <f>BS699</f>
        <v>29600</v>
      </c>
      <c r="BU701" s="2507"/>
      <c r="BW701" s="2505">
        <f>BW699</f>
        <v>29600</v>
      </c>
      <c r="BX701" s="2500">
        <f>BX699</f>
        <v>5165</v>
      </c>
      <c r="BZ701" s="2505">
        <f>BZ699</f>
        <v>29600</v>
      </c>
      <c r="CA701" s="2505">
        <f>CA699</f>
        <v>0</v>
      </c>
      <c r="CB701" s="2505">
        <f>CB699</f>
        <v>29600</v>
      </c>
      <c r="CC701" s="2506">
        <f>IF(BZ701=0," ",(CB701-BZ701)/BZ701)</f>
        <v>0</v>
      </c>
      <c r="CE701" s="2505">
        <f>CE699</f>
        <v>29600</v>
      </c>
      <c r="CF701" s="2506">
        <f>IF(CB701=0," ",(CE701-CB701)/CB701)</f>
        <v>0</v>
      </c>
      <c r="CG701" s="2505">
        <f>CG699</f>
        <v>29600</v>
      </c>
      <c r="CH701" s="2449" t="s">
        <v>1222</v>
      </c>
      <c r="CI701" s="2508" t="str">
        <f>IF(CG701-CE701=0,"",CG701-CE701)</f>
        <v/>
      </c>
      <c r="CJ701" s="2509"/>
      <c r="CK701" s="2509"/>
      <c r="CL701" s="2451" t="str">
        <f>IF(CO701&lt;-1*CM$2,"examine","ignore")</f>
        <v>ignore</v>
      </c>
      <c r="CM701" s="2545" t="str">
        <f>IF(CL701="examine",CP701+CM$2*CP701/CO701,"")</f>
        <v/>
      </c>
      <c r="CN701" s="2545"/>
      <c r="CO701" s="2477">
        <v>-1.773664302600475E-2</v>
      </c>
      <c r="CP701" s="2510">
        <f t="shared" si="332"/>
        <v>-750.26000000000204</v>
      </c>
      <c r="CQ701" s="2510">
        <f>AV701-AU701</f>
        <v>-7518.2900000000009</v>
      </c>
      <c r="CR701" s="2510">
        <f>AS701-AR701</f>
        <v>-5949.4100000000035</v>
      </c>
      <c r="CS701" s="2510">
        <f>AF701-AE701</f>
        <v>-15548.54</v>
      </c>
    </row>
    <row r="702" spans="1:98" ht="15" hidden="1" customHeight="1" x14ac:dyDescent="0.2">
      <c r="AS702" s="2466"/>
      <c r="AT702" s="2466"/>
      <c r="BZ702" s="2472"/>
      <c r="CH702" s="2449" t="s">
        <v>1091</v>
      </c>
      <c r="CI702" s="2449"/>
      <c r="CJ702" s="2450"/>
      <c r="CK702" s="2450"/>
      <c r="CP702" s="2478">
        <f t="shared" si="332"/>
        <v>0</v>
      </c>
      <c r="CQ702" s="2478"/>
      <c r="CR702" s="2478"/>
      <c r="CS702" s="2478"/>
      <c r="CT702" s="2478"/>
    </row>
    <row r="703" spans="1:98" ht="20.100000000000001" hidden="1" customHeight="1" x14ac:dyDescent="0.2">
      <c r="A703" s="2604" t="s">
        <v>2117</v>
      </c>
      <c r="B703" s="2435"/>
      <c r="C703" s="2436"/>
      <c r="D703" s="2436"/>
      <c r="E703" s="2437"/>
      <c r="F703" s="2435"/>
      <c r="G703" s="2435"/>
      <c r="H703" s="2438">
        <f>H692+H643+H629+H622+H616+H599+H536+H701+H636</f>
        <v>1600870</v>
      </c>
      <c r="I703" s="2438">
        <f>I692+I643+I629+I622+I616+I599+I536+I701+I636</f>
        <v>21649.599999999999</v>
      </c>
      <c r="J703" s="2438">
        <f>J692+J643+J629+J622+J616+J599+J536+J701+J636</f>
        <v>1622519.6</v>
      </c>
      <c r="K703" s="2439">
        <f>IF(H703=0," ",(J703-H703)/H703)</f>
        <v>1.3523646517206327E-2</v>
      </c>
      <c r="M703" s="2438">
        <f>M692+M643+M629+M622+M616+M599+M536+M701+M636</f>
        <v>1637825</v>
      </c>
      <c r="N703" s="2438">
        <f>N692+N643+N629+N622+N616+N599+N536+N701+N636</f>
        <v>1637825</v>
      </c>
      <c r="P703" s="2441">
        <f>P622+P616+P599</f>
        <v>0</v>
      </c>
      <c r="R703" s="2438">
        <f>R692+R643+R629+R622+R616+R599+R536+R701+R636</f>
        <v>1637825</v>
      </c>
      <c r="S703" s="2438">
        <f>S692+S643+S629+S622+S616+S599+S536+S701+S636</f>
        <v>1657170.5899999999</v>
      </c>
      <c r="U703" s="2438">
        <f>U692+U643+U629+U622+U616+U599+U536+U701+U636</f>
        <v>1637825</v>
      </c>
      <c r="V703" s="2438">
        <f>V692+V643+V629+V622+V616+V599+V536+V701+V636</f>
        <v>-21782</v>
      </c>
      <c r="W703" s="2438">
        <f>W692+W643+W629+W622+W616+W599+W536+W701+W636</f>
        <v>1616043</v>
      </c>
      <c r="X703" s="2439">
        <f>IF(U703=0," ",(W703-U703)/U703)</f>
        <v>-1.3299345168134569E-2</v>
      </c>
      <c r="Z703" s="2438">
        <f>Z692+Z643+Z629+Z622+Z616+Z599+Z536+Z701+Z636</f>
        <v>1616043</v>
      </c>
      <c r="AA703" s="2438">
        <f>AA692+AA643+AA629+AA622+AA616+AA599+AA536+AA701+AA636</f>
        <v>1680330</v>
      </c>
      <c r="AC703" s="2441"/>
      <c r="AE703" s="2438">
        <f>AE692+AE643+AE629+AE622+AE616+AE599+AE536+AE701+AE636</f>
        <v>1680330</v>
      </c>
      <c r="AF703" s="2438">
        <f>AF692+AF643+AF629+AF622+AF616+AF599+AF536+AF701+AF636</f>
        <v>1620621.7299999997</v>
      </c>
      <c r="AH703" s="2438">
        <f>AH692+AH643+AH629+AH622+AH616+AH599+AH536+AH701+AH636</f>
        <v>1681980</v>
      </c>
      <c r="AI703" s="2438">
        <f>AI692+AI643+AI629+AI622+AI616+AI599+AI536+AI701+AI636</f>
        <v>47319</v>
      </c>
      <c r="AJ703" s="2438">
        <f>AJ692+AJ643+AJ629+AJ622+AJ616+AJ599+AJ536+AJ701+AJ636</f>
        <v>1727649</v>
      </c>
      <c r="AK703" s="2439">
        <f>IF(AH703=0," ",(AJ703-AH703)/AH703)</f>
        <v>2.7151928084757252E-2</v>
      </c>
      <c r="AM703" s="2438">
        <f>AM692+AM643+AM629+AM622+AM616+AM599+AM536+AM701+AM636</f>
        <v>1725693</v>
      </c>
      <c r="AN703" s="2438">
        <f>AN692+AN643+AN629+AN622+AN616+AN599+AN536+AN701+AN636</f>
        <v>1725693</v>
      </c>
      <c r="AP703" s="2441"/>
      <c r="AR703" s="2438">
        <f>AR692+AR643+AR629+AR622+AR616+AR599+AR536+AR701+AR636</f>
        <v>1726163</v>
      </c>
      <c r="AS703" s="2438">
        <f>AS692+AS643+AS629+AS622+AS616+AS599+AS536+AS701+AS636</f>
        <v>1580816.69</v>
      </c>
      <c r="AT703" s="2438"/>
      <c r="AU703" s="2438">
        <f>AU692+AU643+AU629+AU622+AU616+AU599+AU536+AU701+AU636</f>
        <v>1724420</v>
      </c>
      <c r="AV703" s="2438">
        <f>AV692+AV643+AV629+AV622+AV616+AV599+AV536+AV701+AV636</f>
        <v>1572733.8599999999</v>
      </c>
      <c r="AX703" s="2438">
        <f>AX692+AX643+AX629+AX622+AX616+AX599+AX536+AX701</f>
        <v>1722770</v>
      </c>
      <c r="AY703" s="2438">
        <f>AY692+AY643+AY629+AY622+AY616+AY599+AY536+AY701</f>
        <v>-68066</v>
      </c>
      <c r="AZ703" s="2438">
        <f>AZ692+AZ643+AZ629+AZ622+AZ616+AZ599+AZ536+AZ701</f>
        <v>1654704</v>
      </c>
      <c r="BA703" s="2439">
        <f>IF(AX703=0," ",(AZ703-AX703)/AX703)</f>
        <v>-3.9509626938012618E-2</v>
      </c>
      <c r="BC703" s="2438">
        <f>BC692+BC643+BC629+BC622+BC616+BC599+BC536+BC701</f>
        <v>1654704</v>
      </c>
      <c r="BD703" s="2438">
        <f>BD692+BD643+BD629+BD622+BD616+BD599+BD536+BD701</f>
        <v>1661600</v>
      </c>
      <c r="BF703" s="2443"/>
      <c r="BH703" s="2438">
        <f>BH692+BH643+BH629+BH622+BH616+BH599+BH536+BH701+BH636</f>
        <v>1659650</v>
      </c>
      <c r="BI703" s="2438">
        <f>BI692+BI643+BI629+BI622+BI616+BI599+BI536+BI701+BI636</f>
        <v>1663057.22</v>
      </c>
      <c r="BJ703" s="2438"/>
      <c r="BK703" s="2438"/>
      <c r="BM703" s="2438">
        <f>BM692+BM643+BM629+BM622+BM616+BM599+BM536+BM701</f>
        <v>1658000</v>
      </c>
      <c r="BN703" s="2438">
        <f>BN692+BN643+BN629+BN622+BN616+BN599+BN536+BN701</f>
        <v>8602</v>
      </c>
      <c r="BO703" s="2438">
        <f>BO692+BO643+BO629+BO622+BO616+BO599+BO536+BO701</f>
        <v>1666602</v>
      </c>
      <c r="BP703" s="2439">
        <f>IF(BM703=0," ",(BO703-BM703)/BM703)</f>
        <v>5.1881785283474065E-3</v>
      </c>
      <c r="BR703" s="2438">
        <f>BR692+BR643+BR629+BR622+BR616+BR599+BR536+BR701</f>
        <v>1666602</v>
      </c>
      <c r="BS703" s="2438">
        <f>BS692+BS643+BS629+BS622+BS616+BS599+BS536+BS701</f>
        <v>1716602</v>
      </c>
      <c r="BU703" s="2448"/>
      <c r="BW703" s="2438">
        <f>BW692+BW643+BW629+BW622+BW616+BW599+BW536+BW701+BW636</f>
        <v>1718252</v>
      </c>
      <c r="BX703" s="2438">
        <f>BX692+BX643+BX629+BX622+BX616+BX599+BX536+BX701+BX636</f>
        <v>692433.78999999992</v>
      </c>
      <c r="BZ703" s="2438">
        <f>BZ692+BZ643+BZ629+BZ622+BZ616+BZ599+BZ536+BZ701+BZ636</f>
        <v>1718252</v>
      </c>
      <c r="CA703" s="2438">
        <f>CA692+CA643+CA629+CA622+CA616+CA599+CA536+CA701+CA636</f>
        <v>4383</v>
      </c>
      <c r="CB703" s="2438">
        <f>CB692+CB643+CB629+CB622+CB616+CB599+CB536+CB701+CB636</f>
        <v>1722635</v>
      </c>
      <c r="CC703" s="2439">
        <f>IF(BZ703=0," ",(CB703-BZ703)/BZ703)</f>
        <v>2.5508481875766769E-3</v>
      </c>
      <c r="CE703" s="2438">
        <f>CE692+CE643+CE629+CE622+CE616+CE599+CE536+CE701+CE636</f>
        <v>1728978</v>
      </c>
      <c r="CF703" s="2439">
        <f>IF(CB703=0," ",(CE703-CB703)/CB703)</f>
        <v>3.682149729919571E-3</v>
      </c>
      <c r="CG703" s="2438">
        <f>CG692+CG643+CG629+CG622+CG616+CG599+CG536+CG701+CG636</f>
        <v>1870703</v>
      </c>
      <c r="CH703" s="2449" t="s">
        <v>1602</v>
      </c>
      <c r="CI703" s="2449"/>
      <c r="CJ703" s="2450"/>
      <c r="CK703" s="2450"/>
      <c r="CO703" s="2477">
        <v>2.0529750248545753E-3</v>
      </c>
      <c r="CP703" s="2478">
        <f t="shared" si="332"/>
        <v>3407.2199999999721</v>
      </c>
      <c r="CQ703" s="2478"/>
      <c r="CR703" s="2478"/>
      <c r="CS703" s="2478"/>
      <c r="CT703" s="2478"/>
    </row>
    <row r="704" spans="1:98" ht="20.100000000000001" hidden="1" customHeight="1" x14ac:dyDescent="0.2">
      <c r="A704" s="2605"/>
      <c r="B704" s="2606"/>
      <c r="C704" s="2607"/>
      <c r="D704" s="2607"/>
      <c r="E704" s="2608"/>
      <c r="F704" s="2606"/>
      <c r="G704" s="2606"/>
      <c r="H704" s="2609"/>
      <c r="I704" s="2609"/>
      <c r="J704" s="2609"/>
      <c r="K704" s="2610"/>
      <c r="M704" s="2609"/>
      <c r="N704" s="2609"/>
      <c r="P704" s="2612"/>
      <c r="R704" s="2609"/>
      <c r="S704" s="2609"/>
      <c r="U704" s="2609"/>
      <c r="V704" s="2609"/>
      <c r="W704" s="2609"/>
      <c r="X704" s="2610"/>
      <c r="Z704" s="2609"/>
      <c r="AA704" s="2609"/>
      <c r="AC704" s="2612"/>
      <c r="AE704" s="2609"/>
      <c r="AF704" s="2656"/>
      <c r="AH704" s="2609"/>
      <c r="AI704" s="2609"/>
      <c r="AJ704" s="2609"/>
      <c r="AK704" s="2610"/>
      <c r="AM704" s="2609"/>
      <c r="AN704" s="2609"/>
      <c r="AP704" s="2612"/>
      <c r="AR704" s="2609"/>
      <c r="AS704" s="2609"/>
      <c r="AT704" s="2609"/>
      <c r="AU704" s="2609"/>
      <c r="AV704" s="2609"/>
      <c r="AX704" s="2609"/>
      <c r="AY704" s="2609"/>
      <c r="AZ704" s="2609"/>
      <c r="BA704" s="2610"/>
      <c r="BC704" s="2609"/>
      <c r="BD704" s="2609"/>
      <c r="BF704" s="2551"/>
      <c r="BH704" s="2609"/>
      <c r="BI704" s="2609"/>
      <c r="BJ704" s="2609"/>
      <c r="BK704" s="2609"/>
      <c r="BM704" s="2609"/>
      <c r="BN704" s="2614"/>
      <c r="BO704" s="2553"/>
      <c r="BP704" s="2554"/>
      <c r="BR704" s="2553"/>
      <c r="BS704" s="2553"/>
      <c r="BU704" s="2555"/>
      <c r="BW704" s="2553"/>
      <c r="BX704" s="2609"/>
      <c r="BZ704" s="2553"/>
      <c r="CA704" s="2614"/>
      <c r="CB704" s="2553"/>
      <c r="CC704" s="2554"/>
      <c r="CE704" s="2553"/>
      <c r="CF704" s="2554"/>
      <c r="CG704" s="2553"/>
      <c r="CH704" s="2449" t="s">
        <v>1091</v>
      </c>
      <c r="CI704" s="2449"/>
      <c r="CJ704" s="2450"/>
      <c r="CK704" s="2450"/>
      <c r="CP704" s="2478">
        <f t="shared" si="332"/>
        <v>0</v>
      </c>
      <c r="CQ704" s="2478"/>
      <c r="CR704" s="2478"/>
      <c r="CS704" s="2478"/>
      <c r="CT704" s="2478"/>
    </row>
    <row r="705" spans="1:98" ht="20.25" hidden="1" customHeight="1" x14ac:dyDescent="0.2">
      <c r="A705" s="2434" t="s">
        <v>226</v>
      </c>
      <c r="B705" s="2435"/>
      <c r="C705" s="2436"/>
      <c r="D705" s="2436"/>
      <c r="E705" s="2437"/>
      <c r="F705" s="2435"/>
      <c r="G705" s="2435"/>
      <c r="H705" s="2438"/>
      <c r="I705" s="2438"/>
      <c r="J705" s="2438"/>
      <c r="K705" s="2439"/>
      <c r="M705" s="2438"/>
      <c r="N705" s="2438"/>
      <c r="P705" s="2441"/>
      <c r="R705" s="2438"/>
      <c r="S705" s="2438"/>
      <c r="U705" s="2438"/>
      <c r="V705" s="2438"/>
      <c r="W705" s="2438"/>
      <c r="X705" s="2439"/>
      <c r="Z705" s="2438"/>
      <c r="AA705" s="2438"/>
      <c r="AC705" s="2441"/>
      <c r="AE705" s="2438"/>
      <c r="AF705" s="2442"/>
      <c r="AH705" s="2438"/>
      <c r="AI705" s="2438"/>
      <c r="AJ705" s="2438"/>
      <c r="AK705" s="2439"/>
      <c r="AM705" s="2438"/>
      <c r="AN705" s="2438"/>
      <c r="AP705" s="2441"/>
      <c r="AR705" s="2438"/>
      <c r="AS705" s="2438"/>
      <c r="AT705" s="2438"/>
      <c r="AU705" s="2438"/>
      <c r="AV705" s="2438"/>
      <c r="AX705" s="2438"/>
      <c r="AY705" s="2438"/>
      <c r="AZ705" s="2438"/>
      <c r="BA705" s="2439"/>
      <c r="BC705" s="2438"/>
      <c r="BD705" s="2438"/>
      <c r="BF705" s="2443"/>
      <c r="BH705" s="2438"/>
      <c r="BI705" s="2438"/>
      <c r="BJ705" s="2438"/>
      <c r="BK705" s="2438"/>
      <c r="BM705" s="2438"/>
      <c r="BN705" s="2444"/>
      <c r="BO705" s="2445"/>
      <c r="BP705" s="2446"/>
      <c r="BR705" s="2445"/>
      <c r="BS705" s="2445"/>
      <c r="BU705" s="2448"/>
      <c r="BW705" s="2445"/>
      <c r="BX705" s="2438"/>
      <c r="BZ705" s="2445"/>
      <c r="CA705" s="2444"/>
      <c r="CB705" s="2445"/>
      <c r="CC705" s="2446"/>
      <c r="CE705" s="2445"/>
      <c r="CF705" s="2446"/>
      <c r="CG705" s="2445"/>
      <c r="CH705" s="2449" t="s">
        <v>1212</v>
      </c>
      <c r="CI705" s="2449"/>
      <c r="CJ705" s="2450"/>
      <c r="CK705" s="2450"/>
      <c r="CP705" s="2478">
        <f t="shared" si="332"/>
        <v>0</v>
      </c>
      <c r="CQ705" s="2478"/>
      <c r="CR705" s="2478"/>
      <c r="CS705" s="2478"/>
      <c r="CT705" s="2478"/>
    </row>
    <row r="706" spans="1:98" ht="15.75" hidden="1" x14ac:dyDescent="0.2">
      <c r="A706" s="2453" t="s">
        <v>367</v>
      </c>
      <c r="B706" s="2454"/>
      <c r="C706" s="2455"/>
      <c r="D706" s="2455"/>
      <c r="E706" s="2456"/>
      <c r="F706" s="2454"/>
      <c r="G706" s="2454"/>
      <c r="H706" s="2457"/>
      <c r="I706" s="2457"/>
      <c r="J706" s="2457"/>
      <c r="K706" s="2458"/>
      <c r="M706" s="2457"/>
      <c r="N706" s="2457"/>
      <c r="P706" s="2459"/>
      <c r="R706" s="2457"/>
      <c r="S706" s="2457"/>
      <c r="U706" s="2457"/>
      <c r="V706" s="2457"/>
      <c r="W706" s="2457"/>
      <c r="X706" s="2458"/>
      <c r="Z706" s="2457"/>
      <c r="AA706" s="2457"/>
      <c r="AC706" s="2459"/>
      <c r="AE706" s="2457"/>
      <c r="AF706" s="2460"/>
      <c r="AH706" s="2457"/>
      <c r="AI706" s="2457"/>
      <c r="AJ706" s="2457"/>
      <c r="AK706" s="2458"/>
      <c r="AM706" s="2457"/>
      <c r="AN706" s="2457"/>
      <c r="AP706" s="2459"/>
      <c r="AR706" s="2457"/>
      <c r="AS706" s="2457"/>
      <c r="AT706" s="2457"/>
      <c r="AU706" s="2457"/>
      <c r="AV706" s="2457"/>
      <c r="AX706" s="2457"/>
      <c r="AY706" s="2457"/>
      <c r="AZ706" s="2457"/>
      <c r="BA706" s="2458"/>
      <c r="BC706" s="2457"/>
      <c r="BD706" s="2457"/>
      <c r="BF706" s="2461"/>
      <c r="BH706" s="2457"/>
      <c r="BI706" s="2457"/>
      <c r="BJ706" s="2457"/>
      <c r="BK706" s="2457"/>
      <c r="BM706" s="2457"/>
      <c r="BN706" s="2462"/>
      <c r="BO706" s="2463"/>
      <c r="BP706" s="2464"/>
      <c r="BR706" s="2463"/>
      <c r="BS706" s="2463"/>
      <c r="BU706" s="2465"/>
      <c r="BW706" s="2463"/>
      <c r="BX706" s="2457"/>
      <c r="BZ706" s="2463"/>
      <c r="CA706" s="2462"/>
      <c r="CB706" s="2463"/>
      <c r="CC706" s="2464"/>
      <c r="CE706" s="2463"/>
      <c r="CF706" s="2464"/>
      <c r="CG706" s="2463"/>
      <c r="CH706" s="2449" t="s">
        <v>1212</v>
      </c>
      <c r="CI706" s="2449"/>
      <c r="CJ706" s="2450"/>
      <c r="CK706" s="2450"/>
      <c r="CP706" s="2478">
        <f t="shared" si="332"/>
        <v>0</v>
      </c>
      <c r="CQ706" s="2478"/>
      <c r="CR706" s="2478"/>
      <c r="CS706" s="2478"/>
      <c r="CT706" s="2478"/>
    </row>
    <row r="707" spans="1:98" hidden="1" x14ac:dyDescent="0.2">
      <c r="A707" s="2395">
        <v>512</v>
      </c>
      <c r="B707" s="2440" t="s">
        <v>1214</v>
      </c>
      <c r="C707" s="2396">
        <v>51201</v>
      </c>
      <c r="D707" s="2396">
        <v>51120</v>
      </c>
      <c r="E707" s="2397" t="s">
        <v>59</v>
      </c>
      <c r="F707" s="2440" t="s">
        <v>1214</v>
      </c>
      <c r="G707" s="2440" t="s">
        <v>2118</v>
      </c>
      <c r="H707" s="2466">
        <v>73393</v>
      </c>
      <c r="I707" s="2470">
        <v>1175</v>
      </c>
      <c r="J707" s="2466">
        <f>H707+I707</f>
        <v>74568</v>
      </c>
      <c r="K707" s="2468">
        <f>IF(H707=0," ",(J707-H707)/H707)</f>
        <v>1.6009701197661902E-2</v>
      </c>
      <c r="M707" s="2467">
        <v>74568</v>
      </c>
      <c r="N707" s="2467">
        <v>74568</v>
      </c>
      <c r="P707" s="2469" t="s">
        <v>2119</v>
      </c>
      <c r="R707" s="2466">
        <v>74568</v>
      </c>
      <c r="S707" s="2466">
        <v>74783.100000000006</v>
      </c>
      <c r="U707" s="2466">
        <v>74568</v>
      </c>
      <c r="V707" s="2470">
        <v>1498</v>
      </c>
      <c r="W707" s="2466">
        <f>U707+V707</f>
        <v>76066</v>
      </c>
      <c r="X707" s="2468">
        <f>IF(U707=0," ",(W707-U707)/U707)</f>
        <v>2.0089046239673856E-2</v>
      </c>
      <c r="Z707" s="2467">
        <v>76066</v>
      </c>
      <c r="AA707" s="2467">
        <v>76066</v>
      </c>
      <c r="AC707" s="2469" t="s">
        <v>2120</v>
      </c>
      <c r="AE707" s="2466">
        <v>76066</v>
      </c>
      <c r="AF707" s="2471">
        <v>60559.92</v>
      </c>
      <c r="AH707" s="2466">
        <v>76066</v>
      </c>
      <c r="AI707" s="2470">
        <v>2115</v>
      </c>
      <c r="AJ707" s="2466">
        <f>AH707+AI707</f>
        <v>78181</v>
      </c>
      <c r="AK707" s="2468">
        <f>IF(AH707=0," ",(AJ707-AH707)/AH707)</f>
        <v>2.7804801093786975E-2</v>
      </c>
      <c r="AM707" s="2467">
        <v>78181</v>
      </c>
      <c r="AN707" s="2467">
        <v>78181</v>
      </c>
      <c r="AP707" s="2469" t="s">
        <v>2121</v>
      </c>
      <c r="AR707" s="2466">
        <v>78181</v>
      </c>
      <c r="AS707" s="2466">
        <v>61300.94</v>
      </c>
      <c r="AT707" s="2466"/>
      <c r="AU707" s="2466">
        <v>68028</v>
      </c>
      <c r="AV707" s="2466">
        <v>68027.039999999994</v>
      </c>
      <c r="AX707" s="2466">
        <v>68028</v>
      </c>
      <c r="AY707" s="2470">
        <v>1357</v>
      </c>
      <c r="AZ707" s="2466">
        <f>AX707+AY707</f>
        <v>69385</v>
      </c>
      <c r="BA707" s="2468">
        <f>IF(AX707=0," ",(AZ707-AX707)/AX707)</f>
        <v>1.994766860704416E-2</v>
      </c>
      <c r="BC707" s="2467">
        <v>69385</v>
      </c>
      <c r="BD707" s="2467">
        <v>69385</v>
      </c>
      <c r="BF707" s="2511" t="s">
        <v>2122</v>
      </c>
      <c r="BH707" s="2467">
        <v>69385</v>
      </c>
      <c r="BI707" s="2466">
        <v>69385</v>
      </c>
      <c r="BM707" s="2466">
        <v>69385</v>
      </c>
      <c r="BN707" s="2470">
        <v>1378</v>
      </c>
      <c r="BO707" s="2472">
        <f>BM707+BN707</f>
        <v>70763</v>
      </c>
      <c r="BP707" s="2473">
        <f>IF(BM707=0," ",(BO707-BM707)/BM707)</f>
        <v>1.9860200331483752E-2</v>
      </c>
      <c r="BR707" s="2474">
        <v>70763</v>
      </c>
      <c r="BS707" s="2474">
        <v>70763</v>
      </c>
      <c r="BU707" s="2475" t="s">
        <v>2123</v>
      </c>
      <c r="BW707" s="2474">
        <v>70763</v>
      </c>
      <c r="BX707" s="2466">
        <v>29442.95</v>
      </c>
      <c r="BZ707" s="2474">
        <v>70763</v>
      </c>
      <c r="CA707" s="2470">
        <v>-271</v>
      </c>
      <c r="CB707" s="2472">
        <f>BZ707+CA707</f>
        <v>70492</v>
      </c>
      <c r="CC707" s="2473">
        <f>IF(BZ707=0," ",(CB707-BZ707)/BZ707)</f>
        <v>-3.8296850048754293E-3</v>
      </c>
      <c r="CE707" s="2474">
        <v>75941</v>
      </c>
      <c r="CF707" s="2476">
        <f>IF(CB707=0," ",(CE707-CB707)/CB707)</f>
        <v>7.7299551722181239E-2</v>
      </c>
      <c r="CG707" s="2572">
        <v>74187</v>
      </c>
      <c r="CH707" s="2449" t="s">
        <v>1217</v>
      </c>
      <c r="CI707" s="2449"/>
      <c r="CJ707" s="2450"/>
      <c r="CK707" s="2450"/>
      <c r="CO707" s="2477">
        <v>0</v>
      </c>
      <c r="CP707" s="2478">
        <f t="shared" si="332"/>
        <v>0</v>
      </c>
      <c r="CQ707" s="2478"/>
      <c r="CR707" s="2478"/>
      <c r="CS707" s="2478"/>
      <c r="CT707" s="2478"/>
    </row>
    <row r="708" spans="1:98" hidden="1" x14ac:dyDescent="0.2">
      <c r="A708" s="2513">
        <v>512</v>
      </c>
      <c r="B708" s="2514" t="s">
        <v>1214</v>
      </c>
      <c r="C708" s="2515">
        <v>51201</v>
      </c>
      <c r="D708" s="2515">
        <v>51490</v>
      </c>
      <c r="E708" s="2516" t="s">
        <v>59</v>
      </c>
      <c r="F708" s="2514" t="s">
        <v>1214</v>
      </c>
      <c r="G708" s="2514" t="s">
        <v>2124</v>
      </c>
      <c r="I708" s="2523">
        <v>750</v>
      </c>
      <c r="J708" s="2466">
        <f>H708+I708</f>
        <v>750</v>
      </c>
      <c r="K708" s="2468" t="str">
        <f>IF(H708=0," ",(J708-H708)/H708)</f>
        <v xml:space="preserve"> </v>
      </c>
      <c r="M708" s="2520">
        <v>750</v>
      </c>
      <c r="N708" s="2520">
        <v>750</v>
      </c>
      <c r="P708" s="2522" t="s">
        <v>2125</v>
      </c>
      <c r="R708" s="2519">
        <v>750</v>
      </c>
      <c r="S708" s="2519">
        <v>750</v>
      </c>
      <c r="U708" s="2519">
        <v>750</v>
      </c>
      <c r="V708" s="2523"/>
      <c r="W708" s="2466">
        <f>U708+V708</f>
        <v>750</v>
      </c>
      <c r="X708" s="2468">
        <f>IF(U708=0," ",(W708-U708)/U708)</f>
        <v>0</v>
      </c>
      <c r="Z708" s="2520">
        <v>750</v>
      </c>
      <c r="AA708" s="2520">
        <v>750</v>
      </c>
      <c r="AC708" s="2522"/>
      <c r="AE708" s="2519">
        <v>750</v>
      </c>
      <c r="AF708" s="2524">
        <v>750</v>
      </c>
      <c r="AH708" s="2519">
        <v>750</v>
      </c>
      <c r="AI708" s="2523"/>
      <c r="AJ708" s="2466">
        <f>AH708+AI708</f>
        <v>750</v>
      </c>
      <c r="AK708" s="2468">
        <f>IF(AH708=0," ",(AJ708-AH708)/AH708)</f>
        <v>0</v>
      </c>
      <c r="AM708" s="2467">
        <v>750</v>
      </c>
      <c r="AN708" s="2467">
        <v>750</v>
      </c>
      <c r="AP708" s="2522"/>
      <c r="AR708" s="2466">
        <v>750</v>
      </c>
      <c r="AS708" s="2466">
        <v>0</v>
      </c>
      <c r="AT708" s="2466"/>
      <c r="AU708" s="2466">
        <v>0</v>
      </c>
      <c r="AX708" s="2466">
        <v>0</v>
      </c>
      <c r="AY708" s="2523"/>
      <c r="AZ708" s="2466">
        <f>AX708+AY708</f>
        <v>0</v>
      </c>
      <c r="BA708" s="2468" t="str">
        <f>IF(AX708=0," ",(AZ708-AX708)/AX708)</f>
        <v xml:space="preserve"> </v>
      </c>
      <c r="BC708" s="2467">
        <v>0</v>
      </c>
      <c r="BD708" s="2467">
        <v>0</v>
      </c>
      <c r="BF708" s="2522"/>
      <c r="BH708" s="2467">
        <v>0</v>
      </c>
      <c r="BI708" s="2519"/>
      <c r="BM708" s="2466">
        <v>0</v>
      </c>
      <c r="BN708" s="2523"/>
      <c r="BO708" s="2472">
        <f>BM708+BN708</f>
        <v>0</v>
      </c>
      <c r="BP708" s="2473" t="str">
        <f>IF(BM708=0," ",(BO708-BM708)/BM708)</f>
        <v xml:space="preserve"> </v>
      </c>
      <c r="BR708" s="2474">
        <v>0</v>
      </c>
      <c r="BS708" s="2474">
        <v>0</v>
      </c>
      <c r="BU708" s="2528"/>
      <c r="BW708" s="2474">
        <v>0</v>
      </c>
      <c r="BX708" s="2519"/>
      <c r="BZ708" s="2474">
        <v>0</v>
      </c>
      <c r="CA708" s="2523"/>
      <c r="CB708" s="2472">
        <f>BZ708+CA708</f>
        <v>0</v>
      </c>
      <c r="CC708" s="2473" t="str">
        <f>IF(BZ708=0," ",(CB708-BZ708)/BZ708)</f>
        <v xml:space="preserve"> </v>
      </c>
      <c r="CE708" s="2474">
        <v>0</v>
      </c>
      <c r="CF708" s="2476" t="str">
        <f>IF(CB708=0," ",(CE708-CB708)/CB708)</f>
        <v xml:space="preserve"> </v>
      </c>
      <c r="CG708" s="2474">
        <v>0</v>
      </c>
      <c r="CH708" s="2449" t="s">
        <v>1217</v>
      </c>
      <c r="CI708" s="2449"/>
      <c r="CJ708" s="2450" t="s">
        <v>1239</v>
      </c>
      <c r="CK708" s="2518">
        <f t="shared" ref="CK708" si="371">-CG708</f>
        <v>0</v>
      </c>
      <c r="CP708" s="2478">
        <f t="shared" si="332"/>
        <v>0</v>
      </c>
      <c r="CQ708" s="2478"/>
      <c r="CR708" s="2478"/>
      <c r="CS708" s="2478"/>
      <c r="CT708" s="2478"/>
    </row>
    <row r="709" spans="1:98" hidden="1" x14ac:dyDescent="0.2">
      <c r="H709" s="2560">
        <f>SUM(H707:H708)</f>
        <v>73393</v>
      </c>
      <c r="I709" s="2560">
        <f>SUM(I707:I708)</f>
        <v>1925</v>
      </c>
      <c r="J709" s="2560">
        <f>SUM(J707:J708)</f>
        <v>75318</v>
      </c>
      <c r="K709" s="2561">
        <f>IF(H709=0," ",(J709-H709)/H709)</f>
        <v>2.6228659408935456E-2</v>
      </c>
      <c r="M709" s="2560">
        <f>SUM(M707:M708)</f>
        <v>75318</v>
      </c>
      <c r="N709" s="2560">
        <f>SUM(N707:N708)</f>
        <v>75318</v>
      </c>
      <c r="P709" s="2562">
        <f>SUM(P708)</f>
        <v>0</v>
      </c>
      <c r="R709" s="2560">
        <f>SUM(R707:R708)</f>
        <v>75318</v>
      </c>
      <c r="S709" s="2560">
        <f>SUM(S707:S708)</f>
        <v>75533.100000000006</v>
      </c>
      <c r="U709" s="2560">
        <f>SUM(U707:U708)</f>
        <v>75318</v>
      </c>
      <c r="V709" s="2560">
        <f>SUM(V707:V708)</f>
        <v>1498</v>
      </c>
      <c r="W709" s="2560">
        <f>SUM(W707:W708)</f>
        <v>76816</v>
      </c>
      <c r="X709" s="2561">
        <f>IF(U709=0," ",(W709-U709)/U709)</f>
        <v>1.988900395655753E-2</v>
      </c>
      <c r="Z709" s="2560">
        <f>SUM(Z707:Z708)</f>
        <v>76816</v>
      </c>
      <c r="AA709" s="2560">
        <f>SUM(AA707:AA708)</f>
        <v>76816</v>
      </c>
      <c r="AC709" s="2562"/>
      <c r="AE709" s="2560">
        <f>SUM(AE707:AE708)</f>
        <v>76816</v>
      </c>
      <c r="AF709" s="2563">
        <f>SUM(AF707:AF708)</f>
        <v>61309.919999999998</v>
      </c>
      <c r="AH709" s="2560">
        <v>76816</v>
      </c>
      <c r="AI709" s="2560">
        <f>SUM(AI707:AI708)</f>
        <v>2115</v>
      </c>
      <c r="AJ709" s="2560">
        <f>SUM(AJ707:AJ708)</f>
        <v>78931</v>
      </c>
      <c r="AK709" s="2561">
        <f>IF(AH709=0," ",(AJ709-AH709)/AH709)</f>
        <v>2.7533326390335348E-2</v>
      </c>
      <c r="AM709" s="2560">
        <f>SUM(AM707:AM708)</f>
        <v>78931</v>
      </c>
      <c r="AN709" s="2560">
        <f>SUM(AN707:AN708)</f>
        <v>78931</v>
      </c>
      <c r="AP709" s="2562"/>
      <c r="AR709" s="2560">
        <f>SUM(AR707:AR708)</f>
        <v>78931</v>
      </c>
      <c r="AS709" s="2560">
        <f>SUM(AS707:AS708)</f>
        <v>61300.94</v>
      </c>
      <c r="AT709" s="2560"/>
      <c r="AU709" s="2560">
        <f>SUM(AU707:AU708)</f>
        <v>68028</v>
      </c>
      <c r="AV709" s="2560">
        <f>SUM(AV707:AV708)</f>
        <v>68027.039999999994</v>
      </c>
      <c r="AX709" s="2560">
        <f>SUM(AX707:AX708)</f>
        <v>68028</v>
      </c>
      <c r="AY709" s="2560">
        <f>SUM(AY707:AY708)</f>
        <v>1357</v>
      </c>
      <c r="AZ709" s="2560">
        <f>SUM(AZ707:AZ708)</f>
        <v>69385</v>
      </c>
      <c r="BA709" s="2561">
        <f>IF(AX709=0," ",(AZ709-AX709)/AX709)</f>
        <v>1.994766860704416E-2</v>
      </c>
      <c r="BC709" s="2560">
        <f>SUM(BC707:BC708)</f>
        <v>69385</v>
      </c>
      <c r="BD709" s="2560">
        <f>SUM(BD707:BD708)</f>
        <v>69385</v>
      </c>
      <c r="BF709" s="2562"/>
      <c r="BH709" s="2560">
        <f>SUM(BH707:BH708)</f>
        <v>69385</v>
      </c>
      <c r="BI709" s="2560">
        <f>SUM(BI707:BI708)</f>
        <v>69385</v>
      </c>
      <c r="BM709" s="2560">
        <f>SUM(BM707:BM708)</f>
        <v>69385</v>
      </c>
      <c r="BN709" s="2560">
        <f>SUM(BN707:BN708)</f>
        <v>1378</v>
      </c>
      <c r="BO709" s="2564">
        <f>SUM(BO707:BO708)</f>
        <v>70763</v>
      </c>
      <c r="BP709" s="2565">
        <f>IF(BM709=0," ",(BO709-BM709)/BM709)</f>
        <v>1.9860200331483752E-2</v>
      </c>
      <c r="BR709" s="2564">
        <f>SUM(BR707:BR708)</f>
        <v>70763</v>
      </c>
      <c r="BS709" s="2564">
        <f>SUM(BS707:BS708)</f>
        <v>70763</v>
      </c>
      <c r="BU709" s="2566"/>
      <c r="BW709" s="2564">
        <f>SUM(BW707:BW708)</f>
        <v>70763</v>
      </c>
      <c r="BX709" s="2560">
        <f>SUM(BX707:BX708)</f>
        <v>29442.95</v>
      </c>
      <c r="BZ709" s="2564">
        <f>SUM(BZ707:BZ708)</f>
        <v>70763</v>
      </c>
      <c r="CA709" s="2564">
        <f>SUM(CA707:CA708)</f>
        <v>-271</v>
      </c>
      <c r="CB709" s="2564">
        <f>SUM(CB707:CB708)</f>
        <v>70492</v>
      </c>
      <c r="CC709" s="2565">
        <f>IF(BZ709=0," ",(CB709-BZ709)/BZ709)</f>
        <v>-3.8296850048754293E-3</v>
      </c>
      <c r="CE709" s="2564">
        <f>SUM(CE707:CE708)</f>
        <v>75941</v>
      </c>
      <c r="CF709" s="2565">
        <f>IF(CB709=0," ",(CE709-CB709)/CB709)</f>
        <v>7.7299551722181239E-2</v>
      </c>
      <c r="CG709" s="2564">
        <f>SUM(CG707:CG708)</f>
        <v>74187</v>
      </c>
      <c r="CH709" s="2449" t="s">
        <v>1243</v>
      </c>
      <c r="CI709" s="2449"/>
      <c r="CJ709" s="2450"/>
      <c r="CK709" s="2450"/>
      <c r="CO709" s="2477">
        <v>0</v>
      </c>
      <c r="CP709" s="2478">
        <f t="shared" si="332"/>
        <v>0</v>
      </c>
      <c r="CQ709" s="2478"/>
      <c r="CR709" s="2478"/>
      <c r="CS709" s="2478"/>
      <c r="CT709" s="2478"/>
    </row>
    <row r="710" spans="1:98" hidden="1" x14ac:dyDescent="0.2">
      <c r="AS710" s="2466"/>
      <c r="AT710" s="2466"/>
      <c r="BZ710" s="2472"/>
      <c r="CH710" s="2449" t="s">
        <v>1091</v>
      </c>
      <c r="CI710" s="2449"/>
      <c r="CJ710" s="2450"/>
      <c r="CK710" s="2450"/>
      <c r="CP710" s="2478">
        <f t="shared" ref="CP710:CP773" si="372">IFERROR(BI710-BH710,"")</f>
        <v>0</v>
      </c>
      <c r="CQ710" s="2478"/>
      <c r="CR710" s="2478"/>
      <c r="CS710" s="2478"/>
      <c r="CT710" s="2478"/>
    </row>
    <row r="711" spans="1:98" hidden="1" x14ac:dyDescent="0.2">
      <c r="A711" s="2395">
        <v>512</v>
      </c>
      <c r="B711" s="2440" t="s">
        <v>1214</v>
      </c>
      <c r="C711" s="2396">
        <v>51202</v>
      </c>
      <c r="D711" s="2396">
        <v>51140</v>
      </c>
      <c r="E711" s="2397" t="s">
        <v>319</v>
      </c>
      <c r="F711" s="2440" t="s">
        <v>1214</v>
      </c>
      <c r="G711" s="2440" t="s">
        <v>2126</v>
      </c>
      <c r="H711" s="2466">
        <v>19478</v>
      </c>
      <c r="I711" s="2470"/>
      <c r="J711" s="2466">
        <f>H711+I711</f>
        <v>19478</v>
      </c>
      <c r="K711" s="2468">
        <f>IF(H711=0," ",(J711-H711)/H711)</f>
        <v>0</v>
      </c>
      <c r="M711" s="2467">
        <v>19478</v>
      </c>
      <c r="N711" s="2467">
        <v>19478</v>
      </c>
      <c r="P711" s="2469" t="s">
        <v>2127</v>
      </c>
      <c r="R711" s="2466">
        <v>19478</v>
      </c>
      <c r="S711" s="2466">
        <v>17757.87</v>
      </c>
      <c r="U711" s="2466">
        <v>19478</v>
      </c>
      <c r="V711" s="2470">
        <v>2852</v>
      </c>
      <c r="W711" s="2466">
        <f>U711+V711</f>
        <v>22330</v>
      </c>
      <c r="X711" s="2468">
        <f>IF(U711=0," ",(W711-U711)/U711)</f>
        <v>0.146421603860766</v>
      </c>
      <c r="Z711" s="2467">
        <v>22330</v>
      </c>
      <c r="AA711" s="2467">
        <v>22330</v>
      </c>
      <c r="AC711" s="2469" t="s">
        <v>2128</v>
      </c>
      <c r="AE711" s="2466">
        <v>22330</v>
      </c>
      <c r="AF711" s="2471">
        <v>23549.63</v>
      </c>
      <c r="AH711" s="2466">
        <v>22330</v>
      </c>
      <c r="AI711" s="2470">
        <v>1910</v>
      </c>
      <c r="AJ711" s="2466">
        <f>AH711+AI711</f>
        <v>24240</v>
      </c>
      <c r="AK711" s="2468">
        <f>IF(AH711=0," ",(AJ711-AH711)/AH711)</f>
        <v>8.5535154500671742E-2</v>
      </c>
      <c r="AM711" s="2467">
        <v>24240</v>
      </c>
      <c r="AN711" s="2467">
        <v>24240</v>
      </c>
      <c r="AP711" s="2469" t="s">
        <v>2129</v>
      </c>
      <c r="AR711" s="2466">
        <v>24240</v>
      </c>
      <c r="AS711" s="2466">
        <v>24443.82</v>
      </c>
      <c r="AT711" s="2466"/>
      <c r="AU711" s="2466">
        <v>24786</v>
      </c>
      <c r="AV711" s="2466">
        <v>24785.98</v>
      </c>
      <c r="AX711" s="2466">
        <v>24786</v>
      </c>
      <c r="AY711" s="2470">
        <v>505</v>
      </c>
      <c r="AZ711" s="2466">
        <f>AX711+AY711</f>
        <v>25291</v>
      </c>
      <c r="BA711" s="2468">
        <f>IF(AX711=0," ",(AZ711-AX711)/AX711)</f>
        <v>2.0374404905995319E-2</v>
      </c>
      <c r="BC711" s="2467">
        <v>25291</v>
      </c>
      <c r="BD711" s="2467">
        <f>25291+2977</f>
        <v>28268</v>
      </c>
      <c r="BF711" s="2531" t="s">
        <v>2130</v>
      </c>
      <c r="BH711" s="2467">
        <f>25291+2977</f>
        <v>28268</v>
      </c>
      <c r="BI711" s="2466">
        <v>28209.439999999999</v>
      </c>
      <c r="BM711" s="2466">
        <f>25291+2977</f>
        <v>28268</v>
      </c>
      <c r="BN711" s="2470">
        <v>455</v>
      </c>
      <c r="BO711" s="2472">
        <f>BM711+BN711</f>
        <v>28723</v>
      </c>
      <c r="BP711" s="2473">
        <f>IF(BM711=0," ",(BO711-BM711)/BM711)</f>
        <v>1.6095938870807982E-2</v>
      </c>
      <c r="BR711" s="2474">
        <v>28723</v>
      </c>
      <c r="BS711" s="2474">
        <v>28723</v>
      </c>
      <c r="BU711" s="2475" t="s">
        <v>2131</v>
      </c>
      <c r="BW711" s="2474">
        <v>28723</v>
      </c>
      <c r="BX711" s="2466">
        <v>13849.59</v>
      </c>
      <c r="BZ711" s="2474">
        <v>28723</v>
      </c>
      <c r="CA711" s="2470">
        <v>-21</v>
      </c>
      <c r="CB711" s="2472">
        <f>BZ711+CA711</f>
        <v>28702</v>
      </c>
      <c r="CC711" s="2473">
        <f>IF(BZ711=0," ",(CB711-BZ711)/BZ711)</f>
        <v>-7.3112140096786551E-4</v>
      </c>
      <c r="CE711" s="2474">
        <v>29275</v>
      </c>
      <c r="CF711" s="2476">
        <f>IF(CB711=0," ",(CE711-CB711)/CB711)</f>
        <v>1.9963765591247996E-2</v>
      </c>
      <c r="CG711" s="2474">
        <v>29275</v>
      </c>
      <c r="CH711" s="2449" t="s">
        <v>1217</v>
      </c>
      <c r="CI711" s="2449"/>
      <c r="CJ711" s="2450"/>
      <c r="CK711" s="2450"/>
      <c r="CO711" s="2477">
        <v>-2.0716003962077956E-3</v>
      </c>
      <c r="CP711" s="2478">
        <f t="shared" si="372"/>
        <v>-58.56000000000131</v>
      </c>
      <c r="CQ711" s="2478"/>
      <c r="CR711" s="2478"/>
      <c r="CS711" s="2478"/>
      <c r="CT711" s="2478"/>
    </row>
    <row r="712" spans="1:98" hidden="1" x14ac:dyDescent="0.2">
      <c r="A712" s="2395">
        <v>512</v>
      </c>
      <c r="B712" s="2440" t="s">
        <v>1214</v>
      </c>
      <c r="C712" s="2396">
        <v>51202</v>
      </c>
      <c r="D712" s="2396">
        <v>51142</v>
      </c>
      <c r="E712" s="2397" t="s">
        <v>319</v>
      </c>
      <c r="F712" s="2440" t="s">
        <v>1214</v>
      </c>
      <c r="G712" s="2440" t="s">
        <v>2132</v>
      </c>
      <c r="H712" s="2466">
        <v>1326</v>
      </c>
      <c r="I712" s="2470">
        <v>-1326</v>
      </c>
      <c r="J712" s="2466">
        <f>H712+I712</f>
        <v>0</v>
      </c>
      <c r="K712" s="2468">
        <f>IF(H712=0," ",(J712-H712)/H712)</f>
        <v>-1</v>
      </c>
      <c r="M712" s="2467">
        <v>0</v>
      </c>
      <c r="N712" s="2467">
        <v>0</v>
      </c>
      <c r="P712" s="2626" t="s">
        <v>2133</v>
      </c>
      <c r="R712" s="2466">
        <v>0</v>
      </c>
      <c r="S712" s="2466">
        <v>0</v>
      </c>
      <c r="U712" s="2466">
        <v>0</v>
      </c>
      <c r="V712" s="2470"/>
      <c r="W712" s="2466">
        <f>U712+V712</f>
        <v>0</v>
      </c>
      <c r="X712" s="2468" t="str">
        <f>IF(U712=0," ",(W712-U712)/U712)</f>
        <v xml:space="preserve"> </v>
      </c>
      <c r="Z712" s="2467">
        <v>0</v>
      </c>
      <c r="AA712" s="2467">
        <v>0</v>
      </c>
      <c r="AC712" s="2626"/>
      <c r="AE712" s="2466">
        <v>0</v>
      </c>
      <c r="AF712" s="2471">
        <v>0</v>
      </c>
      <c r="AH712" s="2466">
        <v>0</v>
      </c>
      <c r="AI712" s="2470"/>
      <c r="AJ712" s="2466">
        <f>AH712+AI712</f>
        <v>0</v>
      </c>
      <c r="AK712" s="2468" t="str">
        <f>IF(AH712=0," ",(AJ712-AH712)/AH712)</f>
        <v xml:space="preserve"> </v>
      </c>
      <c r="AM712" s="2467">
        <v>0</v>
      </c>
      <c r="AN712" s="2467">
        <v>0</v>
      </c>
      <c r="AP712" s="2626"/>
      <c r="AR712" s="2466">
        <v>0</v>
      </c>
      <c r="AS712" s="2466"/>
      <c r="AT712" s="2466"/>
      <c r="AY712" s="2470"/>
      <c r="AZ712" s="2466">
        <f>AX712+AY712</f>
        <v>0</v>
      </c>
      <c r="BA712" s="2468" t="str">
        <f>IF(AX712=0," ",(AZ712-AX712)/AX712)</f>
        <v xml:space="preserve"> </v>
      </c>
      <c r="BC712" s="2467">
        <v>0</v>
      </c>
      <c r="BD712" s="2467">
        <v>0</v>
      </c>
      <c r="BF712" s="2626"/>
      <c r="BH712" s="2467">
        <v>0</v>
      </c>
      <c r="BM712" s="2466">
        <v>0</v>
      </c>
      <c r="BN712" s="2470"/>
      <c r="BO712" s="2472">
        <f>BM712+BN712</f>
        <v>0</v>
      </c>
      <c r="BP712" s="2473" t="str">
        <f>IF(BM712=0," ",(BO712-BM712)/BM712)</f>
        <v xml:space="preserve"> </v>
      </c>
      <c r="BR712" s="2474">
        <v>0</v>
      </c>
      <c r="BS712" s="2474">
        <v>0</v>
      </c>
      <c r="BU712" s="2629"/>
      <c r="BW712" s="2474">
        <v>0</v>
      </c>
      <c r="BZ712" s="2474">
        <v>0</v>
      </c>
      <c r="CA712" s="2470"/>
      <c r="CB712" s="2472">
        <f>BZ712+CA712</f>
        <v>0</v>
      </c>
      <c r="CC712" s="2473" t="str">
        <f>IF(BZ712=0," ",(CB712-BZ712)/BZ712)</f>
        <v xml:space="preserve"> </v>
      </c>
      <c r="CE712" s="2474">
        <v>0</v>
      </c>
      <c r="CF712" s="2473" t="str">
        <f>IF(CB712=0," ",(CE712-CB712)/CB712)</f>
        <v xml:space="preserve"> </v>
      </c>
      <c r="CG712" s="2474">
        <v>0</v>
      </c>
      <c r="CH712" s="2449" t="s">
        <v>1217</v>
      </c>
      <c r="CI712" s="2449"/>
      <c r="CJ712" s="2450"/>
      <c r="CK712" s="2450"/>
      <c r="CP712" s="2478">
        <f t="shared" si="372"/>
        <v>0</v>
      </c>
      <c r="CQ712" s="2478"/>
      <c r="CR712" s="2478"/>
      <c r="CS712" s="2478"/>
      <c r="CT712" s="2478"/>
    </row>
    <row r="713" spans="1:98" hidden="1" x14ac:dyDescent="0.2">
      <c r="A713" s="2395">
        <v>512</v>
      </c>
      <c r="B713" s="2440" t="s">
        <v>1214</v>
      </c>
      <c r="C713" s="2396">
        <v>51202</v>
      </c>
      <c r="D713" s="2396">
        <v>51143</v>
      </c>
      <c r="E713" s="2397" t="s">
        <v>319</v>
      </c>
      <c r="F713" s="2440" t="s">
        <v>1214</v>
      </c>
      <c r="G713" s="2440" t="s">
        <v>2134</v>
      </c>
      <c r="H713" s="2466">
        <v>928</v>
      </c>
      <c r="I713" s="2523"/>
      <c r="J713" s="2466">
        <f>H713+I713</f>
        <v>928</v>
      </c>
      <c r="K713" s="2468">
        <f>IF(H713=0," ",(J713-H713)/H713)</f>
        <v>0</v>
      </c>
      <c r="M713" s="2520">
        <v>928</v>
      </c>
      <c r="N713" s="2520">
        <v>928</v>
      </c>
      <c r="P713" s="2522"/>
      <c r="R713" s="2519">
        <v>928</v>
      </c>
      <c r="S713" s="2519">
        <v>0</v>
      </c>
      <c r="U713" s="2519">
        <v>928</v>
      </c>
      <c r="V713" s="2523">
        <v>-928</v>
      </c>
      <c r="W713" s="2466">
        <f>U713+V713</f>
        <v>0</v>
      </c>
      <c r="X713" s="2468">
        <f>IF(U713=0," ",(W713-U713)/U713)</f>
        <v>-1</v>
      </c>
      <c r="Z713" s="2520">
        <v>0</v>
      </c>
      <c r="AA713" s="2520">
        <v>0</v>
      </c>
      <c r="AC713" s="2522"/>
      <c r="AE713" s="2519">
        <v>0</v>
      </c>
      <c r="AF713" s="2524">
        <v>0</v>
      </c>
      <c r="AH713" s="2519">
        <v>0</v>
      </c>
      <c r="AI713" s="2523"/>
      <c r="AJ713" s="2466">
        <f>AH713+AI713</f>
        <v>0</v>
      </c>
      <c r="AK713" s="2468" t="str">
        <f>IF(AH713=0," ",(AJ713-AH713)/AH713)</f>
        <v xml:space="preserve"> </v>
      </c>
      <c r="AM713" s="2467">
        <v>0</v>
      </c>
      <c r="AN713" s="2467">
        <v>0</v>
      </c>
      <c r="AP713" s="2522"/>
      <c r="AR713" s="2466">
        <v>0</v>
      </c>
      <c r="AS713" s="2466">
        <v>726.3</v>
      </c>
      <c r="AT713" s="2466"/>
      <c r="AV713" s="2466">
        <v>245.58</v>
      </c>
      <c r="AY713" s="2523"/>
      <c r="AZ713" s="2466">
        <f>AX713+AY713</f>
        <v>0</v>
      </c>
      <c r="BA713" s="2468" t="str">
        <f>IF(AX713=0," ",(AZ713-AX713)/AX713)</f>
        <v xml:space="preserve"> </v>
      </c>
      <c r="BC713" s="2467">
        <v>0</v>
      </c>
      <c r="BD713" s="2467"/>
      <c r="BF713" s="2655" t="s">
        <v>2135</v>
      </c>
      <c r="BH713" s="2467">
        <v>1000</v>
      </c>
      <c r="BI713" s="2466">
        <v>730.59</v>
      </c>
      <c r="BM713" s="2466">
        <v>1000</v>
      </c>
      <c r="BN713" s="2470">
        <v>20</v>
      </c>
      <c r="BO713" s="2472">
        <f>BM713+BN713</f>
        <v>1020</v>
      </c>
      <c r="BP713" s="2473">
        <f>IF(BM713=0," ",(BO713-BM713)/BM713)</f>
        <v>0.02</v>
      </c>
      <c r="BR713" s="2474">
        <v>1020</v>
      </c>
      <c r="BS713" s="2474">
        <v>1020</v>
      </c>
      <c r="BU713" s="2475" t="s">
        <v>2136</v>
      </c>
      <c r="BW713" s="2474">
        <v>1020</v>
      </c>
      <c r="BX713" s="2466">
        <v>391.68</v>
      </c>
      <c r="BZ713" s="2474">
        <v>1020</v>
      </c>
      <c r="CA713" s="2470">
        <v>26</v>
      </c>
      <c r="CB713" s="2472">
        <f>BZ713+CA713</f>
        <v>1046</v>
      </c>
      <c r="CC713" s="2473">
        <f>IF(BZ713=0," ",(CB713-BZ713)/BZ713)</f>
        <v>2.5490196078431372E-2</v>
      </c>
      <c r="CE713" s="2474">
        <v>1067</v>
      </c>
      <c r="CF713" s="2476">
        <f>IF(CB713=0," ",(CE713-CB713)/CB713)</f>
        <v>2.0076481835564052E-2</v>
      </c>
      <c r="CG713" s="2474">
        <v>1067</v>
      </c>
      <c r="CH713" s="2449" t="s">
        <v>1217</v>
      </c>
      <c r="CI713" s="2449"/>
      <c r="CJ713" s="2450"/>
      <c r="CK713" s="2450"/>
      <c r="CO713" s="2477">
        <v>-0.26940999999999993</v>
      </c>
      <c r="CP713" s="2478">
        <f t="shared" si="372"/>
        <v>-269.40999999999997</v>
      </c>
      <c r="CQ713" s="2478"/>
      <c r="CR713" s="2478"/>
      <c r="CS713" s="2478"/>
      <c r="CT713" s="2478"/>
    </row>
    <row r="714" spans="1:98" hidden="1" x14ac:dyDescent="0.2">
      <c r="A714" s="2513">
        <v>512</v>
      </c>
      <c r="B714" s="2514" t="s">
        <v>1214</v>
      </c>
      <c r="C714" s="2515">
        <v>51202</v>
      </c>
      <c r="D714" s="2515">
        <v>51490</v>
      </c>
      <c r="E714" s="2516" t="s">
        <v>319</v>
      </c>
      <c r="F714" s="2514" t="s">
        <v>1214</v>
      </c>
      <c r="G714" s="2514" t="s">
        <v>2137</v>
      </c>
      <c r="I714" s="2470"/>
      <c r="M714" s="2467"/>
      <c r="N714" s="2467"/>
      <c r="P714" s="2469"/>
      <c r="V714" s="2470"/>
      <c r="Z714" s="2467"/>
      <c r="AA714" s="2467"/>
      <c r="AC714" s="2469"/>
      <c r="AI714" s="2470"/>
      <c r="AM714" s="2467"/>
      <c r="AN714" s="2467"/>
      <c r="AP714" s="2469"/>
      <c r="AS714" s="2466"/>
      <c r="AT714" s="2466"/>
      <c r="AY714" s="2470"/>
      <c r="BC714" s="2467"/>
      <c r="BD714" s="2467"/>
      <c r="BF714" s="2655"/>
      <c r="BH714" s="2467"/>
      <c r="BN714" s="2470"/>
      <c r="BR714" s="2474"/>
      <c r="BS714" s="2474"/>
      <c r="BU714" s="2475"/>
      <c r="BW714" s="2474"/>
      <c r="BZ714" s="2474"/>
      <c r="CA714" s="2470"/>
      <c r="CE714" s="2517">
        <v>190</v>
      </c>
      <c r="CF714" s="2476"/>
      <c r="CG714" s="2517">
        <v>190</v>
      </c>
      <c r="CH714" s="2449" t="s">
        <v>1217</v>
      </c>
      <c r="CI714" s="2449"/>
      <c r="CJ714" s="2450" t="s">
        <v>1239</v>
      </c>
      <c r="CK714" s="2518">
        <f t="shared" ref="CK714" si="373">-CG714</f>
        <v>-190</v>
      </c>
      <c r="CP714" s="2478">
        <f t="shared" si="372"/>
        <v>0</v>
      </c>
      <c r="CQ714" s="2478"/>
      <c r="CR714" s="2478"/>
      <c r="CS714" s="2478"/>
      <c r="CT714" s="2478" t="s">
        <v>1319</v>
      </c>
    </row>
    <row r="715" spans="1:98" hidden="1" x14ac:dyDescent="0.2">
      <c r="H715" s="2560">
        <f t="shared" ref="H715" si="374">SUM(H711:H713)</f>
        <v>21732</v>
      </c>
      <c r="I715" s="2560">
        <f>SUM(I711:I713)</f>
        <v>-1326</v>
      </c>
      <c r="J715" s="2560">
        <f>SUM(J711:J713)</f>
        <v>20406</v>
      </c>
      <c r="K715" s="2561">
        <f>IF(H715=0," ",(J715-H715)/H715)</f>
        <v>-6.1016013252346769E-2</v>
      </c>
      <c r="M715" s="2560">
        <f>SUM(M711:M713)</f>
        <v>20406</v>
      </c>
      <c r="N715" s="2560">
        <f>SUM(N711:N713)</f>
        <v>20406</v>
      </c>
      <c r="P715" s="2562">
        <f>SUM(P711:P713)</f>
        <v>0</v>
      </c>
      <c r="R715" s="2560">
        <f>SUM(R711:R713)</f>
        <v>20406</v>
      </c>
      <c r="S715" s="2560">
        <f>SUM(S711:S713)</f>
        <v>17757.87</v>
      </c>
      <c r="U715" s="2560">
        <f>SUM(U711:U713)</f>
        <v>20406</v>
      </c>
      <c r="V715" s="2560">
        <f>SUM(V711:V713)</f>
        <v>1924</v>
      </c>
      <c r="W715" s="2560">
        <f>SUM(W711:W713)</f>
        <v>22330</v>
      </c>
      <c r="X715" s="2561">
        <f>IF(U715=0," ",(W715-U715)/U715)</f>
        <v>9.4285994315397428E-2</v>
      </c>
      <c r="Z715" s="2560">
        <f>SUM(Z711:Z713)</f>
        <v>22330</v>
      </c>
      <c r="AA715" s="2560">
        <f>SUM(AA711:AA713)</f>
        <v>22330</v>
      </c>
      <c r="AC715" s="2562"/>
      <c r="AE715" s="2560">
        <f>SUM(AE711:AE713)</f>
        <v>22330</v>
      </c>
      <c r="AF715" s="2563">
        <f>SUM(AF711:AF713)</f>
        <v>23549.63</v>
      </c>
      <c r="AH715" s="2560">
        <v>22330</v>
      </c>
      <c r="AI715" s="2560">
        <f>SUM(AI711:AI713)</f>
        <v>1910</v>
      </c>
      <c r="AJ715" s="2560">
        <f>SUM(AJ711:AJ713)</f>
        <v>24240</v>
      </c>
      <c r="AK715" s="2561">
        <f>IF(AH715=0," ",(AJ715-AH715)/AH715)</f>
        <v>8.5535154500671742E-2</v>
      </c>
      <c r="AM715" s="2560">
        <f>SUM(AM711:AM713)</f>
        <v>24240</v>
      </c>
      <c r="AN715" s="2560">
        <f>SUM(AN711:AN713)</f>
        <v>24240</v>
      </c>
      <c r="AP715" s="2562"/>
      <c r="AR715" s="2560">
        <f>SUM(AR711:AR713)</f>
        <v>24240</v>
      </c>
      <c r="AS715" s="2560">
        <f>SUM(AS711:AS713)</f>
        <v>25170.12</v>
      </c>
      <c r="AT715" s="2560"/>
      <c r="AU715" s="2560">
        <f>SUM(AU711:AU713)</f>
        <v>24786</v>
      </c>
      <c r="AV715" s="2560">
        <f>SUM(AV711:AV713)</f>
        <v>25031.56</v>
      </c>
      <c r="AX715" s="2560">
        <f>SUM(AX711:AX713)</f>
        <v>24786</v>
      </c>
      <c r="AY715" s="2560">
        <f>SUM(AY711:AY713)</f>
        <v>505</v>
      </c>
      <c r="AZ715" s="2560">
        <f>SUM(AZ711:AZ713)</f>
        <v>25291</v>
      </c>
      <c r="BA715" s="2561">
        <f>IF(AX715=0," ",(AZ715-AX715)/AX715)</f>
        <v>2.0374404905995319E-2</v>
      </c>
      <c r="BC715" s="2560">
        <f>SUM(BC711:BC713)</f>
        <v>25291</v>
      </c>
      <c r="BD715" s="2560">
        <f>SUM(BD711:BD713)</f>
        <v>28268</v>
      </c>
      <c r="BF715" s="2562"/>
      <c r="BH715" s="2560">
        <f>SUM(BH711:BH713)</f>
        <v>29268</v>
      </c>
      <c r="BI715" s="2560">
        <f>SUM(BI711:BI713)</f>
        <v>28940.03</v>
      </c>
      <c r="BM715" s="2560">
        <f>SUM(BM711:BM713)</f>
        <v>29268</v>
      </c>
      <c r="BN715" s="2560">
        <f>SUM(BN711:BN713)</f>
        <v>475</v>
      </c>
      <c r="BO715" s="2564">
        <f>SUM(BO711:BO713)</f>
        <v>29743</v>
      </c>
      <c r="BP715" s="2565">
        <f>IF(BM715=0," ",(BO715-BM715)/BM715)</f>
        <v>1.6229328959956265E-2</v>
      </c>
      <c r="BR715" s="2564">
        <f>SUM(BR711:BR713)</f>
        <v>29743</v>
      </c>
      <c r="BS715" s="2564">
        <f>SUM(BS711:BS713)</f>
        <v>29743</v>
      </c>
      <c r="BU715" s="2566"/>
      <c r="BW715" s="2564">
        <f>SUM(BW711:BW713)</f>
        <v>29743</v>
      </c>
      <c r="BX715" s="2560">
        <f>SUM(BX711:BX713)</f>
        <v>14241.27</v>
      </c>
      <c r="BZ715" s="2564">
        <f>SUM(BZ711:BZ714)</f>
        <v>29743</v>
      </c>
      <c r="CA715" s="2564">
        <f>SUM(CA711:CA714)</f>
        <v>5</v>
      </c>
      <c r="CB715" s="2564">
        <f>SUM(CB711:CB714)</f>
        <v>29748</v>
      </c>
      <c r="CC715" s="2565">
        <f>IF(BZ715=0," ",(CB715-BZ715)/BZ715)</f>
        <v>1.681067814275628E-4</v>
      </c>
      <c r="CE715" s="2564">
        <f>SUM(CE711:CE714)</f>
        <v>30532</v>
      </c>
      <c r="CF715" s="2565">
        <f>IF(CB715=0," ",(CE715-CB715)/CB715)</f>
        <v>2.6354712921877101E-2</v>
      </c>
      <c r="CG715" s="2564">
        <f>SUM(CG711:CG714)</f>
        <v>30532</v>
      </c>
      <c r="CH715" s="2449" t="s">
        <v>1243</v>
      </c>
      <c r="CI715" s="2449"/>
      <c r="CJ715" s="2450"/>
      <c r="CK715" s="2450"/>
      <c r="CO715" s="2477">
        <v>-1.120575372420396E-2</v>
      </c>
      <c r="CP715" s="2478">
        <f t="shared" si="372"/>
        <v>-327.97000000000116</v>
      </c>
      <c r="CQ715" s="2478"/>
      <c r="CR715" s="2478"/>
      <c r="CS715" s="2478"/>
      <c r="CT715" s="2478"/>
    </row>
    <row r="716" spans="1:98" hidden="1" x14ac:dyDescent="0.2">
      <c r="AS716" s="2466"/>
      <c r="AT716" s="2466"/>
      <c r="BZ716" s="2472"/>
      <c r="CH716" s="2449" t="s">
        <v>1091</v>
      </c>
      <c r="CI716" s="2449"/>
      <c r="CJ716" s="2450"/>
      <c r="CK716" s="2450"/>
      <c r="CP716" s="2478">
        <f t="shared" si="372"/>
        <v>0</v>
      </c>
      <c r="CQ716" s="2478"/>
      <c r="CR716" s="2478"/>
      <c r="CS716" s="2478"/>
      <c r="CT716" s="2478"/>
    </row>
    <row r="717" spans="1:98" s="2485" customFormat="1" hidden="1" x14ac:dyDescent="0.2">
      <c r="A717" s="2532"/>
      <c r="B717" s="2533"/>
      <c r="C717" s="2534"/>
      <c r="D717" s="2534"/>
      <c r="E717" s="2535"/>
      <c r="F717" s="2533"/>
      <c r="G717" s="2654" t="s">
        <v>2138</v>
      </c>
      <c r="H717" s="2536">
        <f t="shared" ref="H717" si="375">H709+H715</f>
        <v>95125</v>
      </c>
      <c r="I717" s="2536">
        <f>I709+I715</f>
        <v>599</v>
      </c>
      <c r="J717" s="2536">
        <f>J709+J715</f>
        <v>95724</v>
      </c>
      <c r="K717" s="2484">
        <f>IF(H717=0," ",(J717-H717)/H717)</f>
        <v>6.2969776609724049E-3</v>
      </c>
      <c r="M717" s="2536">
        <f>M709+M715</f>
        <v>95724</v>
      </c>
      <c r="N717" s="2536">
        <f>N709+N715</f>
        <v>95724</v>
      </c>
      <c r="P717" s="2537">
        <f>P709+P715</f>
        <v>0</v>
      </c>
      <c r="R717" s="2536">
        <f>R709+R715</f>
        <v>95724</v>
      </c>
      <c r="S717" s="2536">
        <f>S709+S715</f>
        <v>93290.97</v>
      </c>
      <c r="U717" s="2536">
        <f>U709+U715</f>
        <v>95724</v>
      </c>
      <c r="V717" s="2536">
        <f>V709+V715</f>
        <v>3422</v>
      </c>
      <c r="W717" s="2536">
        <f>W709+W715</f>
        <v>99146</v>
      </c>
      <c r="X717" s="2484">
        <f>IF(U717=0," ",(W717-U717)/U717)</f>
        <v>3.5748610588776063E-2</v>
      </c>
      <c r="Z717" s="2536">
        <f>Z709+Z715</f>
        <v>99146</v>
      </c>
      <c r="AA717" s="2536">
        <f>AA709+AA715</f>
        <v>99146</v>
      </c>
      <c r="AC717" s="2537"/>
      <c r="AE717" s="2536">
        <f>AE709+AE715</f>
        <v>99146</v>
      </c>
      <c r="AF717" s="2538">
        <f>AF709+AF715</f>
        <v>84859.55</v>
      </c>
      <c r="AH717" s="2536">
        <v>99146</v>
      </c>
      <c r="AI717" s="2536">
        <f>AI709+AI715</f>
        <v>4025</v>
      </c>
      <c r="AJ717" s="2536">
        <f>AJ709+AJ715</f>
        <v>103171</v>
      </c>
      <c r="AK717" s="2484">
        <f>IF(AH717=0," ",(AJ717-AH717)/AH717)</f>
        <v>4.0596695781978095E-2</v>
      </c>
      <c r="AM717" s="2536">
        <f>AM709+AM715</f>
        <v>103171</v>
      </c>
      <c r="AN717" s="2536">
        <f>AN709+AN715</f>
        <v>103171</v>
      </c>
      <c r="AP717" s="2537"/>
      <c r="AR717" s="2536">
        <f>AR709+AR715</f>
        <v>103171</v>
      </c>
      <c r="AS717" s="2536">
        <f>AS709+AS715</f>
        <v>86471.06</v>
      </c>
      <c r="AT717" s="2536"/>
      <c r="AU717" s="2536">
        <f>AU709+AU715</f>
        <v>92814</v>
      </c>
      <c r="AV717" s="2536">
        <f>AV709+AV715</f>
        <v>93058.599999999991</v>
      </c>
      <c r="AX717" s="2536">
        <f>AX709+AX715</f>
        <v>92814</v>
      </c>
      <c r="AY717" s="2536">
        <f>AY709+AY715</f>
        <v>1862</v>
      </c>
      <c r="AZ717" s="2536">
        <f>AZ709+AZ715</f>
        <v>94676</v>
      </c>
      <c r="BA717" s="2484">
        <f>IF(AX717=0," ",(AZ717-AX717)/AX717)</f>
        <v>2.0061628633611307E-2</v>
      </c>
      <c r="BC717" s="2536">
        <f>BC709+BC715</f>
        <v>94676</v>
      </c>
      <c r="BD717" s="2536">
        <f>BD709+BD715</f>
        <v>97653</v>
      </c>
      <c r="BF717" s="2537"/>
      <c r="BH717" s="2536">
        <f>BH709+BH715</f>
        <v>98653</v>
      </c>
      <c r="BI717" s="2536">
        <f>BI709+BI715</f>
        <v>98325.03</v>
      </c>
      <c r="BJ717" s="2536"/>
      <c r="BK717" s="2536"/>
      <c r="BM717" s="2536">
        <f>BM709+BM715</f>
        <v>98653</v>
      </c>
      <c r="BN717" s="2539">
        <f>BN709+BN715</f>
        <v>1853</v>
      </c>
      <c r="BO717" s="2540">
        <f>BO709+BO715</f>
        <v>100506</v>
      </c>
      <c r="BP717" s="2490">
        <f>IF(BM717=0," ",(BO717-BM717)/BM717)</f>
        <v>1.8783007105713966E-2</v>
      </c>
      <c r="BQ717" s="2491"/>
      <c r="BR717" s="2540">
        <f>BR709+BR715</f>
        <v>100506</v>
      </c>
      <c r="BS717" s="2540">
        <f>BS709+BS715</f>
        <v>100506</v>
      </c>
      <c r="BT717" s="2491"/>
      <c r="BU717" s="2541"/>
      <c r="BV717" s="2491"/>
      <c r="BW717" s="2540">
        <f>BW709+BW715</f>
        <v>100506</v>
      </c>
      <c r="BX717" s="2536">
        <f>BX709+BX715</f>
        <v>43684.22</v>
      </c>
      <c r="BZ717" s="2540">
        <f>BZ709+BZ715</f>
        <v>100506</v>
      </c>
      <c r="CA717" s="2540">
        <f>CA709+CA715</f>
        <v>-266</v>
      </c>
      <c r="CB717" s="2540">
        <f>CB709+CB715</f>
        <v>100240</v>
      </c>
      <c r="CC717" s="2490">
        <f>IF(BZ717=0," ",(CB717-BZ717)/BZ717)</f>
        <v>-2.6466081626967545E-3</v>
      </c>
      <c r="CD717" s="2491"/>
      <c r="CE717" s="2540">
        <f>CE709+CE715</f>
        <v>106473</v>
      </c>
      <c r="CF717" s="2490">
        <f>IF(CB717=0," ",(CE717-CB717)/CB717)</f>
        <v>6.218076616121309E-2</v>
      </c>
      <c r="CG717" s="2540">
        <f>CG709+CG715</f>
        <v>104719</v>
      </c>
      <c r="CH717" s="2449" t="s">
        <v>1220</v>
      </c>
      <c r="CI717" s="2449"/>
      <c r="CJ717" s="2450"/>
      <c r="CK717" s="2450"/>
      <c r="CL717" s="2451"/>
      <c r="CM717" s="2451"/>
      <c r="CN717" s="2451"/>
      <c r="CO717" s="2477">
        <v>-3.3244807557804013E-3</v>
      </c>
      <c r="CP717" s="2478">
        <f t="shared" si="372"/>
        <v>-327.97000000000116</v>
      </c>
      <c r="CQ717" s="2478"/>
      <c r="CR717" s="2478"/>
      <c r="CS717" s="2478"/>
      <c r="CT717" s="2478"/>
    </row>
    <row r="718" spans="1:98" hidden="1" x14ac:dyDescent="0.2">
      <c r="AI718" s="2470"/>
      <c r="AS718" s="2466"/>
      <c r="AT718" s="2466"/>
      <c r="BZ718" s="2472"/>
      <c r="CH718" s="2449" t="s">
        <v>1091</v>
      </c>
      <c r="CI718" s="2449"/>
      <c r="CJ718" s="2450"/>
      <c r="CK718" s="2450"/>
      <c r="CP718" s="2478">
        <f t="shared" si="372"/>
        <v>0</v>
      </c>
      <c r="CQ718" s="2478"/>
      <c r="CR718" s="2478"/>
      <c r="CS718" s="2478"/>
      <c r="CT718" s="2478"/>
    </row>
    <row r="719" spans="1:98" hidden="1" x14ac:dyDescent="0.2">
      <c r="A719" s="2395">
        <v>512</v>
      </c>
      <c r="B719" s="2440" t="s">
        <v>1214</v>
      </c>
      <c r="C719" s="2396">
        <v>51205</v>
      </c>
      <c r="D719" s="2396">
        <v>52920</v>
      </c>
      <c r="E719" s="2397" t="s">
        <v>1268</v>
      </c>
      <c r="F719" s="2440" t="s">
        <v>1214</v>
      </c>
      <c r="G719" s="2440" t="s">
        <v>2139</v>
      </c>
      <c r="H719" s="2466">
        <v>1622</v>
      </c>
      <c r="I719" s="2470"/>
      <c r="J719" s="2466">
        <f t="shared" ref="J719:J731" si="376">H719+I719</f>
        <v>1622</v>
      </c>
      <c r="K719" s="2468">
        <f t="shared" ref="K719:K731" si="377">IF(H719=0," ",(J719-H719)/H719)</f>
        <v>0</v>
      </c>
      <c r="M719" s="2467">
        <v>1622</v>
      </c>
      <c r="N719" s="2467">
        <v>1622</v>
      </c>
      <c r="P719" s="2469"/>
      <c r="R719" s="2466">
        <v>1622</v>
      </c>
      <c r="S719" s="2466">
        <v>0</v>
      </c>
      <c r="U719" s="2466">
        <v>1622</v>
      </c>
      <c r="V719" s="2470"/>
      <c r="W719" s="2466">
        <f t="shared" ref="W719:W731" si="378">U719+V719</f>
        <v>1622</v>
      </c>
      <c r="X719" s="2468">
        <f t="shared" ref="X719:X731" si="379">IF(U719=0," ",(W719-U719)/U719)</f>
        <v>0</v>
      </c>
      <c r="Z719" s="2467">
        <v>1622</v>
      </c>
      <c r="AA719" s="2467">
        <v>1622</v>
      </c>
      <c r="AC719" s="2469"/>
      <c r="AE719" s="2466">
        <v>1622</v>
      </c>
      <c r="AF719" s="2471">
        <v>0</v>
      </c>
      <c r="AH719" s="2466">
        <v>1622</v>
      </c>
      <c r="AI719" s="2470"/>
      <c r="AJ719" s="2466">
        <f t="shared" ref="AJ719:AJ731" si="380">AH719+AI719</f>
        <v>1622</v>
      </c>
      <c r="AK719" s="2468">
        <f t="shared" ref="AK719:AK731" si="381">IF(AH719=0," ",(AJ719-AH719)/AH719)</f>
        <v>0</v>
      </c>
      <c r="AM719" s="2467">
        <v>1622</v>
      </c>
      <c r="AN719" s="2467">
        <v>1622</v>
      </c>
      <c r="AP719" s="2469"/>
      <c r="AR719" s="2466">
        <v>1622</v>
      </c>
      <c r="AS719" s="2466">
        <v>4095</v>
      </c>
      <c r="AT719" s="2466"/>
      <c r="AU719" s="2466">
        <f>1622+2678</f>
        <v>4300</v>
      </c>
      <c r="AV719" s="2466">
        <v>4665</v>
      </c>
      <c r="AX719" s="2466">
        <f>1622+2678</f>
        <v>4300</v>
      </c>
      <c r="AY719" s="2470"/>
      <c r="AZ719" s="2466">
        <f>AX719+AY719</f>
        <v>4300</v>
      </c>
      <c r="BA719" s="2468">
        <f>IF(AX719=0," ",(AZ719-AX719)/AX719)</f>
        <v>0</v>
      </c>
      <c r="BC719" s="2467">
        <v>4300</v>
      </c>
      <c r="BD719" s="2467">
        <f>4300+2700</f>
        <v>7000</v>
      </c>
      <c r="BF719" s="2530" t="s">
        <v>2140</v>
      </c>
      <c r="BH719" s="2467">
        <f>4300+2700</f>
        <v>7000</v>
      </c>
      <c r="BI719" s="2466">
        <v>3015</v>
      </c>
      <c r="BM719" s="2466">
        <f>4300+2700</f>
        <v>7000</v>
      </c>
      <c r="BN719" s="2470">
        <v>500</v>
      </c>
      <c r="BO719" s="2472">
        <f>BM719+BN719</f>
        <v>7500</v>
      </c>
      <c r="BP719" s="2473">
        <f>IF(BM719=0," ",(BO719-BM719)/BM719)</f>
        <v>7.1428571428571425E-2</v>
      </c>
      <c r="BR719" s="2474">
        <v>7500</v>
      </c>
      <c r="BS719" s="2474">
        <v>7500</v>
      </c>
      <c r="BU719" s="2475" t="s">
        <v>2141</v>
      </c>
      <c r="BW719" s="2474">
        <v>7500</v>
      </c>
      <c r="BX719" s="2466">
        <v>1720</v>
      </c>
      <c r="BZ719" s="2474">
        <v>7500</v>
      </c>
      <c r="CA719" s="2470"/>
      <c r="CB719" s="2472">
        <f>BZ719+CA719</f>
        <v>7500</v>
      </c>
      <c r="CC719" s="2473">
        <f>IF(BZ719=0," ",(CB719-BZ719)/BZ719)</f>
        <v>0</v>
      </c>
      <c r="CE719" s="2474">
        <v>7500</v>
      </c>
      <c r="CF719" s="2476">
        <f t="shared" ref="CF719:CF732" si="382">IF(CB719=0," ",(CE719-CB719)/CB719)</f>
        <v>0</v>
      </c>
      <c r="CG719" s="2474">
        <v>7500</v>
      </c>
      <c r="CH719" s="2449" t="s">
        <v>1217</v>
      </c>
      <c r="CI719" s="2449"/>
      <c r="CJ719" s="2450"/>
      <c r="CK719" s="2450"/>
      <c r="CO719" s="2477">
        <v>-0.56928571428571428</v>
      </c>
      <c r="CP719" s="2478">
        <f t="shared" si="372"/>
        <v>-3985</v>
      </c>
      <c r="CQ719" s="2478"/>
      <c r="CR719" s="2478"/>
      <c r="CS719" s="2478"/>
      <c r="CT719" s="2478"/>
    </row>
    <row r="720" spans="1:98" hidden="1" x14ac:dyDescent="0.2">
      <c r="A720" s="2395">
        <v>512</v>
      </c>
      <c r="B720" s="2440" t="s">
        <v>1214</v>
      </c>
      <c r="C720" s="2396">
        <v>51205</v>
      </c>
      <c r="D720" s="2396">
        <v>52940</v>
      </c>
      <c r="E720" s="2397" t="s">
        <v>1268</v>
      </c>
      <c r="F720" s="2440" t="s">
        <v>1214</v>
      </c>
      <c r="G720" s="2440" t="s">
        <v>2142</v>
      </c>
      <c r="I720" s="2470"/>
      <c r="M720" s="2467"/>
      <c r="N720" s="2467"/>
      <c r="P720" s="2469"/>
      <c r="V720" s="2470"/>
      <c r="Z720" s="2467"/>
      <c r="AA720" s="2467"/>
      <c r="AC720" s="2469"/>
      <c r="AI720" s="2470"/>
      <c r="AM720" s="2467"/>
      <c r="AN720" s="2467"/>
      <c r="AP720" s="2469"/>
      <c r="AS720" s="2466"/>
      <c r="AT720" s="2466"/>
      <c r="AV720" s="2466">
        <v>375</v>
      </c>
      <c r="AY720" s="2470"/>
      <c r="AZ720" s="2466">
        <f>AX720+AY720</f>
        <v>0</v>
      </c>
      <c r="BA720" s="2468" t="str">
        <f>IF(AX720=0," ",(AZ720-AX720)/AX720)</f>
        <v xml:space="preserve"> </v>
      </c>
      <c r="BC720" s="2467">
        <v>0</v>
      </c>
      <c r="BD720" s="2467">
        <v>1750</v>
      </c>
      <c r="BF720" s="2530" t="s">
        <v>2143</v>
      </c>
      <c r="BH720" s="2467">
        <v>1750</v>
      </c>
      <c r="BI720" s="2466">
        <v>625</v>
      </c>
      <c r="BM720" s="2466">
        <v>1750</v>
      </c>
      <c r="BN720" s="2470"/>
      <c r="BO720" s="2472">
        <f>BM720+BN720</f>
        <v>1750</v>
      </c>
      <c r="BP720" s="2473">
        <f>IF(BM720=0," ",(BO720-BM720)/BM720)</f>
        <v>0</v>
      </c>
      <c r="BR720" s="2474">
        <v>1750</v>
      </c>
      <c r="BS720" s="2474">
        <v>1750</v>
      </c>
      <c r="BU720" s="2475"/>
      <c r="BW720" s="2474">
        <v>1750</v>
      </c>
      <c r="BX720" s="2466">
        <v>350</v>
      </c>
      <c r="BZ720" s="2474">
        <v>1750</v>
      </c>
      <c r="CA720" s="2470"/>
      <c r="CB720" s="2472">
        <f>BZ720+CA720</f>
        <v>1750</v>
      </c>
      <c r="CC720" s="2473">
        <f>IF(BZ720=0," ",(CB720-BZ720)/BZ720)</f>
        <v>0</v>
      </c>
      <c r="CE720" s="2474">
        <v>1750</v>
      </c>
      <c r="CF720" s="2476">
        <f t="shared" si="382"/>
        <v>0</v>
      </c>
      <c r="CG720" s="2474">
        <v>1750</v>
      </c>
      <c r="CH720" s="2449" t="s">
        <v>1217</v>
      </c>
      <c r="CI720" s="2449"/>
      <c r="CJ720" s="2450"/>
      <c r="CK720" s="2450"/>
      <c r="CO720" s="2477">
        <v>-0.64285714285714279</v>
      </c>
      <c r="CP720" s="2478">
        <f t="shared" si="372"/>
        <v>-1125</v>
      </c>
      <c r="CQ720" s="2478"/>
      <c r="CR720" s="2478"/>
      <c r="CS720" s="2478"/>
      <c r="CT720" s="2478"/>
    </row>
    <row r="721" spans="1:98" hidden="1" x14ac:dyDescent="0.2">
      <c r="A721" s="2395">
        <v>512</v>
      </c>
      <c r="B721" s="2440" t="s">
        <v>1214</v>
      </c>
      <c r="C721" s="2396">
        <v>51205</v>
      </c>
      <c r="D721" s="2396">
        <v>53120</v>
      </c>
      <c r="E721" s="2397" t="s">
        <v>1268</v>
      </c>
      <c r="F721" s="2440" t="s">
        <v>1214</v>
      </c>
      <c r="G721" s="2440" t="s">
        <v>2144</v>
      </c>
      <c r="H721" s="2466">
        <v>10243</v>
      </c>
      <c r="I721" s="2470"/>
      <c r="J721" s="2466">
        <f t="shared" si="376"/>
        <v>10243</v>
      </c>
      <c r="K721" s="2468">
        <f t="shared" si="377"/>
        <v>0</v>
      </c>
      <c r="M721" s="2467">
        <v>10243</v>
      </c>
      <c r="N721" s="2467">
        <v>10243</v>
      </c>
      <c r="P721" s="2469"/>
      <c r="R721" s="2466">
        <v>10243</v>
      </c>
      <c r="S721" s="2466">
        <v>9136.6200000000008</v>
      </c>
      <c r="U721" s="2466">
        <v>10243</v>
      </c>
      <c r="V721" s="2470"/>
      <c r="W721" s="2466">
        <f t="shared" si="378"/>
        <v>10243</v>
      </c>
      <c r="X721" s="2468">
        <f t="shared" si="379"/>
        <v>0</v>
      </c>
      <c r="Z721" s="2467">
        <v>10243</v>
      </c>
      <c r="AA721" s="2467">
        <v>10243</v>
      </c>
      <c r="AC721" s="2469"/>
      <c r="AE721" s="2466">
        <v>10243</v>
      </c>
      <c r="AF721" s="2471">
        <v>8750</v>
      </c>
      <c r="AH721" s="2466">
        <v>10243</v>
      </c>
      <c r="AI721" s="2470"/>
      <c r="AJ721" s="2466">
        <f t="shared" si="380"/>
        <v>10243</v>
      </c>
      <c r="AK721" s="2468">
        <f t="shared" si="381"/>
        <v>0</v>
      </c>
      <c r="AM721" s="2467">
        <v>10243</v>
      </c>
      <c r="AN721" s="2467">
        <v>10243</v>
      </c>
      <c r="AP721" s="2469"/>
      <c r="AR721" s="2466">
        <v>10243</v>
      </c>
      <c r="AS721" s="2466">
        <v>8750</v>
      </c>
      <c r="AT721" s="2466"/>
      <c r="AU721" s="2466">
        <v>10243</v>
      </c>
      <c r="AV721" s="2466">
        <v>9187.5</v>
      </c>
      <c r="AX721" s="2466">
        <v>10243</v>
      </c>
      <c r="AY721" s="2470"/>
      <c r="AZ721" s="2466">
        <f>AX721+AY721</f>
        <v>10243</v>
      </c>
      <c r="BA721" s="2468">
        <f>IF(AX721=0," ",(AZ721-AX721)/AX721)</f>
        <v>0</v>
      </c>
      <c r="BC721" s="2467">
        <v>10243</v>
      </c>
      <c r="BD721" s="2467">
        <v>10243</v>
      </c>
      <c r="BF721" s="2469"/>
      <c r="BH721" s="2467">
        <v>10243</v>
      </c>
      <c r="BI721" s="2466">
        <v>9188.16</v>
      </c>
      <c r="BM721" s="2466">
        <v>10243</v>
      </c>
      <c r="BN721" s="2470"/>
      <c r="BO721" s="2472">
        <f>BM721+BN721</f>
        <v>10243</v>
      </c>
      <c r="BP721" s="2473">
        <f>IF(BM721=0," ",(BO721-BM721)/BM721)</f>
        <v>0</v>
      </c>
      <c r="BR721" s="2474">
        <v>10243</v>
      </c>
      <c r="BS721" s="2474">
        <v>10243</v>
      </c>
      <c r="BU721" s="2475"/>
      <c r="BW721" s="2474">
        <v>10243</v>
      </c>
      <c r="BX721" s="2466">
        <v>4267.8999999999996</v>
      </c>
      <c r="BZ721" s="2474">
        <v>10243</v>
      </c>
      <c r="CA721" s="2470"/>
      <c r="CB721" s="2472">
        <f>BZ721+CA721</f>
        <v>10243</v>
      </c>
      <c r="CC721" s="2473">
        <f>IF(BZ721=0," ",(CB721-BZ721)/BZ721)</f>
        <v>0</v>
      </c>
      <c r="CE721" s="2474">
        <v>10243</v>
      </c>
      <c r="CF721" s="2476">
        <f t="shared" si="382"/>
        <v>0</v>
      </c>
      <c r="CG721" s="2474">
        <v>10243</v>
      </c>
      <c r="CH721" s="2449" t="s">
        <v>1217</v>
      </c>
      <c r="CI721" s="2449"/>
      <c r="CJ721" s="2450"/>
      <c r="CK721" s="2450"/>
      <c r="CO721" s="2477">
        <v>-0.10298154837449969</v>
      </c>
      <c r="CP721" s="2478">
        <f t="shared" si="372"/>
        <v>-1054.8400000000001</v>
      </c>
      <c r="CQ721" s="2478"/>
      <c r="CR721" s="2478"/>
      <c r="CS721" s="2478"/>
      <c r="CT721" s="2478"/>
    </row>
    <row r="722" spans="1:98" hidden="1" x14ac:dyDescent="0.2">
      <c r="A722" s="2395">
        <v>512</v>
      </c>
      <c r="C722" s="2396">
        <v>51200</v>
      </c>
      <c r="D722" s="2396">
        <v>53124</v>
      </c>
      <c r="E722" s="2397" t="s">
        <v>1268</v>
      </c>
      <c r="G722" s="2440" t="s">
        <v>2145</v>
      </c>
      <c r="I722" s="2470"/>
      <c r="M722" s="2467"/>
      <c r="N722" s="2467"/>
      <c r="P722" s="2469"/>
      <c r="V722" s="2470"/>
      <c r="Z722" s="2467"/>
      <c r="AA722" s="2467"/>
      <c r="AC722" s="2469"/>
      <c r="AI722" s="2470"/>
      <c r="AM722" s="2467"/>
      <c r="AN722" s="2467"/>
      <c r="AP722" s="2469"/>
      <c r="AS722" s="2466">
        <v>0</v>
      </c>
      <c r="AT722" s="2466"/>
      <c r="AU722" s="2466">
        <v>3700</v>
      </c>
      <c r="AV722" s="2466">
        <v>6801.4</v>
      </c>
      <c r="AX722" s="2466">
        <v>3700</v>
      </c>
      <c r="AY722" s="2470"/>
      <c r="AZ722" s="2466">
        <f>AX722+AY722</f>
        <v>3700</v>
      </c>
      <c r="BA722" s="2468">
        <f>IF(AX722=0," ",(AZ722-AX722)/AX722)</f>
        <v>0</v>
      </c>
      <c r="BC722" s="2467">
        <v>3700</v>
      </c>
      <c r="BD722" s="2467">
        <f>3700+5040</f>
        <v>8740</v>
      </c>
      <c r="BF722" s="2530" t="s">
        <v>2146</v>
      </c>
      <c r="BH722" s="2467">
        <f>3700+5040</f>
        <v>8740</v>
      </c>
      <c r="BI722" s="2466">
        <v>4309.5600000000004</v>
      </c>
      <c r="BM722" s="2466">
        <f>3700+5040</f>
        <v>8740</v>
      </c>
      <c r="BN722" s="2470"/>
      <c r="BO722" s="2472">
        <f>BM722+BN722</f>
        <v>8740</v>
      </c>
      <c r="BP722" s="2473">
        <f>IF(BM722=0," ",(BO722-BM722)/BM722)</f>
        <v>0</v>
      </c>
      <c r="BR722" s="2474">
        <v>8740</v>
      </c>
      <c r="BS722" s="2474">
        <v>8740</v>
      </c>
      <c r="BU722" s="2475"/>
      <c r="BW722" s="2474">
        <v>8740</v>
      </c>
      <c r="BX722" s="2466">
        <v>5581.61</v>
      </c>
      <c r="BZ722" s="2474">
        <v>8740</v>
      </c>
      <c r="CA722" s="2470"/>
      <c r="CB722" s="2472">
        <f>BZ722+CA722</f>
        <v>8740</v>
      </c>
      <c r="CC722" s="2473">
        <f>IF(BZ722=0," ",(CB722-BZ722)/BZ722)</f>
        <v>0</v>
      </c>
      <c r="CE722" s="2474">
        <v>8740</v>
      </c>
      <c r="CF722" s="2476">
        <f t="shared" si="382"/>
        <v>0</v>
      </c>
      <c r="CG722" s="2474">
        <v>8740</v>
      </c>
      <c r="CH722" s="2449" t="s">
        <v>1217</v>
      </c>
      <c r="CI722" s="2449"/>
      <c r="CJ722" s="2450"/>
      <c r="CK722" s="2450"/>
      <c r="CO722" s="2477">
        <v>-0.50691533180778026</v>
      </c>
      <c r="CP722" s="2478">
        <f t="shared" si="372"/>
        <v>-4430.4399999999996</v>
      </c>
      <c r="CQ722" s="2478"/>
      <c r="CR722" s="2478"/>
      <c r="CS722" s="2478"/>
      <c r="CT722" s="2478"/>
    </row>
    <row r="723" spans="1:98" hidden="1" x14ac:dyDescent="0.2">
      <c r="A723" s="2395">
        <v>512</v>
      </c>
      <c r="B723" s="2440" t="s">
        <v>1214</v>
      </c>
      <c r="C723" s="2396">
        <v>51205</v>
      </c>
      <c r="D723" s="2396">
        <v>53200</v>
      </c>
      <c r="E723" s="2397" t="s">
        <v>1268</v>
      </c>
      <c r="F723" s="2440" t="s">
        <v>1214</v>
      </c>
      <c r="G723" s="2440" t="s">
        <v>2147</v>
      </c>
      <c r="H723" s="2466">
        <v>476</v>
      </c>
      <c r="I723" s="2470">
        <v>24</v>
      </c>
      <c r="J723" s="2466">
        <f>H723+I723</f>
        <v>500</v>
      </c>
      <c r="K723" s="2468">
        <f>IF(H723=0," ",(J723-H723)/H723)</f>
        <v>5.0420168067226892E-2</v>
      </c>
      <c r="M723" s="2467">
        <v>500</v>
      </c>
      <c r="N723" s="2467">
        <v>500</v>
      </c>
      <c r="P723" s="2469"/>
      <c r="R723" s="2466">
        <v>500</v>
      </c>
      <c r="S723" s="2466">
        <v>40</v>
      </c>
      <c r="U723" s="2466">
        <v>500</v>
      </c>
      <c r="V723" s="2470"/>
      <c r="W723" s="2466">
        <f>U723+V723</f>
        <v>500</v>
      </c>
      <c r="X723" s="2468">
        <f>IF(U723=0," ",(W723-U723)/U723)</f>
        <v>0</v>
      </c>
      <c r="Z723" s="2467">
        <v>500</v>
      </c>
      <c r="AA723" s="2467">
        <v>500</v>
      </c>
      <c r="AC723" s="2469"/>
      <c r="AE723" s="2466">
        <v>500</v>
      </c>
      <c r="AF723" s="2471">
        <v>65</v>
      </c>
      <c r="AH723" s="2466">
        <v>500</v>
      </c>
      <c r="AI723" s="2470"/>
      <c r="AJ723" s="2466">
        <f>AH723+AI723</f>
        <v>500</v>
      </c>
      <c r="AK723" s="2468">
        <f>IF(AH723=0," ",(AJ723-AH723)/AH723)</f>
        <v>0</v>
      </c>
      <c r="AM723" s="2467">
        <v>500</v>
      </c>
      <c r="AN723" s="2467">
        <v>500</v>
      </c>
      <c r="AP723" s="2469"/>
      <c r="AR723" s="2466">
        <v>500</v>
      </c>
      <c r="AS723" s="2466">
        <v>477.19</v>
      </c>
      <c r="AT723" s="2466"/>
      <c r="AU723" s="2466">
        <v>500</v>
      </c>
      <c r="AV723" s="2466">
        <v>0</v>
      </c>
      <c r="AX723" s="2466">
        <v>500</v>
      </c>
      <c r="AY723" s="2470"/>
      <c r="AZ723" s="2466">
        <f>AX723+AY723</f>
        <v>500</v>
      </c>
      <c r="BA723" s="2468">
        <f>IF(AX723=0," ",(AZ723-AX723)/AX723)</f>
        <v>0</v>
      </c>
      <c r="BC723" s="2467">
        <v>500</v>
      </c>
      <c r="BD723" s="2467">
        <v>500</v>
      </c>
      <c r="BF723" s="2469"/>
      <c r="BH723" s="2467">
        <v>500</v>
      </c>
      <c r="BI723" s="2466">
        <v>410</v>
      </c>
      <c r="BM723" s="2466">
        <v>500</v>
      </c>
      <c r="BN723" s="2470"/>
      <c r="BO723" s="2472">
        <f>BM723+BN723</f>
        <v>500</v>
      </c>
      <c r="BP723" s="2473">
        <f>IF(BM723=0," ",(BO723-BM723)/BM723)</f>
        <v>0</v>
      </c>
      <c r="BR723" s="2474">
        <v>500</v>
      </c>
      <c r="BS723" s="2474">
        <v>500</v>
      </c>
      <c r="BU723" s="2475"/>
      <c r="BW723" s="2474">
        <v>500</v>
      </c>
      <c r="BZ723" s="2474">
        <v>500</v>
      </c>
      <c r="CA723" s="2470"/>
      <c r="CB723" s="2472">
        <f>BZ723+CA723</f>
        <v>500</v>
      </c>
      <c r="CC723" s="2473">
        <f>IF(BZ723=0," ",(CB723-BZ723)/BZ723)</f>
        <v>0</v>
      </c>
      <c r="CE723" s="2474">
        <v>500</v>
      </c>
      <c r="CF723" s="2476">
        <f t="shared" si="382"/>
        <v>0</v>
      </c>
      <c r="CG723" s="2474">
        <v>500</v>
      </c>
      <c r="CH723" s="2449" t="s">
        <v>1217</v>
      </c>
      <c r="CI723" s="2449"/>
      <c r="CJ723" s="2450"/>
      <c r="CK723" s="2450"/>
      <c r="CO723" s="2477">
        <v>-0.18000000000000005</v>
      </c>
      <c r="CP723" s="2478">
        <f t="shared" si="372"/>
        <v>-90</v>
      </c>
      <c r="CQ723" s="2478"/>
      <c r="CR723" s="2478"/>
      <c r="CS723" s="2478"/>
      <c r="CT723" s="2478"/>
    </row>
    <row r="724" spans="1:98" hidden="1" x14ac:dyDescent="0.2">
      <c r="A724" s="2395">
        <v>512</v>
      </c>
      <c r="B724" s="2440" t="s">
        <v>1214</v>
      </c>
      <c r="C724" s="2396">
        <v>51205</v>
      </c>
      <c r="D724" s="2396">
        <v>53400</v>
      </c>
      <c r="E724" s="2397" t="s">
        <v>1268</v>
      </c>
      <c r="F724" s="2440" t="s">
        <v>1214</v>
      </c>
      <c r="G724" s="2440" t="s">
        <v>2148</v>
      </c>
      <c r="H724" s="2466">
        <v>954</v>
      </c>
      <c r="I724" s="2470">
        <v>100</v>
      </c>
      <c r="J724" s="2466">
        <f t="shared" si="376"/>
        <v>1054</v>
      </c>
      <c r="K724" s="2468">
        <f t="shared" si="377"/>
        <v>0.10482180293501048</v>
      </c>
      <c r="M724" s="2467">
        <v>1054</v>
      </c>
      <c r="N724" s="2467">
        <v>1054</v>
      </c>
      <c r="P724" s="2469"/>
      <c r="R724" s="2466">
        <v>1054</v>
      </c>
      <c r="S724" s="2466">
        <v>1155.9100000000001</v>
      </c>
      <c r="U724" s="2466">
        <v>1054</v>
      </c>
      <c r="V724" s="2470"/>
      <c r="W724" s="2466">
        <f t="shared" si="378"/>
        <v>1054</v>
      </c>
      <c r="X724" s="2468">
        <f t="shared" si="379"/>
        <v>0</v>
      </c>
      <c r="Z724" s="2467">
        <v>1054</v>
      </c>
      <c r="AA724" s="2467">
        <v>1054</v>
      </c>
      <c r="AC724" s="2469"/>
      <c r="AE724" s="2466">
        <v>1054</v>
      </c>
      <c r="AF724" s="2471">
        <v>1257.17</v>
      </c>
      <c r="AH724" s="2466">
        <v>1054</v>
      </c>
      <c r="AI724" s="2470"/>
      <c r="AJ724" s="2466">
        <f t="shared" si="380"/>
        <v>1054</v>
      </c>
      <c r="AK724" s="2468">
        <f t="shared" si="381"/>
        <v>0</v>
      </c>
      <c r="AM724" s="2467">
        <v>1054</v>
      </c>
      <c r="AN724" s="2467">
        <v>1054</v>
      </c>
      <c r="AP724" s="2469"/>
      <c r="AR724" s="2466">
        <v>1054</v>
      </c>
      <c r="AS724" s="2466">
        <v>626.03</v>
      </c>
      <c r="AT724" s="2466"/>
      <c r="AU724" s="2466">
        <v>1054</v>
      </c>
      <c r="AV724" s="2466">
        <v>648.95000000000005</v>
      </c>
      <c r="AX724" s="2466">
        <v>1054</v>
      </c>
      <c r="AY724" s="2470"/>
      <c r="AZ724" s="2466">
        <f t="shared" ref="AZ724:AZ731" si="383">AX724+AY724</f>
        <v>1054</v>
      </c>
      <c r="BA724" s="2468">
        <f t="shared" ref="BA724:BA731" si="384">IF(AX724=0," ",(AZ724-AX724)/AX724)</f>
        <v>0</v>
      </c>
      <c r="BC724" s="2467">
        <v>1054</v>
      </c>
      <c r="BD724" s="2467">
        <v>1054</v>
      </c>
      <c r="BF724" s="2469"/>
      <c r="BH724" s="2467">
        <v>1054</v>
      </c>
      <c r="BI724" s="2466">
        <v>610.79999999999995</v>
      </c>
      <c r="BM724" s="2466">
        <v>1054</v>
      </c>
      <c r="BN724" s="2470"/>
      <c r="BO724" s="2472">
        <f t="shared" ref="BO724:BO731" si="385">BM724+BN724</f>
        <v>1054</v>
      </c>
      <c r="BP724" s="2473">
        <f t="shared" ref="BP724:BP731" si="386">IF(BM724=0," ",(BO724-BM724)/BM724)</f>
        <v>0</v>
      </c>
      <c r="BR724" s="2474">
        <v>1054</v>
      </c>
      <c r="BS724" s="2474">
        <v>1054</v>
      </c>
      <c r="BU724" s="2475"/>
      <c r="BW724" s="2474">
        <v>1054</v>
      </c>
      <c r="BX724" s="2466">
        <v>254.5</v>
      </c>
      <c r="BZ724" s="2474">
        <v>1054</v>
      </c>
      <c r="CA724" s="2470"/>
      <c r="CB724" s="2472">
        <f t="shared" ref="CB724:CB731" si="387">BZ724+CA724</f>
        <v>1054</v>
      </c>
      <c r="CC724" s="2473">
        <f t="shared" ref="CC724:CC731" si="388">IF(BZ724=0," ",(CB724-BZ724)/BZ724)</f>
        <v>0</v>
      </c>
      <c r="CE724" s="2474">
        <v>1054</v>
      </c>
      <c r="CF724" s="2476">
        <f t="shared" si="382"/>
        <v>0</v>
      </c>
      <c r="CG724" s="2474">
        <v>1054</v>
      </c>
      <c r="CH724" s="2449" t="s">
        <v>1217</v>
      </c>
      <c r="CI724" s="2449"/>
      <c r="CJ724" s="2450"/>
      <c r="CK724" s="2450"/>
      <c r="CO724" s="2477">
        <v>-0.42049335863377613</v>
      </c>
      <c r="CP724" s="2478">
        <f t="shared" si="372"/>
        <v>-443.20000000000005</v>
      </c>
      <c r="CQ724" s="2478"/>
      <c r="CR724" s="2478"/>
      <c r="CS724" s="2478"/>
      <c r="CT724" s="2478"/>
    </row>
    <row r="725" spans="1:98" hidden="1" x14ac:dyDescent="0.2">
      <c r="A725" s="2395">
        <v>512</v>
      </c>
      <c r="B725" s="2440" t="s">
        <v>1214</v>
      </c>
      <c r="C725" s="2396">
        <v>51205</v>
      </c>
      <c r="D725" s="2396">
        <v>53430</v>
      </c>
      <c r="E725" s="2397" t="s">
        <v>1268</v>
      </c>
      <c r="F725" s="2440" t="s">
        <v>1214</v>
      </c>
      <c r="G725" s="2440" t="s">
        <v>2149</v>
      </c>
      <c r="H725" s="2466">
        <v>212</v>
      </c>
      <c r="I725" s="2470">
        <v>0</v>
      </c>
      <c r="J725" s="2466">
        <f t="shared" si="376"/>
        <v>212</v>
      </c>
      <c r="K725" s="2468">
        <f t="shared" si="377"/>
        <v>0</v>
      </c>
      <c r="M725" s="2467">
        <v>212</v>
      </c>
      <c r="N725" s="2467">
        <v>212</v>
      </c>
      <c r="P725" s="2469"/>
      <c r="R725" s="2466">
        <v>212</v>
      </c>
      <c r="S725" s="2466">
        <v>411</v>
      </c>
      <c r="U725" s="2466">
        <v>212</v>
      </c>
      <c r="V725" s="2470"/>
      <c r="W725" s="2466">
        <f t="shared" si="378"/>
        <v>212</v>
      </c>
      <c r="X725" s="2468">
        <f t="shared" si="379"/>
        <v>0</v>
      </c>
      <c r="Z725" s="2467">
        <v>212</v>
      </c>
      <c r="AA725" s="2467">
        <v>212</v>
      </c>
      <c r="AC725" s="2469"/>
      <c r="AE725" s="2466">
        <v>212</v>
      </c>
      <c r="AF725" s="2471">
        <v>278.31</v>
      </c>
      <c r="AH725" s="2466">
        <v>212</v>
      </c>
      <c r="AI725" s="2470"/>
      <c r="AJ725" s="2466">
        <f t="shared" si="380"/>
        <v>212</v>
      </c>
      <c r="AK725" s="2468">
        <f t="shared" si="381"/>
        <v>0</v>
      </c>
      <c r="AM725" s="2467">
        <v>212</v>
      </c>
      <c r="AN725" s="2467">
        <v>212</v>
      </c>
      <c r="AP725" s="2469"/>
      <c r="AR725" s="2466">
        <v>212</v>
      </c>
      <c r="AS725" s="2466">
        <v>443.66</v>
      </c>
      <c r="AT725" s="2466"/>
      <c r="AU725" s="2466">
        <v>212</v>
      </c>
      <c r="AV725" s="2466">
        <v>403.76</v>
      </c>
      <c r="AX725" s="2466">
        <v>212</v>
      </c>
      <c r="AY725" s="2470"/>
      <c r="AZ725" s="2466">
        <f t="shared" si="383"/>
        <v>212</v>
      </c>
      <c r="BA725" s="2468">
        <f t="shared" si="384"/>
        <v>0</v>
      </c>
      <c r="BC725" s="2467">
        <v>212</v>
      </c>
      <c r="BD725" s="2467">
        <v>212</v>
      </c>
      <c r="BF725" s="2469"/>
      <c r="BH725" s="2467">
        <v>212</v>
      </c>
      <c r="BI725" s="2466">
        <v>506.33</v>
      </c>
      <c r="BM725" s="2466">
        <v>212</v>
      </c>
      <c r="BN725" s="2470"/>
      <c r="BO725" s="2472">
        <f t="shared" si="385"/>
        <v>212</v>
      </c>
      <c r="BP725" s="2473">
        <f t="shared" si="386"/>
        <v>0</v>
      </c>
      <c r="BR725" s="2474">
        <v>212</v>
      </c>
      <c r="BS725" s="2474">
        <v>212</v>
      </c>
      <c r="BU725" s="2475"/>
      <c r="BW725" s="2474">
        <v>212</v>
      </c>
      <c r="BX725" s="2466">
        <v>130.53</v>
      </c>
      <c r="BZ725" s="2474">
        <v>212</v>
      </c>
      <c r="CA725" s="2470"/>
      <c r="CB725" s="2472">
        <f t="shared" si="387"/>
        <v>212</v>
      </c>
      <c r="CC725" s="2473">
        <f t="shared" si="388"/>
        <v>0</v>
      </c>
      <c r="CE725" s="2474">
        <v>212</v>
      </c>
      <c r="CF725" s="2476">
        <f t="shared" si="382"/>
        <v>0</v>
      </c>
      <c r="CG725" s="2474">
        <v>212</v>
      </c>
      <c r="CH725" s="2449" t="s">
        <v>1217</v>
      </c>
      <c r="CI725" s="2449"/>
      <c r="CJ725" s="2450"/>
      <c r="CK725" s="2450"/>
      <c r="CO725" s="2477">
        <v>1.3883490566037735</v>
      </c>
      <c r="CP725" s="2478">
        <f t="shared" si="372"/>
        <v>294.33</v>
      </c>
      <c r="CQ725" s="2478"/>
      <c r="CR725" s="2478"/>
      <c r="CS725" s="2478"/>
      <c r="CT725" s="2478"/>
    </row>
    <row r="726" spans="1:98" hidden="1" x14ac:dyDescent="0.2">
      <c r="A726" s="2395">
        <v>512</v>
      </c>
      <c r="B726" s="2440" t="s">
        <v>1214</v>
      </c>
      <c r="C726" s="2396">
        <v>51205</v>
      </c>
      <c r="D726" s="2396">
        <v>53800</v>
      </c>
      <c r="E726" s="2397" t="s">
        <v>1268</v>
      </c>
      <c r="F726" s="2440" t="s">
        <v>1214</v>
      </c>
      <c r="G726" s="2440" t="s">
        <v>2150</v>
      </c>
      <c r="H726" s="2466">
        <v>3254</v>
      </c>
      <c r="I726" s="2470">
        <v>1200</v>
      </c>
      <c r="J726" s="2466">
        <f t="shared" si="376"/>
        <v>4454</v>
      </c>
      <c r="K726" s="2468">
        <f t="shared" si="377"/>
        <v>0.36877688998156116</v>
      </c>
      <c r="M726" s="2467">
        <v>4454</v>
      </c>
      <c r="N726" s="2467">
        <v>4454</v>
      </c>
      <c r="P726" s="2626" t="s">
        <v>2151</v>
      </c>
      <c r="R726" s="2466">
        <v>4454</v>
      </c>
      <c r="S726" s="2466">
        <v>0</v>
      </c>
      <c r="U726" s="2466">
        <v>4454</v>
      </c>
      <c r="V726" s="2470"/>
      <c r="W726" s="2466">
        <f t="shared" si="378"/>
        <v>4454</v>
      </c>
      <c r="X726" s="2468">
        <f t="shared" si="379"/>
        <v>0</v>
      </c>
      <c r="Z726" s="2467">
        <v>4454</v>
      </c>
      <c r="AA726" s="2467">
        <v>4454</v>
      </c>
      <c r="AC726" s="2626"/>
      <c r="AE726" s="2466">
        <v>4454</v>
      </c>
      <c r="AF726" s="2471">
        <v>5312.5</v>
      </c>
      <c r="AH726" s="2466">
        <v>4454</v>
      </c>
      <c r="AI726" s="2470"/>
      <c r="AJ726" s="2466">
        <f t="shared" si="380"/>
        <v>4454</v>
      </c>
      <c r="AK726" s="2468">
        <f t="shared" si="381"/>
        <v>0</v>
      </c>
      <c r="AM726" s="2467">
        <v>4454</v>
      </c>
      <c r="AN726" s="2467">
        <v>4454</v>
      </c>
      <c r="AP726" s="2626"/>
      <c r="AR726" s="2466">
        <v>4454</v>
      </c>
      <c r="AS726" s="2466">
        <v>1786.42</v>
      </c>
      <c r="AT726" s="2466"/>
      <c r="AU726" s="2466">
        <v>4454</v>
      </c>
      <c r="AV726" s="2466">
        <v>0</v>
      </c>
      <c r="AX726" s="2466">
        <v>4454</v>
      </c>
      <c r="AY726" s="2470"/>
      <c r="AZ726" s="2466">
        <f t="shared" si="383"/>
        <v>4454</v>
      </c>
      <c r="BA726" s="2468">
        <f t="shared" si="384"/>
        <v>0</v>
      </c>
      <c r="BC726" s="2467">
        <v>4454</v>
      </c>
      <c r="BD726" s="2467">
        <v>4454</v>
      </c>
      <c r="BF726" s="2626"/>
      <c r="BH726" s="2467">
        <v>4454</v>
      </c>
      <c r="BI726" s="2466">
        <v>1062</v>
      </c>
      <c r="BM726" s="2466">
        <v>4454</v>
      </c>
      <c r="BN726" s="2470"/>
      <c r="BO726" s="2472">
        <f t="shared" si="385"/>
        <v>4454</v>
      </c>
      <c r="BP726" s="2473">
        <f t="shared" si="386"/>
        <v>0</v>
      </c>
      <c r="BR726" s="2474">
        <v>4454</v>
      </c>
      <c r="BS726" s="2474">
        <v>4454</v>
      </c>
      <c r="BU726" s="2629"/>
      <c r="BW726" s="2474">
        <v>4454</v>
      </c>
      <c r="BX726" s="2466">
        <v>666</v>
      </c>
      <c r="BZ726" s="2474">
        <v>4454</v>
      </c>
      <c r="CA726" s="2470"/>
      <c r="CB726" s="2472">
        <f t="shared" si="387"/>
        <v>4454</v>
      </c>
      <c r="CC726" s="2473">
        <f t="shared" si="388"/>
        <v>0</v>
      </c>
      <c r="CE726" s="2474">
        <v>4454</v>
      </c>
      <c r="CF726" s="2476">
        <f t="shared" si="382"/>
        <v>0</v>
      </c>
      <c r="CG726" s="2474">
        <v>4454</v>
      </c>
      <c r="CH726" s="2449" t="s">
        <v>1217</v>
      </c>
      <c r="CI726" s="2449"/>
      <c r="CJ726" s="2450"/>
      <c r="CK726" s="2450"/>
      <c r="CO726" s="2477">
        <v>-0.7615626403233049</v>
      </c>
      <c r="CP726" s="2478">
        <f t="shared" si="372"/>
        <v>-3392</v>
      </c>
      <c r="CQ726" s="2478"/>
      <c r="CR726" s="2478"/>
      <c r="CS726" s="2478"/>
      <c r="CT726" s="2478"/>
    </row>
    <row r="727" spans="1:98" hidden="1" x14ac:dyDescent="0.2">
      <c r="A727" s="2395">
        <v>512</v>
      </c>
      <c r="B727" s="2440" t="s">
        <v>1214</v>
      </c>
      <c r="C727" s="2396">
        <v>51205</v>
      </c>
      <c r="D727" s="2396">
        <v>54200</v>
      </c>
      <c r="E727" s="2397" t="s">
        <v>1268</v>
      </c>
      <c r="F727" s="2440" t="s">
        <v>1214</v>
      </c>
      <c r="G727" s="2440" t="s">
        <v>2152</v>
      </c>
      <c r="H727" s="2466">
        <v>663</v>
      </c>
      <c r="I727" s="2470">
        <v>0</v>
      </c>
      <c r="J727" s="2466">
        <f t="shared" si="376"/>
        <v>663</v>
      </c>
      <c r="K727" s="2468">
        <f t="shared" si="377"/>
        <v>0</v>
      </c>
      <c r="M727" s="2467">
        <v>663</v>
      </c>
      <c r="N727" s="2467">
        <v>663</v>
      </c>
      <c r="P727" s="2469"/>
      <c r="R727" s="2466">
        <v>663</v>
      </c>
      <c r="S727" s="2466">
        <v>3746.42</v>
      </c>
      <c r="U727" s="2466">
        <v>663</v>
      </c>
      <c r="V727" s="2470"/>
      <c r="W727" s="2466">
        <f t="shared" si="378"/>
        <v>663</v>
      </c>
      <c r="X727" s="2468">
        <f t="shared" si="379"/>
        <v>0</v>
      </c>
      <c r="Z727" s="2467">
        <v>663</v>
      </c>
      <c r="AA727" s="2467">
        <v>663</v>
      </c>
      <c r="AC727" s="2469"/>
      <c r="AE727" s="2466">
        <v>663</v>
      </c>
      <c r="AF727" s="2471">
        <v>429.94</v>
      </c>
      <c r="AH727" s="2466">
        <v>663</v>
      </c>
      <c r="AI727" s="2470"/>
      <c r="AJ727" s="2466">
        <f t="shared" si="380"/>
        <v>663</v>
      </c>
      <c r="AK727" s="2468">
        <f t="shared" si="381"/>
        <v>0</v>
      </c>
      <c r="AM727" s="2467">
        <v>663</v>
      </c>
      <c r="AN727" s="2467">
        <v>663</v>
      </c>
      <c r="AP727" s="2469"/>
      <c r="AR727" s="2466">
        <v>663</v>
      </c>
      <c r="AS727" s="2466">
        <v>662.92</v>
      </c>
      <c r="AT727" s="2466"/>
      <c r="AU727" s="2466">
        <v>663</v>
      </c>
      <c r="AV727" s="2466">
        <v>184.72</v>
      </c>
      <c r="AX727" s="2466">
        <v>663</v>
      </c>
      <c r="AY727" s="2470"/>
      <c r="AZ727" s="2466">
        <f t="shared" si="383"/>
        <v>663</v>
      </c>
      <c r="BA727" s="2468">
        <f t="shared" si="384"/>
        <v>0</v>
      </c>
      <c r="BC727" s="2467">
        <v>663</v>
      </c>
      <c r="BD727" s="2467">
        <v>663</v>
      </c>
      <c r="BF727" s="2469"/>
      <c r="BH727" s="2467">
        <v>663</v>
      </c>
      <c r="BI727" s="2466">
        <v>491.53</v>
      </c>
      <c r="BM727" s="2466">
        <v>663</v>
      </c>
      <c r="BN727" s="2470"/>
      <c r="BO727" s="2472">
        <f t="shared" si="385"/>
        <v>663</v>
      </c>
      <c r="BP727" s="2473">
        <f t="shared" si="386"/>
        <v>0</v>
      </c>
      <c r="BR727" s="2474">
        <v>663</v>
      </c>
      <c r="BS727" s="2474">
        <v>663</v>
      </c>
      <c r="BU727" s="2475"/>
      <c r="BW727" s="2474">
        <v>663</v>
      </c>
      <c r="BX727" s="2466">
        <v>223.18</v>
      </c>
      <c r="BZ727" s="2474">
        <v>663</v>
      </c>
      <c r="CA727" s="2470"/>
      <c r="CB727" s="2472">
        <f t="shared" si="387"/>
        <v>663</v>
      </c>
      <c r="CC727" s="2473">
        <f t="shared" si="388"/>
        <v>0</v>
      </c>
      <c r="CE727" s="2474">
        <v>663</v>
      </c>
      <c r="CF727" s="2476">
        <f t="shared" si="382"/>
        <v>0</v>
      </c>
      <c r="CG727" s="2474">
        <v>663</v>
      </c>
      <c r="CH727" s="2449" t="s">
        <v>1217</v>
      </c>
      <c r="CI727" s="2449"/>
      <c r="CJ727" s="2450"/>
      <c r="CK727" s="2450"/>
      <c r="CO727" s="2477">
        <v>-0.25862745098039219</v>
      </c>
      <c r="CP727" s="2478">
        <f t="shared" si="372"/>
        <v>-171.47000000000003</v>
      </c>
      <c r="CQ727" s="2478"/>
      <c r="CR727" s="2478"/>
      <c r="CS727" s="2478"/>
      <c r="CT727" s="2478"/>
    </row>
    <row r="728" spans="1:98" hidden="1" x14ac:dyDescent="0.2">
      <c r="A728" s="2395">
        <v>512</v>
      </c>
      <c r="B728" s="2440" t="s">
        <v>1214</v>
      </c>
      <c r="C728" s="2396">
        <v>51205</v>
      </c>
      <c r="D728" s="2396">
        <v>55400</v>
      </c>
      <c r="E728" s="2397" t="s">
        <v>1268</v>
      </c>
      <c r="F728" s="2440" t="s">
        <v>1214</v>
      </c>
      <c r="G728" s="2440" t="s">
        <v>2153</v>
      </c>
      <c r="H728" s="2466">
        <v>136</v>
      </c>
      <c r="I728" s="2470">
        <v>0</v>
      </c>
      <c r="J728" s="2466">
        <f t="shared" si="376"/>
        <v>136</v>
      </c>
      <c r="K728" s="2468">
        <f t="shared" si="377"/>
        <v>0</v>
      </c>
      <c r="M728" s="2467">
        <v>136</v>
      </c>
      <c r="N728" s="2467">
        <v>136</v>
      </c>
      <c r="P728" s="2469"/>
      <c r="R728" s="2466">
        <v>136</v>
      </c>
      <c r="S728" s="2466">
        <v>0</v>
      </c>
      <c r="U728" s="2466">
        <v>136</v>
      </c>
      <c r="V728" s="2470"/>
      <c r="W728" s="2466">
        <f t="shared" si="378"/>
        <v>136</v>
      </c>
      <c r="X728" s="2468">
        <f t="shared" si="379"/>
        <v>0</v>
      </c>
      <c r="Z728" s="2467">
        <v>136</v>
      </c>
      <c r="AA728" s="2467">
        <v>136</v>
      </c>
      <c r="AC728" s="2469"/>
      <c r="AE728" s="2466">
        <v>136</v>
      </c>
      <c r="AF728" s="2471">
        <v>380.98</v>
      </c>
      <c r="AH728" s="2466">
        <v>136</v>
      </c>
      <c r="AI728" s="2470"/>
      <c r="AJ728" s="2466">
        <f t="shared" si="380"/>
        <v>136</v>
      </c>
      <c r="AK728" s="2468">
        <f t="shared" si="381"/>
        <v>0</v>
      </c>
      <c r="AM728" s="2467">
        <v>136</v>
      </c>
      <c r="AN728" s="2467">
        <v>136</v>
      </c>
      <c r="AP728" s="2469"/>
      <c r="AR728" s="2466">
        <v>136</v>
      </c>
      <c r="AS728" s="2466">
        <v>430.79</v>
      </c>
      <c r="AT728" s="2466"/>
      <c r="AU728" s="2466">
        <v>136</v>
      </c>
      <c r="AV728" s="2466">
        <v>0</v>
      </c>
      <c r="AX728" s="2466">
        <v>136</v>
      </c>
      <c r="AY728" s="2470"/>
      <c r="AZ728" s="2466">
        <f t="shared" si="383"/>
        <v>136</v>
      </c>
      <c r="BA728" s="2468">
        <f t="shared" si="384"/>
        <v>0</v>
      </c>
      <c r="BC728" s="2467">
        <v>136</v>
      </c>
      <c r="BD728" s="2467">
        <v>136</v>
      </c>
      <c r="BF728" s="2469"/>
      <c r="BH728" s="2467">
        <v>136</v>
      </c>
      <c r="BI728" s="2466">
        <v>875.75</v>
      </c>
      <c r="BM728" s="2466">
        <v>136</v>
      </c>
      <c r="BN728" s="2470"/>
      <c r="BO728" s="2472">
        <f t="shared" si="385"/>
        <v>136</v>
      </c>
      <c r="BP728" s="2473">
        <f t="shared" si="386"/>
        <v>0</v>
      </c>
      <c r="BR728" s="2474">
        <v>136</v>
      </c>
      <c r="BS728" s="2474">
        <v>136</v>
      </c>
      <c r="BU728" s="2475"/>
      <c r="BW728" s="2474">
        <v>136</v>
      </c>
      <c r="BX728" s="2466">
        <v>8.99</v>
      </c>
      <c r="BZ728" s="2474">
        <v>136</v>
      </c>
      <c r="CA728" s="2470"/>
      <c r="CB728" s="2472">
        <f t="shared" si="387"/>
        <v>136</v>
      </c>
      <c r="CC728" s="2473">
        <f t="shared" si="388"/>
        <v>0</v>
      </c>
      <c r="CE728" s="2474">
        <v>136</v>
      </c>
      <c r="CF728" s="2476">
        <f t="shared" si="382"/>
        <v>0</v>
      </c>
      <c r="CG728" s="2474">
        <v>136</v>
      </c>
      <c r="CH728" s="2449" t="s">
        <v>1217</v>
      </c>
      <c r="CI728" s="2449"/>
      <c r="CJ728" s="2450"/>
      <c r="CK728" s="2450"/>
      <c r="CO728" s="2477">
        <v>5.4393382352941178</v>
      </c>
      <c r="CP728" s="2478">
        <f t="shared" si="372"/>
        <v>739.75</v>
      </c>
      <c r="CQ728" s="2478"/>
      <c r="CR728" s="2478"/>
      <c r="CS728" s="2478"/>
      <c r="CT728" s="2478"/>
    </row>
    <row r="729" spans="1:98" hidden="1" x14ac:dyDescent="0.2">
      <c r="A729" s="2395">
        <v>512</v>
      </c>
      <c r="B729" s="2440" t="s">
        <v>1214</v>
      </c>
      <c r="C729" s="2396">
        <v>51205</v>
      </c>
      <c r="D729" s="2396">
        <v>57100</v>
      </c>
      <c r="E729" s="2397" t="s">
        <v>1268</v>
      </c>
      <c r="F729" s="2440" t="s">
        <v>1214</v>
      </c>
      <c r="G729" s="2440" t="s">
        <v>2154</v>
      </c>
      <c r="H729" s="2466">
        <v>612</v>
      </c>
      <c r="I729" s="2470">
        <v>88</v>
      </c>
      <c r="J729" s="2466">
        <f t="shared" si="376"/>
        <v>700</v>
      </c>
      <c r="K729" s="2468">
        <f t="shared" si="377"/>
        <v>0.1437908496732026</v>
      </c>
      <c r="M729" s="2467">
        <v>700</v>
      </c>
      <c r="N729" s="2467">
        <v>700</v>
      </c>
      <c r="P729" s="2469"/>
      <c r="R729" s="2466">
        <v>700</v>
      </c>
      <c r="S729" s="2466">
        <v>3546.49</v>
      </c>
      <c r="U729" s="2466">
        <v>700</v>
      </c>
      <c r="V729" s="2470"/>
      <c r="W729" s="2466">
        <f t="shared" si="378"/>
        <v>700</v>
      </c>
      <c r="X729" s="2468">
        <f t="shared" si="379"/>
        <v>0</v>
      </c>
      <c r="Z729" s="2467">
        <v>700</v>
      </c>
      <c r="AA729" s="2467">
        <v>700</v>
      </c>
      <c r="AC729" s="2469"/>
      <c r="AE729" s="2466">
        <v>700</v>
      </c>
      <c r="AF729" s="2471">
        <v>1405.38</v>
      </c>
      <c r="AH729" s="2466">
        <v>700</v>
      </c>
      <c r="AI729" s="2470"/>
      <c r="AJ729" s="2466">
        <f t="shared" si="380"/>
        <v>700</v>
      </c>
      <c r="AK729" s="2468">
        <f t="shared" si="381"/>
        <v>0</v>
      </c>
      <c r="AM729" s="2467">
        <v>700</v>
      </c>
      <c r="AN729" s="2467">
        <v>700</v>
      </c>
      <c r="AP729" s="2469"/>
      <c r="AR729" s="2466">
        <v>700</v>
      </c>
      <c r="AS729" s="2466">
        <v>549.32000000000005</v>
      </c>
      <c r="AT729" s="2466"/>
      <c r="AU729" s="2466">
        <v>700</v>
      </c>
      <c r="AV729" s="2466">
        <v>428.73</v>
      </c>
      <c r="AX729" s="2466">
        <v>700</v>
      </c>
      <c r="AY729" s="2470"/>
      <c r="AZ729" s="2466">
        <f t="shared" si="383"/>
        <v>700</v>
      </c>
      <c r="BA729" s="2468">
        <f t="shared" si="384"/>
        <v>0</v>
      </c>
      <c r="BC729" s="2467">
        <v>700</v>
      </c>
      <c r="BD729" s="2467">
        <v>700</v>
      </c>
      <c r="BF729" s="2469"/>
      <c r="BH729" s="2467">
        <v>700</v>
      </c>
      <c r="BI729" s="2466">
        <v>332.3</v>
      </c>
      <c r="BM729" s="2466">
        <v>700</v>
      </c>
      <c r="BN729" s="2470"/>
      <c r="BO729" s="2472">
        <f t="shared" si="385"/>
        <v>700</v>
      </c>
      <c r="BP729" s="2473">
        <f t="shared" si="386"/>
        <v>0</v>
      </c>
      <c r="BR729" s="2474">
        <v>700</v>
      </c>
      <c r="BS729" s="2474">
        <v>700</v>
      </c>
      <c r="BU729" s="2475"/>
      <c r="BW729" s="2474">
        <v>700</v>
      </c>
      <c r="BX729" s="2466">
        <v>101.13</v>
      </c>
      <c r="BZ729" s="2474">
        <v>700</v>
      </c>
      <c r="CA729" s="2470"/>
      <c r="CB729" s="2472">
        <f t="shared" si="387"/>
        <v>700</v>
      </c>
      <c r="CC729" s="2473">
        <f t="shared" si="388"/>
        <v>0</v>
      </c>
      <c r="CE729" s="2474">
        <v>700</v>
      </c>
      <c r="CF729" s="2476">
        <f t="shared" si="382"/>
        <v>0</v>
      </c>
      <c r="CG729" s="2474">
        <v>700</v>
      </c>
      <c r="CH729" s="2449" t="s">
        <v>1217</v>
      </c>
      <c r="CI729" s="2449"/>
      <c r="CJ729" s="2450"/>
      <c r="CK729" s="2450"/>
      <c r="CO729" s="2477">
        <v>-0.52528571428571424</v>
      </c>
      <c r="CP729" s="2478">
        <f t="shared" si="372"/>
        <v>-367.7</v>
      </c>
      <c r="CQ729" s="2478"/>
      <c r="CR729" s="2478"/>
      <c r="CS729" s="2478"/>
      <c r="CT729" s="2478"/>
    </row>
    <row r="730" spans="1:98" hidden="1" x14ac:dyDescent="0.2">
      <c r="A730" s="2395">
        <v>512</v>
      </c>
      <c r="B730" s="2440" t="s">
        <v>1214</v>
      </c>
      <c r="C730" s="2396">
        <v>51205</v>
      </c>
      <c r="D730" s="2396">
        <v>57300</v>
      </c>
      <c r="E730" s="2397" t="s">
        <v>1268</v>
      </c>
      <c r="F730" s="2440" t="s">
        <v>1214</v>
      </c>
      <c r="G730" s="2440" t="s">
        <v>2155</v>
      </c>
      <c r="H730" s="2466">
        <v>424</v>
      </c>
      <c r="I730" s="2470"/>
      <c r="J730" s="2466">
        <f t="shared" si="376"/>
        <v>424</v>
      </c>
      <c r="K730" s="2468">
        <f t="shared" si="377"/>
        <v>0</v>
      </c>
      <c r="M730" s="2467">
        <v>424</v>
      </c>
      <c r="N730" s="2467">
        <v>424</v>
      </c>
      <c r="P730" s="2469"/>
      <c r="R730" s="2466">
        <v>424</v>
      </c>
      <c r="S730" s="2466">
        <v>530</v>
      </c>
      <c r="U730" s="2466">
        <v>424</v>
      </c>
      <c r="V730" s="2470"/>
      <c r="W730" s="2466">
        <f t="shared" si="378"/>
        <v>424</v>
      </c>
      <c r="X730" s="2468">
        <f t="shared" si="379"/>
        <v>0</v>
      </c>
      <c r="Z730" s="2467">
        <v>424</v>
      </c>
      <c r="AA730" s="2467">
        <v>424</v>
      </c>
      <c r="AC730" s="2469"/>
      <c r="AE730" s="2466">
        <v>424</v>
      </c>
      <c r="AF730" s="2471">
        <v>316</v>
      </c>
      <c r="AH730" s="2466">
        <v>424</v>
      </c>
      <c r="AI730" s="2470"/>
      <c r="AJ730" s="2466">
        <f t="shared" si="380"/>
        <v>424</v>
      </c>
      <c r="AK730" s="2468">
        <f t="shared" si="381"/>
        <v>0</v>
      </c>
      <c r="AM730" s="2467">
        <v>424</v>
      </c>
      <c r="AN730" s="2467">
        <v>424</v>
      </c>
      <c r="AP730" s="2469"/>
      <c r="AR730" s="2466">
        <v>424</v>
      </c>
      <c r="AS730" s="2466">
        <v>626.08000000000004</v>
      </c>
      <c r="AT730" s="2466"/>
      <c r="AU730" s="2466">
        <v>424</v>
      </c>
      <c r="AV730" s="2466">
        <v>270</v>
      </c>
      <c r="AX730" s="2466">
        <v>424</v>
      </c>
      <c r="AY730" s="2470"/>
      <c r="AZ730" s="2466">
        <f t="shared" si="383"/>
        <v>424</v>
      </c>
      <c r="BA730" s="2468">
        <f t="shared" si="384"/>
        <v>0</v>
      </c>
      <c r="BC730" s="2467">
        <v>424</v>
      </c>
      <c r="BD730" s="2467">
        <v>424</v>
      </c>
      <c r="BF730" s="2469"/>
      <c r="BH730" s="2467">
        <v>424</v>
      </c>
      <c r="BI730" s="2466">
        <v>605.48</v>
      </c>
      <c r="BM730" s="2466">
        <v>424</v>
      </c>
      <c r="BN730" s="2470"/>
      <c r="BO730" s="2472">
        <f t="shared" si="385"/>
        <v>424</v>
      </c>
      <c r="BP730" s="2473">
        <f t="shared" si="386"/>
        <v>0</v>
      </c>
      <c r="BR730" s="2474">
        <v>424</v>
      </c>
      <c r="BS730" s="2474">
        <v>424</v>
      </c>
      <c r="BU730" s="2475"/>
      <c r="BW730" s="2474">
        <v>424</v>
      </c>
      <c r="BX730" s="2466">
        <v>110</v>
      </c>
      <c r="BZ730" s="2474">
        <v>424</v>
      </c>
      <c r="CA730" s="2470"/>
      <c r="CB730" s="2472">
        <f t="shared" si="387"/>
        <v>424</v>
      </c>
      <c r="CC730" s="2473">
        <f t="shared" si="388"/>
        <v>0</v>
      </c>
      <c r="CE730" s="2474">
        <v>424</v>
      </c>
      <c r="CF730" s="2476">
        <f t="shared" si="382"/>
        <v>0</v>
      </c>
      <c r="CG730" s="2474">
        <v>424</v>
      </c>
      <c r="CH730" s="2449" t="s">
        <v>1217</v>
      </c>
      <c r="CI730" s="2449"/>
      <c r="CJ730" s="2450"/>
      <c r="CK730" s="2450"/>
      <c r="CO730" s="2477">
        <v>0.42801886792452826</v>
      </c>
      <c r="CP730" s="2478">
        <f t="shared" si="372"/>
        <v>181.48000000000002</v>
      </c>
      <c r="CQ730" s="2478"/>
      <c r="CR730" s="2478"/>
      <c r="CS730" s="2478"/>
      <c r="CT730" s="2478"/>
    </row>
    <row r="731" spans="1:98" hidden="1" x14ac:dyDescent="0.2">
      <c r="A731" s="2395">
        <v>512</v>
      </c>
      <c r="B731" s="2440" t="s">
        <v>1214</v>
      </c>
      <c r="C731" s="2396">
        <v>51205</v>
      </c>
      <c r="D731" s="2396">
        <v>57800</v>
      </c>
      <c r="E731" s="2397" t="s">
        <v>1268</v>
      </c>
      <c r="F731" s="2440" t="s">
        <v>1214</v>
      </c>
      <c r="G731" s="2440" t="s">
        <v>2156</v>
      </c>
      <c r="H731" s="2466">
        <v>106</v>
      </c>
      <c r="I731" s="2470">
        <v>94</v>
      </c>
      <c r="J731" s="2466">
        <f t="shared" si="376"/>
        <v>200</v>
      </c>
      <c r="K731" s="2468">
        <f t="shared" si="377"/>
        <v>0.8867924528301887</v>
      </c>
      <c r="M731" s="2467">
        <v>200</v>
      </c>
      <c r="N731" s="2467">
        <v>200</v>
      </c>
      <c r="P731" s="2469"/>
      <c r="R731" s="2466">
        <v>200</v>
      </c>
      <c r="S731" s="2466">
        <v>1100.3800000000001</v>
      </c>
      <c r="U731" s="2466">
        <v>200</v>
      </c>
      <c r="V731" s="2470"/>
      <c r="W731" s="2466">
        <f t="shared" si="378"/>
        <v>200</v>
      </c>
      <c r="X731" s="2468">
        <f t="shared" si="379"/>
        <v>0</v>
      </c>
      <c r="Z731" s="2467">
        <v>200</v>
      </c>
      <c r="AA731" s="2467">
        <v>200</v>
      </c>
      <c r="AC731" s="2469"/>
      <c r="AE731" s="2466">
        <v>200</v>
      </c>
      <c r="AF731" s="2471">
        <v>2422.0500000000002</v>
      </c>
      <c r="AH731" s="2466">
        <v>200</v>
      </c>
      <c r="AI731" s="2470"/>
      <c r="AJ731" s="2466">
        <f t="shared" si="380"/>
        <v>200</v>
      </c>
      <c r="AK731" s="2468">
        <f t="shared" si="381"/>
        <v>0</v>
      </c>
      <c r="AM731" s="2467">
        <v>200</v>
      </c>
      <c r="AN731" s="2467">
        <v>200</v>
      </c>
      <c r="AP731" s="2469"/>
      <c r="AR731" s="2466">
        <v>200</v>
      </c>
      <c r="AS731" s="2466">
        <v>4495.82</v>
      </c>
      <c r="AT731" s="2466"/>
      <c r="AU731" s="2466">
        <v>200</v>
      </c>
      <c r="AV731" s="2466">
        <v>250</v>
      </c>
      <c r="AX731" s="2466">
        <v>200</v>
      </c>
      <c r="AY731" s="2470"/>
      <c r="AZ731" s="2466">
        <f t="shared" si="383"/>
        <v>200</v>
      </c>
      <c r="BA731" s="2468">
        <f t="shared" si="384"/>
        <v>0</v>
      </c>
      <c r="BC731" s="2467">
        <v>200</v>
      </c>
      <c r="BD731" s="2467">
        <v>200</v>
      </c>
      <c r="BF731" s="2469"/>
      <c r="BH731" s="2467">
        <v>200</v>
      </c>
      <c r="BI731" s="2466">
        <v>37.47</v>
      </c>
      <c r="BM731" s="2466">
        <v>200</v>
      </c>
      <c r="BN731" s="2470"/>
      <c r="BO731" s="2472">
        <f t="shared" si="385"/>
        <v>200</v>
      </c>
      <c r="BP731" s="2473">
        <f t="shared" si="386"/>
        <v>0</v>
      </c>
      <c r="BR731" s="2474">
        <v>200</v>
      </c>
      <c r="BS731" s="2474">
        <v>200</v>
      </c>
      <c r="BU731" s="2475"/>
      <c r="BW731" s="2474">
        <v>200</v>
      </c>
      <c r="BZ731" s="2474">
        <v>200</v>
      </c>
      <c r="CA731" s="2470"/>
      <c r="CB731" s="2472">
        <f t="shared" si="387"/>
        <v>200</v>
      </c>
      <c r="CC731" s="2473">
        <f t="shared" si="388"/>
        <v>0</v>
      </c>
      <c r="CE731" s="2474">
        <v>200</v>
      </c>
      <c r="CF731" s="2476">
        <f t="shared" si="382"/>
        <v>0</v>
      </c>
      <c r="CG731" s="2474">
        <v>200</v>
      </c>
      <c r="CH731" s="2449" t="s">
        <v>1217</v>
      </c>
      <c r="CI731" s="2449"/>
      <c r="CJ731" s="2450"/>
      <c r="CK731" s="2450"/>
      <c r="CO731" s="2477">
        <v>-0.81264999999999998</v>
      </c>
      <c r="CP731" s="2478">
        <f t="shared" si="372"/>
        <v>-162.53</v>
      </c>
      <c r="CQ731" s="2478"/>
      <c r="CR731" s="2478"/>
      <c r="CS731" s="2478"/>
      <c r="CT731" s="2478"/>
    </row>
    <row r="732" spans="1:98" s="2485" customFormat="1" hidden="1" x14ac:dyDescent="0.2">
      <c r="A732" s="2532"/>
      <c r="B732" s="2533"/>
      <c r="C732" s="2534"/>
      <c r="D732" s="2534"/>
      <c r="E732" s="2535"/>
      <c r="F732" s="2533"/>
      <c r="G732" s="2654" t="s">
        <v>2157</v>
      </c>
      <c r="H732" s="2536">
        <f>SUM(H719:H731)</f>
        <v>18702</v>
      </c>
      <c r="I732" s="2536">
        <f>SUM(I719:I731)</f>
        <v>1506</v>
      </c>
      <c r="J732" s="2536">
        <f>SUM(J719:J731)</f>
        <v>20208</v>
      </c>
      <c r="K732" s="2484">
        <f>IF(H732=0," ",(J732-H732)/H732)</f>
        <v>8.0526146936156562E-2</v>
      </c>
      <c r="M732" s="2536">
        <f>SUM(M719:M731)</f>
        <v>20208</v>
      </c>
      <c r="N732" s="2536">
        <f>SUM(N719:N731)</f>
        <v>20208</v>
      </c>
      <c r="P732" s="2537">
        <f>SUM(P719:P731)</f>
        <v>0</v>
      </c>
      <c r="R732" s="2536">
        <f>SUM(R719:R731)</f>
        <v>20208</v>
      </c>
      <c r="S732" s="2536">
        <f>SUM(S719:S731)</f>
        <v>19666.820000000003</v>
      </c>
      <c r="U732" s="2536">
        <f>SUM(U719:U731)</f>
        <v>20208</v>
      </c>
      <c r="V732" s="2536">
        <f>SUM(V719:V731)</f>
        <v>0</v>
      </c>
      <c r="W732" s="2536">
        <f>SUM(W719:W731)</f>
        <v>20208</v>
      </c>
      <c r="X732" s="2484">
        <f>IF(U732=0," ",(W732-U732)/U732)</f>
        <v>0</v>
      </c>
      <c r="Z732" s="2536">
        <f>SUM(Z719:Z731)</f>
        <v>20208</v>
      </c>
      <c r="AA732" s="2536">
        <f>SUM(AA719:AA731)</f>
        <v>20208</v>
      </c>
      <c r="AC732" s="2537"/>
      <c r="AE732" s="2536">
        <f>SUM(AE719:AE731)</f>
        <v>20208</v>
      </c>
      <c r="AF732" s="2538">
        <f>SUM(AF719:AF731)</f>
        <v>20617.330000000002</v>
      </c>
      <c r="AH732" s="2536">
        <f>SUM(AH719:AH731)</f>
        <v>20208</v>
      </c>
      <c r="AI732" s="2536">
        <f>SUM(AI719:AI731)</f>
        <v>0</v>
      </c>
      <c r="AJ732" s="2536">
        <f>SUM(AJ719:AJ731)</f>
        <v>20208</v>
      </c>
      <c r="AK732" s="2484">
        <f>IF(AH732=0," ",(AJ732-AH732)/AH732)</f>
        <v>0</v>
      </c>
      <c r="AM732" s="2536">
        <f>SUM(AM719:AM731)</f>
        <v>20208</v>
      </c>
      <c r="AN732" s="2536">
        <f>SUM(AN719:AN731)</f>
        <v>20208</v>
      </c>
      <c r="AP732" s="2537"/>
      <c r="AR732" s="2536">
        <f>SUM(AR719:AR731)</f>
        <v>20208</v>
      </c>
      <c r="AS732" s="2536">
        <f>SUM(AS719:AS731)</f>
        <v>22943.230000000003</v>
      </c>
      <c r="AT732" s="2536"/>
      <c r="AU732" s="2536">
        <f>SUM(AU719:AU731)</f>
        <v>26586</v>
      </c>
      <c r="AV732" s="2536">
        <f>SUM(AV719:AV731)</f>
        <v>23215.06</v>
      </c>
      <c r="AX732" s="2536">
        <f>SUM(AX719:AX731)</f>
        <v>26586</v>
      </c>
      <c r="AY732" s="2536">
        <f>SUM(AY719:AY731)</f>
        <v>0</v>
      </c>
      <c r="AZ732" s="2536">
        <f>SUM(AZ719:AZ731)</f>
        <v>26586</v>
      </c>
      <c r="BA732" s="2484">
        <f>IF(AX732=0," ",(AZ732-AX732)/AX732)</f>
        <v>0</v>
      </c>
      <c r="BC732" s="2536">
        <f>SUM(BC719:BC731)</f>
        <v>26586</v>
      </c>
      <c r="BD732" s="2536">
        <f>SUM(BD719:BD731)</f>
        <v>36076</v>
      </c>
      <c r="BF732" s="2537"/>
      <c r="BH732" s="2536">
        <f>SUM(BH719:BH731)</f>
        <v>36076</v>
      </c>
      <c r="BI732" s="2536">
        <f>SUM(BI719:BI731)</f>
        <v>22069.38</v>
      </c>
      <c r="BJ732" s="2536"/>
      <c r="BK732" s="2536"/>
      <c r="BM732" s="2536">
        <f>SUM(BM719:BM731)</f>
        <v>36076</v>
      </c>
      <c r="BN732" s="2536">
        <f>SUM(BN719:BN731)</f>
        <v>500</v>
      </c>
      <c r="BO732" s="2536">
        <f>SUM(BO719:BO731)</f>
        <v>36576</v>
      </c>
      <c r="BP732" s="2490">
        <f>IF(BM732=0," ",(BO732-BM732)/BM732)</f>
        <v>1.3859629670695199E-2</v>
      </c>
      <c r="BQ732" s="2491"/>
      <c r="BR732" s="2536">
        <f>SUM(BR719:BR731)</f>
        <v>36576</v>
      </c>
      <c r="BS732" s="2536">
        <f>SUM(BS719:BS731)</f>
        <v>36576</v>
      </c>
      <c r="BT732" s="2491"/>
      <c r="BU732" s="2541"/>
      <c r="BV732" s="2491"/>
      <c r="BW732" s="2536">
        <f>SUM(BW719:BW731)</f>
        <v>36576</v>
      </c>
      <c r="BX732" s="2536">
        <f>SUM(BX719:BX731)</f>
        <v>13413.839999999998</v>
      </c>
      <c r="BZ732" s="2536">
        <f>SUM(BZ719:BZ731)</f>
        <v>36576</v>
      </c>
      <c r="CA732" s="2536">
        <f>SUM(CA719:CA731)</f>
        <v>0</v>
      </c>
      <c r="CB732" s="2536">
        <f>SUM(CB719:CB731)</f>
        <v>36576</v>
      </c>
      <c r="CC732" s="2490">
        <f>IF(BZ732=0," ",(CB732-BZ732)/BZ732)</f>
        <v>0</v>
      </c>
      <c r="CD732" s="2491"/>
      <c r="CE732" s="2536">
        <f>SUM(CE719:CE731)</f>
        <v>36576</v>
      </c>
      <c r="CF732" s="2490">
        <f t="shared" si="382"/>
        <v>0</v>
      </c>
      <c r="CG732" s="2536">
        <f>SUM(CG719:CG731)</f>
        <v>36576</v>
      </c>
      <c r="CH732" s="2449" t="s">
        <v>1220</v>
      </c>
      <c r="CI732" s="2449"/>
      <c r="CJ732" s="2450"/>
      <c r="CK732" s="2450"/>
      <c r="CL732" s="2451"/>
      <c r="CM732" s="2451"/>
      <c r="CN732" s="2451"/>
      <c r="CO732" s="2477">
        <v>-0.38825313227630553</v>
      </c>
      <c r="CP732" s="2478">
        <f t="shared" si="372"/>
        <v>-14006.619999999999</v>
      </c>
      <c r="CQ732" s="2478"/>
      <c r="CR732" s="2478"/>
      <c r="CS732" s="2478"/>
      <c r="CT732" s="2478"/>
    </row>
    <row r="733" spans="1:98" ht="9.9499999999999993" hidden="1" customHeight="1" x14ac:dyDescent="0.2">
      <c r="AS733" s="2466"/>
      <c r="AT733" s="2466"/>
      <c r="BZ733" s="2472"/>
      <c r="CA733" s="2472"/>
      <c r="CH733" s="2449" t="s">
        <v>1091</v>
      </c>
      <c r="CI733" s="2449"/>
      <c r="CJ733" s="2450"/>
      <c r="CK733" s="2450"/>
      <c r="CP733" s="2478">
        <f t="shared" si="372"/>
        <v>0</v>
      </c>
      <c r="CQ733" s="2478"/>
      <c r="CR733" s="2478"/>
      <c r="CS733" s="2478"/>
      <c r="CT733" s="2478"/>
    </row>
    <row r="734" spans="1:98" x14ac:dyDescent="0.2">
      <c r="A734" s="2495"/>
      <c r="B734" s="2496"/>
      <c r="C734" s="2497"/>
      <c r="D734" s="2497"/>
      <c r="E734" s="2498"/>
      <c r="F734" s="2496"/>
      <c r="G734" s="2499" t="s">
        <v>2158</v>
      </c>
      <c r="H734" s="2500">
        <f>H717+H732</f>
        <v>113827</v>
      </c>
      <c r="I734" s="2500">
        <f>I717+I732</f>
        <v>2105</v>
      </c>
      <c r="J734" s="2500">
        <f>J717+J732</f>
        <v>115932</v>
      </c>
      <c r="K734" s="2501">
        <f>IF(H734=0," ",(J734-H734)/H734)</f>
        <v>1.8492976183155138E-2</v>
      </c>
      <c r="M734" s="2500">
        <f>M717+M732</f>
        <v>115932</v>
      </c>
      <c r="N734" s="2500">
        <f>N717+N732</f>
        <v>115932</v>
      </c>
      <c r="P734" s="2502">
        <f>P717+P732</f>
        <v>0</v>
      </c>
      <c r="R734" s="2500">
        <f>R717+R732</f>
        <v>115932</v>
      </c>
      <c r="S734" s="2500">
        <f>S717+S732</f>
        <v>112957.79000000001</v>
      </c>
      <c r="U734" s="2500">
        <f>U717+U732</f>
        <v>115932</v>
      </c>
      <c r="V734" s="2500">
        <f>V717+V732</f>
        <v>3422</v>
      </c>
      <c r="W734" s="2500">
        <f>W717+W732</f>
        <v>119354</v>
      </c>
      <c r="X734" s="2501">
        <f>IF(U734=0," ",(W734-U734)/U734)</f>
        <v>2.9517303246730842E-2</v>
      </c>
      <c r="Z734" s="2500">
        <f>Z717+Z732</f>
        <v>119354</v>
      </c>
      <c r="AA734" s="2500">
        <f>AA717+AA732</f>
        <v>119354</v>
      </c>
      <c r="AC734" s="2502"/>
      <c r="AE734" s="2500">
        <f>AE717+AE732</f>
        <v>119354</v>
      </c>
      <c r="AF734" s="2503">
        <f>AF717+AF732</f>
        <v>105476.88</v>
      </c>
      <c r="AH734" s="2500">
        <v>119354</v>
      </c>
      <c r="AI734" s="2500">
        <f>AI717+AI732</f>
        <v>4025</v>
      </c>
      <c r="AJ734" s="2500">
        <f>AJ717+AJ732</f>
        <v>123379</v>
      </c>
      <c r="AK734" s="2501">
        <f>IF(AH734=0," ",(AJ734-AH734)/AH734)</f>
        <v>3.372320994688071E-2</v>
      </c>
      <c r="AM734" s="2500">
        <f>AM717+AM732</f>
        <v>123379</v>
      </c>
      <c r="AN734" s="2500">
        <f>AN717+AN732</f>
        <v>123379</v>
      </c>
      <c r="AP734" s="2502"/>
      <c r="AR734" s="2500">
        <f>AR717+AR732</f>
        <v>123379</v>
      </c>
      <c r="AS734" s="2500">
        <f>AS717+AS732</f>
        <v>109414.29000000001</v>
      </c>
      <c r="AT734" s="2500"/>
      <c r="AU734" s="2500">
        <f>AU717+AU732</f>
        <v>119400</v>
      </c>
      <c r="AV734" s="2500">
        <f>AV717+AV732</f>
        <v>116273.65999999999</v>
      </c>
      <c r="AX734" s="2500">
        <f>AX717+AX732</f>
        <v>119400</v>
      </c>
      <c r="AY734" s="2500">
        <f>AY717+AY732</f>
        <v>1862</v>
      </c>
      <c r="AZ734" s="2500">
        <f>AZ717+AZ732</f>
        <v>121262</v>
      </c>
      <c r="BA734" s="2501">
        <f>IF(AX734=0," ",(AZ734-AX734)/AX734)</f>
        <v>1.559463986599665E-2</v>
      </c>
      <c r="BC734" s="2500">
        <f>BC717+BC732</f>
        <v>121262</v>
      </c>
      <c r="BD734" s="2500">
        <f>BD717+BD732</f>
        <v>133729</v>
      </c>
      <c r="BF734" s="2502"/>
      <c r="BH734" s="2500">
        <f>BH717+BH732</f>
        <v>134729</v>
      </c>
      <c r="BI734" s="2500">
        <f>BI717+BI732</f>
        <v>120394.41</v>
      </c>
      <c r="BJ734" s="2500"/>
      <c r="BK734" s="2500"/>
      <c r="BM734" s="2500">
        <f>BM717+BM732</f>
        <v>134729</v>
      </c>
      <c r="BN734" s="2504">
        <f>BN717+BN732</f>
        <v>2353</v>
      </c>
      <c r="BO734" s="2505">
        <f>BO717+BO732</f>
        <v>137082</v>
      </c>
      <c r="BP734" s="2506">
        <f>IF(BM734=0," ",(BO734-BM734)/BM734)</f>
        <v>1.7464688374440544E-2</v>
      </c>
      <c r="BR734" s="2505">
        <f>BR717+BR732</f>
        <v>137082</v>
      </c>
      <c r="BS734" s="2505">
        <f>BS717+BS732</f>
        <v>137082</v>
      </c>
      <c r="BU734" s="2507"/>
      <c r="BW734" s="2505">
        <f>BW717+BW732</f>
        <v>137082</v>
      </c>
      <c r="BX734" s="2500">
        <f>BX717+BX732</f>
        <v>57098.06</v>
      </c>
      <c r="BZ734" s="2505">
        <f>BZ717+BZ732</f>
        <v>137082</v>
      </c>
      <c r="CA734" s="2505">
        <f>CA717+CA732</f>
        <v>-266</v>
      </c>
      <c r="CB734" s="2505">
        <f>CB717+CB732</f>
        <v>136816</v>
      </c>
      <c r="CC734" s="2506">
        <f>IF(BZ734=0," ",(CB734-BZ734)/BZ734)</f>
        <v>-1.940444405538291E-3</v>
      </c>
      <c r="CE734" s="2505">
        <f>CE717+CE732</f>
        <v>143049</v>
      </c>
      <c r="CF734" s="2506">
        <f>IF(CB734=0," ",(CE734-CB734)/CB734)</f>
        <v>4.5557537130160218E-2</v>
      </c>
      <c r="CG734" s="2505">
        <f>CG717+CG732</f>
        <v>141295</v>
      </c>
      <c r="CH734" s="2449" t="s">
        <v>1222</v>
      </c>
      <c r="CI734" s="2508">
        <f>IF(CG734-CE734=0,"",CG734-CE734)</f>
        <v>-1754</v>
      </c>
      <c r="CJ734" s="2509"/>
      <c r="CK734" s="2509"/>
      <c r="CL734" s="2451" t="str">
        <f>IF(CO734&lt;-1*CM$2,"examine","ignore")</f>
        <v>examine</v>
      </c>
      <c r="CM734" s="2545">
        <f>IF(CL734="examine",CP734+CM$2*CP734/CO734,"")</f>
        <v>-8945.4299999999985</v>
      </c>
      <c r="CN734" s="2545">
        <f>IF(CI734="",CM734,CM734-CI734)</f>
        <v>-7191.4299999999985</v>
      </c>
      <c r="CO734" s="2477">
        <v>-0.10639572772008998</v>
      </c>
      <c r="CP734" s="2510">
        <f t="shared" si="372"/>
        <v>-14334.589999999997</v>
      </c>
      <c r="CQ734" s="2510">
        <f>AV734-AU734</f>
        <v>-3126.3400000000111</v>
      </c>
      <c r="CR734" s="2510">
        <f>AS734-AR734</f>
        <v>-13964.709999999992</v>
      </c>
      <c r="CS734" s="2510">
        <f>AF734-AE734</f>
        <v>-13877.119999999995</v>
      </c>
    </row>
    <row r="735" spans="1:98" ht="20.100000000000001" hidden="1" customHeight="1" x14ac:dyDescent="0.2">
      <c r="AS735" s="2466"/>
      <c r="AT735" s="2466"/>
      <c r="BZ735" s="2472"/>
      <c r="CH735" s="2449" t="s">
        <v>1091</v>
      </c>
      <c r="CI735" s="2449"/>
      <c r="CJ735" s="2450"/>
      <c r="CK735" s="2450"/>
      <c r="CP735" s="2478">
        <f t="shared" si="372"/>
        <v>0</v>
      </c>
      <c r="CQ735" s="2478"/>
      <c r="CR735" s="2478"/>
      <c r="CS735" s="2478"/>
      <c r="CT735" s="2478"/>
    </row>
    <row r="736" spans="1:98" ht="15.75" hidden="1" x14ac:dyDescent="0.2">
      <c r="A736" s="2453" t="s">
        <v>628</v>
      </c>
      <c r="B736" s="2454"/>
      <c r="C736" s="2455"/>
      <c r="D736" s="2455"/>
      <c r="E736" s="2456"/>
      <c r="F736" s="2454"/>
      <c r="G736" s="2454"/>
      <c r="H736" s="2457"/>
      <c r="I736" s="2457"/>
      <c r="J736" s="2457"/>
      <c r="K736" s="2458"/>
      <c r="M736" s="2457"/>
      <c r="N736" s="2457"/>
      <c r="P736" s="2459"/>
      <c r="R736" s="2457"/>
      <c r="S736" s="2457"/>
      <c r="U736" s="2457"/>
      <c r="V736" s="2457"/>
      <c r="W736" s="2457"/>
      <c r="X736" s="2458"/>
      <c r="Z736" s="2457"/>
      <c r="AA736" s="2457"/>
      <c r="AC736" s="2459"/>
      <c r="AE736" s="2457"/>
      <c r="AF736" s="2460"/>
      <c r="AH736" s="2457"/>
      <c r="AI736" s="2457"/>
      <c r="AJ736" s="2457"/>
      <c r="AK736" s="2458"/>
      <c r="AM736" s="2457"/>
      <c r="AN736" s="2457"/>
      <c r="AP736" s="2459"/>
      <c r="AR736" s="2457"/>
      <c r="AS736" s="2457"/>
      <c r="AT736" s="2457"/>
      <c r="AU736" s="2457"/>
      <c r="AV736" s="2457"/>
      <c r="AX736" s="2457"/>
      <c r="AY736" s="2457"/>
      <c r="AZ736" s="2457"/>
      <c r="BA736" s="2458"/>
      <c r="BC736" s="2457"/>
      <c r="BD736" s="2457"/>
      <c r="BF736" s="2461"/>
      <c r="BH736" s="2457"/>
      <c r="BI736" s="2457"/>
      <c r="BJ736" s="2457"/>
      <c r="BK736" s="2457"/>
      <c r="BM736" s="2457"/>
      <c r="BN736" s="2462"/>
      <c r="BO736" s="2463"/>
      <c r="BP736" s="2464"/>
      <c r="BR736" s="2463"/>
      <c r="BS736" s="2463"/>
      <c r="BU736" s="2465"/>
      <c r="BW736" s="2463"/>
      <c r="BX736" s="2457"/>
      <c r="BZ736" s="2463"/>
      <c r="CA736" s="2462"/>
      <c r="CB736" s="2463"/>
      <c r="CC736" s="2464"/>
      <c r="CE736" s="2463"/>
      <c r="CF736" s="2464"/>
      <c r="CG736" s="2463"/>
      <c r="CH736" s="2449" t="s">
        <v>1212</v>
      </c>
      <c r="CI736" s="2449"/>
      <c r="CJ736" s="2450"/>
      <c r="CK736" s="2450"/>
      <c r="CP736" s="2478">
        <f t="shared" si="372"/>
        <v>0</v>
      </c>
      <c r="CQ736" s="2478"/>
      <c r="CR736" s="2478"/>
      <c r="CS736" s="2478"/>
      <c r="CT736" s="2478"/>
    </row>
    <row r="737" spans="1:101" hidden="1" x14ac:dyDescent="0.2">
      <c r="A737" s="2395">
        <v>541</v>
      </c>
      <c r="B737" s="2440" t="s">
        <v>1214</v>
      </c>
      <c r="C737" s="2396">
        <v>54101</v>
      </c>
      <c r="D737" s="2396">
        <v>51120</v>
      </c>
      <c r="E737" s="2397" t="s">
        <v>59</v>
      </c>
      <c r="F737" s="2440" t="s">
        <v>1214</v>
      </c>
      <c r="G737" s="2440" t="s">
        <v>2159</v>
      </c>
      <c r="H737" s="2466">
        <v>56098</v>
      </c>
      <c r="I737" s="2523">
        <v>-2135</v>
      </c>
      <c r="J737" s="2466">
        <f>H737+I737</f>
        <v>53963</v>
      </c>
      <c r="K737" s="2468">
        <f>IF(H737=0," ",(J737-H737)/H737)</f>
        <v>-3.8058397803843277E-2</v>
      </c>
      <c r="M737" s="2520">
        <v>53963</v>
      </c>
      <c r="N737" s="2673">
        <f>53963+7709</f>
        <v>61672</v>
      </c>
      <c r="P737" s="2522" t="s">
        <v>2160</v>
      </c>
      <c r="R737" s="2674">
        <f>53963+7709</f>
        <v>61672</v>
      </c>
      <c r="S737" s="2674">
        <v>61849.9</v>
      </c>
      <c r="U737" s="2674">
        <f>53963+7709</f>
        <v>61672</v>
      </c>
      <c r="V737" s="2523">
        <v>2975</v>
      </c>
      <c r="W737" s="2466">
        <f>U737+V737</f>
        <v>64647</v>
      </c>
      <c r="X737" s="2468">
        <f>IF(U737=0," ",(W737-U737)/U737)</f>
        <v>4.8239071215462448E-2</v>
      </c>
      <c r="Z737" s="2520">
        <v>64647</v>
      </c>
      <c r="AA737" s="2520">
        <v>64647</v>
      </c>
      <c r="AC737" s="2469" t="s">
        <v>2161</v>
      </c>
      <c r="AE737" s="2519">
        <v>64647</v>
      </c>
      <c r="AF737" s="2524">
        <v>64646.400000000001</v>
      </c>
      <c r="AH737" s="2519">
        <v>64647</v>
      </c>
      <c r="AI737" s="2523">
        <v>3599</v>
      </c>
      <c r="AJ737" s="2466">
        <f>AH737+AI737</f>
        <v>68246</v>
      </c>
      <c r="AK737" s="2468">
        <f>IF(AH737=0," ",(AJ737-AH737)/AH737)</f>
        <v>5.5671570219809119E-2</v>
      </c>
      <c r="AM737" s="2467">
        <v>68246</v>
      </c>
      <c r="AN737" s="2467">
        <v>68246</v>
      </c>
      <c r="AP737" s="2469" t="s">
        <v>2162</v>
      </c>
      <c r="AR737" s="2466">
        <v>68246</v>
      </c>
      <c r="AS737" s="2466">
        <v>68245.759999999995</v>
      </c>
      <c r="AT737" s="2466"/>
      <c r="AU737" s="2466">
        <v>69907</v>
      </c>
      <c r="AV737" s="2466">
        <v>58021.32</v>
      </c>
      <c r="AX737" s="2466">
        <v>69907</v>
      </c>
      <c r="AY737" s="2523">
        <v>-522</v>
      </c>
      <c r="AZ737" s="2466">
        <f>AX737+AY737</f>
        <v>69385</v>
      </c>
      <c r="BA737" s="2468">
        <f>IF(AX737=0," ",(AZ737-AX737)/AX737)</f>
        <v>-7.4670633842104511E-3</v>
      </c>
      <c r="BC737" s="2467">
        <v>69385</v>
      </c>
      <c r="BD737" s="2467">
        <v>69385</v>
      </c>
      <c r="BF737" s="2511" t="s">
        <v>2163</v>
      </c>
      <c r="BH737" s="2467">
        <v>69385</v>
      </c>
      <c r="BI737" s="2519">
        <v>69168.25</v>
      </c>
      <c r="BM737" s="2466">
        <v>69385</v>
      </c>
      <c r="BN737" s="2523">
        <v>1378</v>
      </c>
      <c r="BO737" s="2472">
        <f>BM737+BN737</f>
        <v>70763</v>
      </c>
      <c r="BP737" s="2473">
        <f>IF(BM737=0," ",(BO737-BM737)/BM737)</f>
        <v>1.9860200331483752E-2</v>
      </c>
      <c r="BR737" s="2474">
        <v>70763</v>
      </c>
      <c r="BS737" s="2474">
        <v>70763</v>
      </c>
      <c r="BU737" s="2512" t="s">
        <v>2123</v>
      </c>
      <c r="BW737" s="2474">
        <v>70763</v>
      </c>
      <c r="BX737" s="2519">
        <v>34161.120000000003</v>
      </c>
      <c r="BZ737" s="2474">
        <v>70763</v>
      </c>
      <c r="CA737" s="2523">
        <v>3681</v>
      </c>
      <c r="CB737" s="2472">
        <f>BZ737+CA737</f>
        <v>74444</v>
      </c>
      <c r="CC737" s="2473">
        <f>IF(BZ737=0," ",(CB737-BZ737)/BZ737)</f>
        <v>5.2018710342975852E-2</v>
      </c>
      <c r="CE737" s="2474">
        <v>78042</v>
      </c>
      <c r="CF737" s="2476">
        <f>IF(CB737=0," ",(CE737-CB737)/CB737)</f>
        <v>4.8331631830637795E-2</v>
      </c>
      <c r="CG737" s="2474">
        <v>78042</v>
      </c>
      <c r="CH737" s="2449" t="s">
        <v>1217</v>
      </c>
      <c r="CI737" s="2449"/>
      <c r="CJ737" s="2450"/>
      <c r="CK737" s="2450"/>
      <c r="CO737" s="2477">
        <v>-3.1238740361749784E-3</v>
      </c>
      <c r="CP737" s="2478">
        <f t="shared" si="372"/>
        <v>-216.75</v>
      </c>
      <c r="CQ737" s="2478"/>
      <c r="CR737" s="2478"/>
      <c r="CS737" s="2478"/>
      <c r="CT737" s="2478"/>
    </row>
    <row r="738" spans="1:101" hidden="1" x14ac:dyDescent="0.2">
      <c r="H738" s="2560">
        <f>SUM(H737)</f>
        <v>56098</v>
      </c>
      <c r="I738" s="2560">
        <f>SUM(I737)</f>
        <v>-2135</v>
      </c>
      <c r="J738" s="2560">
        <f>SUM(J737)</f>
        <v>53963</v>
      </c>
      <c r="K738" s="2561">
        <f>IF(H738=0," ",(J738-H738)/H738)</f>
        <v>-3.8058397803843277E-2</v>
      </c>
      <c r="M738" s="2560">
        <f>SUM(M737)</f>
        <v>53963</v>
      </c>
      <c r="N738" s="2560">
        <f>SUM(N737)</f>
        <v>61672</v>
      </c>
      <c r="P738" s="2562">
        <f>SUM(P737)</f>
        <v>0</v>
      </c>
      <c r="R738" s="2560">
        <f>SUM(R737)</f>
        <v>61672</v>
      </c>
      <c r="S738" s="2560">
        <f>SUM(S737)</f>
        <v>61849.9</v>
      </c>
      <c r="U738" s="2560">
        <f>SUM(U737)</f>
        <v>61672</v>
      </c>
      <c r="V738" s="2560">
        <f>SUM(V737)</f>
        <v>2975</v>
      </c>
      <c r="W738" s="2560">
        <f>SUM(W737)</f>
        <v>64647</v>
      </c>
      <c r="X738" s="2561">
        <f>IF(U738=0," ",(W738-U738)/U738)</f>
        <v>4.8239071215462448E-2</v>
      </c>
      <c r="Z738" s="2560">
        <f>SUM(Z737)</f>
        <v>64647</v>
      </c>
      <c r="AA738" s="2560">
        <f>SUM(AA737)</f>
        <v>64647</v>
      </c>
      <c r="AC738" s="2562"/>
      <c r="AE738" s="2560">
        <f>SUM(AE737)</f>
        <v>64647</v>
      </c>
      <c r="AF738" s="2563">
        <f>SUM(AF737)</f>
        <v>64646.400000000001</v>
      </c>
      <c r="AH738" s="2560">
        <v>64647</v>
      </c>
      <c r="AI738" s="2560">
        <f>SUM(AI737)</f>
        <v>3599</v>
      </c>
      <c r="AJ738" s="2560">
        <f>SUM(AJ737)</f>
        <v>68246</v>
      </c>
      <c r="AK738" s="2561">
        <f>IF(AH738=0," ",(AJ738-AH738)/AH738)</f>
        <v>5.5671570219809119E-2</v>
      </c>
      <c r="AM738" s="2560">
        <f>SUM(AM737)</f>
        <v>68246</v>
      </c>
      <c r="AN738" s="2560">
        <f>SUM(AN737)</f>
        <v>68246</v>
      </c>
      <c r="AP738" s="2562"/>
      <c r="AR738" s="2560">
        <f>SUM(AR737)</f>
        <v>68246</v>
      </c>
      <c r="AS738" s="2560">
        <f>SUM(AS737)</f>
        <v>68245.759999999995</v>
      </c>
      <c r="AT738" s="2560"/>
      <c r="AU738" s="2560">
        <f>SUM(AU737)</f>
        <v>69907</v>
      </c>
      <c r="AV738" s="2560">
        <f>SUM(AV737)</f>
        <v>58021.32</v>
      </c>
      <c r="AX738" s="2560">
        <f>SUM(AX737)</f>
        <v>69907</v>
      </c>
      <c r="AY738" s="2560">
        <f>SUM(AY737)</f>
        <v>-522</v>
      </c>
      <c r="AZ738" s="2560">
        <f>SUM(AZ737)</f>
        <v>69385</v>
      </c>
      <c r="BA738" s="2561">
        <f>IF(AX738=0," ",(AZ738-AX738)/AX738)</f>
        <v>-7.4670633842104511E-3</v>
      </c>
      <c r="BC738" s="2560">
        <f>SUM(BC737)</f>
        <v>69385</v>
      </c>
      <c r="BD738" s="2560">
        <f>SUM(BD737)</f>
        <v>69385</v>
      </c>
      <c r="BF738" s="2562"/>
      <c r="BH738" s="2560">
        <f>SUM(BH737)</f>
        <v>69385</v>
      </c>
      <c r="BI738" s="2560">
        <f>SUM(BI737)</f>
        <v>69168.25</v>
      </c>
      <c r="BM738" s="2560">
        <f>SUM(BM737)</f>
        <v>69385</v>
      </c>
      <c r="BN738" s="2560">
        <f>SUM(BN737)</f>
        <v>1378</v>
      </c>
      <c r="BO738" s="2564">
        <f>SUM(BO737)</f>
        <v>70763</v>
      </c>
      <c r="BP738" s="2565">
        <f>IF(BM738=0," ",(BO738-BM738)/BM738)</f>
        <v>1.9860200331483752E-2</v>
      </c>
      <c r="BR738" s="2564">
        <f>SUM(BR737)</f>
        <v>70763</v>
      </c>
      <c r="BS738" s="2564">
        <f>SUM(BS737)</f>
        <v>70763</v>
      </c>
      <c r="BU738" s="2566"/>
      <c r="BW738" s="2564">
        <f>SUM(BW737)</f>
        <v>70763</v>
      </c>
      <c r="BX738" s="2560">
        <f>SUM(BX737)</f>
        <v>34161.120000000003</v>
      </c>
      <c r="BZ738" s="2564">
        <f>SUM(BZ737)</f>
        <v>70763</v>
      </c>
      <c r="CA738" s="2564">
        <f>SUM(CA737)</f>
        <v>3681</v>
      </c>
      <c r="CB738" s="2564">
        <f>SUM(CB737)</f>
        <v>74444</v>
      </c>
      <c r="CC738" s="2565">
        <f>IF(BZ738=0," ",(CB738-BZ738)/BZ738)</f>
        <v>5.2018710342975852E-2</v>
      </c>
      <c r="CE738" s="2564">
        <f>SUM(CE737)</f>
        <v>78042</v>
      </c>
      <c r="CF738" s="2565">
        <f>IF(CB738=0," ",(CE738-CB738)/CB738)</f>
        <v>4.8331631830637795E-2</v>
      </c>
      <c r="CG738" s="2564">
        <f>SUM(CG737)</f>
        <v>78042</v>
      </c>
      <c r="CH738" s="2449" t="s">
        <v>1243</v>
      </c>
      <c r="CI738" s="2449"/>
      <c r="CJ738" s="2450"/>
      <c r="CK738" s="2450"/>
      <c r="CO738" s="2477">
        <v>-3.1238740361749784E-3</v>
      </c>
      <c r="CP738" s="2478">
        <f t="shared" si="372"/>
        <v>-216.75</v>
      </c>
      <c r="CQ738" s="2478"/>
      <c r="CR738" s="2478"/>
      <c r="CS738" s="2478"/>
      <c r="CT738" s="2478"/>
    </row>
    <row r="739" spans="1:101" hidden="1" x14ac:dyDescent="0.2">
      <c r="AC739" s="2493">
        <f>16431+5097</f>
        <v>21528</v>
      </c>
      <c r="AS739" s="2466"/>
      <c r="AT739" s="2466"/>
      <c r="BZ739" s="2472"/>
      <c r="CH739" s="2449" t="s">
        <v>1091</v>
      </c>
      <c r="CI739" s="2449"/>
      <c r="CJ739" s="2450"/>
      <c r="CK739" s="2450"/>
      <c r="CP739" s="2478">
        <f t="shared" si="372"/>
        <v>0</v>
      </c>
      <c r="CQ739" s="2478"/>
      <c r="CR739" s="2478"/>
      <c r="CS739" s="2478"/>
      <c r="CT739" s="2478"/>
    </row>
    <row r="740" spans="1:101" hidden="1" x14ac:dyDescent="0.2">
      <c r="A740" s="2395">
        <v>541</v>
      </c>
      <c r="B740" s="2440" t="s">
        <v>1214</v>
      </c>
      <c r="C740" s="2396">
        <v>54102</v>
      </c>
      <c r="D740" s="2396">
        <v>51130</v>
      </c>
      <c r="E740" s="2397" t="s">
        <v>319</v>
      </c>
      <c r="F740" s="2440" t="s">
        <v>1214</v>
      </c>
      <c r="G740" s="2440" t="s">
        <v>2164</v>
      </c>
      <c r="H740" s="2466">
        <v>34132</v>
      </c>
      <c r="I740" s="2470">
        <v>1655</v>
      </c>
      <c r="J740" s="2466">
        <f>H740+I740</f>
        <v>35787</v>
      </c>
      <c r="K740" s="2468">
        <f>IF(H740=0," ",(J740-H740)/H740)</f>
        <v>4.8488222196179535E-2</v>
      </c>
      <c r="M740" s="2467">
        <v>35787</v>
      </c>
      <c r="N740" s="2573">
        <f>35787+850</f>
        <v>36637</v>
      </c>
      <c r="P740" s="2469" t="s">
        <v>2165</v>
      </c>
      <c r="R740" s="2549">
        <f>35787+850</f>
        <v>36637</v>
      </c>
      <c r="S740" s="2549">
        <v>36582.01</v>
      </c>
      <c r="U740" s="2549">
        <f>35787+850</f>
        <v>36637</v>
      </c>
      <c r="V740" s="2470">
        <v>1693</v>
      </c>
      <c r="W740" s="2466">
        <f>U740+V740</f>
        <v>38330</v>
      </c>
      <c r="X740" s="2468">
        <f>IF(U740=0," ",(W740-U740)/U740)</f>
        <v>4.6210115457051615E-2</v>
      </c>
      <c r="Z740" s="2467">
        <v>38330</v>
      </c>
      <c r="AA740" s="2467">
        <v>38330</v>
      </c>
      <c r="AC740" s="2469" t="s">
        <v>1738</v>
      </c>
      <c r="AE740" s="2466">
        <v>38330</v>
      </c>
      <c r="AF740" s="2471">
        <v>38329.21</v>
      </c>
      <c r="AH740" s="2466">
        <v>38330</v>
      </c>
      <c r="AI740" s="2470">
        <v>2232</v>
      </c>
      <c r="AJ740" s="2466">
        <f>AH740+AI740</f>
        <v>40562</v>
      </c>
      <c r="AK740" s="2468">
        <f>IF(AH740=0," ",(AJ740-AH740)/AH740)</f>
        <v>5.8231150534829114E-2</v>
      </c>
      <c r="AM740" s="2467">
        <v>40562</v>
      </c>
      <c r="AN740" s="2467">
        <v>40562</v>
      </c>
      <c r="AP740" s="2469" t="s">
        <v>2166</v>
      </c>
      <c r="AR740" s="2466">
        <v>40562</v>
      </c>
      <c r="AS740" s="2466">
        <v>40587.75</v>
      </c>
      <c r="AT740" s="2466"/>
      <c r="AU740" s="2466">
        <v>41406</v>
      </c>
      <c r="AV740" s="2466">
        <v>41444.699999999997</v>
      </c>
      <c r="AX740" s="2466">
        <v>41406</v>
      </c>
      <c r="AY740" s="2470">
        <v>830</v>
      </c>
      <c r="AZ740" s="2466">
        <f>AX740+AY740</f>
        <v>42236</v>
      </c>
      <c r="BA740" s="2468">
        <f>IF(AX740=0," ",(AZ740-AX740)/AX740)</f>
        <v>2.0045404047722551E-2</v>
      </c>
      <c r="BC740" s="2467">
        <v>42236</v>
      </c>
      <c r="BD740" s="2467">
        <v>42236</v>
      </c>
      <c r="BF740" s="2511" t="s">
        <v>2167</v>
      </c>
      <c r="BH740" s="2467">
        <v>42236</v>
      </c>
      <c r="BI740" s="2466">
        <v>42275.48</v>
      </c>
      <c r="BM740" s="2466">
        <v>42236</v>
      </c>
      <c r="BN740" s="2470">
        <v>680</v>
      </c>
      <c r="BO740" s="2472">
        <f>BM740+BN740</f>
        <v>42916</v>
      </c>
      <c r="BP740" s="2473">
        <f>IF(BM740=0," ",(BO740-BM740)/BM740)</f>
        <v>1.6100009470593805E-2</v>
      </c>
      <c r="BR740" s="2474">
        <v>42916</v>
      </c>
      <c r="BS740" s="2474">
        <v>42916</v>
      </c>
      <c r="BU740" s="2512" t="s">
        <v>2168</v>
      </c>
      <c r="BW740" s="2474">
        <v>42916</v>
      </c>
      <c r="BX740" s="2466">
        <v>20632.5</v>
      </c>
      <c r="BZ740" s="2474">
        <v>42916</v>
      </c>
      <c r="CA740" s="2470"/>
      <c r="CB740" s="2472">
        <f>BZ740+CA740</f>
        <v>42916</v>
      </c>
      <c r="CC740" s="2473">
        <f>IF(BZ740=0," ",(CB740-BZ740)/BZ740)</f>
        <v>0</v>
      </c>
      <c r="CE740" s="2474">
        <v>43774</v>
      </c>
      <c r="CF740" s="2476">
        <f>IF(CB740=0," ",(CE740-CB740)/CB740)</f>
        <v>1.9992543573492404E-2</v>
      </c>
      <c r="CG740" s="2474">
        <v>43774</v>
      </c>
      <c r="CH740" s="2449" t="s">
        <v>1217</v>
      </c>
      <c r="CI740" s="2449"/>
      <c r="CJ740" s="2450"/>
      <c r="CK740" s="2450"/>
      <c r="CO740" s="2477">
        <v>9.3474760867517936E-4</v>
      </c>
      <c r="CP740" s="2478">
        <f t="shared" si="372"/>
        <v>39.480000000003201</v>
      </c>
      <c r="CQ740" s="2478"/>
      <c r="CR740" s="2478"/>
      <c r="CS740" s="2478"/>
      <c r="CT740" s="2478"/>
    </row>
    <row r="741" spans="1:101" ht="22.5" hidden="1" x14ac:dyDescent="0.2">
      <c r="A741" s="2395">
        <v>541</v>
      </c>
      <c r="B741" s="2440" t="s">
        <v>1214</v>
      </c>
      <c r="C741" s="2396">
        <v>54102</v>
      </c>
      <c r="D741" s="2396">
        <v>51140</v>
      </c>
      <c r="E741" s="2397" t="s">
        <v>319</v>
      </c>
      <c r="F741" s="2440" t="s">
        <v>1214</v>
      </c>
      <c r="G741" s="2440" t="s">
        <v>2169</v>
      </c>
      <c r="H741" s="2466">
        <v>13883</v>
      </c>
      <c r="I741" s="2470">
        <v>609</v>
      </c>
      <c r="J741" s="2466">
        <f>H741+I741</f>
        <v>14492</v>
      </c>
      <c r="K741" s="2468">
        <f>IF(H741=0," ",(J741-H741)/H741)</f>
        <v>4.3866599438161784E-2</v>
      </c>
      <c r="M741" s="2467">
        <v>14492</v>
      </c>
      <c r="N741" s="2467">
        <v>14492</v>
      </c>
      <c r="P741" s="2469" t="s">
        <v>2170</v>
      </c>
      <c r="R741" s="2466">
        <v>14492</v>
      </c>
      <c r="S741" s="2466">
        <v>9470.18</v>
      </c>
      <c r="U741" s="2466">
        <v>14492</v>
      </c>
      <c r="V741" s="2470"/>
      <c r="W741" s="2466">
        <f>U741+V741</f>
        <v>14492</v>
      </c>
      <c r="X741" s="2468">
        <f>IF(U741=0," ",(W741-U741)/U741)</f>
        <v>0</v>
      </c>
      <c r="Z741" s="2467">
        <v>14492</v>
      </c>
      <c r="AA741" s="2467">
        <v>14492</v>
      </c>
      <c r="AC741" s="2675" t="s">
        <v>2171</v>
      </c>
      <c r="AE741" s="2466">
        <v>14492</v>
      </c>
      <c r="AF741" s="2471">
        <v>14492</v>
      </c>
      <c r="AH741" s="2466">
        <v>14492</v>
      </c>
      <c r="AI741" s="2470">
        <v>1208</v>
      </c>
      <c r="AJ741" s="2466">
        <f>AH741+AI741</f>
        <v>15700</v>
      </c>
      <c r="AK741" s="2468">
        <f>IF(AH741=0," ",(AJ741-AH741)/AH741)</f>
        <v>8.3356334529395532E-2</v>
      </c>
      <c r="AM741" s="2467">
        <f>15700+4240</f>
        <v>19940</v>
      </c>
      <c r="AN741" s="2467">
        <f>15700+4240</f>
        <v>19940</v>
      </c>
      <c r="AP741" s="2530" t="s">
        <v>2172</v>
      </c>
      <c r="AR741" s="2466">
        <f>15700+4240</f>
        <v>19940</v>
      </c>
      <c r="AS741" s="2466">
        <v>10404.51</v>
      </c>
      <c r="AT741" s="2466"/>
      <c r="AU741" s="2466">
        <v>19701</v>
      </c>
      <c r="AV741" s="2466">
        <v>1427.46</v>
      </c>
      <c r="AX741" s="2466">
        <v>19701</v>
      </c>
      <c r="AY741" s="2470">
        <v>395</v>
      </c>
      <c r="AZ741" s="2466">
        <f>AX741+AY741</f>
        <v>20096</v>
      </c>
      <c r="BA741" s="2468">
        <f>IF(AX741=0," ",(AZ741-AX741)/AX741)</f>
        <v>2.004974366783412E-2</v>
      </c>
      <c r="BC741" s="2467">
        <v>20096</v>
      </c>
      <c r="BD741" s="2467">
        <v>20096</v>
      </c>
      <c r="BF741" s="2511" t="s">
        <v>2173</v>
      </c>
      <c r="BH741" s="2467">
        <v>20096</v>
      </c>
      <c r="BI741" s="2466">
        <v>13255.12</v>
      </c>
      <c r="BM741" s="2466">
        <v>20096</v>
      </c>
      <c r="BN741" s="2470">
        <v>402</v>
      </c>
      <c r="BO741" s="2472">
        <f>BM741+BN741</f>
        <v>20498</v>
      </c>
      <c r="BP741" s="2473">
        <f>IF(BM741=0," ",(BO741-BM741)/BM741)</f>
        <v>2.0003980891719744E-2</v>
      </c>
      <c r="BR741" s="2474">
        <v>20498</v>
      </c>
      <c r="BS741" s="2474">
        <v>20498</v>
      </c>
      <c r="BU741" s="2512" t="s">
        <v>2174</v>
      </c>
      <c r="BW741" s="2474">
        <v>20498</v>
      </c>
      <c r="BX741" s="2466">
        <v>7147.53</v>
      </c>
      <c r="BZ741" s="2474">
        <v>20498</v>
      </c>
      <c r="CA741" s="2470">
        <v>801</v>
      </c>
      <c r="CB741" s="2472">
        <f>BZ741+CA741</f>
        <v>21299</v>
      </c>
      <c r="CC741" s="2473">
        <f>IF(BZ741=0," ",(CB741-BZ741)/BZ741)</f>
        <v>3.9076983120304422E-2</v>
      </c>
      <c r="CE741" s="2474">
        <v>21695</v>
      </c>
      <c r="CF741" s="2476">
        <f>IF(CB741=0," ",(CE741-CB741)/CB741)</f>
        <v>1.8592422179445043E-2</v>
      </c>
      <c r="CG741" s="2474">
        <v>21695</v>
      </c>
      <c r="CH741" s="2449" t="s">
        <v>1217</v>
      </c>
      <c r="CI741" s="2449"/>
      <c r="CJ741" s="2450"/>
      <c r="CK741" s="2450"/>
      <c r="CO741" s="2477">
        <v>-0.3404100318471337</v>
      </c>
      <c r="CP741" s="2478">
        <f t="shared" si="372"/>
        <v>-6840.8799999999992</v>
      </c>
      <c r="CQ741" s="2478"/>
      <c r="CR741" s="2478"/>
      <c r="CS741" s="2478"/>
      <c r="CT741" s="2478"/>
    </row>
    <row r="742" spans="1:101" hidden="1" x14ac:dyDescent="0.2">
      <c r="A742" s="2513">
        <v>541</v>
      </c>
      <c r="B742" s="2514" t="s">
        <v>1214</v>
      </c>
      <c r="C742" s="2515">
        <v>54102</v>
      </c>
      <c r="D742" s="2515">
        <v>51490</v>
      </c>
      <c r="E742" s="2516" t="s">
        <v>319</v>
      </c>
      <c r="F742" s="2514" t="s">
        <v>1214</v>
      </c>
      <c r="G742" s="2514" t="s">
        <v>2175</v>
      </c>
      <c r="H742" s="2466">
        <v>0</v>
      </c>
      <c r="I742" s="2523">
        <v>562.5</v>
      </c>
      <c r="J742" s="2466">
        <f>H742+I742</f>
        <v>562.5</v>
      </c>
      <c r="K742" s="2468" t="str">
        <f>IF(H742=0," ",(J742-H742)/H742)</f>
        <v xml:space="preserve"> </v>
      </c>
      <c r="M742" s="2520">
        <v>563</v>
      </c>
      <c r="N742" s="2520">
        <v>563</v>
      </c>
      <c r="P742" s="2522" t="s">
        <v>2176</v>
      </c>
      <c r="R742" s="2519">
        <v>563</v>
      </c>
      <c r="S742" s="2519">
        <v>563</v>
      </c>
      <c r="U742" s="2519">
        <v>563</v>
      </c>
      <c r="V742" s="2523"/>
      <c r="W742" s="2466">
        <f>U742+V742</f>
        <v>563</v>
      </c>
      <c r="X742" s="2468">
        <f>IF(U742=0," ",(W742-U742)/U742)</f>
        <v>0</v>
      </c>
      <c r="Z742" s="2520">
        <v>563</v>
      </c>
      <c r="AA742" s="2520">
        <v>563</v>
      </c>
      <c r="AC742" s="2522"/>
      <c r="AE742" s="2519">
        <v>563</v>
      </c>
      <c r="AF742" s="2524">
        <v>563</v>
      </c>
      <c r="AH742" s="2519">
        <v>563</v>
      </c>
      <c r="AI742" s="2523"/>
      <c r="AJ742" s="2466">
        <f>AH742+AI742</f>
        <v>563</v>
      </c>
      <c r="AK742" s="2468">
        <f>IF(AH742=0," ",(AJ742-AH742)/AH742)</f>
        <v>0</v>
      </c>
      <c r="AM742" s="2467">
        <v>563</v>
      </c>
      <c r="AN742" s="2467">
        <v>563</v>
      </c>
      <c r="AP742" s="2522"/>
      <c r="AR742" s="2466">
        <v>563</v>
      </c>
      <c r="AS742" s="2466">
        <v>562.5</v>
      </c>
      <c r="AT742" s="2466"/>
      <c r="AU742" s="2466">
        <v>563</v>
      </c>
      <c r="AV742" s="2466">
        <v>562.5</v>
      </c>
      <c r="AX742" s="2466">
        <v>563</v>
      </c>
      <c r="AY742" s="2523"/>
      <c r="AZ742" s="2466">
        <f>AX742+AY742</f>
        <v>563</v>
      </c>
      <c r="BA742" s="2468">
        <f>IF(AX742=0," ",(AZ742-AX742)/AX742)</f>
        <v>0</v>
      </c>
      <c r="BC742" s="2467">
        <v>563</v>
      </c>
      <c r="BD742" s="2467">
        <v>563</v>
      </c>
      <c r="BF742" s="2522"/>
      <c r="BH742" s="2467">
        <v>563</v>
      </c>
      <c r="BI742" s="2519">
        <v>562.5</v>
      </c>
      <c r="BM742" s="2466">
        <v>563</v>
      </c>
      <c r="BN742" s="2523">
        <f>662-563</f>
        <v>99</v>
      </c>
      <c r="BO742" s="2472">
        <f>BM742+BN742</f>
        <v>662</v>
      </c>
      <c r="BP742" s="2473">
        <f>IF(BM742=0," ",(BO742-BM742)/BM742)</f>
        <v>0.17584369449378331</v>
      </c>
      <c r="BR742" s="2474">
        <v>662</v>
      </c>
      <c r="BS742" s="2474">
        <v>662</v>
      </c>
      <c r="BU742" s="2528" t="s">
        <v>2177</v>
      </c>
      <c r="BW742" s="2474">
        <v>662</v>
      </c>
      <c r="BX742" s="2519">
        <v>750</v>
      </c>
      <c r="BZ742" s="2474">
        <v>662</v>
      </c>
      <c r="CA742" s="2523"/>
      <c r="CB742" s="2472">
        <f>BZ742+CA742</f>
        <v>662</v>
      </c>
      <c r="CC742" s="2473">
        <f>IF(BZ742=0," ",(CB742-BZ742)/BZ742)</f>
        <v>0</v>
      </c>
      <c r="CE742" s="2648">
        <v>662</v>
      </c>
      <c r="CF742" s="2476">
        <f>IF(CB742=0," ",(CE742-CB742)/CB742)</f>
        <v>0</v>
      </c>
      <c r="CG742" s="2648">
        <v>662</v>
      </c>
      <c r="CH742" s="2449" t="s">
        <v>1217</v>
      </c>
      <c r="CI742" s="2449"/>
      <c r="CJ742" s="2450" t="s">
        <v>1239</v>
      </c>
      <c r="CK742" s="2518">
        <f t="shared" ref="CK742" si="389">-CG742</f>
        <v>-662</v>
      </c>
      <c r="CO742" s="2477">
        <v>-8.8809946714030197E-4</v>
      </c>
      <c r="CP742" s="2478">
        <f t="shared" si="372"/>
        <v>-0.5</v>
      </c>
      <c r="CQ742" s="2478"/>
      <c r="CR742" s="2478"/>
      <c r="CS742" s="2478"/>
      <c r="CT742" s="2478"/>
    </row>
    <row r="743" spans="1:101" hidden="1" x14ac:dyDescent="0.2">
      <c r="H743" s="2560">
        <f>SUM(H740:H742)</f>
        <v>48015</v>
      </c>
      <c r="I743" s="2560">
        <f>SUM(I740:I742)</f>
        <v>2826.5</v>
      </c>
      <c r="J743" s="2560">
        <f>SUM(J740:J742)</f>
        <v>50841.5</v>
      </c>
      <c r="K743" s="2561">
        <f>IF(H743=0," ",(J743-H743)/H743)</f>
        <v>5.8867020722690823E-2</v>
      </c>
      <c r="M743" s="2560">
        <f>SUM(M740:M742)</f>
        <v>50842</v>
      </c>
      <c r="N743" s="2560">
        <f>SUM(N740:N742)</f>
        <v>51692</v>
      </c>
      <c r="P743" s="2562">
        <f>SUM(P741:P742)</f>
        <v>0</v>
      </c>
      <c r="R743" s="2560">
        <f>SUM(R740:R742)</f>
        <v>51692</v>
      </c>
      <c r="S743" s="2560">
        <f>SUM(S740:S742)</f>
        <v>46615.19</v>
      </c>
      <c r="U743" s="2560">
        <f>SUM(U740:U742)</f>
        <v>51692</v>
      </c>
      <c r="V743" s="2560">
        <f>SUM(V740:V742)</f>
        <v>1693</v>
      </c>
      <c r="W743" s="2560">
        <f>SUM(W740:W742)</f>
        <v>53385</v>
      </c>
      <c r="X743" s="2561">
        <f>IF(U743=0," ",(W743-U743)/U743)</f>
        <v>3.2751683045732415E-2</v>
      </c>
      <c r="Z743" s="2560">
        <f>SUM(Z740:Z742)</f>
        <v>53385</v>
      </c>
      <c r="AA743" s="2560">
        <f>SUM(AA740:AA742)</f>
        <v>53385</v>
      </c>
      <c r="AC743" s="2562"/>
      <c r="AE743" s="2560">
        <f>SUM(AE740:AE742)</f>
        <v>53385</v>
      </c>
      <c r="AF743" s="2560">
        <f>SUM(AF740:AF742)</f>
        <v>53384.21</v>
      </c>
      <c r="AH743" s="2560">
        <f>SUM(AH740:AH742)</f>
        <v>53385</v>
      </c>
      <c r="AI743" s="2560">
        <f>SUM(AI740:AI742)</f>
        <v>3440</v>
      </c>
      <c r="AJ743" s="2560">
        <f>SUM(AJ740:AJ742)</f>
        <v>56825</v>
      </c>
      <c r="AK743" s="2561">
        <f>IF(AH743=0," ",(AJ743-AH743)/AH743)</f>
        <v>6.4437576098154911E-2</v>
      </c>
      <c r="AM743" s="2560">
        <f>SUM(AM740:AM742)</f>
        <v>61065</v>
      </c>
      <c r="AN743" s="2560">
        <f>SUM(AN740:AN742)</f>
        <v>61065</v>
      </c>
      <c r="AP743" s="2562"/>
      <c r="AR743" s="2560">
        <f>SUM(AR740:AR742)</f>
        <v>61065</v>
      </c>
      <c r="AS743" s="2560">
        <f>SUM(AS740:AS742)</f>
        <v>51554.76</v>
      </c>
      <c r="AT743" s="2560"/>
      <c r="AU743" s="2560">
        <f>SUM(AU740:AU742)</f>
        <v>61670</v>
      </c>
      <c r="AV743" s="2560">
        <f>SUM(AV740:AV742)</f>
        <v>43434.659999999996</v>
      </c>
      <c r="AX743" s="2560">
        <f>SUM(AX740:AX742)</f>
        <v>61670</v>
      </c>
      <c r="AY743" s="2560">
        <f>SUM(AY740:AY742)</f>
        <v>1225</v>
      </c>
      <c r="AZ743" s="2560">
        <f>SUM(AZ740:AZ742)</f>
        <v>62895</v>
      </c>
      <c r="BA743" s="2561">
        <f>IF(AX743=0," ",(AZ743-AX743)/AX743)</f>
        <v>1.9863791146424517E-2</v>
      </c>
      <c r="BC743" s="2560">
        <f>SUM(BC740:BC742)</f>
        <v>62895</v>
      </c>
      <c r="BD743" s="2560">
        <f>SUM(BD740:BD742)</f>
        <v>62895</v>
      </c>
      <c r="BF743" s="2562"/>
      <c r="BH743" s="2560">
        <f>SUM(BH740:BH742)</f>
        <v>62895</v>
      </c>
      <c r="BI743" s="2560">
        <f>SUM(BI740:BI742)</f>
        <v>56093.100000000006</v>
      </c>
      <c r="BM743" s="2560">
        <f>SUM(BM740:BM742)</f>
        <v>62895</v>
      </c>
      <c r="BN743" s="2560">
        <f>SUM(BN740:BN742)</f>
        <v>1181</v>
      </c>
      <c r="BO743" s="2564">
        <f>SUM(BO740:BO742)</f>
        <v>64076</v>
      </c>
      <c r="BP743" s="2565">
        <f>IF(BM743=0," ",(BO743-BM743)/BM743)</f>
        <v>1.8777327291517609E-2</v>
      </c>
      <c r="BR743" s="2564">
        <f>SUM(BR740:BR742)</f>
        <v>64076</v>
      </c>
      <c r="BS743" s="2564">
        <f>SUM(BS740:BS742)</f>
        <v>64076</v>
      </c>
      <c r="BU743" s="2566"/>
      <c r="BW743" s="2564">
        <f>SUM(BW740:BW742)</f>
        <v>64076</v>
      </c>
      <c r="BX743" s="2560">
        <f>SUM(BX740:BX742)</f>
        <v>28530.03</v>
      </c>
      <c r="BZ743" s="2564">
        <f>SUM(BZ740:BZ742)</f>
        <v>64076</v>
      </c>
      <c r="CA743" s="2564">
        <f>SUM(CA740:CA742)</f>
        <v>801</v>
      </c>
      <c r="CB743" s="2564">
        <f>SUM(CB740:CB742)</f>
        <v>64877</v>
      </c>
      <c r="CC743" s="2565">
        <f>IF(BZ743=0," ",(CB743-BZ743)/BZ743)</f>
        <v>1.2500780323366004E-2</v>
      </c>
      <c r="CE743" s="2564">
        <f>SUM(CE740:CE742)</f>
        <v>66131</v>
      </c>
      <c r="CF743" s="2565">
        <f>IF(CB743=0," ",(CE743-CB743)/CB743)</f>
        <v>1.9328883887972624E-2</v>
      </c>
      <c r="CG743" s="2564">
        <f>SUM(CG740:CG742)</f>
        <v>66131</v>
      </c>
      <c r="CH743" s="2449" t="s">
        <v>1243</v>
      </c>
      <c r="CI743" s="2449"/>
      <c r="CJ743" s="2450"/>
      <c r="CK743" s="2450"/>
      <c r="CO743" s="2477">
        <v>-0.10814691151919853</v>
      </c>
      <c r="CP743" s="2478">
        <f t="shared" si="372"/>
        <v>-6801.8999999999942</v>
      </c>
      <c r="CQ743" s="2478"/>
      <c r="CR743" s="2478"/>
      <c r="CS743" s="2478"/>
      <c r="CT743" s="2478"/>
    </row>
    <row r="744" spans="1:101" hidden="1" x14ac:dyDescent="0.2">
      <c r="AS744" s="2466"/>
      <c r="AT744" s="2466"/>
      <c r="BZ744" s="2472"/>
      <c r="CA744" s="2472"/>
      <c r="CH744" s="2449" t="s">
        <v>1091</v>
      </c>
      <c r="CI744" s="2449"/>
      <c r="CJ744" s="2450"/>
      <c r="CK744" s="2450"/>
      <c r="CP744" s="2478">
        <f t="shared" si="372"/>
        <v>0</v>
      </c>
      <c r="CQ744" s="2478"/>
      <c r="CR744" s="2478"/>
      <c r="CS744" s="2478"/>
      <c r="CT744" s="2478"/>
    </row>
    <row r="745" spans="1:101" s="2485" customFormat="1" hidden="1" x14ac:dyDescent="0.2">
      <c r="A745" s="2532"/>
      <c r="B745" s="2533"/>
      <c r="C745" s="2534"/>
      <c r="D745" s="2534"/>
      <c r="E745" s="2535"/>
      <c r="F745" s="2533"/>
      <c r="G745" s="2654" t="s">
        <v>2178</v>
      </c>
      <c r="H745" s="2536">
        <f>H738+H743</f>
        <v>104113</v>
      </c>
      <c r="I745" s="2536">
        <f>I738+I743</f>
        <v>691.5</v>
      </c>
      <c r="J745" s="2536">
        <f>J738+J743</f>
        <v>104804.5</v>
      </c>
      <c r="K745" s="2484">
        <f>IF(H745=0," ",(J745-H745)/H745)</f>
        <v>6.6418218666256853E-3</v>
      </c>
      <c r="M745" s="2536">
        <f>M738+M743</f>
        <v>104805</v>
      </c>
      <c r="N745" s="2536">
        <f>N738+N743</f>
        <v>113364</v>
      </c>
      <c r="P745" s="2537">
        <f>P738+P743</f>
        <v>0</v>
      </c>
      <c r="R745" s="2536">
        <f>R738+R743</f>
        <v>113364</v>
      </c>
      <c r="S745" s="2536">
        <f>S738+S743</f>
        <v>108465.09</v>
      </c>
      <c r="U745" s="2536">
        <f>U738+U743</f>
        <v>113364</v>
      </c>
      <c r="V745" s="2536">
        <f>V738+V743</f>
        <v>4668</v>
      </c>
      <c r="W745" s="2536">
        <f>W738+W743</f>
        <v>118032</v>
      </c>
      <c r="X745" s="2484">
        <f>IF(U745=0," ",(W745-U745)/U745)</f>
        <v>4.1177093257118665E-2</v>
      </c>
      <c r="Z745" s="2536">
        <f>Z738+Z743</f>
        <v>118032</v>
      </c>
      <c r="AA745" s="2536">
        <f>AA738+AA743</f>
        <v>118032</v>
      </c>
      <c r="AC745" s="2537"/>
      <c r="AE745" s="2536">
        <f>AE738+AE743</f>
        <v>118032</v>
      </c>
      <c r="AF745" s="2538">
        <f>AF738+AF743</f>
        <v>118030.61</v>
      </c>
      <c r="AH745" s="2536">
        <v>118032</v>
      </c>
      <c r="AI745" s="2536">
        <f>AI738+AI743</f>
        <v>7039</v>
      </c>
      <c r="AJ745" s="2536">
        <f>AJ738+AJ743</f>
        <v>125071</v>
      </c>
      <c r="AK745" s="2484">
        <f>IF(AH745=0," ",(AJ745-AH745)/AH745)</f>
        <v>5.9636369798020873E-2</v>
      </c>
      <c r="AM745" s="2536">
        <f>AM738+AM743</f>
        <v>129311</v>
      </c>
      <c r="AN745" s="2536">
        <f>AN738+AN743</f>
        <v>129311</v>
      </c>
      <c r="AP745" s="2537"/>
      <c r="AR745" s="2536">
        <f>AR738+AR743</f>
        <v>129311</v>
      </c>
      <c r="AS745" s="2536">
        <f>AS738+AS743</f>
        <v>119800.51999999999</v>
      </c>
      <c r="AT745" s="2536"/>
      <c r="AU745" s="2536">
        <f>AU738+AU743</f>
        <v>131577</v>
      </c>
      <c r="AV745" s="2536">
        <f>AV738+AV743</f>
        <v>101455.98</v>
      </c>
      <c r="AX745" s="2536">
        <f>AX738+AX743</f>
        <v>131577</v>
      </c>
      <c r="AY745" s="2536">
        <f>AY738+AY743</f>
        <v>703</v>
      </c>
      <c r="AZ745" s="2536">
        <f>AZ738+AZ743</f>
        <v>132280</v>
      </c>
      <c r="BA745" s="2484">
        <f>IF(AX745=0," ",(AZ745-AX745)/AX745)</f>
        <v>5.3428790746103041E-3</v>
      </c>
      <c r="BC745" s="2536">
        <f>BC738+BC743</f>
        <v>132280</v>
      </c>
      <c r="BD745" s="2536">
        <f>BD738+BD743</f>
        <v>132280</v>
      </c>
      <c r="BF745" s="2537"/>
      <c r="BH745" s="2536">
        <f>BH738+BH743</f>
        <v>132280</v>
      </c>
      <c r="BI745" s="2536">
        <f>BI738+BI743</f>
        <v>125261.35</v>
      </c>
      <c r="BJ745" s="2536"/>
      <c r="BK745" s="2536"/>
      <c r="BM745" s="2536">
        <f>BM738+BM743</f>
        <v>132280</v>
      </c>
      <c r="BN745" s="2539">
        <f>BN738+BN743</f>
        <v>2559</v>
      </c>
      <c r="BO745" s="2540">
        <f>BO738+BO743</f>
        <v>134839</v>
      </c>
      <c r="BP745" s="2490">
        <f>IF(BM745=0," ",(BO745-BM745)/BM745)</f>
        <v>1.9345328091926219E-2</v>
      </c>
      <c r="BQ745" s="2491"/>
      <c r="BR745" s="2540">
        <f>BR738+BR743</f>
        <v>134839</v>
      </c>
      <c r="BS745" s="2540">
        <f>BS738+BS743</f>
        <v>134839</v>
      </c>
      <c r="BT745" s="2491"/>
      <c r="BU745" s="2541"/>
      <c r="BV745" s="2491"/>
      <c r="BW745" s="2540">
        <f>BW738+BW743</f>
        <v>134839</v>
      </c>
      <c r="BX745" s="2536">
        <f>BX738+BX743</f>
        <v>62691.15</v>
      </c>
      <c r="BZ745" s="2540">
        <f>BZ738+BZ743</f>
        <v>134839</v>
      </c>
      <c r="CA745" s="2540">
        <f>CA738+CA743</f>
        <v>4482</v>
      </c>
      <c r="CB745" s="2540">
        <f>CB738+CB743</f>
        <v>139321</v>
      </c>
      <c r="CC745" s="2490">
        <f>IF(BZ745=0," ",(CB745-BZ745)/BZ745)</f>
        <v>3.3239641350054507E-2</v>
      </c>
      <c r="CD745" s="2491"/>
      <c r="CE745" s="2540">
        <f>CE738+CE743</f>
        <v>144173</v>
      </c>
      <c r="CF745" s="2490">
        <f>IF(CB745=0," ",(CE745-CB745)/CB745)</f>
        <v>3.4826049195742205E-2</v>
      </c>
      <c r="CG745" s="2540">
        <f>CG738+CG743</f>
        <v>144173</v>
      </c>
      <c r="CH745" s="2449" t="s">
        <v>1220</v>
      </c>
      <c r="CI745" s="2449"/>
      <c r="CJ745" s="2450"/>
      <c r="CK745" s="2450"/>
      <c r="CL745" s="2451"/>
      <c r="CM745" s="2451"/>
      <c r="CN745" s="2451"/>
      <c r="CO745" s="2477">
        <v>-5.3059041427275466E-2</v>
      </c>
      <c r="CP745" s="2478">
        <f t="shared" si="372"/>
        <v>-7018.6499999999942</v>
      </c>
      <c r="CQ745" s="2478"/>
      <c r="CR745" s="2478"/>
      <c r="CS745" s="2478"/>
      <c r="CT745" s="2478"/>
    </row>
    <row r="746" spans="1:101" hidden="1" x14ac:dyDescent="0.2">
      <c r="AS746" s="2466"/>
      <c r="AT746" s="2466"/>
      <c r="BZ746" s="2472"/>
      <c r="CH746" s="2449" t="s">
        <v>1091</v>
      </c>
      <c r="CI746" s="2449"/>
      <c r="CJ746" s="2450"/>
      <c r="CK746" s="2450"/>
      <c r="CP746" s="2478">
        <f t="shared" si="372"/>
        <v>0</v>
      </c>
      <c r="CQ746" s="2478"/>
      <c r="CR746" s="2478"/>
      <c r="CS746" s="2478"/>
      <c r="CT746" s="2478"/>
    </row>
    <row r="747" spans="1:101" hidden="1" x14ac:dyDescent="0.2">
      <c r="A747" s="2395">
        <v>541</v>
      </c>
      <c r="C747" s="2396">
        <v>54105</v>
      </c>
      <c r="D747" s="2396">
        <v>52430</v>
      </c>
      <c r="E747" s="2397" t="s">
        <v>1268</v>
      </c>
      <c r="G747" s="2440" t="s">
        <v>2179</v>
      </c>
      <c r="I747" s="2676"/>
      <c r="M747" s="2467"/>
      <c r="N747" s="2467"/>
      <c r="P747" s="2469"/>
      <c r="S747" s="2466">
        <v>96.95</v>
      </c>
      <c r="V747" s="2470"/>
      <c r="Z747" s="2467"/>
      <c r="AA747" s="2467"/>
      <c r="AC747" s="2469"/>
      <c r="AE747" s="2466">
        <v>0</v>
      </c>
      <c r="AF747" s="2471">
        <v>0</v>
      </c>
      <c r="AH747" s="2466">
        <v>0</v>
      </c>
      <c r="AI747" s="2470"/>
      <c r="AJ747" s="2466">
        <f t="shared" ref="AJ747:AJ753" si="390">AH747+AI747</f>
        <v>0</v>
      </c>
      <c r="AK747" s="2468" t="str">
        <f t="shared" ref="AK747:AK755" si="391">IF(AH747=0," ",(AJ747-AH747)/AH747)</f>
        <v xml:space="preserve"> </v>
      </c>
      <c r="AM747" s="2467">
        <v>100</v>
      </c>
      <c r="AN747" s="2467">
        <v>100</v>
      </c>
      <c r="AO747" s="2546"/>
      <c r="AP747" s="2530" t="s">
        <v>2180</v>
      </c>
      <c r="AR747" s="2466">
        <v>100</v>
      </c>
      <c r="AS747" s="2466">
        <v>0</v>
      </c>
      <c r="AT747" s="2466"/>
      <c r="AU747" s="2466">
        <v>100</v>
      </c>
      <c r="AV747" s="2466">
        <v>0</v>
      </c>
      <c r="AX747" s="2466">
        <v>100</v>
      </c>
      <c r="AY747" s="2470"/>
      <c r="AZ747" s="2466">
        <f>AX747+AY747</f>
        <v>100</v>
      </c>
      <c r="BA747" s="2468">
        <f>IF(AX747=0," ",(AZ747-AX747)/AX747)</f>
        <v>0</v>
      </c>
      <c r="BC747" s="2467">
        <v>100</v>
      </c>
      <c r="BD747" s="2467">
        <v>100</v>
      </c>
      <c r="BE747" s="2546"/>
      <c r="BF747" s="2469"/>
      <c r="BH747" s="2467">
        <v>100</v>
      </c>
      <c r="BM747" s="2466">
        <v>100</v>
      </c>
      <c r="BN747" s="2470"/>
      <c r="BO747" s="2472">
        <f>BM747+BN747</f>
        <v>100</v>
      </c>
      <c r="BP747" s="2473">
        <f>IF(BM747=0," ",(BO747-BM747)/BM747)</f>
        <v>0</v>
      </c>
      <c r="BR747" s="2474">
        <v>100</v>
      </c>
      <c r="BS747" s="2474">
        <v>100</v>
      </c>
      <c r="BU747" s="2475"/>
      <c r="BW747" s="2474">
        <v>100</v>
      </c>
      <c r="BZ747" s="2474">
        <v>100</v>
      </c>
      <c r="CA747" s="2470">
        <v>-100</v>
      </c>
      <c r="CB747" s="2472">
        <f>BZ747+CA747</f>
        <v>0</v>
      </c>
      <c r="CC747" s="2473">
        <f>IF(BZ747=0," ",(CB747-BZ747)/BZ747)</f>
        <v>-1</v>
      </c>
      <c r="CE747" s="2474">
        <v>0</v>
      </c>
      <c r="CF747" s="2476" t="str">
        <f t="shared" ref="CF747:CF756" si="392">IF(CB747=0," ",(CE747-CB747)/CB747)</f>
        <v xml:space="preserve"> </v>
      </c>
      <c r="CG747" s="2474">
        <v>0</v>
      </c>
      <c r="CH747" s="2449" t="s">
        <v>1217</v>
      </c>
      <c r="CI747" s="2449"/>
      <c r="CJ747" s="2450"/>
      <c r="CK747" s="2450"/>
      <c r="CO747" s="2477" t="s">
        <v>1218</v>
      </c>
      <c r="CP747" s="2478">
        <f t="shared" si="372"/>
        <v>-100</v>
      </c>
      <c r="CQ747" s="2478"/>
      <c r="CR747" s="2478"/>
      <c r="CS747" s="2478"/>
      <c r="CT747" s="2478"/>
      <c r="CV747" s="2440" t="s">
        <v>2181</v>
      </c>
      <c r="CW747" s="2677">
        <v>14547</v>
      </c>
    </row>
    <row r="748" spans="1:101" hidden="1" x14ac:dyDescent="0.2">
      <c r="A748" s="2395">
        <v>541</v>
      </c>
      <c r="C748" s="2396">
        <v>54105</v>
      </c>
      <c r="D748" s="2396">
        <v>52450</v>
      </c>
      <c r="E748" s="2397" t="s">
        <v>1268</v>
      </c>
      <c r="G748" s="2440" t="s">
        <v>2182</v>
      </c>
      <c r="I748" s="2676"/>
      <c r="M748" s="2467"/>
      <c r="N748" s="2467"/>
      <c r="P748" s="2469"/>
      <c r="S748" s="2466">
        <v>1108.3800000000001</v>
      </c>
      <c r="V748" s="2470"/>
      <c r="Z748" s="2467"/>
      <c r="AA748" s="2467"/>
      <c r="AC748" s="2469"/>
      <c r="AE748" s="2466">
        <v>0</v>
      </c>
      <c r="AF748" s="2471">
        <v>507.54</v>
      </c>
      <c r="AH748" s="2466">
        <v>0</v>
      </c>
      <c r="AI748" s="2470"/>
      <c r="AJ748" s="2466">
        <f t="shared" si="390"/>
        <v>0</v>
      </c>
      <c r="AK748" s="2468" t="str">
        <f t="shared" si="391"/>
        <v xml:space="preserve"> </v>
      </c>
      <c r="AM748" s="2467">
        <v>1000</v>
      </c>
      <c r="AN748" s="2467">
        <v>1000</v>
      </c>
      <c r="AO748" s="2546"/>
      <c r="AP748" s="2530" t="s">
        <v>1490</v>
      </c>
      <c r="AR748" s="2466">
        <v>1000</v>
      </c>
      <c r="AS748" s="2466">
        <v>1359.85</v>
      </c>
      <c r="AT748" s="2466"/>
      <c r="AU748" s="2466">
        <v>1000</v>
      </c>
      <c r="AV748" s="2466">
        <v>683.34</v>
      </c>
      <c r="AX748" s="2466">
        <v>1000</v>
      </c>
      <c r="AY748" s="2470"/>
      <c r="AZ748" s="2466">
        <f>AX748+AY748</f>
        <v>1000</v>
      </c>
      <c r="BA748" s="2468">
        <f>IF(AX748=0," ",(AZ748-AX748)/AX748)</f>
        <v>0</v>
      </c>
      <c r="BC748" s="2467">
        <v>1000</v>
      </c>
      <c r="BD748" s="2467">
        <v>1000</v>
      </c>
      <c r="BE748" s="2546"/>
      <c r="BF748" s="2469"/>
      <c r="BH748" s="2467">
        <v>1000</v>
      </c>
      <c r="BI748" s="2466">
        <v>1491.66</v>
      </c>
      <c r="BM748" s="2466">
        <v>1000</v>
      </c>
      <c r="BN748" s="2470"/>
      <c r="BO748" s="2472">
        <f>BM748+BN748</f>
        <v>1000</v>
      </c>
      <c r="BP748" s="2473">
        <f>IF(BM748=0," ",(BO748-BM748)/BM748)</f>
        <v>0</v>
      </c>
      <c r="BR748" s="2474">
        <v>1000</v>
      </c>
      <c r="BS748" s="2474">
        <v>1000</v>
      </c>
      <c r="BU748" s="2475"/>
      <c r="BW748" s="2474">
        <v>1000</v>
      </c>
      <c r="BX748" s="2466">
        <v>390.99</v>
      </c>
      <c r="BZ748" s="2474">
        <v>1000</v>
      </c>
      <c r="CA748" s="2470">
        <v>200</v>
      </c>
      <c r="CB748" s="2472">
        <f>BZ748+CA748</f>
        <v>1200</v>
      </c>
      <c r="CC748" s="2473">
        <f>IF(BZ748=0," ",(CB748-BZ748)/BZ748)</f>
        <v>0.2</v>
      </c>
      <c r="CE748" s="2474">
        <v>1200</v>
      </c>
      <c r="CF748" s="2476">
        <f t="shared" si="392"/>
        <v>0</v>
      </c>
      <c r="CG748" s="2474">
        <v>1200</v>
      </c>
      <c r="CH748" s="2449" t="s">
        <v>1217</v>
      </c>
      <c r="CI748" s="2449"/>
      <c r="CJ748" s="2450"/>
      <c r="CK748" s="2450"/>
      <c r="CO748" s="2477">
        <v>0.49165999999999999</v>
      </c>
      <c r="CP748" s="2478">
        <f t="shared" si="372"/>
        <v>491.66000000000008</v>
      </c>
      <c r="CQ748" s="2478"/>
      <c r="CR748" s="2478"/>
      <c r="CS748" s="2478"/>
      <c r="CT748" s="2478"/>
      <c r="CV748" s="2440" t="s">
        <v>2183</v>
      </c>
      <c r="CW748" s="2677">
        <v>6752</v>
      </c>
    </row>
    <row r="749" spans="1:101" hidden="1" x14ac:dyDescent="0.2">
      <c r="A749" s="2395">
        <v>541</v>
      </c>
      <c r="B749" s="2440" t="s">
        <v>1214</v>
      </c>
      <c r="C749" s="2396">
        <v>54105</v>
      </c>
      <c r="D749" s="2396">
        <v>53040</v>
      </c>
      <c r="E749" s="2397" t="s">
        <v>1268</v>
      </c>
      <c r="F749" s="2440" t="s">
        <v>1214</v>
      </c>
      <c r="G749" s="2440" t="s">
        <v>2184</v>
      </c>
      <c r="I749" s="2470"/>
      <c r="J749" s="2466">
        <f>H749+I749</f>
        <v>0</v>
      </c>
      <c r="K749" s="2468" t="str">
        <f>IF(H749=0," ",(J749-H749)/H749)</f>
        <v xml:space="preserve"> </v>
      </c>
      <c r="M749" s="2467"/>
      <c r="N749" s="2467"/>
      <c r="P749" s="2469"/>
      <c r="V749" s="2470">
        <v>390</v>
      </c>
      <c r="W749" s="2466">
        <f>U749+V749</f>
        <v>390</v>
      </c>
      <c r="X749" s="2468" t="str">
        <f>IF(U749=0," ",(W749-U749)/U749)</f>
        <v xml:space="preserve"> </v>
      </c>
      <c r="Z749" s="2573">
        <v>390</v>
      </c>
      <c r="AA749" s="2573">
        <f>390+400</f>
        <v>790</v>
      </c>
      <c r="AC749" s="2469" t="s">
        <v>2185</v>
      </c>
      <c r="AE749" s="2466">
        <f>390+400</f>
        <v>790</v>
      </c>
      <c r="AF749" s="2471">
        <v>790</v>
      </c>
      <c r="AH749" s="2466">
        <v>790</v>
      </c>
      <c r="AI749" s="2470">
        <v>410</v>
      </c>
      <c r="AJ749" s="2466">
        <f t="shared" si="390"/>
        <v>1200</v>
      </c>
      <c r="AK749" s="2468">
        <f t="shared" si="391"/>
        <v>0.51898734177215189</v>
      </c>
      <c r="AM749" s="2467">
        <v>1200</v>
      </c>
      <c r="AN749" s="2467">
        <v>1200</v>
      </c>
      <c r="AO749" s="2546"/>
      <c r="AP749" s="2530"/>
      <c r="AR749" s="2466">
        <v>1200</v>
      </c>
      <c r="AS749" s="2466">
        <v>1200</v>
      </c>
      <c r="AT749" s="2466"/>
      <c r="AU749" s="2466">
        <v>1200</v>
      </c>
      <c r="AV749" s="2466">
        <v>1200</v>
      </c>
      <c r="AX749" s="2466">
        <v>1200</v>
      </c>
      <c r="AY749" s="2470"/>
      <c r="AZ749" s="2466">
        <f t="shared" ref="AZ749:AZ754" si="393">AX749+AY749</f>
        <v>1200</v>
      </c>
      <c r="BA749" s="2468">
        <f t="shared" ref="BA749:BA754" si="394">IF(AX749=0," ",(AZ749-AX749)/AX749)</f>
        <v>0</v>
      </c>
      <c r="BC749" s="2467">
        <v>1200</v>
      </c>
      <c r="BD749" s="2467">
        <v>1200</v>
      </c>
      <c r="BE749" s="2546"/>
      <c r="BF749" s="2469"/>
      <c r="BH749" s="2467">
        <v>1200</v>
      </c>
      <c r="BI749" s="2466">
        <v>1200</v>
      </c>
      <c r="BM749" s="2466">
        <v>1200</v>
      </c>
      <c r="BN749" s="2470"/>
      <c r="BO749" s="2472">
        <f t="shared" ref="BO749:BO754" si="395">BM749+BN749</f>
        <v>1200</v>
      </c>
      <c r="BP749" s="2473">
        <f t="shared" ref="BP749:BP754" si="396">IF(BM749=0," ",(BO749-BM749)/BM749)</f>
        <v>0</v>
      </c>
      <c r="BR749" s="2474">
        <v>1200</v>
      </c>
      <c r="BS749" s="2474">
        <v>1200</v>
      </c>
      <c r="BU749" s="2475"/>
      <c r="BW749" s="2474">
        <v>1200</v>
      </c>
      <c r="BX749" s="2466">
        <v>1200</v>
      </c>
      <c r="BZ749" s="2474">
        <v>1200</v>
      </c>
      <c r="CA749" s="2470"/>
      <c r="CB749" s="2472">
        <f t="shared" ref="CB749:CB754" si="397">BZ749+CA749</f>
        <v>1200</v>
      </c>
      <c r="CC749" s="2473">
        <f t="shared" ref="CC749:CC754" si="398">IF(BZ749=0," ",(CB749-BZ749)/BZ749)</f>
        <v>0</v>
      </c>
      <c r="CE749" s="2474">
        <v>1200</v>
      </c>
      <c r="CF749" s="2476">
        <f t="shared" si="392"/>
        <v>0</v>
      </c>
      <c r="CG749" s="2474">
        <v>1200</v>
      </c>
      <c r="CH749" s="2449" t="s">
        <v>1217</v>
      </c>
      <c r="CI749" s="2449"/>
      <c r="CJ749" s="2450"/>
      <c r="CK749" s="2450"/>
      <c r="CO749" s="2477">
        <v>0</v>
      </c>
      <c r="CP749" s="2478">
        <f t="shared" si="372"/>
        <v>0</v>
      </c>
      <c r="CQ749" s="2478"/>
      <c r="CR749" s="2478"/>
      <c r="CS749" s="2478"/>
      <c r="CT749" s="2478"/>
      <c r="CW749" s="2678">
        <f>SUM(CW747:CW748)</f>
        <v>21299</v>
      </c>
    </row>
    <row r="750" spans="1:101" hidden="1" x14ac:dyDescent="0.2">
      <c r="A750" s="2395">
        <v>541</v>
      </c>
      <c r="C750" s="2396">
        <v>54105</v>
      </c>
      <c r="D750" s="2396">
        <v>53400</v>
      </c>
      <c r="E750" s="2397" t="s">
        <v>1268</v>
      </c>
      <c r="G750" s="2440" t="s">
        <v>2186</v>
      </c>
      <c r="I750" s="2470"/>
      <c r="M750" s="2467"/>
      <c r="N750" s="2467"/>
      <c r="P750" s="2469"/>
      <c r="V750" s="2470"/>
      <c r="Z750" s="2573"/>
      <c r="AA750" s="2573"/>
      <c r="AC750" s="2469"/>
      <c r="AI750" s="2470"/>
      <c r="AM750" s="2467"/>
      <c r="AN750" s="2467"/>
      <c r="AP750" s="2469"/>
      <c r="AS750" s="2466">
        <v>228.18</v>
      </c>
      <c r="AT750" s="2466"/>
      <c r="AV750" s="2466">
        <v>182.73</v>
      </c>
      <c r="AY750" s="2470"/>
      <c r="AZ750" s="2466">
        <f t="shared" si="393"/>
        <v>0</v>
      </c>
      <c r="BA750" s="2468" t="str">
        <f t="shared" si="394"/>
        <v xml:space="preserve"> </v>
      </c>
      <c r="BC750" s="2467">
        <v>0</v>
      </c>
      <c r="BD750" s="2467">
        <v>0</v>
      </c>
      <c r="BF750" s="2469"/>
      <c r="BH750" s="2467">
        <v>0</v>
      </c>
      <c r="BM750" s="2466">
        <v>0</v>
      </c>
      <c r="BN750" s="2470"/>
      <c r="BO750" s="2472">
        <f t="shared" si="395"/>
        <v>0</v>
      </c>
      <c r="BP750" s="2473" t="str">
        <f t="shared" si="396"/>
        <v xml:space="preserve"> </v>
      </c>
      <c r="BR750" s="2474">
        <v>0</v>
      </c>
      <c r="BS750" s="2474">
        <v>0</v>
      </c>
      <c r="BU750" s="2475"/>
      <c r="BW750" s="2474">
        <v>0</v>
      </c>
      <c r="BZ750" s="2474">
        <v>0</v>
      </c>
      <c r="CA750" s="2470"/>
      <c r="CB750" s="2472">
        <f t="shared" si="397"/>
        <v>0</v>
      </c>
      <c r="CC750" s="2473" t="str">
        <f t="shared" si="398"/>
        <v xml:space="preserve"> </v>
      </c>
      <c r="CE750" s="2474">
        <v>0</v>
      </c>
      <c r="CF750" s="2476" t="str">
        <f t="shared" si="392"/>
        <v xml:space="preserve"> </v>
      </c>
      <c r="CG750" s="2474">
        <v>0</v>
      </c>
      <c r="CH750" s="2449" t="s">
        <v>1217</v>
      </c>
      <c r="CI750" s="2449"/>
      <c r="CJ750" s="2450"/>
      <c r="CK750" s="2450"/>
      <c r="CP750" s="2478">
        <f t="shared" si="372"/>
        <v>0</v>
      </c>
      <c r="CQ750" s="2478"/>
      <c r="CR750" s="2478"/>
      <c r="CS750" s="2478"/>
      <c r="CT750" s="2478"/>
      <c r="CW750" s="2466"/>
    </row>
    <row r="751" spans="1:101" hidden="1" x14ac:dyDescent="0.2">
      <c r="A751" s="2395">
        <v>541</v>
      </c>
      <c r="B751" s="2440" t="s">
        <v>1214</v>
      </c>
      <c r="C751" s="2396">
        <v>54105</v>
      </c>
      <c r="D751" s="2396">
        <v>53430</v>
      </c>
      <c r="E751" s="2397" t="s">
        <v>1268</v>
      </c>
      <c r="F751" s="2440" t="s">
        <v>1214</v>
      </c>
      <c r="G751" s="2440" t="s">
        <v>2187</v>
      </c>
      <c r="H751" s="2466">
        <v>2000</v>
      </c>
      <c r="I751" s="2470">
        <v>50</v>
      </c>
      <c r="J751" s="2466">
        <f t="shared" ref="J751:J755" si="399">H751+I751</f>
        <v>2050</v>
      </c>
      <c r="K751" s="2468">
        <f t="shared" ref="K751:K755" si="400">IF(H751=0," ",(J751-H751)/H751)</f>
        <v>2.5000000000000001E-2</v>
      </c>
      <c r="M751" s="2467">
        <v>2050</v>
      </c>
      <c r="N751" s="2467">
        <v>2050</v>
      </c>
      <c r="P751" s="2469"/>
      <c r="R751" s="2466">
        <v>2050</v>
      </c>
      <c r="S751" s="2466">
        <v>1398.72</v>
      </c>
      <c r="U751" s="2466">
        <v>2050</v>
      </c>
      <c r="V751" s="2470"/>
      <c r="W751" s="2466">
        <f t="shared" ref="W751:W755" si="401">U751+V751</f>
        <v>2050</v>
      </c>
      <c r="X751" s="2468">
        <f t="shared" ref="X751:X755" si="402">IF(U751=0," ",(W751-U751)/U751)</f>
        <v>0</v>
      </c>
      <c r="Z751" s="2573">
        <v>2050</v>
      </c>
      <c r="AA751" s="2573">
        <v>2050</v>
      </c>
      <c r="AC751" s="2469" t="s">
        <v>2188</v>
      </c>
      <c r="AE751" s="2466">
        <v>2050</v>
      </c>
      <c r="AF751" s="2471">
        <v>1228.5999999999999</v>
      </c>
      <c r="AH751" s="2466">
        <v>2050</v>
      </c>
      <c r="AI751" s="2470">
        <v>-350</v>
      </c>
      <c r="AJ751" s="2466">
        <f t="shared" si="390"/>
        <v>1700</v>
      </c>
      <c r="AK751" s="2468">
        <f t="shared" si="391"/>
        <v>-0.17073170731707318</v>
      </c>
      <c r="AM751" s="2467">
        <v>1700</v>
      </c>
      <c r="AN751" s="2467">
        <v>1700</v>
      </c>
      <c r="AP751" s="2469"/>
      <c r="AR751" s="2466">
        <v>1700</v>
      </c>
      <c r="AS751" s="2466">
        <v>1678.04</v>
      </c>
      <c r="AT751" s="2466"/>
      <c r="AU751" s="2466">
        <v>1700</v>
      </c>
      <c r="AV751" s="2466">
        <v>804.19</v>
      </c>
      <c r="AX751" s="2466">
        <v>1700</v>
      </c>
      <c r="AY751" s="2470"/>
      <c r="AZ751" s="2466">
        <f t="shared" si="393"/>
        <v>1700</v>
      </c>
      <c r="BA751" s="2468">
        <f t="shared" si="394"/>
        <v>0</v>
      </c>
      <c r="BC751" s="2467">
        <v>1700</v>
      </c>
      <c r="BD751" s="2467">
        <v>1700</v>
      </c>
      <c r="BF751" s="2469"/>
      <c r="BH751" s="2467">
        <v>1700</v>
      </c>
      <c r="BI751" s="2466">
        <v>970.86</v>
      </c>
      <c r="BM751" s="2466">
        <v>1700</v>
      </c>
      <c r="BN751" s="2470">
        <v>-300</v>
      </c>
      <c r="BO751" s="2472">
        <f t="shared" si="395"/>
        <v>1400</v>
      </c>
      <c r="BP751" s="2473">
        <f t="shared" si="396"/>
        <v>-0.17647058823529413</v>
      </c>
      <c r="BR751" s="2474">
        <v>1400</v>
      </c>
      <c r="BS751" s="2474">
        <v>1400</v>
      </c>
      <c r="BU751" s="2578" t="s">
        <v>1430</v>
      </c>
      <c r="BW751" s="2474">
        <v>1400</v>
      </c>
      <c r="BX751" s="2466">
        <v>359.34</v>
      </c>
      <c r="BZ751" s="2474">
        <v>1400</v>
      </c>
      <c r="CA751" s="2470">
        <v>-200</v>
      </c>
      <c r="CB751" s="2472">
        <f t="shared" si="397"/>
        <v>1200</v>
      </c>
      <c r="CC751" s="2473">
        <f t="shared" si="398"/>
        <v>-0.14285714285714285</v>
      </c>
      <c r="CE751" s="2474">
        <v>1200</v>
      </c>
      <c r="CF751" s="2476">
        <f t="shared" si="392"/>
        <v>0</v>
      </c>
      <c r="CG751" s="2474">
        <v>1200</v>
      </c>
      <c r="CH751" s="2449" t="s">
        <v>1217</v>
      </c>
      <c r="CI751" s="2449"/>
      <c r="CJ751" s="2450"/>
      <c r="CK751" s="2450"/>
      <c r="CO751" s="2477">
        <v>-0.42890588235294114</v>
      </c>
      <c r="CP751" s="2478">
        <f t="shared" si="372"/>
        <v>-729.14</v>
      </c>
      <c r="CQ751" s="2478"/>
      <c r="CR751" s="2478"/>
      <c r="CS751" s="2478"/>
      <c r="CT751" s="2478"/>
    </row>
    <row r="752" spans="1:101" hidden="1" x14ac:dyDescent="0.2">
      <c r="A752" s="2395">
        <v>541</v>
      </c>
      <c r="B752" s="2440" t="s">
        <v>1214</v>
      </c>
      <c r="C752" s="2396">
        <v>54105</v>
      </c>
      <c r="D752" s="2396">
        <v>54200</v>
      </c>
      <c r="E752" s="2397" t="s">
        <v>1268</v>
      </c>
      <c r="F752" s="2440" t="s">
        <v>1214</v>
      </c>
      <c r="G752" s="2440" t="s">
        <v>2189</v>
      </c>
      <c r="H752" s="2466">
        <v>641</v>
      </c>
      <c r="I752" s="2470">
        <v>16.03</v>
      </c>
      <c r="J752" s="2466">
        <f t="shared" si="399"/>
        <v>657.03</v>
      </c>
      <c r="K752" s="2468">
        <f t="shared" si="400"/>
        <v>2.5007800312012437E-2</v>
      </c>
      <c r="M752" s="2467">
        <v>650</v>
      </c>
      <c r="N752" s="2467">
        <v>650</v>
      </c>
      <c r="P752" s="2469"/>
      <c r="R752" s="2466">
        <v>650</v>
      </c>
      <c r="S752" s="2466">
        <v>57.84</v>
      </c>
      <c r="U752" s="2466">
        <v>650</v>
      </c>
      <c r="V752" s="2470"/>
      <c r="W752" s="2466">
        <f t="shared" si="401"/>
        <v>650</v>
      </c>
      <c r="X752" s="2468">
        <f t="shared" si="402"/>
        <v>0</v>
      </c>
      <c r="Z752" s="2467">
        <v>650</v>
      </c>
      <c r="AA752" s="2467">
        <v>650</v>
      </c>
      <c r="AC752" s="2469"/>
      <c r="AE752" s="2466">
        <v>650</v>
      </c>
      <c r="AF752" s="2471">
        <v>506.74</v>
      </c>
      <c r="AH752" s="2466">
        <v>650</v>
      </c>
      <c r="AI752" s="2470">
        <v>-120</v>
      </c>
      <c r="AJ752" s="2466">
        <f t="shared" si="390"/>
        <v>530</v>
      </c>
      <c r="AK752" s="2468">
        <f t="shared" si="391"/>
        <v>-0.18461538461538463</v>
      </c>
      <c r="AM752" s="2467">
        <v>530</v>
      </c>
      <c r="AN752" s="2467">
        <v>530</v>
      </c>
      <c r="AP752" s="2469"/>
      <c r="AR752" s="2466">
        <v>530</v>
      </c>
      <c r="AS752" s="2466">
        <v>365.55</v>
      </c>
      <c r="AT752" s="2466"/>
      <c r="AU752" s="2466">
        <v>530</v>
      </c>
      <c r="AV752" s="2466">
        <v>235.81</v>
      </c>
      <c r="AX752" s="2466">
        <v>530</v>
      </c>
      <c r="AY752" s="2470"/>
      <c r="AZ752" s="2466">
        <f t="shared" si="393"/>
        <v>530</v>
      </c>
      <c r="BA752" s="2468">
        <f t="shared" si="394"/>
        <v>0</v>
      </c>
      <c r="BC752" s="2467">
        <v>530</v>
      </c>
      <c r="BD752" s="2467">
        <v>530</v>
      </c>
      <c r="BF752" s="2469"/>
      <c r="BH752" s="2467">
        <v>530</v>
      </c>
      <c r="BI752" s="2466">
        <v>667.38</v>
      </c>
      <c r="BM752" s="2466">
        <v>530</v>
      </c>
      <c r="BN752" s="2470"/>
      <c r="BO752" s="2472">
        <f t="shared" si="395"/>
        <v>530</v>
      </c>
      <c r="BP752" s="2473">
        <f t="shared" si="396"/>
        <v>0</v>
      </c>
      <c r="BR752" s="2474">
        <v>530</v>
      </c>
      <c r="BS752" s="2474">
        <v>530</v>
      </c>
      <c r="BU752" s="2475"/>
      <c r="BW752" s="2474">
        <v>530</v>
      </c>
      <c r="BX752" s="2466">
        <v>211.12</v>
      </c>
      <c r="BZ752" s="2474">
        <v>530</v>
      </c>
      <c r="CA752" s="2470"/>
      <c r="CB752" s="2472">
        <f t="shared" si="397"/>
        <v>530</v>
      </c>
      <c r="CC752" s="2473">
        <f t="shared" si="398"/>
        <v>0</v>
      </c>
      <c r="CE752" s="2474">
        <v>530</v>
      </c>
      <c r="CF752" s="2476">
        <f t="shared" si="392"/>
        <v>0</v>
      </c>
      <c r="CG752" s="2474">
        <v>530</v>
      </c>
      <c r="CH752" s="2449" t="s">
        <v>1217</v>
      </c>
      <c r="CI752" s="2449"/>
      <c r="CJ752" s="2450"/>
      <c r="CK752" s="2450"/>
      <c r="CO752" s="2477">
        <v>0.2592075471698112</v>
      </c>
      <c r="CP752" s="2478">
        <f t="shared" si="372"/>
        <v>137.38</v>
      </c>
      <c r="CQ752" s="2478"/>
      <c r="CR752" s="2478"/>
      <c r="CS752" s="2478"/>
      <c r="CT752" s="2478"/>
    </row>
    <row r="753" spans="1:98" hidden="1" x14ac:dyDescent="0.2">
      <c r="A753" s="2395">
        <v>541</v>
      </c>
      <c r="B753" s="2440" t="s">
        <v>1214</v>
      </c>
      <c r="C753" s="2396">
        <v>54105</v>
      </c>
      <c r="D753" s="2396">
        <v>57100</v>
      </c>
      <c r="E753" s="2397" t="s">
        <v>1268</v>
      </c>
      <c r="F753" s="2440" t="s">
        <v>1214</v>
      </c>
      <c r="G753" s="2440" t="s">
        <v>2190</v>
      </c>
      <c r="H753" s="2466">
        <v>150</v>
      </c>
      <c r="I753" s="2470">
        <v>500</v>
      </c>
      <c r="J753" s="2466">
        <f t="shared" si="399"/>
        <v>650</v>
      </c>
      <c r="K753" s="2468">
        <f t="shared" si="400"/>
        <v>3.3333333333333335</v>
      </c>
      <c r="M753" s="2467">
        <v>650</v>
      </c>
      <c r="N753" s="2467">
        <v>650</v>
      </c>
      <c r="P753" s="2469"/>
      <c r="R753" s="2466">
        <v>650</v>
      </c>
      <c r="S753" s="2466">
        <v>1728.52</v>
      </c>
      <c r="U753" s="2466">
        <v>650</v>
      </c>
      <c r="V753" s="2470"/>
      <c r="W753" s="2466">
        <f t="shared" si="401"/>
        <v>650</v>
      </c>
      <c r="X753" s="2468">
        <f t="shared" si="402"/>
        <v>0</v>
      </c>
      <c r="Z753" s="2467">
        <v>650</v>
      </c>
      <c r="AA753" s="2467">
        <v>650</v>
      </c>
      <c r="AC753" s="2469"/>
      <c r="AE753" s="2466">
        <v>0</v>
      </c>
      <c r="AF753" s="2471">
        <v>504.56</v>
      </c>
      <c r="AI753" s="2470"/>
      <c r="AJ753" s="2466">
        <f t="shared" si="390"/>
        <v>0</v>
      </c>
      <c r="AK753" s="2468" t="str">
        <f t="shared" si="391"/>
        <v xml:space="preserve"> </v>
      </c>
      <c r="AM753" s="2467"/>
      <c r="AN753" s="2467"/>
      <c r="AP753" s="2469"/>
      <c r="AS753" s="2466">
        <v>156.72</v>
      </c>
      <c r="AT753" s="2466"/>
      <c r="AU753" s="2466">
        <v>0</v>
      </c>
      <c r="AV753" s="2466">
        <v>181.52</v>
      </c>
      <c r="AX753" s="2466">
        <v>0</v>
      </c>
      <c r="AY753" s="2470"/>
      <c r="AZ753" s="2466">
        <f t="shared" si="393"/>
        <v>0</v>
      </c>
      <c r="BA753" s="2468" t="str">
        <f t="shared" si="394"/>
        <v xml:space="preserve"> </v>
      </c>
      <c r="BC753" s="2467">
        <v>0</v>
      </c>
      <c r="BD753" s="2467">
        <v>0</v>
      </c>
      <c r="BF753" s="2469"/>
      <c r="BH753" s="2467">
        <v>0</v>
      </c>
      <c r="BI753" s="2466">
        <v>159.5</v>
      </c>
      <c r="BM753" s="2466">
        <v>0</v>
      </c>
      <c r="BN753" s="2470">
        <v>300</v>
      </c>
      <c r="BO753" s="2472">
        <f t="shared" si="395"/>
        <v>300</v>
      </c>
      <c r="BP753" s="2473" t="str">
        <f t="shared" si="396"/>
        <v xml:space="preserve"> </v>
      </c>
      <c r="BR753" s="2474">
        <v>300</v>
      </c>
      <c r="BS753" s="2474">
        <v>300</v>
      </c>
      <c r="BU753" s="2578" t="s">
        <v>1430</v>
      </c>
      <c r="BW753" s="2474">
        <v>300</v>
      </c>
      <c r="BX753" s="2466">
        <v>23.77</v>
      </c>
      <c r="BZ753" s="2474">
        <v>300</v>
      </c>
      <c r="CA753" s="2470"/>
      <c r="CB753" s="2472">
        <f t="shared" si="397"/>
        <v>300</v>
      </c>
      <c r="CC753" s="2473">
        <f t="shared" si="398"/>
        <v>0</v>
      </c>
      <c r="CE753" s="2474">
        <v>300</v>
      </c>
      <c r="CF753" s="2476">
        <f t="shared" si="392"/>
        <v>0</v>
      </c>
      <c r="CG753" s="2474">
        <v>300</v>
      </c>
      <c r="CH753" s="2449" t="s">
        <v>1217</v>
      </c>
      <c r="CI753" s="2449"/>
      <c r="CJ753" s="2450"/>
      <c r="CK753" s="2450"/>
      <c r="CO753" s="2477" t="s">
        <v>1257</v>
      </c>
      <c r="CP753" s="2478">
        <f t="shared" si="372"/>
        <v>159.5</v>
      </c>
      <c r="CQ753" s="2478"/>
      <c r="CR753" s="2478"/>
      <c r="CS753" s="2478"/>
      <c r="CT753" s="2478"/>
    </row>
    <row r="754" spans="1:98" hidden="1" x14ac:dyDescent="0.2">
      <c r="A754" s="2395">
        <v>541</v>
      </c>
      <c r="B754" s="2440" t="s">
        <v>1214</v>
      </c>
      <c r="C754" s="2396">
        <v>54105</v>
      </c>
      <c r="D754" s="2396">
        <v>57300</v>
      </c>
      <c r="E754" s="2397" t="s">
        <v>1268</v>
      </c>
      <c r="F754" s="2440" t="s">
        <v>1214</v>
      </c>
      <c r="G754" s="2440" t="s">
        <v>2191</v>
      </c>
      <c r="H754" s="2466">
        <v>145</v>
      </c>
      <c r="I754" s="2470">
        <v>151.6</v>
      </c>
      <c r="J754" s="2466">
        <f t="shared" si="399"/>
        <v>296.60000000000002</v>
      </c>
      <c r="K754" s="2468">
        <f t="shared" si="400"/>
        <v>1.0455172413793106</v>
      </c>
      <c r="M754" s="2467">
        <v>290</v>
      </c>
      <c r="N754" s="2467">
        <v>290</v>
      </c>
      <c r="P754" s="2469"/>
      <c r="R754" s="2466">
        <v>290</v>
      </c>
      <c r="S754" s="2466">
        <v>296.60000000000002</v>
      </c>
      <c r="U754" s="2466">
        <v>290</v>
      </c>
      <c r="V754" s="2470"/>
      <c r="W754" s="2466">
        <f t="shared" si="401"/>
        <v>290</v>
      </c>
      <c r="X754" s="2468">
        <f t="shared" si="402"/>
        <v>0</v>
      </c>
      <c r="Z754" s="2467">
        <v>290</v>
      </c>
      <c r="AA754" s="2467">
        <v>290</v>
      </c>
      <c r="AC754" s="2469"/>
      <c r="AE754" s="2466">
        <v>650</v>
      </c>
      <c r="AF754" s="2471">
        <v>516.6</v>
      </c>
      <c r="AH754" s="2466">
        <v>650</v>
      </c>
      <c r="AI754" s="2470">
        <v>25</v>
      </c>
      <c r="AJ754" s="2466">
        <f>AH754+AI754</f>
        <v>675</v>
      </c>
      <c r="AK754" s="2468">
        <f t="shared" si="391"/>
        <v>3.8461538461538464E-2</v>
      </c>
      <c r="AM754" s="2467">
        <v>675</v>
      </c>
      <c r="AN754" s="2467">
        <v>675</v>
      </c>
      <c r="AP754" s="2469"/>
      <c r="AR754" s="2466">
        <v>675</v>
      </c>
      <c r="AS754" s="2466">
        <v>741.8</v>
      </c>
      <c r="AT754" s="2466"/>
      <c r="AU754" s="2466">
        <f>675+31</f>
        <v>706</v>
      </c>
      <c r="AV754" s="2466">
        <v>20</v>
      </c>
      <c r="AX754" s="2466">
        <f>675+31</f>
        <v>706</v>
      </c>
      <c r="AY754" s="2470"/>
      <c r="AZ754" s="2466">
        <f t="shared" si="393"/>
        <v>706</v>
      </c>
      <c r="BA754" s="2468">
        <f t="shared" si="394"/>
        <v>0</v>
      </c>
      <c r="BC754" s="2467">
        <v>706</v>
      </c>
      <c r="BD754" s="2467">
        <v>706</v>
      </c>
      <c r="BF754" s="2469"/>
      <c r="BH754" s="2467">
        <v>706</v>
      </c>
      <c r="BI754" s="2466">
        <v>510.92</v>
      </c>
      <c r="BM754" s="2466">
        <v>706</v>
      </c>
      <c r="BN754" s="2470"/>
      <c r="BO754" s="2472">
        <f t="shared" si="395"/>
        <v>706</v>
      </c>
      <c r="BP754" s="2473">
        <f t="shared" si="396"/>
        <v>0</v>
      </c>
      <c r="BR754" s="2474">
        <v>706</v>
      </c>
      <c r="BS754" s="2474">
        <v>706</v>
      </c>
      <c r="BU754" s="2475"/>
      <c r="BW754" s="2474">
        <v>706</v>
      </c>
      <c r="BX754" s="2466">
        <v>1290.25</v>
      </c>
      <c r="BZ754" s="2474">
        <v>706</v>
      </c>
      <c r="CA754" s="2470"/>
      <c r="CB754" s="2472">
        <f t="shared" si="397"/>
        <v>706</v>
      </c>
      <c r="CC754" s="2473">
        <f t="shared" si="398"/>
        <v>0</v>
      </c>
      <c r="CE754" s="2474">
        <v>706</v>
      </c>
      <c r="CF754" s="2476">
        <f t="shared" si="392"/>
        <v>0</v>
      </c>
      <c r="CG754" s="2474">
        <v>706</v>
      </c>
      <c r="CH754" s="2449" t="s">
        <v>1217</v>
      </c>
      <c r="CI754" s="2449"/>
      <c r="CJ754" s="2450"/>
      <c r="CK754" s="2450"/>
      <c r="CO754" s="2477">
        <v>-0.27631728045325776</v>
      </c>
      <c r="CP754" s="2478">
        <f t="shared" si="372"/>
        <v>-195.07999999999998</v>
      </c>
      <c r="CQ754" s="2478"/>
      <c r="CR754" s="2478"/>
      <c r="CS754" s="2478"/>
      <c r="CT754" s="2478"/>
    </row>
    <row r="755" spans="1:98" hidden="1" x14ac:dyDescent="0.2">
      <c r="A755" s="2395">
        <v>541</v>
      </c>
      <c r="B755" s="2440" t="s">
        <v>1214</v>
      </c>
      <c r="C755" s="2396">
        <v>54105</v>
      </c>
      <c r="D755" s="2396">
        <v>57800</v>
      </c>
      <c r="E755" s="2397" t="s">
        <v>1268</v>
      </c>
      <c r="F755" s="2440" t="s">
        <v>1214</v>
      </c>
      <c r="G755" s="2440" t="s">
        <v>2192</v>
      </c>
      <c r="H755" s="2466">
        <v>0</v>
      </c>
      <c r="I755" s="2470"/>
      <c r="J755" s="2466">
        <f t="shared" si="399"/>
        <v>0</v>
      </c>
      <c r="K755" s="2468" t="str">
        <f t="shared" si="400"/>
        <v xml:space="preserve"> </v>
      </c>
      <c r="M755" s="2467">
        <v>0</v>
      </c>
      <c r="N755" s="2573">
        <v>390</v>
      </c>
      <c r="P755" s="2469"/>
      <c r="R755" s="2549">
        <v>390</v>
      </c>
      <c r="S755" s="2549">
        <v>0</v>
      </c>
      <c r="U755" s="2549">
        <v>390</v>
      </c>
      <c r="V755" s="2470">
        <v>-390</v>
      </c>
      <c r="W755" s="2466">
        <f t="shared" si="401"/>
        <v>0</v>
      </c>
      <c r="X755" s="2468">
        <f t="shared" si="402"/>
        <v>-1</v>
      </c>
      <c r="Z755" s="2467">
        <v>0</v>
      </c>
      <c r="AA755" s="2467">
        <v>0</v>
      </c>
      <c r="AC755" s="2469" t="s">
        <v>2193</v>
      </c>
      <c r="AE755" s="2466">
        <v>290</v>
      </c>
      <c r="AF755" s="2471">
        <v>0</v>
      </c>
      <c r="AH755" s="2466">
        <v>290</v>
      </c>
      <c r="AI755" s="2470">
        <v>35</v>
      </c>
      <c r="AJ755" s="2466">
        <f>AH755+AI755</f>
        <v>325</v>
      </c>
      <c r="AK755" s="2468">
        <f t="shared" si="391"/>
        <v>0.1206896551724138</v>
      </c>
      <c r="AM755" s="2467">
        <v>325</v>
      </c>
      <c r="AN755" s="2467">
        <v>325</v>
      </c>
      <c r="AP755" s="2469"/>
      <c r="AR755" s="2466">
        <v>325</v>
      </c>
      <c r="AS755" s="2466">
        <v>0.24</v>
      </c>
      <c r="AT755" s="2466"/>
      <c r="AU755" s="2466">
        <v>325</v>
      </c>
      <c r="AV755" s="2466">
        <v>0</v>
      </c>
      <c r="AX755" s="2466">
        <v>325</v>
      </c>
      <c r="AY755" s="2470"/>
      <c r="AZ755" s="2466">
        <f>AX755+AY755</f>
        <v>325</v>
      </c>
      <c r="BA755" s="2468">
        <f>IF(AX755=0," ",(AZ755-AX755)/AX755)</f>
        <v>0</v>
      </c>
      <c r="BC755" s="2467">
        <v>325</v>
      </c>
      <c r="BD755" s="2467">
        <v>325</v>
      </c>
      <c r="BF755" s="2469"/>
      <c r="BH755" s="2467">
        <v>325</v>
      </c>
      <c r="BI755" s="2466">
        <v>309.95</v>
      </c>
      <c r="BM755" s="2466">
        <v>325</v>
      </c>
      <c r="BN755" s="2470"/>
      <c r="BO755" s="2472">
        <f>BM755+BN755</f>
        <v>325</v>
      </c>
      <c r="BP755" s="2473">
        <f>IF(BM755=0," ",(BO755-BM755)/BM755)</f>
        <v>0</v>
      </c>
      <c r="BR755" s="2474">
        <v>325</v>
      </c>
      <c r="BS755" s="2474">
        <v>325</v>
      </c>
      <c r="BU755" s="2475"/>
      <c r="BW755" s="2474">
        <v>325</v>
      </c>
      <c r="BZ755" s="2474">
        <v>325</v>
      </c>
      <c r="CA755" s="2470">
        <v>100</v>
      </c>
      <c r="CB755" s="2472">
        <f>BZ755+CA755</f>
        <v>425</v>
      </c>
      <c r="CC755" s="2473">
        <f>IF(BZ755=0," ",(CB755-BZ755)/BZ755)</f>
        <v>0.30769230769230771</v>
      </c>
      <c r="CE755" s="2474">
        <v>425</v>
      </c>
      <c r="CF755" s="2476">
        <f t="shared" si="392"/>
        <v>0</v>
      </c>
      <c r="CG755" s="2474">
        <v>425</v>
      </c>
      <c r="CH755" s="2449" t="s">
        <v>1217</v>
      </c>
      <c r="CI755" s="2449"/>
      <c r="CJ755" s="2450"/>
      <c r="CK755" s="2450"/>
      <c r="CO755" s="2477">
        <v>-4.6307692307692383E-2</v>
      </c>
      <c r="CP755" s="2478">
        <f t="shared" si="372"/>
        <v>-15.050000000000011</v>
      </c>
      <c r="CQ755" s="2478"/>
      <c r="CR755" s="2478"/>
      <c r="CS755" s="2478"/>
      <c r="CT755" s="2478"/>
    </row>
    <row r="756" spans="1:98" s="2485" customFormat="1" hidden="1" x14ac:dyDescent="0.2">
      <c r="A756" s="2532"/>
      <c r="B756" s="2533"/>
      <c r="C756" s="2534"/>
      <c r="D756" s="2534"/>
      <c r="E756" s="2535"/>
      <c r="F756" s="2533"/>
      <c r="G756" s="2654" t="s">
        <v>2194</v>
      </c>
      <c r="H756" s="2536">
        <f>SUM(H749:H755)</f>
        <v>2936</v>
      </c>
      <c r="I756" s="2536">
        <f>SUM(I749:I755)</f>
        <v>717.63</v>
      </c>
      <c r="J756" s="2536">
        <f>SUM(J749:J755)</f>
        <v>3653.6299999999997</v>
      </c>
      <c r="K756" s="2484">
        <f>IF(H756=0," ",(J756-H756)/H756)</f>
        <v>0.24442438692098081</v>
      </c>
      <c r="M756" s="2536">
        <f>SUM(M749:M755)</f>
        <v>3640</v>
      </c>
      <c r="N756" s="2536">
        <f>SUM(N747:N755)</f>
        <v>4030</v>
      </c>
      <c r="P756" s="2537">
        <f>SUM(P751:P755)</f>
        <v>0</v>
      </c>
      <c r="R756" s="2536">
        <f>SUM(R749:R755)</f>
        <v>4030</v>
      </c>
      <c r="S756" s="2536">
        <f>SUM(S747:S755)</f>
        <v>4687.01</v>
      </c>
      <c r="U756" s="2536">
        <f>SUM(U749:U755)</f>
        <v>4030</v>
      </c>
      <c r="V756" s="2536">
        <f>SUM(V751:V755)</f>
        <v>-390</v>
      </c>
      <c r="W756" s="2536">
        <f>SUM(W749:W755)</f>
        <v>4030</v>
      </c>
      <c r="X756" s="2484">
        <f>IF(U756=0," ",(W756-U756)/U756)</f>
        <v>0</v>
      </c>
      <c r="Z756" s="2536">
        <f>SUM(Z749:Z755)</f>
        <v>4030</v>
      </c>
      <c r="AA756" s="2536">
        <f>SUM(AA749:AA755)</f>
        <v>4430</v>
      </c>
      <c r="AC756" s="2537"/>
      <c r="AE756" s="2536">
        <f>SUM(AE747:AE755)</f>
        <v>4430</v>
      </c>
      <c r="AF756" s="2538">
        <f>SUM(AF747:AF755)</f>
        <v>4054.04</v>
      </c>
      <c r="AH756" s="2536">
        <f>SUM(AH747:AH755)</f>
        <v>4430</v>
      </c>
      <c r="AI756" s="2536">
        <f>SUM(AI747:AI755)</f>
        <v>0</v>
      </c>
      <c r="AJ756" s="2536">
        <f>SUM(AJ747:AJ755)</f>
        <v>4430</v>
      </c>
      <c r="AK756" s="2484">
        <f>IF(AH756=0," ",(AJ756-AH756)/AH756)</f>
        <v>0</v>
      </c>
      <c r="AM756" s="2536">
        <f>SUM(AM747:AM755)</f>
        <v>5530</v>
      </c>
      <c r="AN756" s="2536">
        <f>SUM(AN747:AN755)</f>
        <v>5530</v>
      </c>
      <c r="AP756" s="2537"/>
      <c r="AR756" s="2536">
        <f>SUM(AR747:AR755)</f>
        <v>5530</v>
      </c>
      <c r="AS756" s="2536">
        <f>SUM(AS747:AS755)</f>
        <v>5730.38</v>
      </c>
      <c r="AT756" s="2536"/>
      <c r="AU756" s="2536">
        <f>SUM(AU747:AU755)</f>
        <v>5561</v>
      </c>
      <c r="AV756" s="2536">
        <f>SUM(AV747:AV755)</f>
        <v>3307.59</v>
      </c>
      <c r="AX756" s="2536">
        <f>SUM(AX747:AX755)</f>
        <v>5561</v>
      </c>
      <c r="AY756" s="2536">
        <f>SUM(AY747:AY755)</f>
        <v>0</v>
      </c>
      <c r="AZ756" s="2536">
        <f>SUM(AZ747:AZ755)</f>
        <v>5561</v>
      </c>
      <c r="BA756" s="2484">
        <f>IF(AX756=0," ",(AZ756-AX756)/AX756)</f>
        <v>0</v>
      </c>
      <c r="BC756" s="2536">
        <f>SUM(BC747:BC755)</f>
        <v>5561</v>
      </c>
      <c r="BD756" s="2536">
        <f>SUM(BD747:BD755)</f>
        <v>5561</v>
      </c>
      <c r="BF756" s="2537"/>
      <c r="BH756" s="2536">
        <f>SUM(BH747:BH755)</f>
        <v>5561</v>
      </c>
      <c r="BI756" s="2536">
        <f>SUM(BI747:BI755)</f>
        <v>5310.2699999999995</v>
      </c>
      <c r="BJ756" s="2536"/>
      <c r="BK756" s="2536"/>
      <c r="BM756" s="2536">
        <f>SUM(BM747:BM755)</f>
        <v>5561</v>
      </c>
      <c r="BN756" s="2539">
        <f>SUM(BN747:BN755)</f>
        <v>0</v>
      </c>
      <c r="BO756" s="2540">
        <f>SUM(BO747:BO755)</f>
        <v>5561</v>
      </c>
      <c r="BP756" s="2490">
        <f>IF(BM756=0," ",(BO756-BM756)/BM756)</f>
        <v>0</v>
      </c>
      <c r="BQ756" s="2491"/>
      <c r="BR756" s="2540">
        <f>SUM(BR747:BR755)</f>
        <v>5561</v>
      </c>
      <c r="BS756" s="2540">
        <f>SUM(BS747:BS755)</f>
        <v>5561</v>
      </c>
      <c r="BT756" s="2491"/>
      <c r="BU756" s="2541"/>
      <c r="BV756" s="2491"/>
      <c r="BW756" s="2540">
        <f>SUM(BW747:BW755)</f>
        <v>5561</v>
      </c>
      <c r="BX756" s="2536">
        <f>SUM(BX747:BX755)</f>
        <v>3475.47</v>
      </c>
      <c r="BZ756" s="2540">
        <f>SUM(BZ747:BZ755)</f>
        <v>5561</v>
      </c>
      <c r="CA756" s="2540">
        <f>SUM(CA747:CA755)</f>
        <v>0</v>
      </c>
      <c r="CB756" s="2540">
        <f>SUM(CB747:CB755)</f>
        <v>5561</v>
      </c>
      <c r="CC756" s="2490">
        <f>IF(BZ756=0," ",(CB756-BZ756)/BZ756)</f>
        <v>0</v>
      </c>
      <c r="CD756" s="2491"/>
      <c r="CE756" s="2540">
        <f>SUM(CE747:CE755)</f>
        <v>5561</v>
      </c>
      <c r="CF756" s="2490">
        <f t="shared" si="392"/>
        <v>0</v>
      </c>
      <c r="CG756" s="2540">
        <f>SUM(CG747:CG755)</f>
        <v>5561</v>
      </c>
      <c r="CH756" s="2449" t="s">
        <v>1220</v>
      </c>
      <c r="CI756" s="2449"/>
      <c r="CJ756" s="2450"/>
      <c r="CK756" s="2450"/>
      <c r="CL756" s="2451"/>
      <c r="CM756" s="2451"/>
      <c r="CN756" s="2451"/>
      <c r="CO756" s="2477">
        <v>-4.5087214529760944E-2</v>
      </c>
      <c r="CP756" s="2478">
        <f t="shared" si="372"/>
        <v>-250.73000000000047</v>
      </c>
      <c r="CQ756" s="2478"/>
      <c r="CR756" s="2478"/>
      <c r="CS756" s="2478"/>
      <c r="CT756" s="2478"/>
    </row>
    <row r="757" spans="1:98" ht="9.9499999999999993" hidden="1" customHeight="1" x14ac:dyDescent="0.2">
      <c r="AS757" s="2466"/>
      <c r="AT757" s="2466"/>
      <c r="BZ757" s="2472"/>
      <c r="CA757" s="2472"/>
      <c r="CH757" s="2449" t="s">
        <v>1091</v>
      </c>
      <c r="CI757" s="2449"/>
      <c r="CJ757" s="2450"/>
      <c r="CK757" s="2450"/>
      <c r="CP757" s="2478">
        <f t="shared" si="372"/>
        <v>0</v>
      </c>
      <c r="CQ757" s="2478"/>
      <c r="CR757" s="2478"/>
      <c r="CS757" s="2478"/>
      <c r="CT757" s="2478"/>
    </row>
    <row r="758" spans="1:98" x14ac:dyDescent="0.2">
      <c r="A758" s="2495"/>
      <c r="B758" s="2496"/>
      <c r="C758" s="2497"/>
      <c r="D758" s="2497"/>
      <c r="E758" s="2498"/>
      <c r="F758" s="2496"/>
      <c r="G758" s="2499" t="s">
        <v>2195</v>
      </c>
      <c r="H758" s="2500">
        <f>H745+H756</f>
        <v>107049</v>
      </c>
      <c r="I758" s="2500">
        <f>I745+I756</f>
        <v>1409.13</v>
      </c>
      <c r="J758" s="2500">
        <f>J745+J756</f>
        <v>108458.13</v>
      </c>
      <c r="K758" s="2501">
        <f>IF(H758=0," ",(J758-H758)/H758)</f>
        <v>1.3163411148165837E-2</v>
      </c>
      <c r="M758" s="2500">
        <f>M745+M756</f>
        <v>108445</v>
      </c>
      <c r="N758" s="2500">
        <f>N745+N756</f>
        <v>117394</v>
      </c>
      <c r="P758" s="2502">
        <f>P745+P756</f>
        <v>0</v>
      </c>
      <c r="R758" s="2500">
        <f>R745+R756</f>
        <v>117394</v>
      </c>
      <c r="S758" s="2500">
        <f>S745+S756</f>
        <v>113152.09999999999</v>
      </c>
      <c r="U758" s="2500">
        <f>U745+U756</f>
        <v>117394</v>
      </c>
      <c r="V758" s="2500">
        <f>V745+V756</f>
        <v>4278</v>
      </c>
      <c r="W758" s="2500">
        <f>W745+W756</f>
        <v>122062</v>
      </c>
      <c r="X758" s="2501">
        <f>IF(U758=0," ",(W758-U758)/U758)</f>
        <v>3.9763531355946638E-2</v>
      </c>
      <c r="Z758" s="2500">
        <f>Z745+Z756</f>
        <v>122062</v>
      </c>
      <c r="AA758" s="2500">
        <f>AA745+AA756</f>
        <v>122462</v>
      </c>
      <c r="AC758" s="2502"/>
      <c r="AE758" s="2500">
        <f>AE745+AE756</f>
        <v>122462</v>
      </c>
      <c r="AF758" s="2503">
        <f>AF745+AF756</f>
        <v>122084.65</v>
      </c>
      <c r="AH758" s="2500">
        <v>122462</v>
      </c>
      <c r="AI758" s="2500">
        <f>AI745+AI756</f>
        <v>7039</v>
      </c>
      <c r="AJ758" s="2500">
        <f>AJ745+AJ756</f>
        <v>129501</v>
      </c>
      <c r="AK758" s="2501">
        <f>IF(AH758=0," ",(AJ758-AH758)/AH758)</f>
        <v>5.7479054727180678E-2</v>
      </c>
      <c r="AM758" s="2500">
        <f>AM745+AM756</f>
        <v>134841</v>
      </c>
      <c r="AN758" s="2500">
        <f>AN745+AN756</f>
        <v>134841</v>
      </c>
      <c r="AP758" s="2502"/>
      <c r="AR758" s="2500">
        <f>AR745+AR756</f>
        <v>134841</v>
      </c>
      <c r="AS758" s="2500">
        <f>AS745+AS756</f>
        <v>125530.9</v>
      </c>
      <c r="AT758" s="2500"/>
      <c r="AU758" s="2500">
        <f>AU745+AU756</f>
        <v>137138</v>
      </c>
      <c r="AV758" s="2500">
        <f>AV745+AV756</f>
        <v>104763.56999999999</v>
      </c>
      <c r="AX758" s="2500">
        <f>AX745+AX756</f>
        <v>137138</v>
      </c>
      <c r="AY758" s="2500">
        <f>AY745+AY756</f>
        <v>703</v>
      </c>
      <c r="AZ758" s="2500">
        <f>AZ745+AZ756</f>
        <v>137841</v>
      </c>
      <c r="BA758" s="2501">
        <f>IF(AX758=0," ",(AZ758-AX758)/AX758)</f>
        <v>5.1262232204057224E-3</v>
      </c>
      <c r="BC758" s="2500">
        <f>BC745+BC756</f>
        <v>137841</v>
      </c>
      <c r="BD758" s="2500">
        <f>BD745+BD756</f>
        <v>137841</v>
      </c>
      <c r="BF758" s="2502"/>
      <c r="BH758" s="2500">
        <f>BH745+BH756</f>
        <v>137841</v>
      </c>
      <c r="BI758" s="2500">
        <f>BI745+BI756</f>
        <v>130571.62000000001</v>
      </c>
      <c r="BJ758" s="2500"/>
      <c r="BK758" s="2500"/>
      <c r="BM758" s="2500">
        <f>BM745+BM756</f>
        <v>137841</v>
      </c>
      <c r="BN758" s="2504">
        <f>BN745+BN756</f>
        <v>2559</v>
      </c>
      <c r="BO758" s="2505">
        <f>BO745+BO756</f>
        <v>140400</v>
      </c>
      <c r="BP758" s="2506">
        <f>IF(BM758=0," ",(BO758-BM758)/BM758)</f>
        <v>1.8564868217729121E-2</v>
      </c>
      <c r="BR758" s="2505">
        <f>BR745+BR756</f>
        <v>140400</v>
      </c>
      <c r="BS758" s="2505">
        <f>BS745+BS756</f>
        <v>140400</v>
      </c>
      <c r="BU758" s="2507"/>
      <c r="BW758" s="2505">
        <f>BW745+BW756</f>
        <v>140400</v>
      </c>
      <c r="BX758" s="2500">
        <f>BX745+BX756</f>
        <v>66166.62</v>
      </c>
      <c r="BZ758" s="2505">
        <f>BZ745+BZ756</f>
        <v>140400</v>
      </c>
      <c r="CA758" s="2505">
        <f>CA745+CA756</f>
        <v>4482</v>
      </c>
      <c r="CB758" s="2505">
        <f>CB745+CB756</f>
        <v>144882</v>
      </c>
      <c r="CC758" s="2506">
        <f>IF(BZ758=0," ",(CB758-BZ758)/BZ758)</f>
        <v>3.1923076923076922E-2</v>
      </c>
      <c r="CE758" s="2505">
        <f>CE745+CE756</f>
        <v>149734</v>
      </c>
      <c r="CF758" s="2506">
        <f>IF(CB758=0," ",(CE758-CB758)/CB758)</f>
        <v>3.3489322345080827E-2</v>
      </c>
      <c r="CG758" s="2505">
        <f>CG745+CG756</f>
        <v>149734</v>
      </c>
      <c r="CH758" s="2449" t="s">
        <v>1222</v>
      </c>
      <c r="CI758" s="2508" t="str">
        <f>IF(CG758-CE758=0,"",CG758-CE758)</f>
        <v/>
      </c>
      <c r="CJ758" s="2509"/>
      <c r="CK758" s="2509"/>
      <c r="CL758" s="2451" t="str">
        <f>IF(CO758&lt;-1*CM$2,"examine","ignore")</f>
        <v>examine</v>
      </c>
      <c r="CM758" s="2545">
        <f>IF(CL758="examine",CP758+CM$2*CP758/CO758,"")</f>
        <v>-1755.7399999999943</v>
      </c>
      <c r="CN758" s="2545">
        <f>IF(CI758="",CM758,CM758-CI758)</f>
        <v>-1755.7399999999943</v>
      </c>
      <c r="CO758" s="2477">
        <v>-5.2737429357012755E-2</v>
      </c>
      <c r="CP758" s="2510">
        <f t="shared" si="372"/>
        <v>-7269.3799999999901</v>
      </c>
      <c r="CQ758" s="2510">
        <f>AV758-AU758</f>
        <v>-32374.430000000008</v>
      </c>
      <c r="CR758" s="2510">
        <f>AS758-AR758</f>
        <v>-9310.1000000000058</v>
      </c>
      <c r="CS758" s="2510">
        <f>AF758-AE758</f>
        <v>-377.35000000000582</v>
      </c>
    </row>
    <row r="759" spans="1:98" ht="20.100000000000001" hidden="1" customHeight="1" x14ac:dyDescent="0.2">
      <c r="AS759" s="2466"/>
      <c r="AT759" s="2466"/>
      <c r="BZ759" s="2472"/>
      <c r="CH759" s="2449" t="s">
        <v>1091</v>
      </c>
      <c r="CI759" s="2449"/>
      <c r="CJ759" s="2450"/>
      <c r="CK759" s="2450"/>
      <c r="CP759" s="2478">
        <f t="shared" si="372"/>
        <v>0</v>
      </c>
      <c r="CQ759" s="2478"/>
      <c r="CR759" s="2478"/>
      <c r="CS759" s="2478"/>
      <c r="CT759" s="2478"/>
    </row>
    <row r="760" spans="1:98" ht="15.75" hidden="1" x14ac:dyDescent="0.2">
      <c r="A760" s="2453" t="s">
        <v>2196</v>
      </c>
      <c r="B760" s="2454"/>
      <c r="C760" s="2455"/>
      <c r="D760" s="2455"/>
      <c r="E760" s="2456"/>
      <c r="F760" s="2454"/>
      <c r="G760" s="2454"/>
      <c r="H760" s="2457"/>
      <c r="I760" s="2457"/>
      <c r="J760" s="2457"/>
      <c r="K760" s="2458"/>
      <c r="M760" s="2457"/>
      <c r="N760" s="2457"/>
      <c r="P760" s="2459"/>
      <c r="R760" s="2457"/>
      <c r="S760" s="2457"/>
      <c r="U760" s="2457"/>
      <c r="V760" s="2457"/>
      <c r="W760" s="2457"/>
      <c r="X760" s="2458"/>
      <c r="Z760" s="2457"/>
      <c r="AA760" s="2457"/>
      <c r="AC760" s="2459"/>
      <c r="AE760" s="2457"/>
      <c r="AF760" s="2460"/>
      <c r="AH760" s="2457"/>
      <c r="AI760" s="2457"/>
      <c r="AJ760" s="2457"/>
      <c r="AK760" s="2458"/>
      <c r="AM760" s="2457"/>
      <c r="AN760" s="2457"/>
      <c r="AP760" s="2459"/>
      <c r="AR760" s="2457"/>
      <c r="AS760" s="2457"/>
      <c r="AT760" s="2457"/>
      <c r="AU760" s="2457"/>
      <c r="AV760" s="2457"/>
      <c r="AX760" s="2457"/>
      <c r="AY760" s="2457"/>
      <c r="AZ760" s="2457"/>
      <c r="BA760" s="2458"/>
      <c r="BC760" s="2457"/>
      <c r="BD760" s="2457"/>
      <c r="BF760" s="2461"/>
      <c r="BH760" s="2457"/>
      <c r="BI760" s="2457"/>
      <c r="BJ760" s="2457"/>
      <c r="BK760" s="2457"/>
      <c r="BM760" s="2457"/>
      <c r="BN760" s="2462"/>
      <c r="BO760" s="2463"/>
      <c r="BP760" s="2464"/>
      <c r="BR760" s="2463"/>
      <c r="BS760" s="2463"/>
      <c r="BU760" s="2465"/>
      <c r="BW760" s="2463"/>
      <c r="BX760" s="2457"/>
      <c r="BZ760" s="2463"/>
      <c r="CA760" s="2462"/>
      <c r="CB760" s="2463"/>
      <c r="CC760" s="2464"/>
      <c r="CE760" s="2463"/>
      <c r="CF760" s="2464"/>
      <c r="CG760" s="2463"/>
      <c r="CH760" s="2449" t="s">
        <v>1212</v>
      </c>
      <c r="CI760" s="2449"/>
      <c r="CJ760" s="2450"/>
      <c r="CK760" s="2450"/>
      <c r="CP760" s="2478">
        <f t="shared" si="372"/>
        <v>0</v>
      </c>
      <c r="CQ760" s="2478"/>
      <c r="CR760" s="2478"/>
      <c r="CS760" s="2478"/>
      <c r="CT760" s="2478"/>
    </row>
    <row r="761" spans="1:98" hidden="1" x14ac:dyDescent="0.2">
      <c r="A761" s="2395">
        <v>546</v>
      </c>
      <c r="B761" s="2440" t="s">
        <v>1214</v>
      </c>
      <c r="C761" s="2396">
        <v>54605</v>
      </c>
      <c r="D761" s="2396">
        <v>53052</v>
      </c>
      <c r="E761" s="2397" t="s">
        <v>1268</v>
      </c>
      <c r="F761" s="2440" t="s">
        <v>1214</v>
      </c>
      <c r="G761" s="2440" t="s">
        <v>2197</v>
      </c>
      <c r="H761" s="2466">
        <v>12000</v>
      </c>
      <c r="I761" s="2470"/>
      <c r="J761" s="2466">
        <f t="shared" ref="J761:J767" si="403">H761+I761</f>
        <v>12000</v>
      </c>
      <c r="K761" s="2468">
        <f t="shared" ref="K761:K767" si="404">IF(H761=0," ",(J761-H761)/H761)</f>
        <v>0</v>
      </c>
      <c r="M761" s="2467">
        <v>12000</v>
      </c>
      <c r="N761" s="2467">
        <v>12000</v>
      </c>
      <c r="P761" s="2469" t="s">
        <v>2198</v>
      </c>
      <c r="R761" s="2466">
        <v>12000</v>
      </c>
      <c r="S761" s="2466">
        <v>12000</v>
      </c>
      <c r="U761" s="2466">
        <v>12000</v>
      </c>
      <c r="V761" s="2470"/>
      <c r="W761" s="2466">
        <f t="shared" ref="W761:W767" si="405">U761+V761</f>
        <v>12000</v>
      </c>
      <c r="X761" s="2468">
        <f t="shared" ref="X761:X767" si="406">IF(U761=0," ",(W761-U761)/U761)</f>
        <v>0</v>
      </c>
      <c r="Z761" s="2467">
        <f t="shared" ref="Z761:Z767" si="407">W761</f>
        <v>12000</v>
      </c>
      <c r="AA761" s="2467">
        <v>12000</v>
      </c>
      <c r="AC761" s="2469"/>
      <c r="AE761" s="2466">
        <v>12000</v>
      </c>
      <c r="AF761" s="2471">
        <v>12000</v>
      </c>
      <c r="AH761" s="2466">
        <v>12000</v>
      </c>
      <c r="AI761" s="2470"/>
      <c r="AJ761" s="2466">
        <f t="shared" ref="AJ761:AJ767" si="408">AH761+AI761</f>
        <v>12000</v>
      </c>
      <c r="AK761" s="2468">
        <f t="shared" ref="AK761:AK767" si="409">IF(AH761=0," ",(AJ761-AH761)/AH761)</f>
        <v>0</v>
      </c>
      <c r="AM761" s="2467">
        <v>12000</v>
      </c>
      <c r="AN761" s="2467">
        <v>12000</v>
      </c>
      <c r="AP761" s="2469"/>
      <c r="AR761" s="2466">
        <v>12000</v>
      </c>
      <c r="AS761" s="2466">
        <v>12000</v>
      </c>
      <c r="AT761" s="2466"/>
      <c r="AU761" s="2466">
        <v>12000</v>
      </c>
      <c r="AV761" s="2466">
        <v>12000</v>
      </c>
      <c r="AX761" s="2466">
        <v>12000</v>
      </c>
      <c r="AY761" s="2470"/>
      <c r="AZ761" s="2466">
        <f>AX761+AY761</f>
        <v>12000</v>
      </c>
      <c r="BA761" s="2468">
        <f>IF(AX761=0," ",(AZ761-AX761)/AX761)</f>
        <v>0</v>
      </c>
      <c r="BC761" s="2467">
        <v>12000</v>
      </c>
      <c r="BD761" s="2467">
        <v>12000</v>
      </c>
      <c r="BF761" s="2469"/>
      <c r="BH761" s="2467">
        <v>12000</v>
      </c>
      <c r="BI761" s="2466">
        <v>12000</v>
      </c>
      <c r="BM761" s="2466">
        <v>12000</v>
      </c>
      <c r="BN761" s="2470"/>
      <c r="BO761" s="2472">
        <f t="shared" ref="BO761:BO767" si="410">BM761+BN761</f>
        <v>12000</v>
      </c>
      <c r="BP761" s="2473">
        <f>IF(BM761=0," ",(BO761-BM761)/BM761)</f>
        <v>0</v>
      </c>
      <c r="BR761" s="2474">
        <v>12000</v>
      </c>
      <c r="BS761" s="2474">
        <v>12000</v>
      </c>
      <c r="BU761" s="2475"/>
      <c r="BW761" s="2474">
        <v>12000</v>
      </c>
      <c r="BX761" s="2466">
        <v>5000</v>
      </c>
      <c r="BZ761" s="2474">
        <v>12000</v>
      </c>
      <c r="CA761" s="2470"/>
      <c r="CB761" s="2472">
        <f t="shared" ref="CB761:CB767" si="411">BZ761+CA761</f>
        <v>12000</v>
      </c>
      <c r="CC761" s="2473">
        <f>IF(BZ761=0," ",(CB761-BZ761)/BZ761)</f>
        <v>0</v>
      </c>
      <c r="CE761" s="2474">
        <v>12000</v>
      </c>
      <c r="CF761" s="2476">
        <f>IF(CB761=0," ",(CE761-CB761)/CB761)</f>
        <v>0</v>
      </c>
      <c r="CG761" s="2474">
        <v>12000</v>
      </c>
      <c r="CH761" s="2449" t="s">
        <v>1217</v>
      </c>
      <c r="CI761" s="2449"/>
      <c r="CJ761" s="2450"/>
      <c r="CK761" s="2450"/>
      <c r="CO761" s="2477">
        <v>0</v>
      </c>
      <c r="CP761" s="2478">
        <f t="shared" si="372"/>
        <v>0</v>
      </c>
      <c r="CQ761" s="2478"/>
      <c r="CR761" s="2478"/>
      <c r="CS761" s="2478"/>
      <c r="CT761" s="2478"/>
    </row>
    <row r="762" spans="1:98" hidden="1" x14ac:dyDescent="0.2">
      <c r="A762" s="2395">
        <v>546</v>
      </c>
      <c r="B762" s="2440" t="s">
        <v>1214</v>
      </c>
      <c r="C762" s="2396">
        <v>54605</v>
      </c>
      <c r="D762" s="2396">
        <v>53430</v>
      </c>
      <c r="E762" s="2397" t="s">
        <v>1268</v>
      </c>
      <c r="F762" s="2440" t="s">
        <v>1214</v>
      </c>
      <c r="G762" s="2440" t="s">
        <v>2199</v>
      </c>
      <c r="H762" s="2466">
        <v>300</v>
      </c>
      <c r="I762" s="2470"/>
      <c r="J762" s="2466">
        <f t="shared" si="403"/>
        <v>300</v>
      </c>
      <c r="K762" s="2468">
        <f t="shared" si="404"/>
        <v>0</v>
      </c>
      <c r="M762" s="2467">
        <v>300</v>
      </c>
      <c r="N762" s="2467">
        <v>300</v>
      </c>
      <c r="P762" s="2469"/>
      <c r="R762" s="2466">
        <v>300</v>
      </c>
      <c r="S762" s="2466">
        <v>0</v>
      </c>
      <c r="U762" s="2466">
        <v>300</v>
      </c>
      <c r="V762" s="2470"/>
      <c r="W762" s="2466">
        <f t="shared" si="405"/>
        <v>300</v>
      </c>
      <c r="X762" s="2468">
        <f t="shared" si="406"/>
        <v>0</v>
      </c>
      <c r="Z762" s="2467">
        <f t="shared" si="407"/>
        <v>300</v>
      </c>
      <c r="AA762" s="2467">
        <v>300</v>
      </c>
      <c r="AC762" s="2469"/>
      <c r="AE762" s="2466">
        <v>300</v>
      </c>
      <c r="AF762" s="2471">
        <v>0</v>
      </c>
      <c r="AH762" s="2466">
        <v>300</v>
      </c>
      <c r="AI762" s="2470"/>
      <c r="AJ762" s="2466">
        <f t="shared" si="408"/>
        <v>300</v>
      </c>
      <c r="AK762" s="2468">
        <f t="shared" si="409"/>
        <v>0</v>
      </c>
      <c r="AM762" s="2467">
        <v>300</v>
      </c>
      <c r="AN762" s="2467">
        <v>300</v>
      </c>
      <c r="AP762" s="2469"/>
      <c r="AR762" s="2466">
        <v>300</v>
      </c>
      <c r="AS762" s="2466">
        <v>0.5</v>
      </c>
      <c r="AT762" s="2466"/>
      <c r="AU762" s="2466">
        <v>300</v>
      </c>
      <c r="AV762" s="2466">
        <v>3.31</v>
      </c>
      <c r="AX762" s="2466">
        <v>300</v>
      </c>
      <c r="AY762" s="2470"/>
      <c r="AZ762" s="2466">
        <f>AX762+AY762</f>
        <v>300</v>
      </c>
      <c r="BA762" s="2468">
        <f>IF(AX762=0," ",(AZ762-AX762)/AX762)</f>
        <v>0</v>
      </c>
      <c r="BC762" s="2467">
        <v>300</v>
      </c>
      <c r="BD762" s="2467">
        <v>300</v>
      </c>
      <c r="BF762" s="2469"/>
      <c r="BH762" s="2467">
        <v>300</v>
      </c>
      <c r="BI762" s="2466">
        <v>9.31</v>
      </c>
      <c r="BM762" s="2466">
        <v>300</v>
      </c>
      <c r="BN762" s="2470"/>
      <c r="BO762" s="2472">
        <f t="shared" si="410"/>
        <v>300</v>
      </c>
      <c r="BP762" s="2473">
        <f>IF(BM762=0," ",(BO762-BM762)/BM762)</f>
        <v>0</v>
      </c>
      <c r="BR762" s="2474">
        <v>300</v>
      </c>
      <c r="BS762" s="2474">
        <v>300</v>
      </c>
      <c r="BU762" s="2475"/>
      <c r="BW762" s="2474">
        <v>300</v>
      </c>
      <c r="BX762" s="2466">
        <v>2.0099999999999998</v>
      </c>
      <c r="BZ762" s="2474">
        <v>300</v>
      </c>
      <c r="CA762" s="2470"/>
      <c r="CB762" s="2472">
        <f t="shared" si="411"/>
        <v>300</v>
      </c>
      <c r="CC762" s="2473">
        <f>IF(BZ762=0," ",(CB762-BZ762)/BZ762)</f>
        <v>0</v>
      </c>
      <c r="CE762" s="2474">
        <v>300</v>
      </c>
      <c r="CF762" s="2476">
        <f>IF(CB762=0," ",(CE762-CB762)/CB762)</f>
        <v>0</v>
      </c>
      <c r="CG762" s="2474">
        <v>300</v>
      </c>
      <c r="CH762" s="2449" t="s">
        <v>1217</v>
      </c>
      <c r="CI762" s="2449"/>
      <c r="CJ762" s="2450"/>
      <c r="CK762" s="2450"/>
      <c r="CO762" s="2477">
        <v>-0.96896666666666664</v>
      </c>
      <c r="CP762" s="2478">
        <f t="shared" si="372"/>
        <v>-290.69</v>
      </c>
      <c r="CQ762" s="2478"/>
      <c r="CR762" s="2478"/>
      <c r="CS762" s="2478"/>
      <c r="CT762" s="2478"/>
    </row>
    <row r="763" spans="1:98" hidden="1" x14ac:dyDescent="0.2">
      <c r="A763" s="2395">
        <v>546</v>
      </c>
      <c r="B763" s="2440" t="s">
        <v>1214</v>
      </c>
      <c r="C763" s="2396">
        <v>54605</v>
      </c>
      <c r="D763" s="2396">
        <v>54200</v>
      </c>
      <c r="E763" s="2397" t="s">
        <v>1268</v>
      </c>
      <c r="F763" s="2440" t="s">
        <v>1214</v>
      </c>
      <c r="G763" s="2440" t="s">
        <v>2200</v>
      </c>
      <c r="H763" s="2466">
        <v>60</v>
      </c>
      <c r="I763" s="2470"/>
      <c r="J763" s="2466">
        <f t="shared" si="403"/>
        <v>60</v>
      </c>
      <c r="K763" s="2468">
        <f t="shared" si="404"/>
        <v>0</v>
      </c>
      <c r="M763" s="2467">
        <v>60</v>
      </c>
      <c r="N763" s="2467">
        <v>60</v>
      </c>
      <c r="P763" s="2469"/>
      <c r="R763" s="2466">
        <v>60</v>
      </c>
      <c r="S763" s="2466">
        <v>0</v>
      </c>
      <c r="U763" s="2466">
        <v>60</v>
      </c>
      <c r="V763" s="2470"/>
      <c r="W763" s="2466">
        <f t="shared" si="405"/>
        <v>60</v>
      </c>
      <c r="X763" s="2468">
        <f t="shared" si="406"/>
        <v>0</v>
      </c>
      <c r="Z763" s="2467">
        <f t="shared" si="407"/>
        <v>60</v>
      </c>
      <c r="AA763" s="2467">
        <v>60</v>
      </c>
      <c r="AC763" s="2469"/>
      <c r="AE763" s="2466">
        <v>60</v>
      </c>
      <c r="AF763" s="2471">
        <v>0</v>
      </c>
      <c r="AH763" s="2466">
        <v>60</v>
      </c>
      <c r="AI763" s="2470"/>
      <c r="AJ763" s="2466">
        <f t="shared" si="408"/>
        <v>60</v>
      </c>
      <c r="AK763" s="2468">
        <f t="shared" si="409"/>
        <v>0</v>
      </c>
      <c r="AM763" s="2467">
        <v>60</v>
      </c>
      <c r="AN763" s="2467">
        <v>60</v>
      </c>
      <c r="AP763" s="2469"/>
      <c r="AR763" s="2466">
        <v>60</v>
      </c>
      <c r="AS763" s="2466">
        <v>0</v>
      </c>
      <c r="AT763" s="2466"/>
      <c r="AU763" s="2466">
        <v>60</v>
      </c>
      <c r="AV763" s="2466">
        <v>0</v>
      </c>
      <c r="AX763" s="2466">
        <v>60</v>
      </c>
      <c r="AY763" s="2470"/>
      <c r="AZ763" s="2466">
        <f>AX763+AY763</f>
        <v>60</v>
      </c>
      <c r="BA763" s="2468">
        <f>IF(AX763=0," ",(AZ763-AX763)/AX763)</f>
        <v>0</v>
      </c>
      <c r="BC763" s="2467">
        <v>60</v>
      </c>
      <c r="BD763" s="2467">
        <v>60</v>
      </c>
      <c r="BF763" s="2469"/>
      <c r="BH763" s="2467">
        <v>60</v>
      </c>
      <c r="BM763" s="2466">
        <v>60</v>
      </c>
      <c r="BN763" s="2470"/>
      <c r="BO763" s="2472">
        <f t="shared" si="410"/>
        <v>60</v>
      </c>
      <c r="BP763" s="2473">
        <f>IF(BM763=0," ",(BO763-BM763)/BM763)</f>
        <v>0</v>
      </c>
      <c r="BR763" s="2474">
        <v>60</v>
      </c>
      <c r="BS763" s="2474">
        <v>60</v>
      </c>
      <c r="BU763" s="2475"/>
      <c r="BW763" s="2474">
        <v>60</v>
      </c>
      <c r="BZ763" s="2474">
        <v>60</v>
      </c>
      <c r="CA763" s="2470"/>
      <c r="CB763" s="2472">
        <f t="shared" si="411"/>
        <v>60</v>
      </c>
      <c r="CC763" s="2473">
        <f>IF(BZ763=0," ",(CB763-BZ763)/BZ763)</f>
        <v>0</v>
      </c>
      <c r="CE763" s="2474">
        <v>60</v>
      </c>
      <c r="CF763" s="2476">
        <f>IF(CB763=0," ",(CE763-CB763)/CB763)</f>
        <v>0</v>
      </c>
      <c r="CG763" s="2474">
        <v>60</v>
      </c>
      <c r="CH763" s="2449" t="s">
        <v>1217</v>
      </c>
      <c r="CI763" s="2449"/>
      <c r="CJ763" s="2450"/>
      <c r="CK763" s="2450"/>
      <c r="CO763" s="2477" t="s">
        <v>1218</v>
      </c>
      <c r="CP763" s="2478">
        <f t="shared" si="372"/>
        <v>-60</v>
      </c>
      <c r="CQ763" s="2478"/>
      <c r="CR763" s="2478"/>
      <c r="CS763" s="2478"/>
      <c r="CT763" s="2478"/>
    </row>
    <row r="764" spans="1:98" hidden="1" x14ac:dyDescent="0.2">
      <c r="A764" s="2395">
        <v>546</v>
      </c>
      <c r="B764" s="2440" t="s">
        <v>1214</v>
      </c>
      <c r="C764" s="2396">
        <v>54605</v>
      </c>
      <c r="D764" s="2396">
        <v>55800</v>
      </c>
      <c r="E764" s="2397" t="s">
        <v>1268</v>
      </c>
      <c r="F764" s="2440" t="s">
        <v>1214</v>
      </c>
      <c r="G764" s="2440" t="s">
        <v>2201</v>
      </c>
      <c r="I764" s="2470"/>
      <c r="M764" s="2467"/>
      <c r="N764" s="2467"/>
      <c r="P764" s="2469"/>
      <c r="V764" s="2470"/>
      <c r="Z764" s="2467"/>
      <c r="AA764" s="2467"/>
      <c r="AC764" s="2469"/>
      <c r="AF764" s="2471">
        <v>1000</v>
      </c>
      <c r="AI764" s="2470"/>
      <c r="AM764" s="2467"/>
      <c r="AN764" s="2467"/>
      <c r="AP764" s="2469"/>
      <c r="AS764" s="2466">
        <v>0</v>
      </c>
      <c r="AT764" s="2466"/>
      <c r="AV764" s="2466">
        <v>0</v>
      </c>
      <c r="AY764" s="2470"/>
      <c r="BC764" s="2467"/>
      <c r="BD764" s="2467"/>
      <c r="BF764" s="2469"/>
      <c r="BH764" s="2467"/>
      <c r="BN764" s="2470"/>
      <c r="BO764" s="2472">
        <f t="shared" si="410"/>
        <v>0</v>
      </c>
      <c r="BR764" s="2474">
        <v>0</v>
      </c>
      <c r="BS764" s="2474">
        <v>0</v>
      </c>
      <c r="BU764" s="2475"/>
      <c r="BW764" s="2474">
        <v>0</v>
      </c>
      <c r="BZ764" s="2474">
        <v>0</v>
      </c>
      <c r="CA764" s="2470"/>
      <c r="CB764" s="2472">
        <f t="shared" si="411"/>
        <v>0</v>
      </c>
      <c r="CE764" s="2474">
        <v>0</v>
      </c>
      <c r="CF764" s="2476"/>
      <c r="CG764" s="2474">
        <v>0</v>
      </c>
      <c r="CH764" s="2449" t="s">
        <v>1217</v>
      </c>
      <c r="CI764" s="2449"/>
      <c r="CJ764" s="2450"/>
      <c r="CK764" s="2450"/>
      <c r="CP764" s="2478">
        <f t="shared" si="372"/>
        <v>0</v>
      </c>
      <c r="CQ764" s="2478"/>
      <c r="CR764" s="2478"/>
      <c r="CS764" s="2478"/>
      <c r="CT764" s="2478"/>
    </row>
    <row r="765" spans="1:98" hidden="1" x14ac:dyDescent="0.2">
      <c r="A765" s="2395">
        <v>546</v>
      </c>
      <c r="B765" s="2440" t="s">
        <v>1214</v>
      </c>
      <c r="C765" s="2396">
        <v>54605</v>
      </c>
      <c r="D765" s="2396">
        <v>57100</v>
      </c>
      <c r="E765" s="2397" t="s">
        <v>1268</v>
      </c>
      <c r="F765" s="2440" t="s">
        <v>1214</v>
      </c>
      <c r="G765" s="2440" t="s">
        <v>2202</v>
      </c>
      <c r="H765" s="2466">
        <v>300</v>
      </c>
      <c r="I765" s="2470"/>
      <c r="J765" s="2466">
        <f t="shared" si="403"/>
        <v>300</v>
      </c>
      <c r="K765" s="2468">
        <f t="shared" si="404"/>
        <v>0</v>
      </c>
      <c r="M765" s="2467">
        <v>300</v>
      </c>
      <c r="N765" s="2467">
        <v>300</v>
      </c>
      <c r="P765" s="2469"/>
      <c r="R765" s="2466">
        <v>300</v>
      </c>
      <c r="S765" s="2466">
        <v>55.64</v>
      </c>
      <c r="U765" s="2466">
        <v>300</v>
      </c>
      <c r="V765" s="2470"/>
      <c r="W765" s="2466">
        <f t="shared" si="405"/>
        <v>300</v>
      </c>
      <c r="X765" s="2468">
        <f t="shared" si="406"/>
        <v>0</v>
      </c>
      <c r="Z765" s="2467">
        <f t="shared" si="407"/>
        <v>300</v>
      </c>
      <c r="AA765" s="2467">
        <v>300</v>
      </c>
      <c r="AC765" s="2469"/>
      <c r="AE765" s="2466">
        <v>300</v>
      </c>
      <c r="AF765" s="2471">
        <v>445.31</v>
      </c>
      <c r="AH765" s="2466">
        <v>300</v>
      </c>
      <c r="AI765" s="2470"/>
      <c r="AJ765" s="2466">
        <f t="shared" si="408"/>
        <v>300</v>
      </c>
      <c r="AK765" s="2468">
        <f t="shared" si="409"/>
        <v>0</v>
      </c>
      <c r="AM765" s="2467">
        <v>300</v>
      </c>
      <c r="AN765" s="2467">
        <v>300</v>
      </c>
      <c r="AP765" s="2469"/>
      <c r="AR765" s="2466">
        <v>300</v>
      </c>
      <c r="AS765" s="2466">
        <v>0</v>
      </c>
      <c r="AT765" s="2466"/>
      <c r="AU765" s="2466">
        <v>300</v>
      </c>
      <c r="AV765" s="2466">
        <v>0</v>
      </c>
      <c r="AX765" s="2466">
        <v>300</v>
      </c>
      <c r="AY765" s="2470"/>
      <c r="AZ765" s="2466">
        <f>AX765+AY765</f>
        <v>300</v>
      </c>
      <c r="BA765" s="2468">
        <f>IF(AX765=0," ",(AZ765-AX765)/AX765)</f>
        <v>0</v>
      </c>
      <c r="BC765" s="2467">
        <v>300</v>
      </c>
      <c r="BD765" s="2467">
        <v>300</v>
      </c>
      <c r="BF765" s="2469"/>
      <c r="BH765" s="2467">
        <v>300</v>
      </c>
      <c r="BM765" s="2466">
        <v>300</v>
      </c>
      <c r="BN765" s="2470"/>
      <c r="BO765" s="2472">
        <f t="shared" si="410"/>
        <v>300</v>
      </c>
      <c r="BP765" s="2473">
        <f>IF(BM765=0," ",(BO765-BM765)/BM765)</f>
        <v>0</v>
      </c>
      <c r="BR765" s="2474">
        <v>300</v>
      </c>
      <c r="BS765" s="2474">
        <v>300</v>
      </c>
      <c r="BU765" s="2475"/>
      <c r="BW765" s="2474">
        <v>300</v>
      </c>
      <c r="BZ765" s="2474">
        <v>300</v>
      </c>
      <c r="CA765" s="2470"/>
      <c r="CB765" s="2472">
        <f t="shared" si="411"/>
        <v>300</v>
      </c>
      <c r="CC765" s="2473">
        <f>IF(BZ765=0," ",(CB765-BZ765)/BZ765)</f>
        <v>0</v>
      </c>
      <c r="CE765" s="2474">
        <v>300</v>
      </c>
      <c r="CF765" s="2476">
        <f>IF(CB765=0," ",(CE765-CB765)/CB765)</f>
        <v>0</v>
      </c>
      <c r="CG765" s="2474">
        <v>300</v>
      </c>
      <c r="CH765" s="2449" t="s">
        <v>1217</v>
      </c>
      <c r="CI765" s="2449"/>
      <c r="CJ765" s="2450"/>
      <c r="CK765" s="2450"/>
      <c r="CO765" s="2477" t="s">
        <v>1218</v>
      </c>
      <c r="CP765" s="2478">
        <f t="shared" si="372"/>
        <v>-300</v>
      </c>
      <c r="CQ765" s="2478"/>
      <c r="CR765" s="2478"/>
      <c r="CS765" s="2478"/>
      <c r="CT765" s="2478"/>
    </row>
    <row r="766" spans="1:98" hidden="1" x14ac:dyDescent="0.2">
      <c r="A766" s="2395">
        <v>546</v>
      </c>
      <c r="B766" s="2440" t="s">
        <v>1214</v>
      </c>
      <c r="C766" s="2396">
        <v>54605</v>
      </c>
      <c r="D766" s="2396">
        <v>57300</v>
      </c>
      <c r="E766" s="2397" t="s">
        <v>1268</v>
      </c>
      <c r="F766" s="2440" t="s">
        <v>1214</v>
      </c>
      <c r="G766" s="2440" t="s">
        <v>2203</v>
      </c>
      <c r="H766" s="2466">
        <v>60</v>
      </c>
      <c r="I766" s="2470"/>
      <c r="J766" s="2466">
        <f t="shared" si="403"/>
        <v>60</v>
      </c>
      <c r="K766" s="2468">
        <f t="shared" si="404"/>
        <v>0</v>
      </c>
      <c r="M766" s="2467">
        <v>60</v>
      </c>
      <c r="N766" s="2467">
        <v>60</v>
      </c>
      <c r="P766" s="2469"/>
      <c r="R766" s="2466">
        <v>60</v>
      </c>
      <c r="S766" s="2466">
        <v>50</v>
      </c>
      <c r="U766" s="2466">
        <v>60</v>
      </c>
      <c r="V766" s="2470"/>
      <c r="W766" s="2466">
        <f t="shared" si="405"/>
        <v>60</v>
      </c>
      <c r="X766" s="2468">
        <f t="shared" si="406"/>
        <v>0</v>
      </c>
      <c r="Z766" s="2467">
        <f t="shared" si="407"/>
        <v>60</v>
      </c>
      <c r="AA766" s="2467">
        <v>60</v>
      </c>
      <c r="AC766" s="2469"/>
      <c r="AE766" s="2466">
        <v>60</v>
      </c>
      <c r="AF766" s="2471">
        <v>25</v>
      </c>
      <c r="AH766" s="2466">
        <v>60</v>
      </c>
      <c r="AI766" s="2470"/>
      <c r="AJ766" s="2466">
        <f t="shared" si="408"/>
        <v>60</v>
      </c>
      <c r="AK766" s="2468">
        <f t="shared" si="409"/>
        <v>0</v>
      </c>
      <c r="AM766" s="2467">
        <v>60</v>
      </c>
      <c r="AN766" s="2467">
        <v>60</v>
      </c>
      <c r="AP766" s="2469"/>
      <c r="AR766" s="2466">
        <v>60</v>
      </c>
      <c r="AS766" s="2466">
        <v>0</v>
      </c>
      <c r="AT766" s="2466"/>
      <c r="AU766" s="2466">
        <v>60</v>
      </c>
      <c r="AV766" s="2466">
        <v>0</v>
      </c>
      <c r="AX766" s="2466">
        <v>60</v>
      </c>
      <c r="AY766" s="2470"/>
      <c r="AZ766" s="2466">
        <f>AX766+AY766</f>
        <v>60</v>
      </c>
      <c r="BA766" s="2468">
        <f>IF(AX766=0," ",(AZ766-AX766)/AX766)</f>
        <v>0</v>
      </c>
      <c r="BC766" s="2467">
        <v>60</v>
      </c>
      <c r="BD766" s="2467">
        <v>60</v>
      </c>
      <c r="BF766" s="2469"/>
      <c r="BH766" s="2467">
        <v>60</v>
      </c>
      <c r="BM766" s="2466">
        <v>60</v>
      </c>
      <c r="BN766" s="2470"/>
      <c r="BO766" s="2472">
        <f t="shared" si="410"/>
        <v>60</v>
      </c>
      <c r="BP766" s="2473">
        <f>IF(BM766=0," ",(BO766-BM766)/BM766)</f>
        <v>0</v>
      </c>
      <c r="BR766" s="2474">
        <v>60</v>
      </c>
      <c r="BS766" s="2474">
        <v>60</v>
      </c>
      <c r="BU766" s="2475"/>
      <c r="BW766" s="2474">
        <v>60</v>
      </c>
      <c r="BZ766" s="2474">
        <v>60</v>
      </c>
      <c r="CA766" s="2470"/>
      <c r="CB766" s="2472">
        <f t="shared" si="411"/>
        <v>60</v>
      </c>
      <c r="CC766" s="2473">
        <f>IF(BZ766=0," ",(CB766-BZ766)/BZ766)</f>
        <v>0</v>
      </c>
      <c r="CE766" s="2474">
        <v>60</v>
      </c>
      <c r="CF766" s="2476">
        <f>IF(CB766=0," ",(CE766-CB766)/CB766)</f>
        <v>0</v>
      </c>
      <c r="CG766" s="2474">
        <v>60</v>
      </c>
      <c r="CH766" s="2449" t="s">
        <v>1217</v>
      </c>
      <c r="CI766" s="2449"/>
      <c r="CJ766" s="2450"/>
      <c r="CK766" s="2450"/>
      <c r="CO766" s="2477" t="s">
        <v>1218</v>
      </c>
      <c r="CP766" s="2478">
        <f t="shared" si="372"/>
        <v>-60</v>
      </c>
      <c r="CQ766" s="2478"/>
      <c r="CR766" s="2478"/>
      <c r="CS766" s="2478"/>
      <c r="CT766" s="2478"/>
    </row>
    <row r="767" spans="1:98" hidden="1" x14ac:dyDescent="0.2">
      <c r="A767" s="2395">
        <v>546</v>
      </c>
      <c r="B767" s="2440" t="s">
        <v>1214</v>
      </c>
      <c r="C767" s="2396">
        <v>54605</v>
      </c>
      <c r="D767" s="2396">
        <v>57700</v>
      </c>
      <c r="E767" s="2397" t="s">
        <v>1268</v>
      </c>
      <c r="F767" s="2440" t="s">
        <v>1214</v>
      </c>
      <c r="G767" s="2440" t="s">
        <v>2204</v>
      </c>
      <c r="H767" s="2466">
        <v>8240</v>
      </c>
      <c r="I767" s="2470"/>
      <c r="J767" s="2466">
        <f t="shared" si="403"/>
        <v>8240</v>
      </c>
      <c r="K767" s="2468">
        <f t="shared" si="404"/>
        <v>0</v>
      </c>
      <c r="M767" s="2467">
        <v>8240</v>
      </c>
      <c r="N767" s="2467">
        <v>8240</v>
      </c>
      <c r="P767" s="2469"/>
      <c r="R767" s="2466">
        <v>8240</v>
      </c>
      <c r="S767" s="2466">
        <v>583</v>
      </c>
      <c r="U767" s="2466">
        <v>8240</v>
      </c>
      <c r="V767" s="2470"/>
      <c r="W767" s="2466">
        <f t="shared" si="405"/>
        <v>8240</v>
      </c>
      <c r="X767" s="2468">
        <f t="shared" si="406"/>
        <v>0</v>
      </c>
      <c r="Z767" s="2467">
        <f t="shared" si="407"/>
        <v>8240</v>
      </c>
      <c r="AA767" s="2467">
        <v>8240</v>
      </c>
      <c r="AC767" s="2469"/>
      <c r="AE767" s="2466">
        <v>8240</v>
      </c>
      <c r="AF767" s="2471">
        <v>1591.8</v>
      </c>
      <c r="AH767" s="2466">
        <v>8240</v>
      </c>
      <c r="AI767" s="2470"/>
      <c r="AJ767" s="2466">
        <f t="shared" si="408"/>
        <v>8240</v>
      </c>
      <c r="AK767" s="2468">
        <f t="shared" si="409"/>
        <v>0</v>
      </c>
      <c r="AM767" s="2467">
        <v>8240</v>
      </c>
      <c r="AN767" s="2467">
        <v>8240</v>
      </c>
      <c r="AP767" s="2469"/>
      <c r="AR767" s="2466">
        <v>8240</v>
      </c>
      <c r="AS767" s="2466">
        <v>0</v>
      </c>
      <c r="AT767" s="2466"/>
      <c r="AU767" s="2466">
        <v>8240</v>
      </c>
      <c r="AV767" s="2466">
        <v>0</v>
      </c>
      <c r="AX767" s="2466">
        <v>8240</v>
      </c>
      <c r="AY767" s="2470"/>
      <c r="AZ767" s="2466">
        <f>AX767+AY767</f>
        <v>8240</v>
      </c>
      <c r="BA767" s="2468">
        <f>IF(AX767=0," ",(AZ767-AX767)/AX767)</f>
        <v>0</v>
      </c>
      <c r="BC767" s="2467">
        <v>8240</v>
      </c>
      <c r="BD767" s="2467">
        <v>8240</v>
      </c>
      <c r="BF767" s="2469"/>
      <c r="BH767" s="2467">
        <v>8240</v>
      </c>
      <c r="BM767" s="2466">
        <v>8240</v>
      </c>
      <c r="BN767" s="2470"/>
      <c r="BO767" s="2472">
        <f t="shared" si="410"/>
        <v>8240</v>
      </c>
      <c r="BP767" s="2473">
        <f>IF(BM767=0," ",(BO767-BM767)/BM767)</f>
        <v>0</v>
      </c>
      <c r="BR767" s="2474">
        <v>8240</v>
      </c>
      <c r="BS767" s="2474">
        <v>8240</v>
      </c>
      <c r="BU767" s="2475"/>
      <c r="BW767" s="2474">
        <v>8240</v>
      </c>
      <c r="BZ767" s="2474">
        <v>8240</v>
      </c>
      <c r="CA767" s="2470"/>
      <c r="CB767" s="2472">
        <f t="shared" si="411"/>
        <v>8240</v>
      </c>
      <c r="CC767" s="2473">
        <f>IF(BZ767=0," ",(CB767-BZ767)/BZ767)</f>
        <v>0</v>
      </c>
      <c r="CE767" s="2474">
        <v>8240</v>
      </c>
      <c r="CF767" s="2476">
        <f>IF(CB767=0," ",(CE767-CB767)/CB767)</f>
        <v>0</v>
      </c>
      <c r="CG767" s="2474">
        <v>8240</v>
      </c>
      <c r="CH767" s="2449" t="s">
        <v>1217</v>
      </c>
      <c r="CI767" s="2449"/>
      <c r="CJ767" s="2450"/>
      <c r="CK767" s="2450"/>
      <c r="CO767" s="2477" t="s">
        <v>1218</v>
      </c>
      <c r="CP767" s="2478">
        <f t="shared" si="372"/>
        <v>-8240</v>
      </c>
      <c r="CQ767" s="2478"/>
      <c r="CR767" s="2478"/>
      <c r="CS767" s="2478"/>
      <c r="CT767" s="2478"/>
    </row>
    <row r="768" spans="1:98" s="2485" customFormat="1" hidden="1" x14ac:dyDescent="0.2">
      <c r="A768" s="2532"/>
      <c r="B768" s="2533"/>
      <c r="C768" s="2534"/>
      <c r="D768" s="2534"/>
      <c r="E768" s="2535"/>
      <c r="F768" s="2533"/>
      <c r="G768" s="2654" t="s">
        <v>2205</v>
      </c>
      <c r="H768" s="2536">
        <f t="shared" ref="H768" si="412">SUM(H761:H767)</f>
        <v>20960</v>
      </c>
      <c r="I768" s="2536">
        <f>SUM(I761:I767)</f>
        <v>0</v>
      </c>
      <c r="J768" s="2536">
        <f>SUM(J761:J767)</f>
        <v>20960</v>
      </c>
      <c r="K768" s="2484">
        <f>IF(H768=0," ",(J768-H768)/H768)</f>
        <v>0</v>
      </c>
      <c r="M768" s="2536">
        <f>SUM(M761:M767)</f>
        <v>20960</v>
      </c>
      <c r="N768" s="2536">
        <f>SUM(N761:N767)</f>
        <v>20960</v>
      </c>
      <c r="P768" s="2537">
        <f>SUM(P761:P767)</f>
        <v>0</v>
      </c>
      <c r="R768" s="2536">
        <f>SUM(R761:R767)</f>
        <v>20960</v>
      </c>
      <c r="S768" s="2536">
        <f>SUM(S761:S767)</f>
        <v>12688.64</v>
      </c>
      <c r="U768" s="2536">
        <f>SUM(U761:U767)</f>
        <v>20960</v>
      </c>
      <c r="V768" s="2536">
        <f>SUM(V761:V767)</f>
        <v>0</v>
      </c>
      <c r="W768" s="2536">
        <f>SUM(W761:W767)</f>
        <v>20960</v>
      </c>
      <c r="X768" s="2484">
        <f>IF(U768=0," ",(W768-U768)/U768)</f>
        <v>0</v>
      </c>
      <c r="Z768" s="2536">
        <f>SUM(Z761:Z767)</f>
        <v>20960</v>
      </c>
      <c r="AA768" s="2536">
        <f>SUM(AA761:AA767)</f>
        <v>20960</v>
      </c>
      <c r="AC768" s="2537"/>
      <c r="AE768" s="2536">
        <f>SUM(AE761:AE767)</f>
        <v>20960</v>
      </c>
      <c r="AF768" s="2538">
        <f>SUM(AF761:AF767)</f>
        <v>15062.109999999999</v>
      </c>
      <c r="AH768" s="2536">
        <f>SUM(AH761:AH767)</f>
        <v>20960</v>
      </c>
      <c r="AI768" s="2536">
        <f>SUM(AI761:AI767)</f>
        <v>0</v>
      </c>
      <c r="AJ768" s="2536">
        <f>SUM(AJ761:AJ767)</f>
        <v>20960</v>
      </c>
      <c r="AK768" s="2484">
        <f>IF(AH768=0," ",(AJ768-AH768)/AH768)</f>
        <v>0</v>
      </c>
      <c r="AM768" s="2536">
        <f>SUM(AM761:AM767)</f>
        <v>20960</v>
      </c>
      <c r="AN768" s="2536">
        <f>SUM(AN761:AN767)</f>
        <v>20960</v>
      </c>
      <c r="AP768" s="2537"/>
      <c r="AR768" s="2536">
        <f>SUM(AR761:AR767)</f>
        <v>20960</v>
      </c>
      <c r="AS768" s="2536">
        <f>SUM(AS761:AS767)</f>
        <v>12000.5</v>
      </c>
      <c r="AT768" s="2536"/>
      <c r="AU768" s="2536">
        <f>SUM(AU761:AU767)</f>
        <v>20960</v>
      </c>
      <c r="AV768" s="2536">
        <f>SUM(AV761:AV767)</f>
        <v>12003.31</v>
      </c>
      <c r="AX768" s="2536">
        <f>SUM(AX761:AX767)</f>
        <v>20960</v>
      </c>
      <c r="AY768" s="2536">
        <f>SUM(AY761:AY767)</f>
        <v>0</v>
      </c>
      <c r="AZ768" s="2536">
        <f>SUM(AZ761:AZ767)</f>
        <v>20960</v>
      </c>
      <c r="BA768" s="2484">
        <f>IF(AX768=0," ",(AZ768-AX768)/AX768)</f>
        <v>0</v>
      </c>
      <c r="BC768" s="2536">
        <f>SUM(BC761:BC767)</f>
        <v>20960</v>
      </c>
      <c r="BD768" s="2536">
        <f>SUM(BD761:BD767)</f>
        <v>20960</v>
      </c>
      <c r="BF768" s="2537"/>
      <c r="BH768" s="2536">
        <f>SUM(BH761:BH767)</f>
        <v>20960</v>
      </c>
      <c r="BI768" s="2536">
        <f>SUM(BI761:BI767)</f>
        <v>12009.31</v>
      </c>
      <c r="BJ768" s="2536"/>
      <c r="BK768" s="2536"/>
      <c r="BM768" s="2536">
        <f>SUM(BM761:BM767)</f>
        <v>20960</v>
      </c>
      <c r="BN768" s="2539">
        <f>SUM(BN761:BN767)</f>
        <v>0</v>
      </c>
      <c r="BO768" s="2540">
        <f>SUM(BO761:BO767)</f>
        <v>20960</v>
      </c>
      <c r="BP768" s="2490">
        <f>IF(BM768=0," ",(BO768-BM768)/BM768)</f>
        <v>0</v>
      </c>
      <c r="BQ768" s="2491"/>
      <c r="BR768" s="2540">
        <f>SUM(BR761:BR767)</f>
        <v>20960</v>
      </c>
      <c r="BS768" s="2540">
        <f>SUM(BS761:BS767)</f>
        <v>20960</v>
      </c>
      <c r="BT768" s="2491"/>
      <c r="BU768" s="2541"/>
      <c r="BV768" s="2491"/>
      <c r="BW768" s="2540">
        <f>SUM(BW761:BW767)</f>
        <v>20960</v>
      </c>
      <c r="BX768" s="2536">
        <f>SUM(BX761:BX767)</f>
        <v>5002.01</v>
      </c>
      <c r="BZ768" s="2540">
        <f>SUM(BZ761:BZ767)</f>
        <v>20960</v>
      </c>
      <c r="CA768" s="2540">
        <f>SUM(CA761:CA767)</f>
        <v>0</v>
      </c>
      <c r="CB768" s="2540">
        <f>SUM(CB761:CB767)</f>
        <v>20960</v>
      </c>
      <c r="CC768" s="2490">
        <f>IF(BZ768=0," ",(CB768-BZ768)/BZ768)</f>
        <v>0</v>
      </c>
      <c r="CD768" s="2491"/>
      <c r="CE768" s="2540">
        <f>SUM(CE761:CE767)</f>
        <v>20960</v>
      </c>
      <c r="CF768" s="2490">
        <f>IF(CB768=0," ",(CE768-CB768)/CB768)</f>
        <v>0</v>
      </c>
      <c r="CG768" s="2540">
        <f>SUM(CG761:CG767)</f>
        <v>20960</v>
      </c>
      <c r="CH768" s="2449" t="s">
        <v>1220</v>
      </c>
      <c r="CI768" s="2449"/>
      <c r="CJ768" s="2450"/>
      <c r="CK768" s="2450"/>
      <c r="CL768" s="2451"/>
      <c r="CM768" s="2451"/>
      <c r="CN768" s="2451"/>
      <c r="CO768" s="2477">
        <v>-0.42703673664122144</v>
      </c>
      <c r="CP768" s="2478">
        <f t="shared" si="372"/>
        <v>-8950.69</v>
      </c>
      <c r="CQ768" s="2478"/>
      <c r="CR768" s="2478"/>
      <c r="CS768" s="2478"/>
      <c r="CT768" s="2478"/>
    </row>
    <row r="769" spans="1:98" ht="9.9499999999999993" hidden="1" customHeight="1" x14ac:dyDescent="0.2">
      <c r="AS769" s="2466"/>
      <c r="AT769" s="2466"/>
      <c r="BZ769" s="2472"/>
      <c r="CA769" s="2472"/>
      <c r="CH769" s="2449" t="s">
        <v>1091</v>
      </c>
      <c r="CI769" s="2449"/>
      <c r="CJ769" s="2450"/>
      <c r="CK769" s="2450"/>
      <c r="CP769" s="2478">
        <f t="shared" si="372"/>
        <v>0</v>
      </c>
      <c r="CQ769" s="2478"/>
      <c r="CR769" s="2478"/>
      <c r="CS769" s="2478"/>
      <c r="CT769" s="2478"/>
    </row>
    <row r="770" spans="1:98" x14ac:dyDescent="0.2">
      <c r="A770" s="2495"/>
      <c r="B770" s="2496"/>
      <c r="C770" s="2497"/>
      <c r="D770" s="2497"/>
      <c r="E770" s="2498"/>
      <c r="F770" s="2496"/>
      <c r="G770" s="2499" t="s">
        <v>2206</v>
      </c>
      <c r="H770" s="2500">
        <f t="shared" ref="H770" si="413">H768</f>
        <v>20960</v>
      </c>
      <c r="I770" s="2500">
        <f>I768</f>
        <v>0</v>
      </c>
      <c r="J770" s="2500">
        <f>J768</f>
        <v>20960</v>
      </c>
      <c r="K770" s="2501">
        <f>IF(H770=0," ",(J770-H770)/H770)</f>
        <v>0</v>
      </c>
      <c r="M770" s="2500">
        <f>M768</f>
        <v>20960</v>
      </c>
      <c r="N770" s="2500">
        <f>N768</f>
        <v>20960</v>
      </c>
      <c r="P770" s="2502">
        <f>P768</f>
        <v>0</v>
      </c>
      <c r="R770" s="2500">
        <f>R768</f>
        <v>20960</v>
      </c>
      <c r="S770" s="2500">
        <f>S768</f>
        <v>12688.64</v>
      </c>
      <c r="U770" s="2500">
        <f>U768</f>
        <v>20960</v>
      </c>
      <c r="V770" s="2500">
        <f>V768</f>
        <v>0</v>
      </c>
      <c r="W770" s="2500">
        <f>W768</f>
        <v>20960</v>
      </c>
      <c r="X770" s="2501">
        <f>IF(U770=0," ",(W770-U770)/U770)</f>
        <v>0</v>
      </c>
      <c r="Z770" s="2500">
        <f>Z768</f>
        <v>20960</v>
      </c>
      <c r="AA770" s="2500">
        <f>AA768</f>
        <v>20960</v>
      </c>
      <c r="AC770" s="2502"/>
      <c r="AE770" s="2500">
        <f>AE768</f>
        <v>20960</v>
      </c>
      <c r="AF770" s="2503">
        <f>AF768</f>
        <v>15062.109999999999</v>
      </c>
      <c r="AH770" s="2500">
        <v>20960</v>
      </c>
      <c r="AI770" s="2500">
        <f>AI768</f>
        <v>0</v>
      </c>
      <c r="AJ770" s="2500">
        <f>AJ768</f>
        <v>20960</v>
      </c>
      <c r="AK770" s="2501">
        <f>IF(AH770=0," ",(AJ770-AH770)/AH770)</f>
        <v>0</v>
      </c>
      <c r="AM770" s="2500">
        <f>AM768</f>
        <v>20960</v>
      </c>
      <c r="AN770" s="2500">
        <f>AN768</f>
        <v>20960</v>
      </c>
      <c r="AP770" s="2502"/>
      <c r="AR770" s="2500">
        <f>AR768</f>
        <v>20960</v>
      </c>
      <c r="AS770" s="2500">
        <f>AS768</f>
        <v>12000.5</v>
      </c>
      <c r="AT770" s="2500"/>
      <c r="AU770" s="2500">
        <f>AU768</f>
        <v>20960</v>
      </c>
      <c r="AV770" s="2500">
        <f>AV768</f>
        <v>12003.31</v>
      </c>
      <c r="AX770" s="2500">
        <f>AX768</f>
        <v>20960</v>
      </c>
      <c r="AY770" s="2500">
        <f>AY768</f>
        <v>0</v>
      </c>
      <c r="AZ770" s="2500">
        <f>AZ768</f>
        <v>20960</v>
      </c>
      <c r="BA770" s="2501">
        <f>IF(AX770=0," ",(AZ770-AX770)/AX770)</f>
        <v>0</v>
      </c>
      <c r="BC770" s="2500">
        <f>BC768</f>
        <v>20960</v>
      </c>
      <c r="BD770" s="2500">
        <f>BD768</f>
        <v>20960</v>
      </c>
      <c r="BF770" s="2502"/>
      <c r="BH770" s="2500">
        <f>BH768</f>
        <v>20960</v>
      </c>
      <c r="BI770" s="2500">
        <f>BI768</f>
        <v>12009.31</v>
      </c>
      <c r="BJ770" s="2500"/>
      <c r="BK770" s="2500"/>
      <c r="BM770" s="2500">
        <f>BM768</f>
        <v>20960</v>
      </c>
      <c r="BN770" s="2504">
        <f>BN768</f>
        <v>0</v>
      </c>
      <c r="BO770" s="2505">
        <f>BO768</f>
        <v>20960</v>
      </c>
      <c r="BP770" s="2506">
        <f>IF(BM770=0," ",(BO770-BM770)/BM770)</f>
        <v>0</v>
      </c>
      <c r="BR770" s="2505">
        <f>BR768</f>
        <v>20960</v>
      </c>
      <c r="BS770" s="2505">
        <f>BS768</f>
        <v>20960</v>
      </c>
      <c r="BU770" s="2507"/>
      <c r="BW770" s="2505">
        <f>BW768</f>
        <v>20960</v>
      </c>
      <c r="BX770" s="2500">
        <f>BX768</f>
        <v>5002.01</v>
      </c>
      <c r="BZ770" s="2505">
        <f>BZ768</f>
        <v>20960</v>
      </c>
      <c r="CA770" s="2505">
        <f>CA768</f>
        <v>0</v>
      </c>
      <c r="CB770" s="2505">
        <f>CB768</f>
        <v>20960</v>
      </c>
      <c r="CC770" s="2506">
        <f>IF(BZ770=0," ",(CB770-BZ770)/BZ770)</f>
        <v>0</v>
      </c>
      <c r="CE770" s="2505">
        <f>CE768</f>
        <v>20960</v>
      </c>
      <c r="CF770" s="2506">
        <f>IF(CB770=0," ",(CE770-CB770)/CB770)</f>
        <v>0</v>
      </c>
      <c r="CG770" s="2505">
        <f>CG768</f>
        <v>20960</v>
      </c>
      <c r="CH770" s="2449" t="s">
        <v>1222</v>
      </c>
      <c r="CI770" s="2508" t="str">
        <f>IF(CG770-CE770=0,"",CG770-CE770)</f>
        <v/>
      </c>
      <c r="CJ770" s="2509"/>
      <c r="CK770" s="2509"/>
      <c r="CL770" s="2451" t="str">
        <f>IF(CO770&lt;-1*CM$2,"examine","ignore")</f>
        <v>examine</v>
      </c>
      <c r="CM770" s="2545">
        <f>IF(CL770="examine",CP770+CM$2*CP770/CO770,"")</f>
        <v>-8112.2900000000009</v>
      </c>
      <c r="CN770" s="2545">
        <f>IF(CI770="",CM770,CM770-CI770)</f>
        <v>-8112.2900000000009</v>
      </c>
      <c r="CO770" s="2477">
        <v>-0.42703673664122144</v>
      </c>
      <c r="CP770" s="2510">
        <f t="shared" si="372"/>
        <v>-8950.69</v>
      </c>
      <c r="CQ770" s="2510">
        <f>AV770-AU770</f>
        <v>-8956.69</v>
      </c>
      <c r="CR770" s="2510">
        <f>AS770-AR770</f>
        <v>-8959.5</v>
      </c>
      <c r="CS770" s="2510">
        <f>AF770-AE770</f>
        <v>-5897.8900000000012</v>
      </c>
    </row>
    <row r="771" spans="1:98" ht="20.100000000000001" hidden="1" customHeight="1" x14ac:dyDescent="0.2">
      <c r="AS771" s="2466"/>
      <c r="AT771" s="2466"/>
      <c r="BZ771" s="2472"/>
      <c r="CH771" s="2449" t="s">
        <v>1091</v>
      </c>
      <c r="CI771" s="2449"/>
      <c r="CJ771" s="2450"/>
      <c r="CK771" s="2450"/>
      <c r="CP771" s="2478">
        <f t="shared" si="372"/>
        <v>0</v>
      </c>
      <c r="CQ771" s="2478"/>
      <c r="CR771" s="2478"/>
      <c r="CS771" s="2478"/>
      <c r="CT771" s="2478"/>
    </row>
    <row r="772" spans="1:98" ht="15.75" hidden="1" x14ac:dyDescent="0.2">
      <c r="A772" s="2453" t="s">
        <v>2207</v>
      </c>
      <c r="B772" s="2454"/>
      <c r="C772" s="2455"/>
      <c r="D772" s="2455"/>
      <c r="E772" s="2456"/>
      <c r="F772" s="2454"/>
      <c r="G772" s="2454"/>
      <c r="H772" s="2457"/>
      <c r="I772" s="2457"/>
      <c r="J772" s="2457"/>
      <c r="K772" s="2458"/>
      <c r="M772" s="2457"/>
      <c r="N772" s="2457"/>
      <c r="P772" s="2459"/>
      <c r="R772" s="2457"/>
      <c r="S772" s="2457"/>
      <c r="U772" s="2457"/>
      <c r="V772" s="2457"/>
      <c r="W772" s="2457"/>
      <c r="X772" s="2458"/>
      <c r="Z772" s="2457"/>
      <c r="AA772" s="2457"/>
      <c r="AC772" s="2459"/>
      <c r="AE772" s="2457"/>
      <c r="AF772" s="2460"/>
      <c r="AH772" s="2457"/>
      <c r="AI772" s="2457"/>
      <c r="AJ772" s="2457"/>
      <c r="AK772" s="2458"/>
      <c r="AM772" s="2457"/>
      <c r="AN772" s="2457"/>
      <c r="AP772" s="2459"/>
      <c r="AR772" s="2457"/>
      <c r="AS772" s="2457"/>
      <c r="AT772" s="2457"/>
      <c r="AU772" s="2457"/>
      <c r="AV772" s="2457"/>
      <c r="AX772" s="2457"/>
      <c r="AY772" s="2457"/>
      <c r="AZ772" s="2457"/>
      <c r="BA772" s="2458"/>
      <c r="BC772" s="2457"/>
      <c r="BD772" s="2457"/>
      <c r="BF772" s="2461"/>
      <c r="BH772" s="2457"/>
      <c r="BI772" s="2457"/>
      <c r="BJ772" s="2457"/>
      <c r="BK772" s="2457"/>
      <c r="BM772" s="2457"/>
      <c r="BN772" s="2462"/>
      <c r="BO772" s="2463"/>
      <c r="BP772" s="2464"/>
      <c r="BR772" s="2463"/>
      <c r="BS772" s="2463"/>
      <c r="BU772" s="2465"/>
      <c r="BW772" s="2463"/>
      <c r="BX772" s="2457"/>
      <c r="BZ772" s="2463"/>
      <c r="CA772" s="2462"/>
      <c r="CB772" s="2463"/>
      <c r="CC772" s="2464"/>
      <c r="CE772" s="2463"/>
      <c r="CF772" s="2464"/>
      <c r="CG772" s="2463"/>
      <c r="CH772" s="2449" t="s">
        <v>1212</v>
      </c>
      <c r="CI772" s="2449"/>
      <c r="CJ772" s="2450"/>
      <c r="CK772" s="2450"/>
      <c r="CP772" s="2478">
        <f t="shared" si="372"/>
        <v>0</v>
      </c>
      <c r="CQ772" s="2478"/>
      <c r="CR772" s="2478"/>
      <c r="CS772" s="2478"/>
      <c r="CT772" s="2478"/>
    </row>
    <row r="773" spans="1:98" hidden="1" x14ac:dyDescent="0.2">
      <c r="A773" s="2395">
        <v>548</v>
      </c>
      <c r="B773" s="2440" t="s">
        <v>1214</v>
      </c>
      <c r="C773" s="2396">
        <v>54805</v>
      </c>
      <c r="D773" s="2396">
        <v>57800</v>
      </c>
      <c r="E773" s="2397" t="s">
        <v>1268</v>
      </c>
      <c r="F773" s="2440" t="s">
        <v>1214</v>
      </c>
      <c r="G773" s="2440" t="s">
        <v>2208</v>
      </c>
      <c r="H773" s="2466">
        <v>1000</v>
      </c>
      <c r="I773" s="2470"/>
      <c r="J773" s="2466">
        <f>H773+I773</f>
        <v>1000</v>
      </c>
      <c r="K773" s="2468">
        <f>IF(H773=0," ",(J773-H773)/H773)</f>
        <v>0</v>
      </c>
      <c r="M773" s="2467">
        <v>1000</v>
      </c>
      <c r="N773" s="2467">
        <v>1000</v>
      </c>
      <c r="P773" s="2469" t="s">
        <v>1289</v>
      </c>
      <c r="R773" s="2466">
        <v>1000</v>
      </c>
      <c r="S773" s="2466">
        <v>996.28</v>
      </c>
      <c r="U773" s="2466">
        <v>1000</v>
      </c>
      <c r="V773" s="2470"/>
      <c r="W773" s="2466">
        <f>U773+V773</f>
        <v>1000</v>
      </c>
      <c r="X773" s="2468">
        <f>IF(U773=0," ",(W773-U773)/U773)</f>
        <v>0</v>
      </c>
      <c r="Z773" s="2467">
        <f>W773</f>
        <v>1000</v>
      </c>
      <c r="AA773" s="2467">
        <v>1000</v>
      </c>
      <c r="AC773" s="2469"/>
      <c r="AE773" s="2466">
        <v>1000</v>
      </c>
      <c r="AF773" s="2471">
        <v>900.22</v>
      </c>
      <c r="AH773" s="2466">
        <v>1000</v>
      </c>
      <c r="AI773" s="2470"/>
      <c r="AJ773" s="2466">
        <f>AH773+AI773</f>
        <v>1000</v>
      </c>
      <c r="AK773" s="2468">
        <f>IF(AH773=0," ",(AJ773-AH773)/AH773)</f>
        <v>0</v>
      </c>
      <c r="AM773" s="2467">
        <v>1000</v>
      </c>
      <c r="AN773" s="2467">
        <v>1000</v>
      </c>
      <c r="AP773" s="2469"/>
      <c r="AR773" s="2466">
        <v>1000</v>
      </c>
      <c r="AS773" s="2466">
        <v>970</v>
      </c>
      <c r="AT773" s="2466"/>
      <c r="AU773" s="2466">
        <v>1000</v>
      </c>
      <c r="AV773" s="2466">
        <v>0</v>
      </c>
      <c r="AX773" s="2466">
        <v>1000</v>
      </c>
      <c r="AY773" s="2470"/>
      <c r="AZ773" s="2466">
        <f>AX773+AY773</f>
        <v>1000</v>
      </c>
      <c r="BA773" s="2468">
        <f>IF(AX773=0," ",(AZ773-AX773)/AX773)</f>
        <v>0</v>
      </c>
      <c r="BC773" s="2467">
        <v>1000</v>
      </c>
      <c r="BD773" s="2467">
        <v>1000</v>
      </c>
      <c r="BF773" s="2469"/>
      <c r="BH773" s="2467">
        <v>1000</v>
      </c>
      <c r="BI773" s="2466">
        <v>1000</v>
      </c>
      <c r="BM773" s="2466">
        <v>1000</v>
      </c>
      <c r="BN773" s="2470"/>
      <c r="BO773" s="2472">
        <f>BM773+BN773</f>
        <v>1000</v>
      </c>
      <c r="BP773" s="2473">
        <f>IF(BM773=0," ",(BO773-BM773)/BM773)</f>
        <v>0</v>
      </c>
      <c r="BR773" s="2474">
        <v>1000</v>
      </c>
      <c r="BS773" s="2474">
        <v>1000</v>
      </c>
      <c r="BU773" s="2475"/>
      <c r="BW773" s="2474">
        <v>1000</v>
      </c>
      <c r="BX773" s="2466">
        <v>216</v>
      </c>
      <c r="BZ773" s="2474">
        <v>1000</v>
      </c>
      <c r="CA773" s="2470"/>
      <c r="CB773" s="2472">
        <f>BZ773+CA773</f>
        <v>1000</v>
      </c>
      <c r="CC773" s="2473">
        <f>IF(BZ773=0," ",(CB773-BZ773)/BZ773)</f>
        <v>0</v>
      </c>
      <c r="CE773" s="2474">
        <v>1000</v>
      </c>
      <c r="CF773" s="2476">
        <f>IF(CB773=0," ",(CE773-CB773)/CB773)</f>
        <v>0</v>
      </c>
      <c r="CG773" s="2474">
        <v>1000</v>
      </c>
      <c r="CH773" s="2449" t="s">
        <v>1217</v>
      </c>
      <c r="CI773" s="2449"/>
      <c r="CJ773" s="2450"/>
      <c r="CK773" s="2450"/>
      <c r="CO773" s="2477">
        <v>0</v>
      </c>
      <c r="CP773" s="2478">
        <f t="shared" si="372"/>
        <v>0</v>
      </c>
      <c r="CQ773" s="2478"/>
      <c r="CR773" s="2478"/>
      <c r="CS773" s="2478"/>
      <c r="CT773" s="2478"/>
    </row>
    <row r="774" spans="1:98" s="2485" customFormat="1" hidden="1" x14ac:dyDescent="0.2">
      <c r="A774" s="2532"/>
      <c r="B774" s="2533"/>
      <c r="C774" s="2534"/>
      <c r="D774" s="2534"/>
      <c r="E774" s="2535"/>
      <c r="F774" s="2533"/>
      <c r="G774" s="2654" t="s">
        <v>2209</v>
      </c>
      <c r="H774" s="2536">
        <f t="shared" ref="H774" si="414">SUM(H773)</f>
        <v>1000</v>
      </c>
      <c r="I774" s="2536">
        <f>SUM(I773)</f>
        <v>0</v>
      </c>
      <c r="J774" s="2536">
        <f>SUM(J773)</f>
        <v>1000</v>
      </c>
      <c r="K774" s="2484">
        <f>IF(H774=0," ",(J774-H774)/H774)</f>
        <v>0</v>
      </c>
      <c r="M774" s="2536">
        <f>SUM(M773)</f>
        <v>1000</v>
      </c>
      <c r="N774" s="2536">
        <f>SUM(N773)</f>
        <v>1000</v>
      </c>
      <c r="P774" s="2537">
        <f>SUM(P773)</f>
        <v>0</v>
      </c>
      <c r="R774" s="2536">
        <f>SUM(R773)</f>
        <v>1000</v>
      </c>
      <c r="S774" s="2536">
        <f>SUM(S773)</f>
        <v>996.28</v>
      </c>
      <c r="U774" s="2536">
        <f>SUM(U773)</f>
        <v>1000</v>
      </c>
      <c r="V774" s="2536">
        <f>SUM(V773)</f>
        <v>0</v>
      </c>
      <c r="W774" s="2536">
        <f>SUM(W773)</f>
        <v>1000</v>
      </c>
      <c r="X774" s="2484">
        <f>IF(U774=0," ",(W774-U774)/U774)</f>
        <v>0</v>
      </c>
      <c r="Z774" s="2536">
        <f>SUM(Z773)</f>
        <v>1000</v>
      </c>
      <c r="AA774" s="2536">
        <f>SUM(AA773)</f>
        <v>1000</v>
      </c>
      <c r="AC774" s="2537"/>
      <c r="AE774" s="2536">
        <f>SUM(AE773)</f>
        <v>1000</v>
      </c>
      <c r="AF774" s="2538">
        <f>SUM(AF773)</f>
        <v>900.22</v>
      </c>
      <c r="AH774" s="2536">
        <v>1000</v>
      </c>
      <c r="AI774" s="2536">
        <f>SUM(AI773)</f>
        <v>0</v>
      </c>
      <c r="AJ774" s="2536">
        <f>SUM(AJ773)</f>
        <v>1000</v>
      </c>
      <c r="AK774" s="2484">
        <f>IF(AH774=0," ",(AJ774-AH774)/AH774)</f>
        <v>0</v>
      </c>
      <c r="AM774" s="2536">
        <f>SUM(AM773)</f>
        <v>1000</v>
      </c>
      <c r="AN774" s="2536">
        <f>SUM(AN773)</f>
        <v>1000</v>
      </c>
      <c r="AP774" s="2537"/>
      <c r="AR774" s="2536">
        <f>SUM(AR773)</f>
        <v>1000</v>
      </c>
      <c r="AS774" s="2536">
        <f>SUM(AS773)</f>
        <v>970</v>
      </c>
      <c r="AT774" s="2536"/>
      <c r="AU774" s="2536">
        <f>SUM(AU773)</f>
        <v>1000</v>
      </c>
      <c r="AV774" s="2536">
        <f>SUM(AV773)</f>
        <v>0</v>
      </c>
      <c r="AX774" s="2536">
        <f>SUM(AX773)</f>
        <v>1000</v>
      </c>
      <c r="AY774" s="2536">
        <f>SUM(AY773)</f>
        <v>0</v>
      </c>
      <c r="AZ774" s="2536">
        <f>SUM(AZ773)</f>
        <v>1000</v>
      </c>
      <c r="BA774" s="2484">
        <f>IF(AX774=0," ",(AZ774-AX774)/AX774)</f>
        <v>0</v>
      </c>
      <c r="BC774" s="2536">
        <f>SUM(BC773)</f>
        <v>1000</v>
      </c>
      <c r="BD774" s="2536">
        <f>SUM(BD773)</f>
        <v>1000</v>
      </c>
      <c r="BF774" s="2537"/>
      <c r="BH774" s="2536">
        <f>SUM(BH773)</f>
        <v>1000</v>
      </c>
      <c r="BI774" s="2536">
        <f>SUM(BI773)</f>
        <v>1000</v>
      </c>
      <c r="BJ774" s="2536"/>
      <c r="BK774" s="2536"/>
      <c r="BM774" s="2536">
        <f>SUM(BM773)</f>
        <v>1000</v>
      </c>
      <c r="BN774" s="2539">
        <f>SUM(BN773)</f>
        <v>0</v>
      </c>
      <c r="BO774" s="2540">
        <f>SUM(BO773)</f>
        <v>1000</v>
      </c>
      <c r="BP774" s="2490">
        <f>IF(BM774=0," ",(BO774-BM774)/BM774)</f>
        <v>0</v>
      </c>
      <c r="BQ774" s="2491"/>
      <c r="BR774" s="2540">
        <f>SUM(BR773)</f>
        <v>1000</v>
      </c>
      <c r="BS774" s="2540">
        <f>SUM(BS773)</f>
        <v>1000</v>
      </c>
      <c r="BT774" s="2491"/>
      <c r="BU774" s="2541"/>
      <c r="BV774" s="2491"/>
      <c r="BW774" s="2540">
        <f>SUM(BW773)</f>
        <v>1000</v>
      </c>
      <c r="BX774" s="2536">
        <f>SUM(BX773)</f>
        <v>216</v>
      </c>
      <c r="BZ774" s="2540">
        <f>SUM(BZ773)</f>
        <v>1000</v>
      </c>
      <c r="CA774" s="2540">
        <f>SUM(CA773)</f>
        <v>0</v>
      </c>
      <c r="CB774" s="2540">
        <f>SUM(CB773)</f>
        <v>1000</v>
      </c>
      <c r="CC774" s="2490">
        <f>IF(BZ774=0," ",(CB774-BZ774)/BZ774)</f>
        <v>0</v>
      </c>
      <c r="CD774" s="2491"/>
      <c r="CE774" s="2540">
        <f>SUM(CE773)</f>
        <v>1000</v>
      </c>
      <c r="CF774" s="2490">
        <f>IF(CB774=0," ",(CE774-CB774)/CB774)</f>
        <v>0</v>
      </c>
      <c r="CG774" s="2540">
        <f>SUM(CG773)</f>
        <v>1000</v>
      </c>
      <c r="CH774" s="2449" t="s">
        <v>1220</v>
      </c>
      <c r="CI774" s="2449"/>
      <c r="CJ774" s="2450"/>
      <c r="CK774" s="2450"/>
      <c r="CL774" s="2451"/>
      <c r="CM774" s="2451"/>
      <c r="CN774" s="2451"/>
      <c r="CO774" s="2477">
        <v>0</v>
      </c>
      <c r="CP774" s="2478">
        <f t="shared" ref="CP774:CP837" si="415">IFERROR(BI774-BH774,"")</f>
        <v>0</v>
      </c>
      <c r="CQ774" s="2478"/>
      <c r="CR774" s="2478"/>
      <c r="CS774" s="2478"/>
      <c r="CT774" s="2478"/>
    </row>
    <row r="775" spans="1:98" ht="9.9499999999999993" hidden="1" customHeight="1" x14ac:dyDescent="0.2">
      <c r="AS775" s="2466"/>
      <c r="AT775" s="2466"/>
      <c r="BZ775" s="2472"/>
      <c r="CA775" s="2472"/>
      <c r="CH775" s="2449" t="s">
        <v>1091</v>
      </c>
      <c r="CI775" s="2449"/>
      <c r="CJ775" s="2450"/>
      <c r="CK775" s="2450"/>
      <c r="CP775" s="2478">
        <f t="shared" si="415"/>
        <v>0</v>
      </c>
      <c r="CQ775" s="2478"/>
      <c r="CR775" s="2478"/>
      <c r="CS775" s="2478"/>
      <c r="CT775" s="2478"/>
    </row>
    <row r="776" spans="1:98" x14ac:dyDescent="0.2">
      <c r="A776" s="2495"/>
      <c r="B776" s="2496"/>
      <c r="C776" s="2497"/>
      <c r="D776" s="2497"/>
      <c r="E776" s="2498"/>
      <c r="F776" s="2496"/>
      <c r="G776" s="2499" t="s">
        <v>2210</v>
      </c>
      <c r="H776" s="2500">
        <f t="shared" ref="H776" si="416">H774</f>
        <v>1000</v>
      </c>
      <c r="I776" s="2500">
        <f>I774</f>
        <v>0</v>
      </c>
      <c r="J776" s="2500">
        <f>J774</f>
        <v>1000</v>
      </c>
      <c r="K776" s="2501">
        <f>IF(H776=0," ",(J776-H776)/H776)</f>
        <v>0</v>
      </c>
      <c r="M776" s="2500">
        <f>M774</f>
        <v>1000</v>
      </c>
      <c r="N776" s="2500">
        <f>N774</f>
        <v>1000</v>
      </c>
      <c r="P776" s="2502">
        <f>P774</f>
        <v>0</v>
      </c>
      <c r="R776" s="2500">
        <f>R774</f>
        <v>1000</v>
      </c>
      <c r="S776" s="2500">
        <f>S774</f>
        <v>996.28</v>
      </c>
      <c r="U776" s="2500">
        <f>U774</f>
        <v>1000</v>
      </c>
      <c r="V776" s="2500">
        <f>V774</f>
        <v>0</v>
      </c>
      <c r="W776" s="2500">
        <f>W774</f>
        <v>1000</v>
      </c>
      <c r="X776" s="2501">
        <f>IF(U776=0," ",(W776-U776)/U776)</f>
        <v>0</v>
      </c>
      <c r="Z776" s="2500">
        <f>Z774</f>
        <v>1000</v>
      </c>
      <c r="AA776" s="2500">
        <f>AA774</f>
        <v>1000</v>
      </c>
      <c r="AC776" s="2502"/>
      <c r="AE776" s="2500">
        <f>AE774</f>
        <v>1000</v>
      </c>
      <c r="AF776" s="2503">
        <f>AF774</f>
        <v>900.22</v>
      </c>
      <c r="AH776" s="2500">
        <v>1000</v>
      </c>
      <c r="AI776" s="2500">
        <f>AI774</f>
        <v>0</v>
      </c>
      <c r="AJ776" s="2500">
        <f>AJ774</f>
        <v>1000</v>
      </c>
      <c r="AK776" s="2501">
        <f>IF(AH776=0," ",(AJ776-AH776)/AH776)</f>
        <v>0</v>
      </c>
      <c r="AM776" s="2500">
        <f>AM774</f>
        <v>1000</v>
      </c>
      <c r="AN776" s="2500">
        <f>AN774</f>
        <v>1000</v>
      </c>
      <c r="AP776" s="2502"/>
      <c r="AR776" s="2500">
        <f>AR774</f>
        <v>1000</v>
      </c>
      <c r="AS776" s="2500">
        <f>AS774</f>
        <v>970</v>
      </c>
      <c r="AT776" s="2500"/>
      <c r="AU776" s="2500">
        <f>AU774</f>
        <v>1000</v>
      </c>
      <c r="AV776" s="2500">
        <f>AV774</f>
        <v>0</v>
      </c>
      <c r="AX776" s="2500">
        <f>AX774</f>
        <v>1000</v>
      </c>
      <c r="AY776" s="2500">
        <f>AY774</f>
        <v>0</v>
      </c>
      <c r="AZ776" s="2500">
        <f>AZ774</f>
        <v>1000</v>
      </c>
      <c r="BA776" s="2501">
        <f>IF(AX776=0," ",(AZ776-AX776)/AX776)</f>
        <v>0</v>
      </c>
      <c r="BC776" s="2500">
        <f>BC774</f>
        <v>1000</v>
      </c>
      <c r="BD776" s="2500">
        <f>BD774</f>
        <v>1000</v>
      </c>
      <c r="BF776" s="2502"/>
      <c r="BH776" s="2500">
        <f>BH774</f>
        <v>1000</v>
      </c>
      <c r="BI776" s="2500">
        <f>BI774</f>
        <v>1000</v>
      </c>
      <c r="BJ776" s="2500"/>
      <c r="BK776" s="2500"/>
      <c r="BM776" s="2500">
        <f>BM774</f>
        <v>1000</v>
      </c>
      <c r="BN776" s="2504">
        <f>BN774</f>
        <v>0</v>
      </c>
      <c r="BO776" s="2505">
        <f>BO774</f>
        <v>1000</v>
      </c>
      <c r="BP776" s="2506">
        <f>IF(BM776=0," ",(BO776-BM776)/BM776)</f>
        <v>0</v>
      </c>
      <c r="BR776" s="2505">
        <f>BR774</f>
        <v>1000</v>
      </c>
      <c r="BS776" s="2505">
        <f>BS774</f>
        <v>1000</v>
      </c>
      <c r="BU776" s="2507"/>
      <c r="BW776" s="2505">
        <f>BW774</f>
        <v>1000</v>
      </c>
      <c r="BX776" s="2500">
        <f>BX774</f>
        <v>216</v>
      </c>
      <c r="BZ776" s="2505">
        <f>BZ774</f>
        <v>1000</v>
      </c>
      <c r="CA776" s="2505">
        <f>CA774</f>
        <v>0</v>
      </c>
      <c r="CB776" s="2505">
        <f>CB774</f>
        <v>1000</v>
      </c>
      <c r="CC776" s="2506">
        <f>IF(BZ776=0," ",(CB776-BZ776)/BZ776)</f>
        <v>0</v>
      </c>
      <c r="CE776" s="2505">
        <f>CE774</f>
        <v>1000</v>
      </c>
      <c r="CF776" s="2506">
        <f>IF(CB776=0," ",(CE776-CB776)/CB776)</f>
        <v>0</v>
      </c>
      <c r="CG776" s="2505">
        <f>CG774</f>
        <v>1000</v>
      </c>
      <c r="CH776" s="2449" t="s">
        <v>1222</v>
      </c>
      <c r="CI776" s="2508" t="str">
        <f>IF(CG776-CE776=0,"",CG776-CE776)</f>
        <v/>
      </c>
      <c r="CJ776" s="2509"/>
      <c r="CK776" s="2509"/>
      <c r="CL776" s="2451" t="str">
        <f>IF(CO776&lt;-1*CM$2,"examine","ignore")</f>
        <v>ignore</v>
      </c>
      <c r="CM776" s="2545" t="str">
        <f>IF(CL776="examine",CP776+CM$2*CP776/CO776,"")</f>
        <v/>
      </c>
      <c r="CN776" s="2545"/>
      <c r="CO776" s="2477">
        <v>0</v>
      </c>
      <c r="CP776" s="2510">
        <f t="shared" si="415"/>
        <v>0</v>
      </c>
      <c r="CQ776" s="2510">
        <f>AV776-AU776</f>
        <v>-1000</v>
      </c>
      <c r="CR776" s="2510">
        <f>AS776-AR776</f>
        <v>-30</v>
      </c>
      <c r="CS776" s="2510">
        <f>AF776-AE776</f>
        <v>-99.779999999999973</v>
      </c>
    </row>
    <row r="777" spans="1:98" ht="12" hidden="1" customHeight="1" x14ac:dyDescent="0.2">
      <c r="AS777" s="2466"/>
      <c r="AT777" s="2466"/>
      <c r="BZ777" s="2472"/>
      <c r="CH777" s="2449" t="s">
        <v>1091</v>
      </c>
      <c r="CI777" s="2449"/>
      <c r="CJ777" s="2450"/>
      <c r="CK777" s="2450"/>
      <c r="CP777" s="2478">
        <f t="shared" si="415"/>
        <v>0</v>
      </c>
      <c r="CQ777" s="2478"/>
      <c r="CR777" s="2478"/>
      <c r="CS777" s="2478"/>
      <c r="CT777" s="2478"/>
    </row>
    <row r="778" spans="1:98" ht="20.100000000000001" hidden="1" customHeight="1" x14ac:dyDescent="0.2">
      <c r="A778" s="2604" t="s">
        <v>2211</v>
      </c>
      <c r="B778" s="2435"/>
      <c r="C778" s="2436"/>
      <c r="D778" s="2436"/>
      <c r="E778" s="2437"/>
      <c r="F778" s="2435"/>
      <c r="G778" s="2435"/>
      <c r="H778" s="2438">
        <f>H776+H770+H758+H734</f>
        <v>242836</v>
      </c>
      <c r="I778" s="2438">
        <f>I776+I770+I758+I734</f>
        <v>3514.13</v>
      </c>
      <c r="J778" s="2438">
        <f>J776+J770+J758+J734</f>
        <v>246350.13</v>
      </c>
      <c r="K778" s="2439">
        <f>IF(H778=0," ",(J778-H778)/H778)</f>
        <v>1.4471206905071754E-2</v>
      </c>
      <c r="M778" s="2438">
        <f>M776+M770+M758+M734</f>
        <v>246337</v>
      </c>
      <c r="N778" s="2438">
        <f>N776+N770+N758+N734</f>
        <v>255286</v>
      </c>
      <c r="P778" s="2441"/>
      <c r="R778" s="2438">
        <f>R776+R770+R758+R734</f>
        <v>255286</v>
      </c>
      <c r="S778" s="2438">
        <f>S776+S770+S758+S734</f>
        <v>239794.81</v>
      </c>
      <c r="U778" s="2438">
        <f>U776+U770+U758+U734</f>
        <v>255286</v>
      </c>
      <c r="V778" s="2438">
        <f>V776+V770+V758+V734</f>
        <v>7700</v>
      </c>
      <c r="W778" s="2438">
        <f>W776+W770+W758+W734</f>
        <v>263376</v>
      </c>
      <c r="X778" s="2439">
        <f>IF(U778=0," ",(W778-U778)/U778)</f>
        <v>3.1689947744882208E-2</v>
      </c>
      <c r="Z778" s="2438">
        <f>Z776+Z770+Z758+Z734</f>
        <v>263376</v>
      </c>
      <c r="AA778" s="2438">
        <f>AA776+AA770+AA758+AA734</f>
        <v>263776</v>
      </c>
      <c r="AC778" s="2441"/>
      <c r="AE778" s="2438">
        <f>AE776+AE770+AE758+AE734</f>
        <v>263776</v>
      </c>
      <c r="AF778" s="2438">
        <f>AF776+AF770+AF758+AF734</f>
        <v>243523.86</v>
      </c>
      <c r="AH778" s="2438">
        <f>AH776+AH770+AH758+AH734</f>
        <v>263776</v>
      </c>
      <c r="AI778" s="2438">
        <f>AI776+AI770+AI758+AI734</f>
        <v>11064</v>
      </c>
      <c r="AJ778" s="2438">
        <f>AJ776+AJ770+AJ758+AJ734</f>
        <v>274840</v>
      </c>
      <c r="AK778" s="2439">
        <f>IF(AH778=0," ",(AJ778-AH778)/AH778)</f>
        <v>4.1944680334829551E-2</v>
      </c>
      <c r="AM778" s="2438">
        <f>AM776+AM770+AM758+AM734</f>
        <v>280180</v>
      </c>
      <c r="AN778" s="2438">
        <f>AN776+AN770+AN758+AN734</f>
        <v>280180</v>
      </c>
      <c r="AP778" s="2441"/>
      <c r="AR778" s="2438">
        <f>AR776+AR770+AR758+AR734</f>
        <v>280180</v>
      </c>
      <c r="AS778" s="2438">
        <f>AS776+AS770+AS758+AS734</f>
        <v>247915.69</v>
      </c>
      <c r="AT778" s="2438"/>
      <c r="AU778" s="2438">
        <f>AU776+AU770+AU758+AU734</f>
        <v>278498</v>
      </c>
      <c r="AV778" s="2438">
        <f>AV776+AV770+AV758+AV734</f>
        <v>233040.53999999998</v>
      </c>
      <c r="AX778" s="2438">
        <f>AX776+AX770+AX758+AX734</f>
        <v>278498</v>
      </c>
      <c r="AY778" s="2438">
        <f>AY776+AY770+AY758+AY734</f>
        <v>2565</v>
      </c>
      <c r="AZ778" s="2438">
        <f>AZ776+AZ770+AZ758+AZ734</f>
        <v>281063</v>
      </c>
      <c r="BA778" s="2439">
        <f>IF(AX778=0," ",(AZ778-AX778)/AX778)</f>
        <v>9.210120000861766E-3</v>
      </c>
      <c r="BC778" s="2438">
        <f>BC776+BC770+BC758+BC734</f>
        <v>281063</v>
      </c>
      <c r="BD778" s="2438">
        <f>BD776+BD770+BD758+BD734</f>
        <v>293530</v>
      </c>
      <c r="BF778" s="2443"/>
      <c r="BH778" s="2438">
        <f>BH776+BH770+BH758+BH734</f>
        <v>294530</v>
      </c>
      <c r="BI778" s="2438">
        <f>BI776+BI770+BI758+BI734</f>
        <v>263975.34000000003</v>
      </c>
      <c r="BJ778" s="2438"/>
      <c r="BK778" s="2438"/>
      <c r="BM778" s="2438">
        <f>BM776+BM770+BM758+BM734</f>
        <v>294530</v>
      </c>
      <c r="BN778" s="2438">
        <f>BN776+BN770+BN758+BN734</f>
        <v>4912</v>
      </c>
      <c r="BO778" s="2438">
        <f>BO776+BO770+BO758+BO734</f>
        <v>299442</v>
      </c>
      <c r="BP778" s="2439">
        <f>IF(BM778=0," ",(BO778-BM778)/BM778)</f>
        <v>1.6677418259600042E-2</v>
      </c>
      <c r="BR778" s="2438">
        <f>BR776+BR770+BR758+BR734</f>
        <v>299442</v>
      </c>
      <c r="BS778" s="2438">
        <f>BS776+BS770+BS758+BS734</f>
        <v>299442</v>
      </c>
      <c r="BU778" s="2448"/>
      <c r="BW778" s="2438">
        <f>BW776+BW770+BW758+BW734</f>
        <v>299442</v>
      </c>
      <c r="BX778" s="2438">
        <f>BX776+BX770+BX758+BX734</f>
        <v>128482.68999999999</v>
      </c>
      <c r="BZ778" s="2438">
        <f>BZ776+BZ770+BZ758+BZ734</f>
        <v>299442</v>
      </c>
      <c r="CA778" s="2438">
        <f>CA776+CA770+CA758+CA734</f>
        <v>4216</v>
      </c>
      <c r="CB778" s="2438">
        <f>CB776+CB770+CB758+CB734</f>
        <v>303658</v>
      </c>
      <c r="CC778" s="2439">
        <f>IF(BZ778=0," ",(CB778-BZ778)/BZ778)</f>
        <v>1.4079521242845025E-2</v>
      </c>
      <c r="CE778" s="2438">
        <f>CE776+CE770+CE758+CE734</f>
        <v>314743</v>
      </c>
      <c r="CF778" s="2439">
        <f>IF(CB778=0," ",(CE778-CB778)/CB778)</f>
        <v>3.6504883783730381E-2</v>
      </c>
      <c r="CG778" s="2438">
        <f>CG776+CG770+CG758+CG734</f>
        <v>312989</v>
      </c>
      <c r="CH778" s="2449" t="s">
        <v>1602</v>
      </c>
      <c r="CI778" s="2449"/>
      <c r="CJ778" s="2450"/>
      <c r="CK778" s="2450"/>
      <c r="CO778" s="2477">
        <v>-0.10374039995925699</v>
      </c>
      <c r="CP778" s="2478">
        <f t="shared" si="415"/>
        <v>-30554.659999999974</v>
      </c>
      <c r="CQ778" s="2478"/>
      <c r="CR778" s="2478"/>
      <c r="CS778" s="2478"/>
      <c r="CT778" s="2478"/>
    </row>
    <row r="779" spans="1:98" ht="9.9499999999999993" hidden="1" customHeight="1" x14ac:dyDescent="0.2">
      <c r="A779" s="2605"/>
      <c r="B779" s="2606"/>
      <c r="C779" s="2607"/>
      <c r="D779" s="2607"/>
      <c r="E779" s="2608"/>
      <c r="F779" s="2606"/>
      <c r="G779" s="2606"/>
      <c r="H779" s="2609"/>
      <c r="I779" s="2609"/>
      <c r="J779" s="2609"/>
      <c r="K779" s="2610"/>
      <c r="M779" s="2611"/>
      <c r="N779" s="2611"/>
      <c r="P779" s="2612"/>
      <c r="R779" s="2611"/>
      <c r="S779" s="2611"/>
      <c r="U779" s="2611"/>
      <c r="V779" s="2609"/>
      <c r="W779" s="2609"/>
      <c r="X779" s="2610"/>
      <c r="Z779" s="2611"/>
      <c r="AA779" s="2611"/>
      <c r="AC779" s="2612"/>
      <c r="AE779" s="2611"/>
      <c r="AF779" s="2613"/>
      <c r="AH779" s="2611"/>
      <c r="AI779" s="2609"/>
      <c r="AJ779" s="2609"/>
      <c r="AK779" s="2610"/>
      <c r="AM779" s="2611"/>
      <c r="AN779" s="2611"/>
      <c r="AP779" s="2612"/>
      <c r="AR779" s="2611"/>
      <c r="AS779" s="2611"/>
      <c r="AT779" s="2611"/>
      <c r="AU779" s="2611"/>
      <c r="AV779" s="2611"/>
      <c r="AX779" s="2611"/>
      <c r="AY779" s="2609"/>
      <c r="AZ779" s="2609"/>
      <c r="BA779" s="2610"/>
      <c r="BC779" s="2611"/>
      <c r="BD779" s="2611"/>
      <c r="BF779" s="2551"/>
      <c r="BH779" s="2611"/>
      <c r="BI779" s="2611"/>
      <c r="BJ779" s="2611"/>
      <c r="BK779" s="2611"/>
      <c r="BM779" s="2611"/>
      <c r="BN779" s="2614"/>
      <c r="BO779" s="2553"/>
      <c r="BP779" s="2554"/>
      <c r="BR779" s="2553"/>
      <c r="BS779" s="2553"/>
      <c r="BU779" s="2555"/>
      <c r="BW779" s="2553"/>
      <c r="BX779" s="2611"/>
      <c r="BZ779" s="2553"/>
      <c r="CA779" s="2614"/>
      <c r="CB779" s="2553"/>
      <c r="CC779" s="2554"/>
      <c r="CE779" s="2553"/>
      <c r="CF779" s="2554"/>
      <c r="CG779" s="2553"/>
      <c r="CH779" s="2449" t="s">
        <v>1091</v>
      </c>
      <c r="CI779" s="2449"/>
      <c r="CJ779" s="2450"/>
      <c r="CK779" s="2450"/>
      <c r="CP779" s="2478">
        <f t="shared" si="415"/>
        <v>0</v>
      </c>
      <c r="CQ779" s="2478"/>
      <c r="CR779" s="2478"/>
      <c r="CS779" s="2478"/>
      <c r="CT779" s="2478"/>
    </row>
    <row r="780" spans="1:98" ht="9.9499999999999993" hidden="1" customHeight="1" x14ac:dyDescent="0.2">
      <c r="A780" s="2605"/>
      <c r="B780" s="2606"/>
      <c r="C780" s="2607"/>
      <c r="D780" s="2607"/>
      <c r="E780" s="2608"/>
      <c r="F780" s="2606"/>
      <c r="G780" s="2606"/>
      <c r="H780" s="2609"/>
      <c r="I780" s="2609"/>
      <c r="J780" s="2609"/>
      <c r="K780" s="2610"/>
      <c r="M780" s="2609"/>
      <c r="N780" s="2611"/>
      <c r="P780" s="2612"/>
      <c r="R780" s="2611"/>
      <c r="S780" s="2611"/>
      <c r="U780" s="2611"/>
      <c r="V780" s="2609"/>
      <c r="W780" s="2609"/>
      <c r="X780" s="2610"/>
      <c r="Z780" s="2609"/>
      <c r="AA780" s="2611"/>
      <c r="AC780" s="2612"/>
      <c r="AE780" s="2611"/>
      <c r="AF780" s="2613"/>
      <c r="AH780" s="2611"/>
      <c r="AI780" s="2609"/>
      <c r="AJ780" s="2609"/>
      <c r="AK780" s="2610"/>
      <c r="AM780" s="2609"/>
      <c r="AN780" s="2611"/>
      <c r="AP780" s="2612"/>
      <c r="AR780" s="2611"/>
      <c r="AS780" s="2611"/>
      <c r="AT780" s="2611"/>
      <c r="AU780" s="2611"/>
      <c r="AV780" s="2611"/>
      <c r="AX780" s="2611"/>
      <c r="AY780" s="2609"/>
      <c r="AZ780" s="2609"/>
      <c r="BA780" s="2610"/>
      <c r="BC780" s="2611"/>
      <c r="BD780" s="2611"/>
      <c r="BF780" s="2551"/>
      <c r="BH780" s="2611"/>
      <c r="BI780" s="2611"/>
      <c r="BJ780" s="2611"/>
      <c r="BK780" s="2611"/>
      <c r="BM780" s="2611"/>
      <c r="BN780" s="2614"/>
      <c r="BO780" s="2553"/>
      <c r="BP780" s="2554"/>
      <c r="BR780" s="2553"/>
      <c r="BS780" s="2553"/>
      <c r="BU780" s="2555"/>
      <c r="BW780" s="2553"/>
      <c r="BX780" s="2611"/>
      <c r="BZ780" s="2553"/>
      <c r="CA780" s="2614"/>
      <c r="CB780" s="2553"/>
      <c r="CC780" s="2554"/>
      <c r="CE780" s="2553"/>
      <c r="CF780" s="2554"/>
      <c r="CG780" s="2553"/>
      <c r="CH780" s="2449" t="s">
        <v>1091</v>
      </c>
      <c r="CI780" s="2449"/>
      <c r="CJ780" s="2450"/>
      <c r="CK780" s="2450"/>
      <c r="CP780" s="2478">
        <f t="shared" si="415"/>
        <v>0</v>
      </c>
      <c r="CQ780" s="2478"/>
      <c r="CR780" s="2478"/>
      <c r="CS780" s="2478"/>
      <c r="CT780" s="2478"/>
    </row>
    <row r="781" spans="1:98" ht="20.100000000000001" hidden="1" customHeight="1" x14ac:dyDescent="0.2">
      <c r="A781" s="2434" t="s">
        <v>2212</v>
      </c>
      <c r="B781" s="2435"/>
      <c r="C781" s="2436"/>
      <c r="D781" s="2436"/>
      <c r="E781" s="2437"/>
      <c r="F781" s="2435"/>
      <c r="G781" s="2435"/>
      <c r="H781" s="2438"/>
      <c r="I781" s="2438"/>
      <c r="J781" s="2438"/>
      <c r="K781" s="2439"/>
      <c r="M781" s="2438"/>
      <c r="N781" s="2438"/>
      <c r="P781" s="2441"/>
      <c r="R781" s="2438"/>
      <c r="S781" s="2438"/>
      <c r="U781" s="2438"/>
      <c r="V781" s="2438"/>
      <c r="W781" s="2438"/>
      <c r="X781" s="2439"/>
      <c r="Z781" s="2438"/>
      <c r="AA781" s="2438"/>
      <c r="AC781" s="2441"/>
      <c r="AE781" s="2438"/>
      <c r="AF781" s="2442"/>
      <c r="AH781" s="2438"/>
      <c r="AI781" s="2438"/>
      <c r="AJ781" s="2438"/>
      <c r="AK781" s="2439"/>
      <c r="AM781" s="2438"/>
      <c r="AN781" s="2438"/>
      <c r="AP781" s="2441"/>
      <c r="AR781" s="2438"/>
      <c r="AS781" s="2438"/>
      <c r="AT781" s="2438"/>
      <c r="AU781" s="2438"/>
      <c r="AV781" s="2438"/>
      <c r="AX781" s="2438"/>
      <c r="AY781" s="2438"/>
      <c r="AZ781" s="2438"/>
      <c r="BA781" s="2439"/>
      <c r="BC781" s="2438"/>
      <c r="BD781" s="2438"/>
      <c r="BF781" s="2443"/>
      <c r="BH781" s="2438"/>
      <c r="BI781" s="2438"/>
      <c r="BJ781" s="2438"/>
      <c r="BK781" s="2438"/>
      <c r="BM781" s="2438"/>
      <c r="BN781" s="2444"/>
      <c r="BO781" s="2445"/>
      <c r="BP781" s="2446"/>
      <c r="BR781" s="2445"/>
      <c r="BS781" s="2445"/>
      <c r="BU781" s="2448"/>
      <c r="BW781" s="2445"/>
      <c r="BX781" s="2438"/>
      <c r="BZ781" s="2445"/>
      <c r="CA781" s="2444"/>
      <c r="CB781" s="2445"/>
      <c r="CC781" s="2446"/>
      <c r="CE781" s="2445"/>
      <c r="CF781" s="2446"/>
      <c r="CG781" s="2445"/>
      <c r="CH781" s="2449" t="s">
        <v>1212</v>
      </c>
      <c r="CI781" s="2449"/>
      <c r="CJ781" s="2450"/>
      <c r="CK781" s="2450"/>
      <c r="CP781" s="2478">
        <f t="shared" si="415"/>
        <v>0</v>
      </c>
      <c r="CQ781" s="2478"/>
      <c r="CR781" s="2478"/>
      <c r="CS781" s="2478"/>
      <c r="CT781" s="2478"/>
    </row>
    <row r="782" spans="1:98" ht="15.75" hidden="1" x14ac:dyDescent="0.2">
      <c r="A782" s="2453" t="s">
        <v>2213</v>
      </c>
      <c r="B782" s="2454"/>
      <c r="C782" s="2455"/>
      <c r="D782" s="2455"/>
      <c r="E782" s="2456"/>
      <c r="F782" s="2454"/>
      <c r="G782" s="2454"/>
      <c r="H782" s="2457"/>
      <c r="I782" s="2457"/>
      <c r="J782" s="2457"/>
      <c r="K782" s="2458"/>
      <c r="M782" s="2457"/>
      <c r="N782" s="2457"/>
      <c r="P782" s="2459"/>
      <c r="R782" s="2457"/>
      <c r="S782" s="2457"/>
      <c r="U782" s="2457"/>
      <c r="V782" s="2457"/>
      <c r="W782" s="2457"/>
      <c r="X782" s="2458"/>
      <c r="Z782" s="2457"/>
      <c r="AA782" s="2457"/>
      <c r="AC782" s="2459"/>
      <c r="AE782" s="2457"/>
      <c r="AF782" s="2460"/>
      <c r="AH782" s="2457"/>
      <c r="AI782" s="2457"/>
      <c r="AJ782" s="2457"/>
      <c r="AK782" s="2458"/>
      <c r="AM782" s="2457"/>
      <c r="AN782" s="2457"/>
      <c r="AP782" s="2459"/>
      <c r="AR782" s="2457"/>
      <c r="AS782" s="2457"/>
      <c r="AT782" s="2457"/>
      <c r="AU782" s="2457"/>
      <c r="AV782" s="2457"/>
      <c r="AX782" s="2457"/>
      <c r="AY782" s="2457"/>
      <c r="AZ782" s="2457"/>
      <c r="BA782" s="2458"/>
      <c r="BC782" s="2457"/>
      <c r="BD782" s="2457"/>
      <c r="BF782" s="2461"/>
      <c r="BH782" s="2457"/>
      <c r="BI782" s="2457"/>
      <c r="BJ782" s="2457"/>
      <c r="BK782" s="2457"/>
      <c r="BM782" s="2457"/>
      <c r="BN782" s="2462"/>
      <c r="BO782" s="2463"/>
      <c r="BP782" s="2464"/>
      <c r="BR782" s="2463"/>
      <c r="BS782" s="2463"/>
      <c r="BU782" s="2465"/>
      <c r="BW782" s="2463"/>
      <c r="BX782" s="2457"/>
      <c r="BZ782" s="2463"/>
      <c r="CA782" s="2462"/>
      <c r="CB782" s="2463"/>
      <c r="CC782" s="2464"/>
      <c r="CE782" s="2463"/>
      <c r="CF782" s="2464"/>
      <c r="CG782" s="2463"/>
      <c r="CH782" s="2449" t="s">
        <v>1212</v>
      </c>
      <c r="CI782" s="2449"/>
      <c r="CJ782" s="2450"/>
      <c r="CK782" s="2450"/>
      <c r="CP782" s="2478">
        <f t="shared" si="415"/>
        <v>0</v>
      </c>
      <c r="CQ782" s="2478"/>
      <c r="CR782" s="2478"/>
      <c r="CS782" s="2478"/>
      <c r="CT782" s="2478"/>
    </row>
    <row r="783" spans="1:98" hidden="1" x14ac:dyDescent="0.2">
      <c r="A783" s="2395">
        <v>610</v>
      </c>
      <c r="B783" s="2440" t="s">
        <v>1214</v>
      </c>
      <c r="C783" s="2396">
        <v>61001</v>
      </c>
      <c r="D783" s="2396">
        <v>51120</v>
      </c>
      <c r="E783" s="2397" t="s">
        <v>59</v>
      </c>
      <c r="F783" s="2440" t="s">
        <v>1214</v>
      </c>
      <c r="G783" s="2440" t="s">
        <v>2214</v>
      </c>
      <c r="H783" s="2466">
        <v>78864</v>
      </c>
      <c r="I783" s="2470">
        <v>3484</v>
      </c>
      <c r="J783" s="2466">
        <f t="shared" ref="J783:J787" si="417">H783+I783</f>
        <v>82348</v>
      </c>
      <c r="K783" s="2468">
        <f t="shared" ref="K783:K787" si="418">IF(H783=0," ",(J783-H783)/H783)</f>
        <v>4.4177317914384256E-2</v>
      </c>
      <c r="M783" s="2467">
        <v>82348</v>
      </c>
      <c r="N783" s="2467">
        <v>82348</v>
      </c>
      <c r="P783" s="2469"/>
      <c r="R783" s="2466">
        <v>82348</v>
      </c>
      <c r="S783" s="2466">
        <v>82347.210000000006</v>
      </c>
      <c r="U783" s="2466">
        <v>82348</v>
      </c>
      <c r="V783" s="2470">
        <v>3952</v>
      </c>
      <c r="W783" s="2466">
        <f t="shared" ref="W783:W787" si="419">U783+V783</f>
        <v>86300</v>
      </c>
      <c r="X783" s="2468">
        <f t="shared" ref="X783:X787" si="420">IF(U783=0," ",(W783-U783)/U783)</f>
        <v>4.7991450915626364E-2</v>
      </c>
      <c r="Z783" s="2467">
        <f t="shared" ref="Z783:Z787" si="421">W783</f>
        <v>86300</v>
      </c>
      <c r="AA783" s="2467">
        <v>86300</v>
      </c>
      <c r="AC783" s="2469" t="s">
        <v>2215</v>
      </c>
      <c r="AE783" s="2466">
        <v>86300</v>
      </c>
      <c r="AF783" s="2471">
        <v>86299.199999999997</v>
      </c>
      <c r="AH783" s="2466">
        <v>86300</v>
      </c>
      <c r="AI783" s="2470">
        <v>4835</v>
      </c>
      <c r="AJ783" s="2466">
        <f t="shared" ref="AJ783:AJ787" si="422">AH783+AI783</f>
        <v>91135</v>
      </c>
      <c r="AK783" s="2468">
        <f t="shared" ref="AK783:AK787" si="423">IF(AH783=0," ",(AJ783-AH783)/AH783)</f>
        <v>5.6025492468134416E-2</v>
      </c>
      <c r="AM783" s="2467">
        <v>91135</v>
      </c>
      <c r="AN783" s="2467">
        <v>91135</v>
      </c>
      <c r="AP783" s="2469" t="s">
        <v>2048</v>
      </c>
      <c r="AR783" s="2466">
        <v>91135</v>
      </c>
      <c r="AS783" s="2466">
        <v>91134.080000000002</v>
      </c>
      <c r="AT783" s="2466"/>
      <c r="AU783" s="2466">
        <v>93292</v>
      </c>
      <c r="AV783" s="2466">
        <v>93291.839999999997</v>
      </c>
      <c r="AX783" s="2466">
        <v>93292</v>
      </c>
      <c r="AY783" s="2470">
        <v>1859</v>
      </c>
      <c r="AZ783" s="2466">
        <f t="shared" ref="AZ783:AZ787" si="424">AX783+AY783</f>
        <v>95151</v>
      </c>
      <c r="BA783" s="2468">
        <f t="shared" ref="BA783:BA787" si="425">IF(AX783=0," ",(AZ783-AX783)/AX783)</f>
        <v>1.9926681816232902E-2</v>
      </c>
      <c r="BC783" s="2467">
        <v>95151</v>
      </c>
      <c r="BD783" s="2467">
        <v>95151</v>
      </c>
      <c r="BF783" s="2511" t="s">
        <v>2216</v>
      </c>
      <c r="BH783" s="2467">
        <v>95151</v>
      </c>
      <c r="BI783" s="2466">
        <v>94911.3</v>
      </c>
      <c r="BM783" s="2466">
        <v>95151</v>
      </c>
      <c r="BN783" s="2470">
        <f>91935-95151</f>
        <v>-3216</v>
      </c>
      <c r="BO783" s="2472">
        <f t="shared" ref="BO783:BO787" si="426">BM783+BN783</f>
        <v>91935</v>
      </c>
      <c r="BP783" s="2473">
        <f t="shared" ref="BP783:BP787" si="427">IF(BM783=0," ",(BO783-BM783)/BM783)</f>
        <v>-3.3798909102374118E-2</v>
      </c>
      <c r="BR783" s="2474">
        <v>91935</v>
      </c>
      <c r="BS783" s="2474">
        <v>91935</v>
      </c>
      <c r="BU783" s="2512" t="s">
        <v>2217</v>
      </c>
      <c r="BW783" s="2474">
        <v>91935</v>
      </c>
      <c r="BX783" s="2466">
        <v>44294.18</v>
      </c>
      <c r="BZ783" s="2474">
        <v>91935</v>
      </c>
      <c r="CA783" s="2470">
        <v>-352</v>
      </c>
      <c r="CB783" s="2472">
        <f t="shared" ref="CB783:CB787" si="428">BZ783+CA783</f>
        <v>91583</v>
      </c>
      <c r="CC783" s="2473">
        <f t="shared" ref="CC783:CC787" si="429">IF(BZ783=0," ",(CB783-BZ783)/BZ783)</f>
        <v>-3.8287920813618319E-3</v>
      </c>
      <c r="CE783" s="2474">
        <v>95972</v>
      </c>
      <c r="CF783" s="2476">
        <f t="shared" ref="CF783:CF788" si="430">IF(CB783=0," ",(CE783-CB783)/CB783)</f>
        <v>4.7923741305700839E-2</v>
      </c>
      <c r="CG783" s="2474">
        <v>95972</v>
      </c>
      <c r="CH783" s="2449" t="s">
        <v>1217</v>
      </c>
      <c r="CI783" s="2449"/>
      <c r="CJ783" s="2450"/>
      <c r="CK783" s="2450"/>
      <c r="CO783" s="2477">
        <v>-2.5191537661191088E-3</v>
      </c>
      <c r="CP783" s="2478">
        <f t="shared" si="415"/>
        <v>-239.69999999999709</v>
      </c>
      <c r="CQ783" s="2478"/>
      <c r="CR783" s="2478"/>
      <c r="CS783" s="2478"/>
      <c r="CT783" s="2478"/>
    </row>
    <row r="784" spans="1:98" hidden="1" x14ac:dyDescent="0.2">
      <c r="A784" s="2395">
        <v>610</v>
      </c>
      <c r="B784" s="2440" t="s">
        <v>1214</v>
      </c>
      <c r="C784" s="2396">
        <v>61001</v>
      </c>
      <c r="D784" s="2396">
        <v>51121</v>
      </c>
      <c r="E784" s="2397" t="s">
        <v>59</v>
      </c>
      <c r="F784" s="2440" t="s">
        <v>1214</v>
      </c>
      <c r="G784" s="2440" t="s">
        <v>2218</v>
      </c>
      <c r="H784" s="2466">
        <v>47254</v>
      </c>
      <c r="I784" s="2470">
        <v>2120</v>
      </c>
      <c r="J784" s="2466">
        <f t="shared" si="417"/>
        <v>49374</v>
      </c>
      <c r="K784" s="2468">
        <f t="shared" si="418"/>
        <v>4.4863926863334319E-2</v>
      </c>
      <c r="M784" s="2467">
        <v>49374</v>
      </c>
      <c r="N784" s="2467">
        <v>49374</v>
      </c>
      <c r="P784" s="2469"/>
      <c r="R784" s="2466">
        <v>49374</v>
      </c>
      <c r="S784" s="2466">
        <v>49374</v>
      </c>
      <c r="U784" s="2466">
        <v>49374</v>
      </c>
      <c r="V784" s="2470">
        <v>2360</v>
      </c>
      <c r="W784" s="2466">
        <f t="shared" si="419"/>
        <v>51734</v>
      </c>
      <c r="X784" s="2468">
        <f t="shared" si="420"/>
        <v>4.779843642402884E-2</v>
      </c>
      <c r="Z784" s="2467">
        <f t="shared" si="421"/>
        <v>51734</v>
      </c>
      <c r="AA784" s="2467">
        <v>51734</v>
      </c>
      <c r="AC784" s="2469" t="s">
        <v>2219</v>
      </c>
      <c r="AE784" s="2466">
        <v>51734</v>
      </c>
      <c r="AF784" s="2471">
        <v>51733.67</v>
      </c>
      <c r="AH784" s="2466">
        <v>51734</v>
      </c>
      <c r="AI784" s="2470">
        <v>2893</v>
      </c>
      <c r="AJ784" s="2466">
        <f t="shared" si="422"/>
        <v>54627</v>
      </c>
      <c r="AK784" s="2468">
        <f t="shared" si="423"/>
        <v>5.5920671125372093E-2</v>
      </c>
      <c r="AM784" s="2467">
        <v>54627</v>
      </c>
      <c r="AN784" s="2467">
        <v>54627</v>
      </c>
      <c r="AP784" s="2469" t="s">
        <v>2048</v>
      </c>
      <c r="AR784" s="2466">
        <v>54627</v>
      </c>
      <c r="AS784" s="2466">
        <v>54627</v>
      </c>
      <c r="AT784" s="2466"/>
      <c r="AU784" s="2466">
        <v>55887</v>
      </c>
      <c r="AV784" s="2466">
        <v>55886.63</v>
      </c>
      <c r="AX784" s="2466">
        <v>55887</v>
      </c>
      <c r="AY784" s="2470">
        <v>1116</v>
      </c>
      <c r="AZ784" s="2466">
        <f t="shared" si="424"/>
        <v>57003</v>
      </c>
      <c r="BA784" s="2468">
        <f t="shared" si="425"/>
        <v>1.9968865746953675E-2</v>
      </c>
      <c r="BC784" s="2467">
        <v>57003</v>
      </c>
      <c r="BD784" s="2467">
        <v>57003</v>
      </c>
      <c r="BF784" s="2511" t="s">
        <v>1357</v>
      </c>
      <c r="BH784" s="2467">
        <v>57003</v>
      </c>
      <c r="BI784" s="2466">
        <v>57060.639999999999</v>
      </c>
      <c r="BM784" s="2466">
        <v>57003</v>
      </c>
      <c r="BN784" s="2470">
        <v>1135</v>
      </c>
      <c r="BO784" s="2472">
        <f t="shared" si="426"/>
        <v>58138</v>
      </c>
      <c r="BP784" s="2473">
        <f t="shared" si="427"/>
        <v>1.9911232742136378E-2</v>
      </c>
      <c r="BR784" s="2474">
        <v>58138</v>
      </c>
      <c r="BS784" s="2474">
        <v>58138</v>
      </c>
      <c r="BU784" s="2512" t="s">
        <v>2220</v>
      </c>
      <c r="BW784" s="2474">
        <v>58138</v>
      </c>
      <c r="BX784" s="2466">
        <v>28007.1</v>
      </c>
      <c r="BZ784" s="2474">
        <v>58138</v>
      </c>
      <c r="CA784" s="2470">
        <v>-223</v>
      </c>
      <c r="CB784" s="2472">
        <f t="shared" si="428"/>
        <v>57915</v>
      </c>
      <c r="CC784" s="2473">
        <f t="shared" si="429"/>
        <v>-3.8357012625133305E-3</v>
      </c>
      <c r="CE784" s="2474">
        <v>59066</v>
      </c>
      <c r="CF784" s="2476">
        <f t="shared" si="430"/>
        <v>1.9873953207286542E-2</v>
      </c>
      <c r="CG784" s="2474">
        <v>59066</v>
      </c>
      <c r="CH784" s="2449" t="s">
        <v>1217</v>
      </c>
      <c r="CI784" s="2449"/>
      <c r="CJ784" s="2450"/>
      <c r="CK784" s="2450"/>
      <c r="CO784" s="2477">
        <v>1.0111748504464391E-3</v>
      </c>
      <c r="CP784" s="2478">
        <f t="shared" si="415"/>
        <v>57.639999999999418</v>
      </c>
      <c r="CQ784" s="2478"/>
      <c r="CR784" s="2478"/>
      <c r="CS784" s="2478"/>
      <c r="CT784" s="2478"/>
    </row>
    <row r="785" spans="1:101" hidden="1" x14ac:dyDescent="0.2">
      <c r="A785" s="2395">
        <v>610</v>
      </c>
      <c r="B785" s="2440" t="s">
        <v>1214</v>
      </c>
      <c r="C785" s="2396">
        <v>61001</v>
      </c>
      <c r="D785" s="2396">
        <v>51122</v>
      </c>
      <c r="E785" s="2397" t="s">
        <v>59</v>
      </c>
      <c r="F785" s="2440" t="s">
        <v>1214</v>
      </c>
      <c r="G785" s="2440" t="s">
        <v>2221</v>
      </c>
      <c r="H785" s="2466">
        <v>54145</v>
      </c>
      <c r="I785" s="2470">
        <v>2405</v>
      </c>
      <c r="J785" s="2466">
        <f t="shared" si="417"/>
        <v>56550</v>
      </c>
      <c r="K785" s="2468">
        <f t="shared" si="418"/>
        <v>4.441776710684274E-2</v>
      </c>
      <c r="M785" s="2467">
        <v>56550</v>
      </c>
      <c r="N785" s="2467">
        <v>56550</v>
      </c>
      <c r="P785" s="2469"/>
      <c r="R785" s="2466">
        <v>56550</v>
      </c>
      <c r="S785" s="2466">
        <v>58038.57</v>
      </c>
      <c r="U785" s="2466">
        <v>56550</v>
      </c>
      <c r="V785" s="2470">
        <v>5694</v>
      </c>
      <c r="W785" s="2466">
        <f t="shared" si="419"/>
        <v>62244</v>
      </c>
      <c r="X785" s="2468">
        <f t="shared" si="420"/>
        <v>0.10068965517241379</v>
      </c>
      <c r="Z785" s="2467">
        <f t="shared" si="421"/>
        <v>62244</v>
      </c>
      <c r="AA785" s="2467">
        <v>62244</v>
      </c>
      <c r="AC785" s="2596" t="s">
        <v>2222</v>
      </c>
      <c r="AE785" s="2466">
        <v>62244</v>
      </c>
      <c r="AF785" s="2471">
        <v>62244</v>
      </c>
      <c r="AH785" s="2466">
        <v>62244</v>
      </c>
      <c r="AI785" s="2470">
        <v>3505</v>
      </c>
      <c r="AJ785" s="2466">
        <f t="shared" si="422"/>
        <v>65749</v>
      </c>
      <c r="AK785" s="2468">
        <f t="shared" si="423"/>
        <v>5.6310648415911574E-2</v>
      </c>
      <c r="AM785" s="2467">
        <v>65749</v>
      </c>
      <c r="AN785" s="2467">
        <v>65749</v>
      </c>
      <c r="AP785" s="2469" t="s">
        <v>2048</v>
      </c>
      <c r="AR785" s="2466">
        <v>65749</v>
      </c>
      <c r="AS785" s="2466">
        <v>65748.899999999994</v>
      </c>
      <c r="AT785" s="2466"/>
      <c r="AU785" s="2466">
        <v>67338</v>
      </c>
      <c r="AV785" s="2466">
        <v>22704</v>
      </c>
      <c r="AX785" s="2466">
        <v>67338</v>
      </c>
      <c r="AY785" s="2470">
        <v>-8984</v>
      </c>
      <c r="AZ785" s="2466">
        <f t="shared" si="424"/>
        <v>58354</v>
      </c>
      <c r="BA785" s="2468">
        <f t="shared" si="425"/>
        <v>-0.13341649588642371</v>
      </c>
      <c r="BC785" s="2467">
        <v>58354</v>
      </c>
      <c r="BD785" s="2467">
        <v>58354</v>
      </c>
      <c r="BF785" s="2511" t="s">
        <v>2223</v>
      </c>
      <c r="BH785" s="2467">
        <v>58354</v>
      </c>
      <c r="BI785" s="2466">
        <v>54611.92</v>
      </c>
      <c r="BM785" s="2466">
        <v>58354</v>
      </c>
      <c r="BN785" s="2470">
        <v>1174</v>
      </c>
      <c r="BO785" s="2472">
        <f t="shared" si="426"/>
        <v>59528</v>
      </c>
      <c r="BP785" s="2473">
        <f t="shared" si="427"/>
        <v>2.0118586557905199E-2</v>
      </c>
      <c r="BR785" s="2474">
        <v>59528</v>
      </c>
      <c r="BS785" s="2474">
        <v>59528</v>
      </c>
      <c r="BU785" s="2512" t="s">
        <v>2224</v>
      </c>
      <c r="BW785" s="2474">
        <v>59528</v>
      </c>
      <c r="BX785" s="2466">
        <v>28676.63</v>
      </c>
      <c r="BZ785" s="2474">
        <v>59528</v>
      </c>
      <c r="CA785" s="2470">
        <v>3087</v>
      </c>
      <c r="CB785" s="2472">
        <f t="shared" si="428"/>
        <v>62615</v>
      </c>
      <c r="CC785" s="2473">
        <f t="shared" si="429"/>
        <v>5.1857949200376292E-2</v>
      </c>
      <c r="CE785" s="2474">
        <v>65618</v>
      </c>
      <c r="CF785" s="2476">
        <f t="shared" si="430"/>
        <v>4.7959754052543317E-2</v>
      </c>
      <c r="CG785" s="2474">
        <v>65618</v>
      </c>
      <c r="CH785" s="2449" t="s">
        <v>1217</v>
      </c>
      <c r="CI785" s="2449"/>
      <c r="CJ785" s="2450"/>
      <c r="CK785" s="2450"/>
      <c r="CO785" s="2477">
        <v>-6.4127223497960739E-2</v>
      </c>
      <c r="CP785" s="2478">
        <f t="shared" si="415"/>
        <v>-3742.0800000000017</v>
      </c>
      <c r="CQ785" s="2478"/>
      <c r="CR785" s="2478"/>
      <c r="CS785" s="2478"/>
      <c r="CT785" s="2478"/>
    </row>
    <row r="786" spans="1:101" hidden="1" x14ac:dyDescent="0.2">
      <c r="A786" s="2395">
        <v>610</v>
      </c>
      <c r="B786" s="2440" t="s">
        <v>1214</v>
      </c>
      <c r="C786" s="2396">
        <v>61001</v>
      </c>
      <c r="D786" s="2396">
        <v>51123</v>
      </c>
      <c r="E786" s="2397" t="s">
        <v>59</v>
      </c>
      <c r="F786" s="2440" t="s">
        <v>1214</v>
      </c>
      <c r="G786" s="2440" t="s">
        <v>2225</v>
      </c>
      <c r="H786" s="2466">
        <v>49917</v>
      </c>
      <c r="I786" s="2470">
        <v>803</v>
      </c>
      <c r="J786" s="2466">
        <f t="shared" si="417"/>
        <v>50720</v>
      </c>
      <c r="K786" s="2468">
        <f t="shared" si="418"/>
        <v>1.6086703928521344E-2</v>
      </c>
      <c r="M786" s="2467">
        <v>50720</v>
      </c>
      <c r="N786" s="2467">
        <v>50720</v>
      </c>
      <c r="P786" s="2469"/>
      <c r="R786" s="2466">
        <v>50720</v>
      </c>
      <c r="S786" s="2466">
        <v>50641.73</v>
      </c>
      <c r="U786" s="2466">
        <v>50720</v>
      </c>
      <c r="V786" s="2470">
        <v>2418</v>
      </c>
      <c r="W786" s="2466">
        <f t="shared" si="419"/>
        <v>53138</v>
      </c>
      <c r="X786" s="2468">
        <f t="shared" si="420"/>
        <v>4.7673501577287065E-2</v>
      </c>
      <c r="Z786" s="2467">
        <f t="shared" si="421"/>
        <v>53138</v>
      </c>
      <c r="AA786" s="2467">
        <v>53138</v>
      </c>
      <c r="AC786" s="2469" t="s">
        <v>2226</v>
      </c>
      <c r="AE786" s="2466">
        <v>53138</v>
      </c>
      <c r="AF786" s="2471">
        <v>53137.67</v>
      </c>
      <c r="AH786" s="2466">
        <v>53138</v>
      </c>
      <c r="AI786" s="2470">
        <v>3003</v>
      </c>
      <c r="AJ786" s="2466">
        <f t="shared" si="422"/>
        <v>56141</v>
      </c>
      <c r="AK786" s="2468">
        <f t="shared" si="423"/>
        <v>5.6513229703790128E-2</v>
      </c>
      <c r="AM786" s="2467">
        <v>56141</v>
      </c>
      <c r="AN786" s="2467">
        <v>56141</v>
      </c>
      <c r="AP786" s="2469" t="s">
        <v>2048</v>
      </c>
      <c r="AR786" s="2466">
        <v>56141</v>
      </c>
      <c r="AS786" s="2466">
        <v>56140.05</v>
      </c>
      <c r="AT786" s="2466"/>
      <c r="AU786" s="2466">
        <v>57434</v>
      </c>
      <c r="AV786" s="2466">
        <v>57433.05</v>
      </c>
      <c r="AX786" s="2466">
        <v>57434</v>
      </c>
      <c r="AY786" s="2470">
        <v>1154</v>
      </c>
      <c r="AZ786" s="2466">
        <f t="shared" si="424"/>
        <v>58588</v>
      </c>
      <c r="BA786" s="2468">
        <f t="shared" si="425"/>
        <v>2.0092628060034125E-2</v>
      </c>
      <c r="BC786" s="2467">
        <v>58588</v>
      </c>
      <c r="BD786" s="2467">
        <v>58588</v>
      </c>
      <c r="BF786" s="2511" t="s">
        <v>1394</v>
      </c>
      <c r="BH786" s="2467">
        <v>58588</v>
      </c>
      <c r="BI786" s="2466">
        <v>52557.09</v>
      </c>
      <c r="BM786" s="2466">
        <v>58588</v>
      </c>
      <c r="BN786" s="2470">
        <v>1175</v>
      </c>
      <c r="BO786" s="2472">
        <f t="shared" si="426"/>
        <v>59763</v>
      </c>
      <c r="BP786" s="2473">
        <f t="shared" si="427"/>
        <v>2.005530142691336E-2</v>
      </c>
      <c r="BR786" s="2474">
        <v>59763</v>
      </c>
      <c r="BS786" s="2474">
        <v>59763</v>
      </c>
      <c r="BU786" s="2512" t="s">
        <v>2227</v>
      </c>
      <c r="BW786" s="2474">
        <v>59763</v>
      </c>
      <c r="BX786" s="2466">
        <v>28789.79</v>
      </c>
      <c r="BZ786" s="2474">
        <v>59763</v>
      </c>
      <c r="CA786" s="2470">
        <v>-229</v>
      </c>
      <c r="CB786" s="2472">
        <f t="shared" si="428"/>
        <v>59534</v>
      </c>
      <c r="CC786" s="2473">
        <f t="shared" si="429"/>
        <v>-3.8318022856951624E-3</v>
      </c>
      <c r="CE786" s="2474">
        <v>60723</v>
      </c>
      <c r="CF786" s="2476">
        <f t="shared" si="430"/>
        <v>1.9971780831121711E-2</v>
      </c>
      <c r="CG786" s="2474">
        <v>60723</v>
      </c>
      <c r="CH786" s="2449" t="s">
        <v>1217</v>
      </c>
      <c r="CI786" s="2449"/>
      <c r="CJ786" s="2450"/>
      <c r="CK786" s="2450"/>
      <c r="CO786" s="2477">
        <v>-0.10293763227964781</v>
      </c>
      <c r="CP786" s="2478">
        <f t="shared" si="415"/>
        <v>-6030.9100000000035</v>
      </c>
      <c r="CQ786" s="2478"/>
      <c r="CR786" s="2478"/>
      <c r="CS786" s="2478"/>
      <c r="CT786" s="2478"/>
    </row>
    <row r="787" spans="1:101" hidden="1" x14ac:dyDescent="0.2">
      <c r="A787" s="2513">
        <v>610</v>
      </c>
      <c r="B787" s="2514" t="s">
        <v>1214</v>
      </c>
      <c r="C787" s="2515">
        <v>61001</v>
      </c>
      <c r="D787" s="2515">
        <v>51490</v>
      </c>
      <c r="E787" s="2516" t="s">
        <v>59</v>
      </c>
      <c r="F787" s="2514" t="s">
        <v>1214</v>
      </c>
      <c r="G787" s="2514" t="s">
        <v>2228</v>
      </c>
      <c r="H787" s="2466">
        <v>938</v>
      </c>
      <c r="I787" s="2523">
        <v>562</v>
      </c>
      <c r="J787" s="2466">
        <f t="shared" si="417"/>
        <v>1500</v>
      </c>
      <c r="K787" s="2468">
        <f t="shared" si="418"/>
        <v>0.59914712153518124</v>
      </c>
      <c r="M787" s="2520">
        <v>1500</v>
      </c>
      <c r="N787" s="2520">
        <v>1500</v>
      </c>
      <c r="P787" s="2522"/>
      <c r="R787" s="2519">
        <v>1500</v>
      </c>
      <c r="S787" s="2519">
        <v>1500</v>
      </c>
      <c r="U787" s="2519">
        <v>1500</v>
      </c>
      <c r="V787" s="2523"/>
      <c r="W787" s="2466">
        <f t="shared" si="419"/>
        <v>1500</v>
      </c>
      <c r="X787" s="2468">
        <f t="shared" si="420"/>
        <v>0</v>
      </c>
      <c r="Z787" s="2467">
        <f t="shared" si="421"/>
        <v>1500</v>
      </c>
      <c r="AA787" s="2467">
        <v>1500</v>
      </c>
      <c r="AC787" s="2522"/>
      <c r="AE787" s="2466">
        <v>1500</v>
      </c>
      <c r="AF787" s="2471">
        <v>1500</v>
      </c>
      <c r="AH787" s="2466">
        <v>1500</v>
      </c>
      <c r="AI787" s="2523"/>
      <c r="AJ787" s="2466">
        <f t="shared" si="422"/>
        <v>1500</v>
      </c>
      <c r="AK787" s="2468">
        <f t="shared" si="423"/>
        <v>0</v>
      </c>
      <c r="AM787" s="2467">
        <v>1500</v>
      </c>
      <c r="AN787" s="2467">
        <v>1500</v>
      </c>
      <c r="AP787" s="2522"/>
      <c r="AR787" s="2466">
        <v>1500</v>
      </c>
      <c r="AS787" s="2466">
        <v>1500</v>
      </c>
      <c r="AT787" s="2466"/>
      <c r="AU787" s="2466">
        <v>1500</v>
      </c>
      <c r="AV787" s="2466">
        <v>1500</v>
      </c>
      <c r="AX787" s="2466">
        <v>1500</v>
      </c>
      <c r="AY787" s="2523">
        <v>-750</v>
      </c>
      <c r="AZ787" s="2466">
        <f t="shared" si="424"/>
        <v>750</v>
      </c>
      <c r="BA787" s="2468">
        <f t="shared" si="425"/>
        <v>-0.5</v>
      </c>
      <c r="BC787" s="2467">
        <v>750</v>
      </c>
      <c r="BD787" s="2467">
        <v>750</v>
      </c>
      <c r="BF787" s="2522" t="s">
        <v>2229</v>
      </c>
      <c r="BH787" s="2467">
        <v>750</v>
      </c>
      <c r="BI787" s="2466">
        <v>750</v>
      </c>
      <c r="BM787" s="2466">
        <v>750</v>
      </c>
      <c r="BN787" s="2523">
        <v>-750</v>
      </c>
      <c r="BO787" s="2472">
        <f t="shared" si="426"/>
        <v>0</v>
      </c>
      <c r="BP787" s="2473">
        <f t="shared" si="427"/>
        <v>-1</v>
      </c>
      <c r="BR787" s="2474">
        <v>0</v>
      </c>
      <c r="BS787" s="2474">
        <v>0</v>
      </c>
      <c r="BU787" s="2528"/>
      <c r="BW787" s="2474">
        <v>0</v>
      </c>
      <c r="BZ787" s="2474">
        <v>0</v>
      </c>
      <c r="CA787" s="2523"/>
      <c r="CB787" s="2472">
        <f t="shared" si="428"/>
        <v>0</v>
      </c>
      <c r="CC787" s="2473" t="str">
        <f t="shared" si="429"/>
        <v xml:space="preserve"> </v>
      </c>
      <c r="CE787" s="2517">
        <v>400</v>
      </c>
      <c r="CF787" s="2476" t="str">
        <f t="shared" si="430"/>
        <v xml:space="preserve"> </v>
      </c>
      <c r="CG787" s="2517">
        <v>400</v>
      </c>
      <c r="CH787" s="2449" t="s">
        <v>1217</v>
      </c>
      <c r="CI787" s="2449"/>
      <c r="CJ787" s="2450" t="s">
        <v>1239</v>
      </c>
      <c r="CK787" s="2518">
        <f t="shared" ref="CK787" si="431">-CG787</f>
        <v>-400</v>
      </c>
      <c r="CO787" s="2477">
        <v>0</v>
      </c>
      <c r="CP787" s="2478">
        <f t="shared" si="415"/>
        <v>0</v>
      </c>
      <c r="CQ787" s="2478"/>
      <c r="CR787" s="2478"/>
      <c r="CS787" s="2478"/>
      <c r="CT787" s="2478" t="s">
        <v>1319</v>
      </c>
    </row>
    <row r="788" spans="1:101" hidden="1" x14ac:dyDescent="0.2">
      <c r="H788" s="2560">
        <f>SUM(H783:H787)</f>
        <v>231118</v>
      </c>
      <c r="I788" s="2560">
        <f>SUM(I783:I787)</f>
        <v>9374</v>
      </c>
      <c r="J788" s="2560">
        <f>SUM(J783:J787)</f>
        <v>240492</v>
      </c>
      <c r="K788" s="2561">
        <f>IF(H788=0," ",(J788-H788)/H788)</f>
        <v>4.0559367941917113E-2</v>
      </c>
      <c r="M788" s="2560">
        <f>SUM(M783:M787)</f>
        <v>240492</v>
      </c>
      <c r="N788" s="2560">
        <f>SUM(N783:N787)</f>
        <v>240492</v>
      </c>
      <c r="P788" s="2562">
        <f>SUM(P783:P787)</f>
        <v>0</v>
      </c>
      <c r="R788" s="2560">
        <f>SUM(R783:R787)</f>
        <v>240492</v>
      </c>
      <c r="S788" s="2560">
        <f>SUM(S783:S787)</f>
        <v>241901.51000000004</v>
      </c>
      <c r="U788" s="2560">
        <f>SUM(U783:U787)</f>
        <v>240492</v>
      </c>
      <c r="V788" s="2560">
        <f>SUM(V783:V787)</f>
        <v>14424</v>
      </c>
      <c r="W788" s="2560">
        <f>SUM(W783:W787)</f>
        <v>254916</v>
      </c>
      <c r="X788" s="2561">
        <f>IF(U788=0," ",(W788-U788)/U788)</f>
        <v>5.997704705354024E-2</v>
      </c>
      <c r="Z788" s="2560">
        <f>SUM(Z783:Z787)</f>
        <v>254916</v>
      </c>
      <c r="AA788" s="2560">
        <f>SUM(AA783:AA787)</f>
        <v>254916</v>
      </c>
      <c r="AC788" s="2562"/>
      <c r="AE788" s="2560">
        <f>SUM(AE783:AE787)</f>
        <v>254916</v>
      </c>
      <c r="AF788" s="2563">
        <f>SUM(AF783:AF787)</f>
        <v>254914.53999999998</v>
      </c>
      <c r="AH788" s="2560">
        <v>254916</v>
      </c>
      <c r="AI788" s="2560">
        <f>SUM(AI783:AI787)</f>
        <v>14236</v>
      </c>
      <c r="AJ788" s="2560">
        <f>SUM(AJ783:AJ787)</f>
        <v>269152</v>
      </c>
      <c r="AK788" s="2561">
        <f>IF(AH788=0," ",(AJ788-AH788)/AH788)</f>
        <v>5.5845847259489399E-2</v>
      </c>
      <c r="AM788" s="2560">
        <f>SUM(AM783:AM787)</f>
        <v>269152</v>
      </c>
      <c r="AN788" s="2560">
        <f>SUM(AN783:AN787)</f>
        <v>269152</v>
      </c>
      <c r="AP788" s="2562"/>
      <c r="AR788" s="2560">
        <f>SUM(AR783:AR787)</f>
        <v>269152</v>
      </c>
      <c r="AS788" s="2560">
        <f>SUM(AS783:AS787)</f>
        <v>269150.03000000003</v>
      </c>
      <c r="AT788" s="2560"/>
      <c r="AU788" s="2560">
        <f>SUM(AU783:AU787)</f>
        <v>275451</v>
      </c>
      <c r="AV788" s="2560">
        <f>SUM(AV783:AV787)</f>
        <v>230815.52000000002</v>
      </c>
      <c r="AX788" s="2560">
        <f>SUM(AX783:AX787)</f>
        <v>275451</v>
      </c>
      <c r="AY788" s="2560">
        <f>SUM(AY783:AY787)</f>
        <v>-5605</v>
      </c>
      <c r="AZ788" s="2560">
        <f>SUM(AZ783:AZ787)</f>
        <v>269846</v>
      </c>
      <c r="BA788" s="2561">
        <f>IF(AX788=0," ",(AZ788-AX788)/AX788)</f>
        <v>-2.0348446729182321E-2</v>
      </c>
      <c r="BC788" s="2560">
        <f>SUM(BC783:BC787)</f>
        <v>269846</v>
      </c>
      <c r="BD788" s="2560">
        <f>SUM(BD783:BD787)</f>
        <v>269846</v>
      </c>
      <c r="BF788" s="2562"/>
      <c r="BH788" s="2560">
        <f>SUM(BH783:BH787)</f>
        <v>269846</v>
      </c>
      <c r="BI788" s="2560">
        <f>SUM(BI783:BI787)</f>
        <v>259890.94999999998</v>
      </c>
      <c r="BM788" s="2560">
        <f>SUM(BM783:BM787)</f>
        <v>269846</v>
      </c>
      <c r="BN788" s="2560">
        <f>SUM(BN783:BN787)</f>
        <v>-482</v>
      </c>
      <c r="BO788" s="2564">
        <f>SUM(BO783:BO787)</f>
        <v>269364</v>
      </c>
      <c r="BP788" s="2565">
        <f>IF(BM788=0," ",(BO788-BM788)/BM788)</f>
        <v>-1.786203983012533E-3</v>
      </c>
      <c r="BR788" s="2564">
        <f>SUM(BR783:BR787)</f>
        <v>269364</v>
      </c>
      <c r="BS788" s="2564">
        <f>SUM(BS783:BS787)</f>
        <v>269364</v>
      </c>
      <c r="BU788" s="2566"/>
      <c r="BW788" s="2564">
        <f>SUM(BW783:BW787)</f>
        <v>269364</v>
      </c>
      <c r="BX788" s="2560">
        <f>SUM(BX783:BX787)</f>
        <v>129767.70000000001</v>
      </c>
      <c r="BZ788" s="2564">
        <f>SUM(BZ783:BZ787)</f>
        <v>269364</v>
      </c>
      <c r="CA788" s="2564">
        <f>SUM(CA783:CA787)</f>
        <v>2283</v>
      </c>
      <c r="CB788" s="2564">
        <f>SUM(CB783:CB787)</f>
        <v>271647</v>
      </c>
      <c r="CC788" s="2565">
        <f>IF(BZ788=0," ",(CB788-BZ788)/BZ788)</f>
        <v>8.4755201140464202E-3</v>
      </c>
      <c r="CE788" s="2564">
        <f>SUM(CE783:CE787)</f>
        <v>281779</v>
      </c>
      <c r="CF788" s="2565">
        <f t="shared" si="430"/>
        <v>3.7298405651452066E-2</v>
      </c>
      <c r="CG788" s="2564">
        <f>SUM(CG783:CG787)</f>
        <v>281779</v>
      </c>
      <c r="CH788" s="2449" t="s">
        <v>1243</v>
      </c>
      <c r="CI788" s="2449"/>
      <c r="CJ788" s="2450"/>
      <c r="CK788" s="2450"/>
      <c r="CO788" s="2477">
        <v>-3.6891597429645095E-2</v>
      </c>
      <c r="CP788" s="2478">
        <f t="shared" si="415"/>
        <v>-9955.0500000000175</v>
      </c>
      <c r="CQ788" s="2478"/>
      <c r="CR788" s="2478"/>
      <c r="CS788" s="2478"/>
      <c r="CT788" s="2478"/>
      <c r="CW788" s="2677"/>
    </row>
    <row r="789" spans="1:101" hidden="1" x14ac:dyDescent="0.2">
      <c r="AS789" s="2466"/>
      <c r="AT789" s="2466"/>
      <c r="BZ789" s="2472"/>
      <c r="CH789" s="2449" t="s">
        <v>1091</v>
      </c>
      <c r="CI789" s="2449"/>
      <c r="CJ789" s="2450"/>
      <c r="CK789" s="2450"/>
      <c r="CP789" s="2478">
        <f t="shared" si="415"/>
        <v>0</v>
      </c>
      <c r="CQ789" s="2478"/>
      <c r="CR789" s="2478"/>
      <c r="CS789" s="2478"/>
      <c r="CT789" s="2478"/>
      <c r="CV789" s="2679" t="s">
        <v>2230</v>
      </c>
      <c r="CW789" s="2677">
        <v>37244</v>
      </c>
    </row>
    <row r="790" spans="1:101" hidden="1" x14ac:dyDescent="0.2">
      <c r="A790" s="2395">
        <v>610</v>
      </c>
      <c r="B790" s="2440" t="s">
        <v>1214</v>
      </c>
      <c r="C790" s="2396">
        <v>61002</v>
      </c>
      <c r="D790" s="2396">
        <v>51130</v>
      </c>
      <c r="E790" s="2397" t="s">
        <v>319</v>
      </c>
      <c r="F790" s="2440" t="s">
        <v>1214</v>
      </c>
      <c r="G790" s="2440" t="s">
        <v>2231</v>
      </c>
      <c r="H790" s="2466">
        <v>45003</v>
      </c>
      <c r="I790" s="2470">
        <v>-504</v>
      </c>
      <c r="J790" s="2466">
        <f>H790+I790</f>
        <v>44499</v>
      </c>
      <c r="K790" s="2468">
        <f>IF(H790=0," ",(J790-H790)/H790)</f>
        <v>-1.1199253383107793E-2</v>
      </c>
      <c r="M790" s="2467">
        <v>44499</v>
      </c>
      <c r="N790" s="2467">
        <v>44499</v>
      </c>
      <c r="P790" s="2469"/>
      <c r="R790" s="2466">
        <v>44499</v>
      </c>
      <c r="S790" s="2466">
        <v>42304.23</v>
      </c>
      <c r="U790" s="2466">
        <v>44499</v>
      </c>
      <c r="V790" s="2470">
        <v>-312</v>
      </c>
      <c r="W790" s="2466">
        <f>U790+V790</f>
        <v>44187</v>
      </c>
      <c r="X790" s="2468">
        <f>IF(U790=0," ",(W790-U790)/U790)</f>
        <v>-7.0113935144609993E-3</v>
      </c>
      <c r="Z790" s="2467">
        <f>W790</f>
        <v>44187</v>
      </c>
      <c r="AA790" s="2467">
        <v>44187</v>
      </c>
      <c r="AC790" s="2469" t="s">
        <v>2232</v>
      </c>
      <c r="AE790" s="2466">
        <v>44187</v>
      </c>
      <c r="AF790" s="2471">
        <v>44187</v>
      </c>
      <c r="AH790" s="2466">
        <v>44187</v>
      </c>
      <c r="AI790" s="2470">
        <v>2482</v>
      </c>
      <c r="AJ790" s="2466">
        <f>AH790+AI790</f>
        <v>46669</v>
      </c>
      <c r="AK790" s="2468">
        <f>IF(AH790=0," ",(AJ790-AH790)/AH790)</f>
        <v>5.6170366849978504E-2</v>
      </c>
      <c r="AM790" s="2467">
        <v>46669</v>
      </c>
      <c r="AN790" s="2467">
        <v>46669</v>
      </c>
      <c r="AP790" s="2469" t="s">
        <v>2048</v>
      </c>
      <c r="AR790" s="2466">
        <v>46669</v>
      </c>
      <c r="AS790" s="2466">
        <v>46799.39</v>
      </c>
      <c r="AT790" s="2466"/>
      <c r="AU790" s="2466">
        <v>47705</v>
      </c>
      <c r="AV790" s="2466">
        <v>47704.28</v>
      </c>
      <c r="AX790" s="2466">
        <v>47705</v>
      </c>
      <c r="AY790" s="2470">
        <v>959</v>
      </c>
      <c r="AZ790" s="2466">
        <f>AX790+AY790</f>
        <v>48664</v>
      </c>
      <c r="BA790" s="2468">
        <f>IF(AX790=0," ",(AZ790-AX790)/AX790)</f>
        <v>2.0102714600146735E-2</v>
      </c>
      <c r="BC790" s="2467">
        <v>48664</v>
      </c>
      <c r="BD790" s="2467">
        <v>48664</v>
      </c>
      <c r="BF790" s="2511" t="s">
        <v>2233</v>
      </c>
      <c r="BH790" s="2467">
        <v>48664</v>
      </c>
      <c r="BI790" s="2466">
        <v>48713.17</v>
      </c>
      <c r="BM790" s="2466">
        <v>48664</v>
      </c>
      <c r="BN790" s="2470">
        <v>979</v>
      </c>
      <c r="BO790" s="2472">
        <f>BM790+BN790</f>
        <v>49643</v>
      </c>
      <c r="BP790" s="2473">
        <f>IF(BM790=0," ",(BO790-BM790)/BM790)</f>
        <v>2.0117540687160939E-2</v>
      </c>
      <c r="BR790" s="2474">
        <v>49643</v>
      </c>
      <c r="BS790" s="2474">
        <v>49643</v>
      </c>
      <c r="BU790" s="2512" t="s">
        <v>2234</v>
      </c>
      <c r="BW790" s="2474">
        <v>49643</v>
      </c>
      <c r="BX790" s="2466">
        <v>23914.48</v>
      </c>
      <c r="BZ790" s="2474">
        <v>49643</v>
      </c>
      <c r="CA790" s="2470">
        <v>-191</v>
      </c>
      <c r="CB790" s="2472">
        <f>BZ790+CA790</f>
        <v>49452</v>
      </c>
      <c r="CC790" s="2473">
        <f>IF(BZ790=0," ",(CB790-BZ790)/BZ790)</f>
        <v>-3.8474709425296619E-3</v>
      </c>
      <c r="CE790" s="2474">
        <v>50447</v>
      </c>
      <c r="CF790" s="2476">
        <f>IF(CB790=0," ",(CE790-CB790)/CB790)</f>
        <v>2.0120520909164441E-2</v>
      </c>
      <c r="CG790" s="2474">
        <v>50447</v>
      </c>
      <c r="CH790" s="2449" t="s">
        <v>1217</v>
      </c>
      <c r="CI790" s="2449"/>
      <c r="CJ790" s="2450"/>
      <c r="CK790" s="2450"/>
      <c r="CO790" s="2477">
        <v>1.010397830017995E-3</v>
      </c>
      <c r="CP790" s="2478">
        <f t="shared" si="415"/>
        <v>49.169999999998254</v>
      </c>
      <c r="CQ790" s="2478"/>
      <c r="CR790" s="2478"/>
      <c r="CS790" s="2478"/>
      <c r="CT790" s="2478"/>
      <c r="CV790" s="2679" t="s">
        <v>2235</v>
      </c>
      <c r="CW790" s="2677">
        <v>20179</v>
      </c>
    </row>
    <row r="791" spans="1:101" hidden="1" x14ac:dyDescent="0.2">
      <c r="A791" s="2395">
        <v>610</v>
      </c>
      <c r="B791" s="2440" t="s">
        <v>1214</v>
      </c>
      <c r="C791" s="2396">
        <v>61002</v>
      </c>
      <c r="D791" s="2396">
        <v>51140</v>
      </c>
      <c r="E791" s="2397" t="s">
        <v>319</v>
      </c>
      <c r="F791" s="2440" t="s">
        <v>1214</v>
      </c>
      <c r="G791" s="2440" t="s">
        <v>2236</v>
      </c>
      <c r="H791" s="2466">
        <v>143383</v>
      </c>
      <c r="I791" s="2470">
        <v>3039</v>
      </c>
      <c r="J791" s="2466">
        <f>H791+I791</f>
        <v>146422</v>
      </c>
      <c r="K791" s="2468">
        <f>IF(H791=0," ",(J791-H791)/H791)</f>
        <v>2.1194981273930661E-2</v>
      </c>
      <c r="M791" s="2467">
        <v>146422</v>
      </c>
      <c r="N791" s="2467">
        <v>146422</v>
      </c>
      <c r="P791" s="2469"/>
      <c r="R791" s="2466">
        <v>146422</v>
      </c>
      <c r="S791" s="2466">
        <v>144388.5</v>
      </c>
      <c r="U791" s="2466">
        <v>146422</v>
      </c>
      <c r="V791" s="2470">
        <v>5509</v>
      </c>
      <c r="W791" s="2466">
        <f>U791+V791</f>
        <v>151931</v>
      </c>
      <c r="X791" s="2468">
        <f>IF(U791=0," ",(W791-U791)/U791)</f>
        <v>3.762412752182049E-2</v>
      </c>
      <c r="Z791" s="2467">
        <f>W791</f>
        <v>151931</v>
      </c>
      <c r="AA791" s="2467">
        <v>151931</v>
      </c>
      <c r="AC791" s="2469" t="s">
        <v>2237</v>
      </c>
      <c r="AE791" s="2466">
        <v>151931</v>
      </c>
      <c r="AF791" s="2471">
        <v>150075.31</v>
      </c>
      <c r="AH791" s="2466">
        <v>151931</v>
      </c>
      <c r="AI791" s="2470">
        <v>8765</v>
      </c>
      <c r="AJ791" s="2466">
        <f>AH791+AI791</f>
        <v>160696</v>
      </c>
      <c r="AK791" s="2468">
        <f>IF(AH791=0," ",(AJ791-AH791)/AH791)</f>
        <v>5.7690662208502545E-2</v>
      </c>
      <c r="AM791" s="2467">
        <v>160696</v>
      </c>
      <c r="AN791" s="2467">
        <v>160696</v>
      </c>
      <c r="AP791" s="2469" t="s">
        <v>2048</v>
      </c>
      <c r="AR791" s="2466">
        <v>160696</v>
      </c>
      <c r="AS791" s="2466">
        <v>159402.82</v>
      </c>
      <c r="AT791" s="2466"/>
      <c r="AU791" s="2466">
        <v>163862</v>
      </c>
      <c r="AV791" s="2466">
        <v>160870.39000000001</v>
      </c>
      <c r="AX791" s="2466">
        <v>163862</v>
      </c>
      <c r="AY791" s="2470">
        <v>3557</v>
      </c>
      <c r="AZ791" s="2466">
        <f>AX791+AY791</f>
        <v>167419</v>
      </c>
      <c r="BA791" s="2468">
        <f>IF(AX791=0," ",(AZ791-AX791)/AX791)</f>
        <v>2.1707290280846076E-2</v>
      </c>
      <c r="BC791" s="2467">
        <v>167419</v>
      </c>
      <c r="BD791" s="2467">
        <v>167419</v>
      </c>
      <c r="BF791" s="2511" t="s">
        <v>2238</v>
      </c>
      <c r="BH791" s="2467">
        <v>167419</v>
      </c>
      <c r="BI791" s="2466">
        <v>161975.84</v>
      </c>
      <c r="BM791" s="2466">
        <v>167419</v>
      </c>
      <c r="BN791" s="2470">
        <v>1954</v>
      </c>
      <c r="BO791" s="2472">
        <f>BM791+BN791</f>
        <v>169373</v>
      </c>
      <c r="BP791" s="2473">
        <f>IF(BM791=0," ",(BO791-BM791)/BM791)</f>
        <v>1.1671315681015895E-2</v>
      </c>
      <c r="BR791" s="2474">
        <v>169373</v>
      </c>
      <c r="BS791" s="2474">
        <v>169373</v>
      </c>
      <c r="BU791" s="2512" t="s">
        <v>2238</v>
      </c>
      <c r="BW791" s="2474">
        <v>169373</v>
      </c>
      <c r="BX791" s="2466">
        <v>79424.69</v>
      </c>
      <c r="BZ791" s="2474">
        <v>169373</v>
      </c>
      <c r="CA791" s="2470">
        <v>-390</v>
      </c>
      <c r="CB791" s="2472">
        <f>BZ791+CA791</f>
        <v>168983</v>
      </c>
      <c r="CC791" s="2473">
        <f>IF(BZ791=0," ",(CB791-BZ791)/BZ791)</f>
        <v>-2.3026102153235759E-3</v>
      </c>
      <c r="CE791" s="2474">
        <v>172365</v>
      </c>
      <c r="CF791" s="2476">
        <f>IF(CB791=0," ",(CE791-CB791)/CB791)</f>
        <v>2.0013847546794649E-2</v>
      </c>
      <c r="CG791" s="2474">
        <v>172365</v>
      </c>
      <c r="CH791" s="2449" t="s">
        <v>1217</v>
      </c>
      <c r="CI791" s="2449"/>
      <c r="CJ791" s="2450"/>
      <c r="CK791" s="2450"/>
      <c r="CO791" s="2477">
        <v>-3.2512199929518149E-2</v>
      </c>
      <c r="CP791" s="2478">
        <f t="shared" si="415"/>
        <v>-5443.1600000000035</v>
      </c>
      <c r="CQ791" s="2478"/>
      <c r="CR791" s="2478"/>
      <c r="CS791" s="2478"/>
      <c r="CT791" s="2478"/>
      <c r="CV791" s="2679" t="s">
        <v>2239</v>
      </c>
      <c r="CW791" s="2677">
        <v>41652</v>
      </c>
    </row>
    <row r="792" spans="1:101" hidden="1" x14ac:dyDescent="0.2">
      <c r="A792" s="2513">
        <v>610</v>
      </c>
      <c r="B792" s="2514" t="s">
        <v>1214</v>
      </c>
      <c r="C792" s="2515">
        <v>61002</v>
      </c>
      <c r="D792" s="2515">
        <v>51490</v>
      </c>
      <c r="E792" s="2516" t="s">
        <v>319</v>
      </c>
      <c r="F792" s="2514" t="s">
        <v>1214</v>
      </c>
      <c r="G792" s="2514" t="s">
        <v>2240</v>
      </c>
      <c r="H792" s="2466">
        <v>1570</v>
      </c>
      <c r="I792" s="2523"/>
      <c r="J792" s="2466">
        <f>H792+I792</f>
        <v>1570</v>
      </c>
      <c r="K792" s="2468">
        <f>IF(H792=0," ",(J792-H792)/H792)</f>
        <v>0</v>
      </c>
      <c r="M792" s="2520">
        <v>1570</v>
      </c>
      <c r="N792" s="2520">
        <v>1570</v>
      </c>
      <c r="P792" s="2522"/>
      <c r="R792" s="2519">
        <v>1570</v>
      </c>
      <c r="S792" s="2519">
        <v>1568.75</v>
      </c>
      <c r="U792" s="2519">
        <v>1570</v>
      </c>
      <c r="V792" s="2523"/>
      <c r="W792" s="2466">
        <f>U792+V792</f>
        <v>1570</v>
      </c>
      <c r="X792" s="2468">
        <f>IF(U792=0," ",(W792-U792)/U792)</f>
        <v>0</v>
      </c>
      <c r="Z792" s="2467">
        <f>W792</f>
        <v>1570</v>
      </c>
      <c r="AA792" s="2467">
        <v>1570</v>
      </c>
      <c r="AC792" s="2522"/>
      <c r="AE792" s="2466">
        <v>1570</v>
      </c>
      <c r="AF792" s="2471">
        <v>1568.75</v>
      </c>
      <c r="AH792" s="2466">
        <v>1570</v>
      </c>
      <c r="AI792" s="2523">
        <v>103</v>
      </c>
      <c r="AJ792" s="2466">
        <f>AH792+AI792</f>
        <v>1673</v>
      </c>
      <c r="AK792" s="2468">
        <f>IF(AH792=0," ",(AJ792-AH792)/AH792)</f>
        <v>6.5605095541401273E-2</v>
      </c>
      <c r="AM792" s="2467">
        <v>1673</v>
      </c>
      <c r="AN792" s="2467">
        <v>1673</v>
      </c>
      <c r="AP792" s="2469" t="s">
        <v>2241</v>
      </c>
      <c r="AR792" s="2466">
        <v>1673</v>
      </c>
      <c r="AS792" s="2466">
        <v>1673</v>
      </c>
      <c r="AT792" s="2466"/>
      <c r="AU792" s="2466">
        <v>1673</v>
      </c>
      <c r="AV792" s="2466">
        <v>1673</v>
      </c>
      <c r="AX792" s="2466">
        <v>1673</v>
      </c>
      <c r="AY792" s="2523">
        <v>200</v>
      </c>
      <c r="AZ792" s="2466">
        <f>AX792+AY792</f>
        <v>1873</v>
      </c>
      <c r="BA792" s="2468">
        <f>IF(AX792=0," ",(AZ792-AX792)/AX792)</f>
        <v>0.11954572624028691</v>
      </c>
      <c r="BC792" s="2467">
        <v>1873</v>
      </c>
      <c r="BD792" s="2467">
        <v>1873</v>
      </c>
      <c r="BF792" s="2469" t="s">
        <v>2241</v>
      </c>
      <c r="BH792" s="2467">
        <v>1873</v>
      </c>
      <c r="BI792" s="2466">
        <v>1873</v>
      </c>
      <c r="BM792" s="2466">
        <v>1873</v>
      </c>
      <c r="BN792" s="2523"/>
      <c r="BO792" s="2472">
        <f>BM792+BN792</f>
        <v>1873</v>
      </c>
      <c r="BP792" s="2473">
        <f>IF(BM792=0," ",(BO792-BM792)/BM792)</f>
        <v>0</v>
      </c>
      <c r="BR792" s="2474">
        <v>1873</v>
      </c>
      <c r="BS792" s="2474">
        <v>1873</v>
      </c>
      <c r="BU792" s="2475"/>
      <c r="BW792" s="2474">
        <v>1873</v>
      </c>
      <c r="BX792" s="2466">
        <v>1213.33</v>
      </c>
      <c r="BZ792" s="2474">
        <v>1873</v>
      </c>
      <c r="CA792" s="2523"/>
      <c r="CB792" s="2472">
        <f>BZ792+CA792</f>
        <v>1873</v>
      </c>
      <c r="CC792" s="2473">
        <f>IF(BZ792=0," ",(CB792-BZ792)/BZ792)</f>
        <v>0</v>
      </c>
      <c r="CE792" s="2517">
        <v>1263</v>
      </c>
      <c r="CF792" s="2476">
        <f>IF(CB792=0," ",(CE792-CB792)/CB792)</f>
        <v>-0.32568072610784837</v>
      </c>
      <c r="CG792" s="2517">
        <v>1263</v>
      </c>
      <c r="CH792" s="2449" t="s">
        <v>1217</v>
      </c>
      <c r="CI792" s="2449"/>
      <c r="CJ792" s="2450" t="s">
        <v>1239</v>
      </c>
      <c r="CK792" s="2518">
        <f t="shared" ref="CK792" si="432">-CG792</f>
        <v>-1263</v>
      </c>
      <c r="CO792" s="2477">
        <v>0</v>
      </c>
      <c r="CP792" s="2478">
        <f t="shared" si="415"/>
        <v>0</v>
      </c>
      <c r="CQ792" s="2478"/>
      <c r="CR792" s="2478"/>
      <c r="CS792" s="2478"/>
      <c r="CT792" s="2478"/>
      <c r="CV792" s="2679" t="s">
        <v>2242</v>
      </c>
      <c r="CW792" s="2677">
        <v>37378</v>
      </c>
    </row>
    <row r="793" spans="1:101" hidden="1" x14ac:dyDescent="0.2">
      <c r="H793" s="2560">
        <f t="shared" ref="H793" si="433">SUM(H790:H792)</f>
        <v>189956</v>
      </c>
      <c r="I793" s="2560">
        <f>SUM(I790:I792)</f>
        <v>2535</v>
      </c>
      <c r="J793" s="2560">
        <f>SUM(J790:J792)</f>
        <v>192491</v>
      </c>
      <c r="K793" s="2561">
        <f>IF(H793=0," ",(J793-H793)/H793)</f>
        <v>1.3345195729537367E-2</v>
      </c>
      <c r="M793" s="2560">
        <f>SUM(M790:M792)</f>
        <v>192491</v>
      </c>
      <c r="N793" s="2560">
        <f>SUM(N790:N792)</f>
        <v>192491</v>
      </c>
      <c r="P793" s="2562">
        <f>SUM(P790:P792)</f>
        <v>0</v>
      </c>
      <c r="R793" s="2560">
        <f>SUM(R790:R792)</f>
        <v>192491</v>
      </c>
      <c r="S793" s="2560">
        <f>SUM(S790:S792)</f>
        <v>188261.48</v>
      </c>
      <c r="U793" s="2560">
        <f>SUM(U790:U792)</f>
        <v>192491</v>
      </c>
      <c r="V793" s="2560">
        <f>SUM(V790:V792)</f>
        <v>5197</v>
      </c>
      <c r="W793" s="2560">
        <f>SUM(W790:W792)</f>
        <v>197688</v>
      </c>
      <c r="X793" s="2561">
        <f>IF(U793=0," ",(W793-U793)/U793)</f>
        <v>2.6998664872643397E-2</v>
      </c>
      <c r="Z793" s="2560">
        <f>SUM(Z790:Z792)</f>
        <v>197688</v>
      </c>
      <c r="AA793" s="2560">
        <f>SUM(AA790:AA792)</f>
        <v>197688</v>
      </c>
      <c r="AC793" s="2562"/>
      <c r="AE793" s="2560">
        <f>SUM(AE790:AE792)</f>
        <v>197688</v>
      </c>
      <c r="AF793" s="2563">
        <f>SUM(AF790:AF792)</f>
        <v>195831.06</v>
      </c>
      <c r="AH793" s="2560">
        <v>197688</v>
      </c>
      <c r="AI793" s="2560">
        <f>SUM(AI790:AI792)</f>
        <v>11350</v>
      </c>
      <c r="AJ793" s="2560">
        <f>SUM(AJ790:AJ792)</f>
        <v>209038</v>
      </c>
      <c r="AK793" s="2561">
        <f>IF(AH793=0," ",(AJ793-AH793)/AH793)</f>
        <v>5.7413702399741008E-2</v>
      </c>
      <c r="AM793" s="2560">
        <f>SUM(AM790:AM792)</f>
        <v>209038</v>
      </c>
      <c r="AN793" s="2560">
        <f>SUM(AN790:AN792)</f>
        <v>209038</v>
      </c>
      <c r="AP793" s="2562"/>
      <c r="AR793" s="2560">
        <f>SUM(AR790:AR792)</f>
        <v>209038</v>
      </c>
      <c r="AS793" s="2560">
        <f>SUM(AS790:AS792)</f>
        <v>207875.21000000002</v>
      </c>
      <c r="AT793" s="2560"/>
      <c r="AU793" s="2560">
        <f>SUM(AU790:AU792)</f>
        <v>213240</v>
      </c>
      <c r="AV793" s="2560">
        <f>SUM(AV790:AV792)</f>
        <v>210247.67</v>
      </c>
      <c r="AX793" s="2560">
        <f>SUM(AX790:AX792)</f>
        <v>213240</v>
      </c>
      <c r="AY793" s="2560">
        <f>SUM(AY790:AY792)</f>
        <v>4716</v>
      </c>
      <c r="AZ793" s="2560">
        <f>SUM(AZ790:AZ792)</f>
        <v>217956</v>
      </c>
      <c r="BA793" s="2561">
        <f>IF(AX793=0," ",(AZ793-AX793)/AX793)</f>
        <v>2.2115925717501407E-2</v>
      </c>
      <c r="BC793" s="2560">
        <f>SUM(BC790:BC792)</f>
        <v>217956</v>
      </c>
      <c r="BD793" s="2560">
        <f>SUM(BD790:BD792)</f>
        <v>217956</v>
      </c>
      <c r="BF793" s="2562"/>
      <c r="BH793" s="2560">
        <f>SUM(BH790:BH792)</f>
        <v>217956</v>
      </c>
      <c r="BI793" s="2560">
        <f>SUM(BI790:BI792)</f>
        <v>212562.01</v>
      </c>
      <c r="BM793" s="2560">
        <f>SUM(BM790:BM792)</f>
        <v>217956</v>
      </c>
      <c r="BN793" s="2560">
        <f>SUM(BN790:BN792)</f>
        <v>2933</v>
      </c>
      <c r="BO793" s="2564">
        <f>SUM(BO790:BO792)</f>
        <v>220889</v>
      </c>
      <c r="BP793" s="2565">
        <f>IF(BM793=0," ",(BO793-BM793)/BM793)</f>
        <v>1.3456844500724917E-2</v>
      </c>
      <c r="BR793" s="2564">
        <f>SUM(BR790:BR792)</f>
        <v>220889</v>
      </c>
      <c r="BS793" s="2564">
        <f>SUM(BS790:BS792)</f>
        <v>220889</v>
      </c>
      <c r="BU793" s="2566"/>
      <c r="BW793" s="2564">
        <f>SUM(BW790:BW792)</f>
        <v>220889</v>
      </c>
      <c r="BX793" s="2560">
        <f>SUM(BX790:BX792)</f>
        <v>104552.5</v>
      </c>
      <c r="BZ793" s="2564">
        <f>SUM(BZ790:BZ792)</f>
        <v>220889</v>
      </c>
      <c r="CA793" s="2564">
        <f>SUM(CA790:CA792)</f>
        <v>-581</v>
      </c>
      <c r="CB793" s="2564">
        <f>SUM(CB790:CB792)</f>
        <v>220308</v>
      </c>
      <c r="CC793" s="2565">
        <f>IF(BZ793=0," ",(CB793-BZ793)/BZ793)</f>
        <v>-2.6302803670621897E-3</v>
      </c>
      <c r="CE793" s="2564">
        <f>SUM(CE790:CE792)</f>
        <v>224075</v>
      </c>
      <c r="CF793" s="2565">
        <f>IF(CB793=0," ",(CE793-CB793)/CB793)</f>
        <v>1.7098788968171831E-2</v>
      </c>
      <c r="CG793" s="2564">
        <f>SUM(CG790:CG792)</f>
        <v>224075</v>
      </c>
      <c r="CH793" s="2449" t="s">
        <v>1243</v>
      </c>
      <c r="CI793" s="2449"/>
      <c r="CJ793" s="2450"/>
      <c r="CK793" s="2450"/>
      <c r="CO793" s="2477">
        <v>-2.4748068417478675E-2</v>
      </c>
      <c r="CP793" s="2478">
        <f t="shared" si="415"/>
        <v>-5393.9899999999907</v>
      </c>
      <c r="CQ793" s="2478"/>
      <c r="CR793" s="2478"/>
      <c r="CS793" s="2478"/>
      <c r="CT793" s="2478"/>
      <c r="CV793" s="2679" t="s">
        <v>2243</v>
      </c>
      <c r="CW793" s="2677">
        <v>18198</v>
      </c>
    </row>
    <row r="794" spans="1:101" hidden="1" x14ac:dyDescent="0.2">
      <c r="AS794" s="2466"/>
      <c r="AT794" s="2466"/>
      <c r="BZ794" s="2472"/>
      <c r="CH794" s="2449" t="s">
        <v>1091</v>
      </c>
      <c r="CI794" s="2449"/>
      <c r="CJ794" s="2450"/>
      <c r="CK794" s="2450"/>
      <c r="CP794" s="2478">
        <f t="shared" si="415"/>
        <v>0</v>
      </c>
      <c r="CQ794" s="2478"/>
      <c r="CR794" s="2478"/>
      <c r="CS794" s="2478"/>
      <c r="CT794" s="2478"/>
      <c r="CV794" s="2679" t="s">
        <v>2244</v>
      </c>
      <c r="CW794" s="2677">
        <v>17714</v>
      </c>
    </row>
    <row r="795" spans="1:101" s="2485" customFormat="1" hidden="1" x14ac:dyDescent="0.2">
      <c r="A795" s="2532"/>
      <c r="B795" s="2533"/>
      <c r="C795" s="2534"/>
      <c r="D795" s="2534"/>
      <c r="E795" s="2535"/>
      <c r="F795" s="2533"/>
      <c r="G795" s="2654" t="s">
        <v>2245</v>
      </c>
      <c r="H795" s="2536">
        <f t="shared" ref="H795" si="434">H788+H793</f>
        <v>421074</v>
      </c>
      <c r="I795" s="2536">
        <f>I788+I793</f>
        <v>11909</v>
      </c>
      <c r="J795" s="2536">
        <f>J788+J793</f>
        <v>432983</v>
      </c>
      <c r="K795" s="2484">
        <f>IF(H795=0," ",(J795-H795)/H795)</f>
        <v>2.8282439666186942E-2</v>
      </c>
      <c r="M795" s="2536">
        <f>M788+M793</f>
        <v>432983</v>
      </c>
      <c r="N795" s="2536">
        <f>N788+N793</f>
        <v>432983</v>
      </c>
      <c r="P795" s="2537">
        <f>P788+P793</f>
        <v>0</v>
      </c>
      <c r="R795" s="2536">
        <f>R788+R793</f>
        <v>432983</v>
      </c>
      <c r="S795" s="2536">
        <f>S788+S793</f>
        <v>430162.99000000005</v>
      </c>
      <c r="U795" s="2536">
        <f>U788+U793</f>
        <v>432983</v>
      </c>
      <c r="V795" s="2536">
        <f>V788+V793</f>
        <v>19621</v>
      </c>
      <c r="W795" s="2536">
        <f>W788+W793</f>
        <v>452604</v>
      </c>
      <c r="X795" s="2484">
        <f>IF(U795=0," ",(W795-U795)/U795)</f>
        <v>4.5315866904705265E-2</v>
      </c>
      <c r="Z795" s="2536">
        <f>Z788+Z793</f>
        <v>452604</v>
      </c>
      <c r="AA795" s="2536">
        <f>AA788+AA793</f>
        <v>452604</v>
      </c>
      <c r="AC795" s="2537"/>
      <c r="AE795" s="2536">
        <f>AE788+AE793</f>
        <v>452604</v>
      </c>
      <c r="AF795" s="2538">
        <f>AF788+AF793</f>
        <v>450745.59999999998</v>
      </c>
      <c r="AH795" s="2536">
        <v>452604</v>
      </c>
      <c r="AI795" s="2536">
        <f>AI788+AI793</f>
        <v>25586</v>
      </c>
      <c r="AJ795" s="2536">
        <f>AJ788+AJ793</f>
        <v>478190</v>
      </c>
      <c r="AK795" s="2484">
        <f>IF(AH795=0," ",(AJ795-AH795)/AH795)</f>
        <v>5.6530653728203907E-2</v>
      </c>
      <c r="AM795" s="2536">
        <f>AM788+AM793</f>
        <v>478190</v>
      </c>
      <c r="AN795" s="2536">
        <f>AN788+AN793</f>
        <v>478190</v>
      </c>
      <c r="AP795" s="2537"/>
      <c r="AR795" s="2536">
        <f>AR788+AR793</f>
        <v>478190</v>
      </c>
      <c r="AS795" s="2536">
        <f>AS788+AS793</f>
        <v>477025.24000000005</v>
      </c>
      <c r="AT795" s="2536"/>
      <c r="AU795" s="2536">
        <f>AU788+AU793</f>
        <v>488691</v>
      </c>
      <c r="AV795" s="2536">
        <f>AV788+AV793</f>
        <v>441063.19000000006</v>
      </c>
      <c r="AX795" s="2536">
        <f>AX788+AX793</f>
        <v>488691</v>
      </c>
      <c r="AY795" s="2536">
        <f>AY788+AY793</f>
        <v>-889</v>
      </c>
      <c r="AZ795" s="2536">
        <f>AZ788+AZ793</f>
        <v>487802</v>
      </c>
      <c r="BA795" s="2484">
        <f>IF(AX795=0," ",(AZ795-AX795)/AX795)</f>
        <v>-1.8191454313666508E-3</v>
      </c>
      <c r="BC795" s="2536">
        <f>BC788+BC793</f>
        <v>487802</v>
      </c>
      <c r="BD795" s="2536">
        <f>BD788+BD793</f>
        <v>487802</v>
      </c>
      <c r="BF795" s="2537"/>
      <c r="BH795" s="2536">
        <f>BH788+BH793</f>
        <v>487802</v>
      </c>
      <c r="BI795" s="2536">
        <f>BI788+BI793</f>
        <v>472452.95999999996</v>
      </c>
      <c r="BJ795" s="2536"/>
      <c r="BK795" s="2536"/>
      <c r="BM795" s="2536">
        <f>BM788+BM793</f>
        <v>487802</v>
      </c>
      <c r="BN795" s="2539">
        <f>BN788+BN793</f>
        <v>2451</v>
      </c>
      <c r="BO795" s="2540">
        <f>BO788+BO793</f>
        <v>490253</v>
      </c>
      <c r="BP795" s="2490">
        <f>IF(BM795=0," ",(BO795-BM795)/BM795)</f>
        <v>5.0245796450199059E-3</v>
      </c>
      <c r="BQ795" s="2491"/>
      <c r="BR795" s="2540">
        <f>BR788+BR793</f>
        <v>490253</v>
      </c>
      <c r="BS795" s="2540">
        <f>BS788+BS793</f>
        <v>490253</v>
      </c>
      <c r="BT795" s="2491"/>
      <c r="BU795" s="2541"/>
      <c r="BV795" s="2491"/>
      <c r="BW795" s="2540">
        <f>BW788+BW793</f>
        <v>490253</v>
      </c>
      <c r="BX795" s="2536">
        <f>BX788+BX793</f>
        <v>234320.2</v>
      </c>
      <c r="BZ795" s="2536">
        <f>BZ788+BZ793</f>
        <v>490253</v>
      </c>
      <c r="CA795" s="2536">
        <f>CA788+CA793</f>
        <v>1702</v>
      </c>
      <c r="CB795" s="2536">
        <f>CB788+CB793</f>
        <v>491955</v>
      </c>
      <c r="CC795" s="2490">
        <f>IF(BZ795=0," ",(CB795-BZ795)/BZ795)</f>
        <v>3.4716768688819854E-3</v>
      </c>
      <c r="CD795" s="2491"/>
      <c r="CE795" s="2536">
        <f>CE788+CE793</f>
        <v>505854</v>
      </c>
      <c r="CF795" s="2490">
        <f>IF(CB795=0," ",(CE795-CB795)/CB795)</f>
        <v>2.8252584077811994E-2</v>
      </c>
      <c r="CG795" s="2536">
        <f>CG788+CG793</f>
        <v>505854</v>
      </c>
      <c r="CH795" s="2449" t="s">
        <v>1220</v>
      </c>
      <c r="CI795" s="2449"/>
      <c r="CJ795" s="2450"/>
      <c r="CK795" s="2450"/>
      <c r="CL795" s="2451"/>
      <c r="CM795" s="2451"/>
      <c r="CN795" s="2451"/>
      <c r="CO795" s="2477">
        <v>-3.1465717647734204E-2</v>
      </c>
      <c r="CP795" s="2478">
        <f t="shared" si="415"/>
        <v>-15349.040000000037</v>
      </c>
      <c r="CQ795" s="2478"/>
      <c r="CR795" s="2478"/>
      <c r="CS795" s="2478"/>
      <c r="CT795" s="2478"/>
      <c r="CW795" s="2680">
        <f>SUM(CW789:CW794)</f>
        <v>172365</v>
      </c>
    </row>
    <row r="796" spans="1:101" hidden="1" x14ac:dyDescent="0.2">
      <c r="AS796" s="2466"/>
      <c r="AT796" s="2466"/>
      <c r="BZ796" s="2472"/>
      <c r="CH796" s="2449" t="s">
        <v>1091</v>
      </c>
      <c r="CI796" s="2449"/>
      <c r="CJ796" s="2450"/>
      <c r="CK796" s="2450"/>
      <c r="CP796" s="2478">
        <f t="shared" si="415"/>
        <v>0</v>
      </c>
      <c r="CQ796" s="2478"/>
      <c r="CR796" s="2478"/>
      <c r="CS796" s="2478"/>
      <c r="CT796" s="2478"/>
      <c r="CW796" s="2466"/>
    </row>
    <row r="797" spans="1:101" hidden="1" x14ac:dyDescent="0.2">
      <c r="A797" s="2395">
        <v>610</v>
      </c>
      <c r="B797" s="2440" t="s">
        <v>1214</v>
      </c>
      <c r="C797" s="2396">
        <v>61005</v>
      </c>
      <c r="D797" s="2396">
        <v>52100</v>
      </c>
      <c r="E797" s="2397" t="s">
        <v>1268</v>
      </c>
      <c r="F797" s="2440" t="s">
        <v>1214</v>
      </c>
      <c r="G797" s="2440" t="s">
        <v>2246</v>
      </c>
      <c r="H797" s="2466">
        <v>31000</v>
      </c>
      <c r="I797" s="2470"/>
      <c r="J797" s="2466">
        <f t="shared" ref="J797:J816" si="435">H797+I797</f>
        <v>31000</v>
      </c>
      <c r="K797" s="2468">
        <f t="shared" ref="K797:K816" si="436">IF(H797=0," ",(J797-H797)/H797)</f>
        <v>0</v>
      </c>
      <c r="M797" s="2467">
        <v>31000</v>
      </c>
      <c r="N797" s="2467">
        <v>31000</v>
      </c>
      <c r="P797" s="2469"/>
      <c r="R797" s="2466">
        <v>31000</v>
      </c>
      <c r="S797" s="2466">
        <v>28066.11</v>
      </c>
      <c r="U797" s="2466">
        <v>31000</v>
      </c>
      <c r="V797" s="2470"/>
      <c r="W797" s="2466">
        <f t="shared" ref="W797:W816" si="437">U797+V797</f>
        <v>31000</v>
      </c>
      <c r="X797" s="2468">
        <f t="shared" ref="X797:X816" si="438">IF(U797=0," ",(W797-U797)/U797)</f>
        <v>0</v>
      </c>
      <c r="Z797" s="2467">
        <v>31000</v>
      </c>
      <c r="AA797" s="2467">
        <v>31000</v>
      </c>
      <c r="AC797" s="2469"/>
      <c r="AE797" s="2466">
        <v>31000</v>
      </c>
      <c r="AF797" s="2471">
        <v>28783.15</v>
      </c>
      <c r="AH797" s="2466">
        <v>31000</v>
      </c>
      <c r="AI797" s="2470"/>
      <c r="AJ797" s="2466">
        <f t="shared" ref="AJ797:AJ816" si="439">AH797+AI797</f>
        <v>31000</v>
      </c>
      <c r="AK797" s="2468">
        <f t="shared" ref="AK797:AK816" si="440">IF(AH797=0," ",(AJ797-AH797)/AH797)</f>
        <v>0</v>
      </c>
      <c r="AM797" s="2467">
        <v>31000</v>
      </c>
      <c r="AN797" s="2467">
        <v>31000</v>
      </c>
      <c r="AP797" s="2469"/>
      <c r="AR797" s="2466">
        <v>31000</v>
      </c>
      <c r="AS797" s="2466">
        <v>25475.78</v>
      </c>
      <c r="AT797" s="2466"/>
      <c r="AU797" s="2466">
        <v>31000</v>
      </c>
      <c r="AV797" s="2466">
        <v>25207.1</v>
      </c>
      <c r="AX797" s="2466">
        <v>31000</v>
      </c>
      <c r="AY797" s="2470"/>
      <c r="AZ797" s="2466">
        <f t="shared" ref="AZ797:AZ802" si="441">AX797+AY797</f>
        <v>31000</v>
      </c>
      <c r="BA797" s="2468">
        <f t="shared" ref="BA797:BA802" si="442">IF(AX797=0," ",(AZ797-AX797)/AX797)</f>
        <v>0</v>
      </c>
      <c r="BC797" s="2467">
        <v>31000</v>
      </c>
      <c r="BD797" s="2467">
        <v>31000</v>
      </c>
      <c r="BF797" s="2469"/>
      <c r="BH797" s="2467">
        <v>31000</v>
      </c>
      <c r="BI797" s="2466">
        <v>26267.5</v>
      </c>
      <c r="BM797" s="2466">
        <v>31000</v>
      </c>
      <c r="BN797" s="2470"/>
      <c r="BO797" s="2472">
        <f t="shared" ref="BO797:BO802" si="443">BM797+BN797</f>
        <v>31000</v>
      </c>
      <c r="BP797" s="2473">
        <f t="shared" ref="BP797:BP816" si="444">IF(BM797=0," ",(BO797-BM797)/BM797)</f>
        <v>0</v>
      </c>
      <c r="BR797" s="2474">
        <v>31000</v>
      </c>
      <c r="BS797" s="2474">
        <v>31000</v>
      </c>
      <c r="BU797" s="2475"/>
      <c r="BW797" s="2474">
        <v>31000</v>
      </c>
      <c r="BX797" s="2466">
        <v>11685.6</v>
      </c>
      <c r="BZ797" s="2474">
        <v>31000</v>
      </c>
      <c r="CA797" s="2470">
        <v>620</v>
      </c>
      <c r="CB797" s="2472">
        <f t="shared" ref="CB797:CB802" si="445">BZ797+CA797</f>
        <v>31620</v>
      </c>
      <c r="CC797" s="2473">
        <f t="shared" ref="CC797:CC816" si="446">IF(BZ797=0," ",(CB797-BZ797)/BZ797)</f>
        <v>0.02</v>
      </c>
      <c r="CE797" s="2474">
        <v>31620</v>
      </c>
      <c r="CF797" s="2476">
        <f t="shared" ref="CF797:CF817" si="447">IF(CB797=0," ",(CE797-CB797)/CB797)</f>
        <v>0</v>
      </c>
      <c r="CG797" s="2474">
        <v>31620</v>
      </c>
      <c r="CH797" s="2449" t="s">
        <v>1217</v>
      </c>
      <c r="CI797" s="2449"/>
      <c r="CJ797" s="2450"/>
      <c r="CK797" s="2450"/>
      <c r="CO797" s="2477">
        <v>-0.15266129032258069</v>
      </c>
      <c r="CP797" s="2478">
        <f t="shared" si="415"/>
        <v>-4732.5</v>
      </c>
      <c r="CQ797" s="2478"/>
      <c r="CR797" s="2478"/>
      <c r="CS797" s="2478"/>
      <c r="CT797" s="2478"/>
    </row>
    <row r="798" spans="1:101" hidden="1" x14ac:dyDescent="0.2">
      <c r="A798" s="2395">
        <v>610</v>
      </c>
      <c r="B798" s="2440" t="s">
        <v>1214</v>
      </c>
      <c r="C798" s="2396">
        <v>61005</v>
      </c>
      <c r="D798" s="2396">
        <v>52200</v>
      </c>
      <c r="E798" s="2397" t="s">
        <v>1268</v>
      </c>
      <c r="F798" s="2440" t="s">
        <v>1214</v>
      </c>
      <c r="G798" s="2440" t="s">
        <v>2247</v>
      </c>
      <c r="H798" s="2466">
        <v>11000</v>
      </c>
      <c r="I798" s="2470"/>
      <c r="J798" s="2466">
        <f t="shared" si="435"/>
        <v>11000</v>
      </c>
      <c r="K798" s="2468">
        <f t="shared" si="436"/>
        <v>0</v>
      </c>
      <c r="M798" s="2467">
        <v>11000</v>
      </c>
      <c r="N798" s="2467">
        <v>11000</v>
      </c>
      <c r="P798" s="2469"/>
      <c r="R798" s="2466">
        <v>11000</v>
      </c>
      <c r="S798" s="2466">
        <v>7417.98</v>
      </c>
      <c r="U798" s="2466">
        <v>11000</v>
      </c>
      <c r="V798" s="2470"/>
      <c r="W798" s="2466">
        <f t="shared" si="437"/>
        <v>11000</v>
      </c>
      <c r="X798" s="2468">
        <f t="shared" si="438"/>
        <v>0</v>
      </c>
      <c r="Z798" s="2467">
        <v>11000</v>
      </c>
      <c r="AA798" s="2467">
        <v>11000</v>
      </c>
      <c r="AC798" s="2469"/>
      <c r="AE798" s="2466">
        <v>11000</v>
      </c>
      <c r="AF798" s="2471">
        <v>8669.44</v>
      </c>
      <c r="AH798" s="2466">
        <v>11000</v>
      </c>
      <c r="AI798" s="2470"/>
      <c r="AJ798" s="2466">
        <f t="shared" si="439"/>
        <v>11000</v>
      </c>
      <c r="AK798" s="2468">
        <f t="shared" si="440"/>
        <v>0</v>
      </c>
      <c r="AM798" s="2467">
        <v>11000</v>
      </c>
      <c r="AN798" s="2467">
        <v>11000</v>
      </c>
      <c r="AP798" s="2469"/>
      <c r="AR798" s="2466">
        <v>11000</v>
      </c>
      <c r="AS798" s="2466">
        <v>7364.45</v>
      </c>
      <c r="AT798" s="2466"/>
      <c r="AU798" s="2466">
        <v>11000</v>
      </c>
      <c r="AV798" s="2466">
        <v>6712.69</v>
      </c>
      <c r="AX798" s="2466">
        <v>11000</v>
      </c>
      <c r="AY798" s="2470"/>
      <c r="AZ798" s="2466">
        <f t="shared" si="441"/>
        <v>11000</v>
      </c>
      <c r="BA798" s="2468">
        <f t="shared" si="442"/>
        <v>0</v>
      </c>
      <c r="BC798" s="2467">
        <v>11000</v>
      </c>
      <c r="BD798" s="2467">
        <v>11000</v>
      </c>
      <c r="BF798" s="2469"/>
      <c r="BH798" s="2467">
        <v>11000</v>
      </c>
      <c r="BI798" s="2466">
        <v>7551.95</v>
      </c>
      <c r="BM798" s="2466">
        <v>11000</v>
      </c>
      <c r="BN798" s="2470"/>
      <c r="BO798" s="2472">
        <f t="shared" si="443"/>
        <v>11000</v>
      </c>
      <c r="BP798" s="2473">
        <f t="shared" si="444"/>
        <v>0</v>
      </c>
      <c r="BR798" s="2474">
        <v>11000</v>
      </c>
      <c r="BS798" s="2474">
        <v>11000</v>
      </c>
      <c r="BU798" s="2475"/>
      <c r="BW798" s="2474">
        <v>11000</v>
      </c>
      <c r="BX798" s="2466">
        <v>1690.85</v>
      </c>
      <c r="BZ798" s="2474">
        <v>11000</v>
      </c>
      <c r="CA798" s="2470">
        <v>220</v>
      </c>
      <c r="CB798" s="2472">
        <f t="shared" si="445"/>
        <v>11220</v>
      </c>
      <c r="CC798" s="2473">
        <f t="shared" si="446"/>
        <v>0.02</v>
      </c>
      <c r="CE798" s="2474">
        <v>11220</v>
      </c>
      <c r="CF798" s="2476">
        <f t="shared" si="447"/>
        <v>0</v>
      </c>
      <c r="CG798" s="2474">
        <v>11220</v>
      </c>
      <c r="CH798" s="2449" t="s">
        <v>1217</v>
      </c>
      <c r="CI798" s="2449"/>
      <c r="CJ798" s="2450"/>
      <c r="CK798" s="2450"/>
      <c r="CO798" s="2477">
        <v>-0.31345909090909096</v>
      </c>
      <c r="CP798" s="2478">
        <f t="shared" si="415"/>
        <v>-3448.05</v>
      </c>
      <c r="CQ798" s="2478"/>
      <c r="CR798" s="2478"/>
      <c r="CS798" s="2478"/>
      <c r="CT798" s="2478"/>
    </row>
    <row r="799" spans="1:101" hidden="1" x14ac:dyDescent="0.2">
      <c r="A799" s="2395">
        <v>610</v>
      </c>
      <c r="B799" s="2440" t="s">
        <v>1214</v>
      </c>
      <c r="C799" s="2396">
        <v>61005</v>
      </c>
      <c r="D799" s="2396">
        <v>52300</v>
      </c>
      <c r="E799" s="2397" t="s">
        <v>1268</v>
      </c>
      <c r="F799" s="2440" t="s">
        <v>1214</v>
      </c>
      <c r="G799" s="2440" t="s">
        <v>2248</v>
      </c>
      <c r="H799" s="2466">
        <v>400</v>
      </c>
      <c r="I799" s="2470"/>
      <c r="J799" s="2466">
        <f t="shared" si="435"/>
        <v>400</v>
      </c>
      <c r="K799" s="2468">
        <f t="shared" si="436"/>
        <v>0</v>
      </c>
      <c r="M799" s="2467">
        <v>400</v>
      </c>
      <c r="N799" s="2467">
        <v>400</v>
      </c>
      <c r="P799" s="2469"/>
      <c r="R799" s="2466">
        <v>400</v>
      </c>
      <c r="S799" s="2466">
        <v>564.5</v>
      </c>
      <c r="U799" s="2466">
        <v>400</v>
      </c>
      <c r="V799" s="2470"/>
      <c r="W799" s="2466">
        <f t="shared" si="437"/>
        <v>400</v>
      </c>
      <c r="X799" s="2468">
        <f t="shared" si="438"/>
        <v>0</v>
      </c>
      <c r="Z799" s="2467">
        <v>400</v>
      </c>
      <c r="AA799" s="2467">
        <v>400</v>
      </c>
      <c r="AC799" s="2469"/>
      <c r="AE799" s="2466">
        <v>400</v>
      </c>
      <c r="AF799" s="2471">
        <v>669.35</v>
      </c>
      <c r="AH799" s="2466">
        <v>400</v>
      </c>
      <c r="AI799" s="2470"/>
      <c r="AJ799" s="2466">
        <f t="shared" si="439"/>
        <v>400</v>
      </c>
      <c r="AK799" s="2468">
        <f t="shared" si="440"/>
        <v>0</v>
      </c>
      <c r="AM799" s="2467">
        <v>400</v>
      </c>
      <c r="AN799" s="2467">
        <v>400</v>
      </c>
      <c r="AP799" s="2469"/>
      <c r="AR799" s="2466">
        <v>400</v>
      </c>
      <c r="AS799" s="2466">
        <v>669</v>
      </c>
      <c r="AT799" s="2466"/>
      <c r="AU799" s="2466">
        <f>400+225</f>
        <v>625</v>
      </c>
      <c r="AV799" s="2466">
        <v>424.95</v>
      </c>
      <c r="AX799" s="2466">
        <f>400+225</f>
        <v>625</v>
      </c>
      <c r="AY799" s="2470"/>
      <c r="AZ799" s="2466">
        <f t="shared" si="441"/>
        <v>625</v>
      </c>
      <c r="BA799" s="2468">
        <f t="shared" si="442"/>
        <v>0</v>
      </c>
      <c r="BC799" s="2467">
        <v>625</v>
      </c>
      <c r="BD799" s="2467">
        <f>625+194</f>
        <v>819</v>
      </c>
      <c r="BF799" s="2530" t="s">
        <v>2249</v>
      </c>
      <c r="BH799" s="2467">
        <f>625+194</f>
        <v>819</v>
      </c>
      <c r="BI799" s="2466">
        <v>574.16999999999996</v>
      </c>
      <c r="BM799" s="2466">
        <f>625+194</f>
        <v>819</v>
      </c>
      <c r="BN799" s="2470"/>
      <c r="BO799" s="2472">
        <f t="shared" si="443"/>
        <v>819</v>
      </c>
      <c r="BP799" s="2473">
        <f t="shared" si="444"/>
        <v>0</v>
      </c>
      <c r="BR799" s="2474">
        <v>819</v>
      </c>
      <c r="BS799" s="2474">
        <v>819</v>
      </c>
      <c r="BU799" s="2475"/>
      <c r="BW799" s="2474">
        <v>819</v>
      </c>
      <c r="BX799" s="2466">
        <v>147.97</v>
      </c>
      <c r="BZ799" s="2474">
        <v>819</v>
      </c>
      <c r="CA799" s="2470"/>
      <c r="CB799" s="2472">
        <f t="shared" si="445"/>
        <v>819</v>
      </c>
      <c r="CC799" s="2473">
        <f t="shared" si="446"/>
        <v>0</v>
      </c>
      <c r="CE799" s="2474">
        <v>819</v>
      </c>
      <c r="CF799" s="2476">
        <f t="shared" si="447"/>
        <v>0</v>
      </c>
      <c r="CG799" s="2474">
        <v>819</v>
      </c>
      <c r="CH799" s="2449" t="s">
        <v>1217</v>
      </c>
      <c r="CI799" s="2449"/>
      <c r="CJ799" s="2450"/>
      <c r="CK799" s="2450"/>
      <c r="CO799" s="2477">
        <v>-0.29893772893772896</v>
      </c>
      <c r="CP799" s="2478">
        <f t="shared" si="415"/>
        <v>-244.83000000000004</v>
      </c>
      <c r="CQ799" s="2478"/>
      <c r="CR799" s="2478"/>
      <c r="CS799" s="2478"/>
      <c r="CT799" s="2478"/>
    </row>
    <row r="800" spans="1:101" hidden="1" x14ac:dyDescent="0.2">
      <c r="A800" s="2395">
        <v>610</v>
      </c>
      <c r="B800" s="2440" t="s">
        <v>1214</v>
      </c>
      <c r="C800" s="2396">
        <v>61005</v>
      </c>
      <c r="D800" s="2396">
        <v>52400</v>
      </c>
      <c r="E800" s="2397" t="s">
        <v>1268</v>
      </c>
      <c r="F800" s="2440" t="s">
        <v>1214</v>
      </c>
      <c r="G800" s="2440" t="s">
        <v>2250</v>
      </c>
      <c r="H800" s="2466">
        <v>20229</v>
      </c>
      <c r="I800" s="2470">
        <v>1641</v>
      </c>
      <c r="J800" s="2466">
        <f t="shared" si="435"/>
        <v>21870</v>
      </c>
      <c r="K800" s="2468">
        <f t="shared" si="436"/>
        <v>8.1121162687231199E-2</v>
      </c>
      <c r="M800" s="2467">
        <v>21870</v>
      </c>
      <c r="N800" s="2467">
        <v>21870</v>
      </c>
      <c r="P800" s="2469"/>
      <c r="R800" s="2466">
        <v>21870</v>
      </c>
      <c r="S800" s="2466">
        <v>18048.419999999998</v>
      </c>
      <c r="U800" s="2466">
        <v>21870</v>
      </c>
      <c r="V800" s="2470"/>
      <c r="W800" s="2466">
        <f t="shared" si="437"/>
        <v>21870</v>
      </c>
      <c r="X800" s="2468">
        <f t="shared" si="438"/>
        <v>0</v>
      </c>
      <c r="Z800" s="2467">
        <v>21870</v>
      </c>
      <c r="AA800" s="2467">
        <f>21870+1426</f>
        <v>23296</v>
      </c>
      <c r="AC800" s="2469" t="s">
        <v>2251</v>
      </c>
      <c r="AE800" s="2466">
        <f>21870+1426</f>
        <v>23296</v>
      </c>
      <c r="AF800" s="2471">
        <v>18386.16</v>
      </c>
      <c r="AH800" s="2466">
        <v>23296</v>
      </c>
      <c r="AI800" s="2470"/>
      <c r="AJ800" s="2466">
        <f t="shared" si="439"/>
        <v>23296</v>
      </c>
      <c r="AK800" s="2468">
        <f t="shared" si="440"/>
        <v>0</v>
      </c>
      <c r="AM800" s="2467">
        <f>23296+2298</f>
        <v>25594</v>
      </c>
      <c r="AN800" s="2467">
        <f>23296+2298</f>
        <v>25594</v>
      </c>
      <c r="AO800" s="2546"/>
      <c r="AP800" s="2530" t="s">
        <v>2252</v>
      </c>
      <c r="AR800" s="2466">
        <f>23296+2298</f>
        <v>25594</v>
      </c>
      <c r="AS800" s="2466">
        <v>20963.36</v>
      </c>
      <c r="AT800" s="2466"/>
      <c r="AU800" s="2466">
        <v>21450</v>
      </c>
      <c r="AV800" s="2466">
        <v>14346.35</v>
      </c>
      <c r="AX800" s="2466">
        <v>21450</v>
      </c>
      <c r="AY800" s="2470"/>
      <c r="AZ800" s="2466">
        <f t="shared" si="441"/>
        <v>21450</v>
      </c>
      <c r="BA800" s="2468">
        <f t="shared" si="442"/>
        <v>0</v>
      </c>
      <c r="BC800" s="2467">
        <v>21450</v>
      </c>
      <c r="BD800" s="2467">
        <f>21450+1769</f>
        <v>23219</v>
      </c>
      <c r="BE800" s="2546"/>
      <c r="BF800" s="2530" t="s">
        <v>2253</v>
      </c>
      <c r="BH800" s="2467">
        <f>21450+1769</f>
        <v>23219</v>
      </c>
      <c r="BI800" s="2466">
        <v>19641.990000000002</v>
      </c>
      <c r="BM800" s="2466">
        <f>21450+1769</f>
        <v>23219</v>
      </c>
      <c r="BN800" s="2470"/>
      <c r="BO800" s="2472">
        <f t="shared" si="443"/>
        <v>23219</v>
      </c>
      <c r="BP800" s="2473">
        <f t="shared" si="444"/>
        <v>0</v>
      </c>
      <c r="BR800" s="2474">
        <v>23219</v>
      </c>
      <c r="BS800" s="2474">
        <v>23219</v>
      </c>
      <c r="BU800" s="2475"/>
      <c r="BW800" s="2474">
        <v>23219</v>
      </c>
      <c r="BX800" s="2466">
        <v>6873.99</v>
      </c>
      <c r="BZ800" s="2474">
        <v>23219</v>
      </c>
      <c r="CA800" s="2470"/>
      <c r="CB800" s="2472">
        <f t="shared" si="445"/>
        <v>23219</v>
      </c>
      <c r="CC800" s="2473">
        <f t="shared" si="446"/>
        <v>0</v>
      </c>
      <c r="CE800" s="2474">
        <v>23219</v>
      </c>
      <c r="CF800" s="2476">
        <f t="shared" si="447"/>
        <v>0</v>
      </c>
      <c r="CG800" s="2474">
        <v>23219</v>
      </c>
      <c r="CH800" s="2449" t="s">
        <v>1217</v>
      </c>
      <c r="CI800" s="2449"/>
      <c r="CJ800" s="2450"/>
      <c r="CK800" s="2450"/>
      <c r="CO800" s="2477">
        <v>-0.15405529953917041</v>
      </c>
      <c r="CP800" s="2478">
        <f t="shared" si="415"/>
        <v>-3577.0099999999984</v>
      </c>
      <c r="CQ800" s="2478"/>
      <c r="CR800" s="2478"/>
      <c r="CS800" s="2478"/>
      <c r="CT800" s="2478"/>
    </row>
    <row r="801" spans="1:98" hidden="1" x14ac:dyDescent="0.2">
      <c r="A801" s="2395">
        <v>610</v>
      </c>
      <c r="B801" s="2440" t="s">
        <v>1214</v>
      </c>
      <c r="C801" s="2396">
        <v>61005</v>
      </c>
      <c r="D801" s="2396">
        <v>52410</v>
      </c>
      <c r="E801" s="2397" t="s">
        <v>1268</v>
      </c>
      <c r="F801" s="2440" t="s">
        <v>1214</v>
      </c>
      <c r="G801" s="2440" t="s">
        <v>2254</v>
      </c>
      <c r="H801" s="2466">
        <v>15400</v>
      </c>
      <c r="I801" s="2470">
        <v>308</v>
      </c>
      <c r="J801" s="2466">
        <f t="shared" si="435"/>
        <v>15708</v>
      </c>
      <c r="K801" s="2468">
        <f t="shared" si="436"/>
        <v>0.02</v>
      </c>
      <c r="M801" s="2467">
        <v>15708</v>
      </c>
      <c r="N801" s="2467">
        <v>15708</v>
      </c>
      <c r="P801" s="2469"/>
      <c r="R801" s="2466">
        <v>15708</v>
      </c>
      <c r="S801" s="2466">
        <v>15400</v>
      </c>
      <c r="U801" s="2466">
        <v>15708</v>
      </c>
      <c r="V801" s="2470"/>
      <c r="W801" s="2466">
        <f t="shared" si="437"/>
        <v>15708</v>
      </c>
      <c r="X801" s="2468">
        <f t="shared" si="438"/>
        <v>0</v>
      </c>
      <c r="Z801" s="2467">
        <v>15708</v>
      </c>
      <c r="AA801" s="2467">
        <v>15708</v>
      </c>
      <c r="AC801" s="2469"/>
      <c r="AE801" s="2466">
        <v>15708</v>
      </c>
      <c r="AF801" s="2471">
        <v>15400</v>
      </c>
      <c r="AH801" s="2466">
        <v>15708</v>
      </c>
      <c r="AI801" s="2470"/>
      <c r="AJ801" s="2466">
        <f t="shared" si="439"/>
        <v>15708</v>
      </c>
      <c r="AK801" s="2468">
        <f t="shared" si="440"/>
        <v>0</v>
      </c>
      <c r="AM801" s="2467">
        <v>15708</v>
      </c>
      <c r="AN801" s="2467">
        <v>15708</v>
      </c>
      <c r="AP801" s="2469"/>
      <c r="AR801" s="2466">
        <v>15708</v>
      </c>
      <c r="AS801" s="2466">
        <v>14400</v>
      </c>
      <c r="AT801" s="2466"/>
      <c r="AU801" s="2466">
        <f>15708+2357</f>
        <v>18065</v>
      </c>
      <c r="AV801" s="2466">
        <v>14400</v>
      </c>
      <c r="AX801" s="2466">
        <f>15708+2357</f>
        <v>18065</v>
      </c>
      <c r="AY801" s="2470"/>
      <c r="AZ801" s="2466">
        <f t="shared" si="441"/>
        <v>18065</v>
      </c>
      <c r="BA801" s="2468">
        <f t="shared" si="442"/>
        <v>0</v>
      </c>
      <c r="BC801" s="2467">
        <v>18065</v>
      </c>
      <c r="BD801" s="2467">
        <v>18065</v>
      </c>
      <c r="BF801" s="2469"/>
      <c r="BH801" s="2467">
        <v>18065</v>
      </c>
      <c r="BI801" s="2466">
        <v>14400</v>
      </c>
      <c r="BM801" s="2466">
        <v>18065</v>
      </c>
      <c r="BN801" s="2470"/>
      <c r="BO801" s="2472">
        <f t="shared" si="443"/>
        <v>18065</v>
      </c>
      <c r="BP801" s="2473">
        <f t="shared" si="444"/>
        <v>0</v>
      </c>
      <c r="BR801" s="2474">
        <v>18065</v>
      </c>
      <c r="BS801" s="2474">
        <v>18065</v>
      </c>
      <c r="BU801" s="2475"/>
      <c r="BW801" s="2474">
        <v>18065</v>
      </c>
      <c r="BX801" s="2466">
        <v>7200</v>
      </c>
      <c r="BZ801" s="2474">
        <v>18065</v>
      </c>
      <c r="CA801" s="2470"/>
      <c r="CB801" s="2472">
        <f t="shared" si="445"/>
        <v>18065</v>
      </c>
      <c r="CC801" s="2473">
        <f t="shared" si="446"/>
        <v>0</v>
      </c>
      <c r="CE801" s="2474">
        <v>18065</v>
      </c>
      <c r="CF801" s="2476">
        <f t="shared" si="447"/>
        <v>0</v>
      </c>
      <c r="CG801" s="2474">
        <v>18065</v>
      </c>
      <c r="CH801" s="2449" t="s">
        <v>1217</v>
      </c>
      <c r="CI801" s="2449"/>
      <c r="CJ801" s="2450"/>
      <c r="CK801" s="2450"/>
      <c r="CO801" s="2477">
        <v>-0.20287849432604488</v>
      </c>
      <c r="CP801" s="2478">
        <f t="shared" si="415"/>
        <v>-3665</v>
      </c>
      <c r="CQ801" s="2478"/>
      <c r="CR801" s="2478"/>
      <c r="CS801" s="2478"/>
      <c r="CT801" s="2478"/>
    </row>
    <row r="802" spans="1:98" hidden="1" x14ac:dyDescent="0.2">
      <c r="A802" s="2395">
        <v>610</v>
      </c>
      <c r="B802" s="2440" t="s">
        <v>1214</v>
      </c>
      <c r="C802" s="2396">
        <v>61005</v>
      </c>
      <c r="D802" s="2396">
        <v>52500</v>
      </c>
      <c r="E802" s="2397" t="s">
        <v>1268</v>
      </c>
      <c r="F802" s="2440" t="s">
        <v>1214</v>
      </c>
      <c r="G802" s="2440" t="s">
        <v>2255</v>
      </c>
      <c r="H802" s="2466">
        <v>14700</v>
      </c>
      <c r="I802" s="2470">
        <v>1700</v>
      </c>
      <c r="J802" s="2466">
        <f t="shared" si="435"/>
        <v>16400</v>
      </c>
      <c r="K802" s="2468">
        <f t="shared" si="436"/>
        <v>0.11564625850340136</v>
      </c>
      <c r="M802" s="2467">
        <v>16400</v>
      </c>
      <c r="N802" s="2467">
        <v>16400</v>
      </c>
      <c r="P802" s="2469"/>
      <c r="R802" s="2466">
        <v>16400</v>
      </c>
      <c r="S802" s="2466">
        <v>25010.17</v>
      </c>
      <c r="U802" s="2466">
        <v>16400</v>
      </c>
      <c r="V802" s="2470"/>
      <c r="W802" s="2466">
        <f t="shared" si="437"/>
        <v>16400</v>
      </c>
      <c r="X802" s="2468">
        <f t="shared" si="438"/>
        <v>0</v>
      </c>
      <c r="Z802" s="2467">
        <v>16400</v>
      </c>
      <c r="AA802" s="2467">
        <f>16400+300</f>
        <v>16700</v>
      </c>
      <c r="AC802" s="2469" t="s">
        <v>2256</v>
      </c>
      <c r="AE802" s="2466">
        <f>16400+300</f>
        <v>16700</v>
      </c>
      <c r="AF802" s="2471">
        <v>21759.18</v>
      </c>
      <c r="AH802" s="2466">
        <v>16700</v>
      </c>
      <c r="AI802" s="2470"/>
      <c r="AJ802" s="2466">
        <f t="shared" si="439"/>
        <v>16700</v>
      </c>
      <c r="AK802" s="2468">
        <f t="shared" si="440"/>
        <v>0</v>
      </c>
      <c r="AM802" s="2467">
        <f>16700+1000</f>
        <v>17700</v>
      </c>
      <c r="AN802" s="2467">
        <f>16700+1000</f>
        <v>17700</v>
      </c>
      <c r="AO802" s="2546"/>
      <c r="AP802" s="2530" t="s">
        <v>1490</v>
      </c>
      <c r="AR802" s="2466">
        <f>16700+1000</f>
        <v>17700</v>
      </c>
      <c r="AS802" s="2466">
        <v>23962.639999999999</v>
      </c>
      <c r="AT802" s="2466"/>
      <c r="AU802" s="2466">
        <f>21844+9606</f>
        <v>31450</v>
      </c>
      <c r="AV802" s="2466">
        <v>33286.67</v>
      </c>
      <c r="AX802" s="2466">
        <f>21844+9606</f>
        <v>31450</v>
      </c>
      <c r="AY802" s="2470">
        <v>-12000</v>
      </c>
      <c r="AZ802" s="2466">
        <f t="shared" si="441"/>
        <v>19450</v>
      </c>
      <c r="BA802" s="2468">
        <f t="shared" si="442"/>
        <v>-0.38155802861685217</v>
      </c>
      <c r="BC802" s="2467">
        <v>19450</v>
      </c>
      <c r="BD802" s="2467">
        <v>19450</v>
      </c>
      <c r="BE802" s="2546"/>
      <c r="BF802" s="2469" t="s">
        <v>2257</v>
      </c>
      <c r="BH802" s="2467">
        <v>19450</v>
      </c>
      <c r="BI802" s="2466">
        <v>19045.259999999998</v>
      </c>
      <c r="BM802" s="2466">
        <v>19450</v>
      </c>
      <c r="BN802" s="2470"/>
      <c r="BO802" s="2472">
        <f t="shared" si="443"/>
        <v>19450</v>
      </c>
      <c r="BP802" s="2473">
        <f t="shared" si="444"/>
        <v>0</v>
      </c>
      <c r="BR802" s="2474">
        <v>19450</v>
      </c>
      <c r="BS802" s="2474">
        <v>30650</v>
      </c>
      <c r="BU802" s="2547" t="s">
        <v>2258</v>
      </c>
      <c r="BW802" s="2474">
        <f>19450+11200</f>
        <v>30650</v>
      </c>
      <c r="BX802" s="2466">
        <v>28139</v>
      </c>
      <c r="BZ802" s="2474">
        <f>19450+11200</f>
        <v>30650</v>
      </c>
      <c r="CA802" s="2470"/>
      <c r="CB802" s="2472">
        <f t="shared" si="445"/>
        <v>30650</v>
      </c>
      <c r="CC802" s="2473">
        <f t="shared" si="446"/>
        <v>0</v>
      </c>
      <c r="CE802" s="2474">
        <v>30650</v>
      </c>
      <c r="CF802" s="2476">
        <f t="shared" si="447"/>
        <v>0</v>
      </c>
      <c r="CG802" s="2474">
        <v>30650</v>
      </c>
      <c r="CH802" s="2449" t="s">
        <v>1217</v>
      </c>
      <c r="CI802" s="2449"/>
      <c r="CJ802" s="2450"/>
      <c r="CK802" s="2450"/>
      <c r="CO802" s="2477">
        <v>-2.0809254498714735E-2</v>
      </c>
      <c r="CP802" s="2478">
        <f t="shared" si="415"/>
        <v>-404.7400000000016</v>
      </c>
      <c r="CQ802" s="2478"/>
      <c r="CR802" s="2478"/>
      <c r="CS802" s="2478"/>
      <c r="CT802" s="2478"/>
    </row>
    <row r="803" spans="1:98" hidden="1" x14ac:dyDescent="0.2">
      <c r="A803" s="2395">
        <v>610</v>
      </c>
      <c r="B803" s="2440" t="s">
        <v>1214</v>
      </c>
      <c r="C803" s="2615">
        <v>61005</v>
      </c>
      <c r="D803" s="2615">
        <v>53045</v>
      </c>
      <c r="E803" s="2616" t="s">
        <v>1268</v>
      </c>
      <c r="F803" s="2447"/>
      <c r="G803" s="2447" t="s">
        <v>2259</v>
      </c>
      <c r="I803" s="2470"/>
      <c r="M803" s="2467"/>
      <c r="N803" s="2467"/>
      <c r="P803" s="2469"/>
      <c r="V803" s="2470"/>
      <c r="Z803" s="2467"/>
      <c r="AA803" s="2467"/>
      <c r="AC803" s="2469"/>
      <c r="AI803" s="2470"/>
      <c r="AM803" s="2467"/>
      <c r="AN803" s="2467"/>
      <c r="AP803" s="2469"/>
      <c r="AS803" s="2466">
        <v>7967.28</v>
      </c>
      <c r="AT803" s="2466"/>
      <c r="AU803" s="2466">
        <f>2166+4039</f>
        <v>6205</v>
      </c>
      <c r="AV803" s="2466">
        <v>7582.83</v>
      </c>
      <c r="AX803" s="2466">
        <f>2166+4039</f>
        <v>6205</v>
      </c>
      <c r="AY803" s="2470"/>
      <c r="AZ803" s="2466">
        <f>AX803+AY803</f>
        <v>6205</v>
      </c>
      <c r="BC803" s="2467">
        <v>6205</v>
      </c>
      <c r="BD803" s="2467">
        <f>6205+124</f>
        <v>6329</v>
      </c>
      <c r="BF803" s="2530" t="s">
        <v>2260</v>
      </c>
      <c r="BH803" s="2467">
        <f>6205+124</f>
        <v>6329</v>
      </c>
      <c r="BI803" s="2466">
        <v>8109.71</v>
      </c>
      <c r="BM803" s="2466">
        <f>6205+124</f>
        <v>6329</v>
      </c>
      <c r="BN803" s="2470"/>
      <c r="BO803" s="2472">
        <f>BM803+BN803</f>
        <v>6329</v>
      </c>
      <c r="BP803" s="2473">
        <f t="shared" si="444"/>
        <v>0</v>
      </c>
      <c r="BR803" s="2474">
        <v>6329</v>
      </c>
      <c r="BS803" s="2474">
        <v>6641</v>
      </c>
      <c r="BU803" s="2547" t="s">
        <v>2261</v>
      </c>
      <c r="BW803" s="2474">
        <f>6329+312</f>
        <v>6641</v>
      </c>
      <c r="BX803" s="2466">
        <v>6024.29</v>
      </c>
      <c r="BZ803" s="2474">
        <f>6329+312</f>
        <v>6641</v>
      </c>
      <c r="CA803" s="2470"/>
      <c r="CB803" s="2472">
        <f>BZ803+CA803</f>
        <v>6641</v>
      </c>
      <c r="CC803" s="2473">
        <f t="shared" si="446"/>
        <v>0</v>
      </c>
      <c r="CE803" s="2474">
        <v>6641</v>
      </c>
      <c r="CF803" s="2476">
        <f t="shared" si="447"/>
        <v>0</v>
      </c>
      <c r="CG803" s="2474">
        <v>6641</v>
      </c>
      <c r="CH803" s="2449" t="s">
        <v>1217</v>
      </c>
      <c r="CI803" s="2449"/>
      <c r="CJ803" s="2450"/>
      <c r="CK803" s="2450"/>
      <c r="CO803" s="2477">
        <v>0.28135724443039978</v>
      </c>
      <c r="CP803" s="2478">
        <f t="shared" si="415"/>
        <v>1780.71</v>
      </c>
      <c r="CQ803" s="2478"/>
      <c r="CR803" s="2478"/>
      <c r="CS803" s="2478"/>
      <c r="CT803" s="2478"/>
    </row>
    <row r="804" spans="1:98" hidden="1" x14ac:dyDescent="0.2">
      <c r="A804" s="2395">
        <v>610</v>
      </c>
      <c r="B804" s="2440" t="s">
        <v>1214</v>
      </c>
      <c r="C804" s="2396">
        <v>61005</v>
      </c>
      <c r="D804" s="2396">
        <v>53053</v>
      </c>
      <c r="E804" s="2397" t="s">
        <v>1268</v>
      </c>
      <c r="F804" s="2440" t="s">
        <v>1214</v>
      </c>
      <c r="G804" s="2440" t="s">
        <v>2262</v>
      </c>
      <c r="H804" s="2466">
        <v>19500</v>
      </c>
      <c r="I804" s="2470"/>
      <c r="J804" s="2466">
        <f t="shared" si="435"/>
        <v>19500</v>
      </c>
      <c r="K804" s="2468">
        <f t="shared" si="436"/>
        <v>0</v>
      </c>
      <c r="M804" s="2467">
        <v>19500</v>
      </c>
      <c r="N804" s="2467">
        <v>19500</v>
      </c>
      <c r="P804" s="2469"/>
      <c r="R804" s="2466">
        <v>19500</v>
      </c>
      <c r="S804" s="2466">
        <v>17959</v>
      </c>
      <c r="U804" s="2466">
        <v>19500</v>
      </c>
      <c r="V804" s="2470"/>
      <c r="W804" s="2466">
        <f t="shared" si="437"/>
        <v>19500</v>
      </c>
      <c r="X804" s="2468">
        <f t="shared" si="438"/>
        <v>0</v>
      </c>
      <c r="Z804" s="2467">
        <v>19500</v>
      </c>
      <c r="AA804" s="2467">
        <f>19500+308</f>
        <v>19808</v>
      </c>
      <c r="AC804" s="2469" t="s">
        <v>2263</v>
      </c>
      <c r="AE804" s="2466">
        <f>19500+308</f>
        <v>19808</v>
      </c>
      <c r="AF804" s="2471">
        <v>17658</v>
      </c>
      <c r="AH804" s="2466">
        <v>19808</v>
      </c>
      <c r="AI804" s="2470">
        <v>-808</v>
      </c>
      <c r="AJ804" s="2466">
        <f t="shared" si="439"/>
        <v>19000</v>
      </c>
      <c r="AK804" s="2468">
        <f t="shared" si="440"/>
        <v>-4.0791599353796448E-2</v>
      </c>
      <c r="AM804" s="2467">
        <v>19000</v>
      </c>
      <c r="AN804" s="2467">
        <v>19000</v>
      </c>
      <c r="AO804" s="2546"/>
      <c r="AP804" s="2530"/>
      <c r="AR804" s="2466">
        <v>19000</v>
      </c>
      <c r="AS804" s="2466">
        <v>18108</v>
      </c>
      <c r="AT804" s="2466"/>
      <c r="AU804" s="2466">
        <v>19000</v>
      </c>
      <c r="AV804" s="2466">
        <v>17010</v>
      </c>
      <c r="AX804" s="2466">
        <v>19000</v>
      </c>
      <c r="AY804" s="2470"/>
      <c r="AZ804" s="2466">
        <f t="shared" ref="AZ804:AZ816" si="448">AX804+AY804</f>
        <v>19000</v>
      </c>
      <c r="BA804" s="2468">
        <f t="shared" ref="BA804:BA816" si="449">IF(AX804=0," ",(AZ804-AX804)/AX804)</f>
        <v>0</v>
      </c>
      <c r="BC804" s="2467">
        <v>19000</v>
      </c>
      <c r="BD804" s="2467">
        <v>19000</v>
      </c>
      <c r="BE804" s="2546"/>
      <c r="BF804" s="2469"/>
      <c r="BH804" s="2467">
        <v>19000</v>
      </c>
      <c r="BI804" s="2466">
        <v>17010</v>
      </c>
      <c r="BM804" s="2466">
        <v>19000</v>
      </c>
      <c r="BN804" s="2470"/>
      <c r="BO804" s="2472">
        <f t="shared" ref="BO804:BO816" si="450">BM804+BN804</f>
        <v>19000</v>
      </c>
      <c r="BP804" s="2473">
        <f t="shared" si="444"/>
        <v>0</v>
      </c>
      <c r="BR804" s="2474">
        <v>19000</v>
      </c>
      <c r="BS804" s="2474">
        <v>19000</v>
      </c>
      <c r="BU804" s="2475"/>
      <c r="BW804" s="2474">
        <v>19000</v>
      </c>
      <c r="BX804" s="2466">
        <v>17010</v>
      </c>
      <c r="BZ804" s="2474">
        <v>19000</v>
      </c>
      <c r="CA804" s="2470"/>
      <c r="CB804" s="2472">
        <f t="shared" ref="CB804:CB816" si="451">BZ804+CA804</f>
        <v>19000</v>
      </c>
      <c r="CC804" s="2473">
        <f t="shared" si="446"/>
        <v>0</v>
      </c>
      <c r="CE804" s="2474">
        <v>19000</v>
      </c>
      <c r="CF804" s="2476">
        <f t="shared" si="447"/>
        <v>0</v>
      </c>
      <c r="CG804" s="2474">
        <v>19000</v>
      </c>
      <c r="CH804" s="2449" t="s">
        <v>1217</v>
      </c>
      <c r="CI804" s="2449"/>
      <c r="CJ804" s="2450"/>
      <c r="CK804" s="2450"/>
      <c r="CO804" s="2477">
        <v>-0.10473684210526313</v>
      </c>
      <c r="CP804" s="2478">
        <f t="shared" si="415"/>
        <v>-1990</v>
      </c>
      <c r="CQ804" s="2478"/>
      <c r="CR804" s="2478"/>
      <c r="CS804" s="2478"/>
      <c r="CT804" s="2478"/>
    </row>
    <row r="805" spans="1:98" hidden="1" x14ac:dyDescent="0.2">
      <c r="A805" s="2395">
        <v>610</v>
      </c>
      <c r="B805" s="2440" t="s">
        <v>1214</v>
      </c>
      <c r="C805" s="2396">
        <v>61005</v>
      </c>
      <c r="D805" s="2396">
        <v>53400</v>
      </c>
      <c r="E805" s="2397" t="s">
        <v>1268</v>
      </c>
      <c r="F805" s="2440" t="s">
        <v>1214</v>
      </c>
      <c r="G805" s="2440" t="s">
        <v>2264</v>
      </c>
      <c r="H805" s="2466">
        <v>900</v>
      </c>
      <c r="I805" s="2470"/>
      <c r="J805" s="2466">
        <f t="shared" si="435"/>
        <v>900</v>
      </c>
      <c r="K805" s="2468">
        <f t="shared" si="436"/>
        <v>0</v>
      </c>
      <c r="M805" s="2467">
        <v>900</v>
      </c>
      <c r="N805" s="2467">
        <v>900</v>
      </c>
      <c r="P805" s="2469"/>
      <c r="R805" s="2466">
        <v>900</v>
      </c>
      <c r="S805" s="2466">
        <v>952.84</v>
      </c>
      <c r="U805" s="2466">
        <v>900</v>
      </c>
      <c r="V805" s="2470"/>
      <c r="W805" s="2466">
        <f t="shared" si="437"/>
        <v>900</v>
      </c>
      <c r="X805" s="2468">
        <f t="shared" si="438"/>
        <v>0</v>
      </c>
      <c r="Z805" s="2467">
        <v>900</v>
      </c>
      <c r="AA805" s="2467">
        <v>900</v>
      </c>
      <c r="AC805" s="2469"/>
      <c r="AE805" s="2466">
        <v>900</v>
      </c>
      <c r="AF805" s="2471">
        <v>989.85</v>
      </c>
      <c r="AH805" s="2466">
        <v>900</v>
      </c>
      <c r="AI805" s="2470">
        <v>72</v>
      </c>
      <c r="AJ805" s="2466">
        <f t="shared" si="439"/>
        <v>972</v>
      </c>
      <c r="AK805" s="2468">
        <f t="shared" si="440"/>
        <v>0.08</v>
      </c>
      <c r="AM805" s="2467">
        <v>972</v>
      </c>
      <c r="AN805" s="2467">
        <v>972</v>
      </c>
      <c r="AP805" s="2530"/>
      <c r="AR805" s="2466">
        <v>972</v>
      </c>
      <c r="AS805" s="2466">
        <v>979.63</v>
      </c>
      <c r="AT805" s="2466"/>
      <c r="AU805" s="2466">
        <v>1000</v>
      </c>
      <c r="AV805" s="2466">
        <v>945.11</v>
      </c>
      <c r="AX805" s="2466">
        <v>1000</v>
      </c>
      <c r="AY805" s="2470"/>
      <c r="AZ805" s="2466">
        <f t="shared" si="448"/>
        <v>1000</v>
      </c>
      <c r="BA805" s="2468">
        <f t="shared" si="449"/>
        <v>0</v>
      </c>
      <c r="BC805" s="2467">
        <v>1000</v>
      </c>
      <c r="BD805" s="2467">
        <v>1000</v>
      </c>
      <c r="BF805" s="2469"/>
      <c r="BH805" s="2467">
        <v>1000</v>
      </c>
      <c r="BI805" s="2466">
        <v>947.54</v>
      </c>
      <c r="BM805" s="2466">
        <v>1000</v>
      </c>
      <c r="BN805" s="2470"/>
      <c r="BO805" s="2472">
        <f t="shared" si="450"/>
        <v>1000</v>
      </c>
      <c r="BP805" s="2473">
        <f t="shared" si="444"/>
        <v>0</v>
      </c>
      <c r="BR805" s="2474">
        <v>1000</v>
      </c>
      <c r="BS805" s="2474">
        <v>1000</v>
      </c>
      <c r="BU805" s="2475"/>
      <c r="BW805" s="2474">
        <v>1000</v>
      </c>
      <c r="BX805" s="2466">
        <v>478.49</v>
      </c>
      <c r="BZ805" s="2474">
        <v>1000</v>
      </c>
      <c r="CA805" s="2470"/>
      <c r="CB805" s="2472">
        <f t="shared" si="451"/>
        <v>1000</v>
      </c>
      <c r="CC805" s="2473">
        <f t="shared" si="446"/>
        <v>0</v>
      </c>
      <c r="CE805" s="2474">
        <v>1000</v>
      </c>
      <c r="CF805" s="2476">
        <f t="shared" si="447"/>
        <v>0</v>
      </c>
      <c r="CG805" s="2474">
        <v>1000</v>
      </c>
      <c r="CH805" s="2449" t="s">
        <v>1217</v>
      </c>
      <c r="CI805" s="2449"/>
      <c r="CJ805" s="2450"/>
      <c r="CK805" s="2450"/>
      <c r="CO805" s="2477">
        <v>-5.2460000000000062E-2</v>
      </c>
      <c r="CP805" s="2478">
        <f t="shared" si="415"/>
        <v>-52.460000000000036</v>
      </c>
      <c r="CQ805" s="2478"/>
      <c r="CR805" s="2478"/>
      <c r="CS805" s="2478"/>
      <c r="CT805" s="2478"/>
    </row>
    <row r="806" spans="1:98" hidden="1" x14ac:dyDescent="0.2">
      <c r="A806" s="2395">
        <v>610</v>
      </c>
      <c r="B806" s="2440" t="s">
        <v>1214</v>
      </c>
      <c r="C806" s="2396">
        <v>61005</v>
      </c>
      <c r="D806" s="2396">
        <v>53430</v>
      </c>
      <c r="E806" s="2397" t="s">
        <v>1268</v>
      </c>
      <c r="F806" s="2440" t="s">
        <v>1214</v>
      </c>
      <c r="G806" s="2440" t="s">
        <v>2265</v>
      </c>
      <c r="H806" s="2466">
        <v>500</v>
      </c>
      <c r="I806" s="2470"/>
      <c r="J806" s="2466">
        <f t="shared" si="435"/>
        <v>500</v>
      </c>
      <c r="K806" s="2468">
        <f t="shared" si="436"/>
        <v>0</v>
      </c>
      <c r="M806" s="2467">
        <v>500</v>
      </c>
      <c r="N806" s="2467">
        <v>500</v>
      </c>
      <c r="P806" s="2469"/>
      <c r="R806" s="2466">
        <v>500</v>
      </c>
      <c r="S806" s="2466">
        <v>428.18</v>
      </c>
      <c r="U806" s="2466">
        <v>500</v>
      </c>
      <c r="V806" s="2470"/>
      <c r="W806" s="2466">
        <f t="shared" si="437"/>
        <v>500</v>
      </c>
      <c r="X806" s="2468">
        <f t="shared" si="438"/>
        <v>0</v>
      </c>
      <c r="Z806" s="2467">
        <v>500</v>
      </c>
      <c r="AA806" s="2467">
        <v>500</v>
      </c>
      <c r="AC806" s="2469"/>
      <c r="AE806" s="2466">
        <v>500</v>
      </c>
      <c r="AF806" s="2471">
        <v>462.92</v>
      </c>
      <c r="AH806" s="2466">
        <v>500</v>
      </c>
      <c r="AI806" s="2470"/>
      <c r="AJ806" s="2466">
        <f t="shared" si="439"/>
        <v>500</v>
      </c>
      <c r="AK806" s="2468">
        <f t="shared" si="440"/>
        <v>0</v>
      </c>
      <c r="AM806" s="2467">
        <v>500</v>
      </c>
      <c r="AN806" s="2467">
        <v>500</v>
      </c>
      <c r="AP806" s="2469"/>
      <c r="AR806" s="2466">
        <v>500</v>
      </c>
      <c r="AS806" s="2466">
        <v>298.43</v>
      </c>
      <c r="AT806" s="2466"/>
      <c r="AU806" s="2466">
        <v>500</v>
      </c>
      <c r="AV806" s="2466">
        <v>113.33</v>
      </c>
      <c r="AX806" s="2466">
        <v>500</v>
      </c>
      <c r="AY806" s="2470"/>
      <c r="AZ806" s="2466">
        <f t="shared" si="448"/>
        <v>500</v>
      </c>
      <c r="BA806" s="2468">
        <f t="shared" si="449"/>
        <v>0</v>
      </c>
      <c r="BC806" s="2467">
        <v>500</v>
      </c>
      <c r="BD806" s="2467">
        <v>500</v>
      </c>
      <c r="BF806" s="2469"/>
      <c r="BH806" s="2467">
        <v>500</v>
      </c>
      <c r="BI806" s="2466">
        <v>261.69</v>
      </c>
      <c r="BM806" s="2466">
        <v>500</v>
      </c>
      <c r="BN806" s="2470"/>
      <c r="BO806" s="2472">
        <f t="shared" si="450"/>
        <v>500</v>
      </c>
      <c r="BP806" s="2473">
        <f t="shared" si="444"/>
        <v>0</v>
      </c>
      <c r="BR806" s="2474">
        <v>500</v>
      </c>
      <c r="BS806" s="2474">
        <v>500</v>
      </c>
      <c r="BU806" s="2475"/>
      <c r="BW806" s="2474">
        <v>500</v>
      </c>
      <c r="BX806" s="2466">
        <v>121.98</v>
      </c>
      <c r="BZ806" s="2474">
        <v>500</v>
      </c>
      <c r="CA806" s="2470">
        <v>-100</v>
      </c>
      <c r="CB806" s="2472">
        <f t="shared" si="451"/>
        <v>400</v>
      </c>
      <c r="CC806" s="2473">
        <f t="shared" si="446"/>
        <v>-0.2</v>
      </c>
      <c r="CE806" s="2474">
        <v>400</v>
      </c>
      <c r="CF806" s="2476">
        <f t="shared" si="447"/>
        <v>0</v>
      </c>
      <c r="CG806" s="2474">
        <v>400</v>
      </c>
      <c r="CH806" s="2449" t="s">
        <v>1217</v>
      </c>
      <c r="CI806" s="2449"/>
      <c r="CJ806" s="2450"/>
      <c r="CK806" s="2450"/>
      <c r="CO806" s="2477">
        <v>-0.47662000000000004</v>
      </c>
      <c r="CP806" s="2478">
        <f t="shared" si="415"/>
        <v>-238.31</v>
      </c>
      <c r="CQ806" s="2478"/>
      <c r="CR806" s="2478"/>
      <c r="CS806" s="2478"/>
      <c r="CT806" s="2478"/>
    </row>
    <row r="807" spans="1:98" hidden="1" x14ac:dyDescent="0.2">
      <c r="A807" s="2395">
        <v>610</v>
      </c>
      <c r="B807" s="2440" t="s">
        <v>1214</v>
      </c>
      <c r="C807" s="2396">
        <v>61005</v>
      </c>
      <c r="D807" s="2396">
        <v>53450</v>
      </c>
      <c r="E807" s="2397" t="s">
        <v>1268</v>
      </c>
      <c r="F807" s="2440" t="s">
        <v>1214</v>
      </c>
      <c r="G807" s="2440" t="s">
        <v>2266</v>
      </c>
      <c r="H807" s="2466">
        <v>300</v>
      </c>
      <c r="I807" s="2470"/>
      <c r="J807" s="2466">
        <f t="shared" si="435"/>
        <v>300</v>
      </c>
      <c r="K807" s="2468">
        <f t="shared" si="436"/>
        <v>0</v>
      </c>
      <c r="M807" s="2467">
        <v>300</v>
      </c>
      <c r="N807" s="2467">
        <v>300</v>
      </c>
      <c r="P807" s="2469"/>
      <c r="R807" s="2466">
        <v>300</v>
      </c>
      <c r="S807" s="2466">
        <v>179.23</v>
      </c>
      <c r="U807" s="2466">
        <v>300</v>
      </c>
      <c r="V807" s="2470"/>
      <c r="W807" s="2466">
        <f t="shared" si="437"/>
        <v>300</v>
      </c>
      <c r="X807" s="2468">
        <f t="shared" si="438"/>
        <v>0</v>
      </c>
      <c r="Z807" s="2467">
        <v>300</v>
      </c>
      <c r="AA807" s="2467">
        <v>300</v>
      </c>
      <c r="AC807" s="2469"/>
      <c r="AE807" s="2466">
        <v>300</v>
      </c>
      <c r="AF807" s="2471">
        <v>253.01</v>
      </c>
      <c r="AH807" s="2466">
        <v>300</v>
      </c>
      <c r="AI807" s="2470"/>
      <c r="AJ807" s="2466">
        <f t="shared" si="439"/>
        <v>300</v>
      </c>
      <c r="AK807" s="2468">
        <f t="shared" si="440"/>
        <v>0</v>
      </c>
      <c r="AM807" s="2467">
        <v>300</v>
      </c>
      <c r="AN807" s="2467">
        <v>300</v>
      </c>
      <c r="AP807" s="2469"/>
      <c r="AR807" s="2466">
        <v>300</v>
      </c>
      <c r="AS807" s="2466">
        <v>54.46</v>
      </c>
      <c r="AT807" s="2466"/>
      <c r="AU807" s="2466">
        <v>300</v>
      </c>
      <c r="AV807" s="2466">
        <v>75</v>
      </c>
      <c r="AX807" s="2466">
        <v>300</v>
      </c>
      <c r="AY807" s="2470"/>
      <c r="AZ807" s="2466">
        <f t="shared" si="448"/>
        <v>300</v>
      </c>
      <c r="BA807" s="2468">
        <f t="shared" si="449"/>
        <v>0</v>
      </c>
      <c r="BC807" s="2467">
        <v>300</v>
      </c>
      <c r="BD807" s="2467">
        <v>300</v>
      </c>
      <c r="BF807" s="2469"/>
      <c r="BH807" s="2467">
        <v>300</v>
      </c>
      <c r="BI807" s="2466">
        <v>98.92</v>
      </c>
      <c r="BM807" s="2466">
        <v>300</v>
      </c>
      <c r="BN807" s="2470"/>
      <c r="BO807" s="2472">
        <f t="shared" si="450"/>
        <v>300</v>
      </c>
      <c r="BP807" s="2473">
        <f t="shared" si="444"/>
        <v>0</v>
      </c>
      <c r="BR807" s="2474">
        <v>300</v>
      </c>
      <c r="BS807" s="2474">
        <v>300</v>
      </c>
      <c r="BU807" s="2475"/>
      <c r="BW807" s="2474">
        <v>300</v>
      </c>
      <c r="BZ807" s="2474">
        <v>300</v>
      </c>
      <c r="CA807" s="2470"/>
      <c r="CB807" s="2472">
        <f t="shared" si="451"/>
        <v>300</v>
      </c>
      <c r="CC807" s="2473">
        <f t="shared" si="446"/>
        <v>0</v>
      </c>
      <c r="CE807" s="2474">
        <v>300</v>
      </c>
      <c r="CF807" s="2476">
        <f t="shared" si="447"/>
        <v>0</v>
      </c>
      <c r="CG807" s="2474">
        <v>300</v>
      </c>
      <c r="CH807" s="2449" t="s">
        <v>1217</v>
      </c>
      <c r="CI807" s="2449"/>
      <c r="CJ807" s="2450"/>
      <c r="CK807" s="2450"/>
      <c r="CO807" s="2477">
        <v>-0.67026666666666668</v>
      </c>
      <c r="CP807" s="2478">
        <f t="shared" si="415"/>
        <v>-201.07999999999998</v>
      </c>
      <c r="CQ807" s="2478"/>
      <c r="CR807" s="2478"/>
      <c r="CS807" s="2478"/>
      <c r="CT807" s="2478"/>
    </row>
    <row r="808" spans="1:98" hidden="1" x14ac:dyDescent="0.2">
      <c r="A808" s="2395">
        <v>610</v>
      </c>
      <c r="B808" s="2440" t="s">
        <v>1214</v>
      </c>
      <c r="C808" s="2396">
        <v>61005</v>
      </c>
      <c r="D808" s="2396">
        <v>53800</v>
      </c>
      <c r="E808" s="2397" t="s">
        <v>1268</v>
      </c>
      <c r="F808" s="2440" t="s">
        <v>1214</v>
      </c>
      <c r="G808" s="2440" t="s">
        <v>2267</v>
      </c>
      <c r="H808" s="2466">
        <v>21638</v>
      </c>
      <c r="I808" s="2470">
        <v>433</v>
      </c>
      <c r="J808" s="2466">
        <f t="shared" si="435"/>
        <v>22071</v>
      </c>
      <c r="K808" s="2468">
        <f t="shared" si="436"/>
        <v>2.0011091598114428E-2</v>
      </c>
      <c r="M808" s="2467">
        <v>22071</v>
      </c>
      <c r="N808" s="2467">
        <v>22071</v>
      </c>
      <c r="P808" s="2469"/>
      <c r="R808" s="2466">
        <v>22071</v>
      </c>
      <c r="S808" s="2466">
        <v>20950</v>
      </c>
      <c r="U808" s="2466">
        <v>22071</v>
      </c>
      <c r="V808" s="2470"/>
      <c r="W808" s="2466">
        <f t="shared" si="437"/>
        <v>22071</v>
      </c>
      <c r="X808" s="2468">
        <f t="shared" si="438"/>
        <v>0</v>
      </c>
      <c r="Z808" s="2467">
        <v>22071</v>
      </c>
      <c r="AA808" s="2467">
        <f>22071+537</f>
        <v>22608</v>
      </c>
      <c r="AC808" s="2469" t="s">
        <v>2268</v>
      </c>
      <c r="AE808" s="2466">
        <f>22071+537</f>
        <v>22608</v>
      </c>
      <c r="AF808" s="2471">
        <v>20975</v>
      </c>
      <c r="AH808" s="2466">
        <v>22608</v>
      </c>
      <c r="AI808" s="2470">
        <v>392</v>
      </c>
      <c r="AJ808" s="2466">
        <f t="shared" si="439"/>
        <v>23000</v>
      </c>
      <c r="AK808" s="2468">
        <f t="shared" si="440"/>
        <v>1.7338995046001414E-2</v>
      </c>
      <c r="AM808" s="2467">
        <v>23000</v>
      </c>
      <c r="AN808" s="2467">
        <v>23000</v>
      </c>
      <c r="AO808" s="2546"/>
      <c r="AP808" s="2530"/>
      <c r="AR808" s="2466">
        <v>23000</v>
      </c>
      <c r="AS808" s="2466">
        <v>19500</v>
      </c>
      <c r="AT808" s="2466"/>
      <c r="AU808" s="2466">
        <v>23000</v>
      </c>
      <c r="AV808" s="2466">
        <v>19896</v>
      </c>
      <c r="AX808" s="2466">
        <v>23000</v>
      </c>
      <c r="AY808" s="2470"/>
      <c r="AZ808" s="2466">
        <f t="shared" si="448"/>
        <v>23000</v>
      </c>
      <c r="BA808" s="2468">
        <f t="shared" si="449"/>
        <v>0</v>
      </c>
      <c r="BC808" s="2467">
        <v>23000</v>
      </c>
      <c r="BD808" s="2467">
        <f>23000+198</f>
        <v>23198</v>
      </c>
      <c r="BE808" s="2546"/>
      <c r="BF808" s="2530" t="s">
        <v>2269</v>
      </c>
      <c r="BH808" s="2467">
        <f>23000+198</f>
        <v>23198</v>
      </c>
      <c r="BI808" s="2466">
        <v>20658</v>
      </c>
      <c r="BM808" s="2466">
        <f>23000+198</f>
        <v>23198</v>
      </c>
      <c r="BN808" s="2470"/>
      <c r="BO808" s="2472">
        <f t="shared" si="450"/>
        <v>23198</v>
      </c>
      <c r="BP808" s="2473">
        <f t="shared" si="444"/>
        <v>0</v>
      </c>
      <c r="BR808" s="2474">
        <v>23198</v>
      </c>
      <c r="BS808" s="2474">
        <v>23662</v>
      </c>
      <c r="BU808" s="2547" t="s">
        <v>2270</v>
      </c>
      <c r="BW808" s="2474">
        <f>23198+464</f>
        <v>23662</v>
      </c>
      <c r="BX808" s="2466">
        <v>8455</v>
      </c>
      <c r="BZ808" s="2474">
        <f>23198+464</f>
        <v>23662</v>
      </c>
      <c r="CA808" s="2470"/>
      <c r="CB808" s="2472">
        <f t="shared" si="451"/>
        <v>23662</v>
      </c>
      <c r="CC808" s="2473">
        <f t="shared" si="446"/>
        <v>0</v>
      </c>
      <c r="CE808" s="2474">
        <v>23662</v>
      </c>
      <c r="CF808" s="2476">
        <f t="shared" si="447"/>
        <v>0</v>
      </c>
      <c r="CG808" s="2474">
        <v>23662</v>
      </c>
      <c r="CH808" s="2449" t="s">
        <v>1217</v>
      </c>
      <c r="CI808" s="2449"/>
      <c r="CJ808" s="2450"/>
      <c r="CK808" s="2450"/>
      <c r="CO808" s="2477">
        <v>-0.10949219760324169</v>
      </c>
      <c r="CP808" s="2478">
        <f t="shared" si="415"/>
        <v>-2540</v>
      </c>
      <c r="CQ808" s="2478"/>
      <c r="CR808" s="2478"/>
      <c r="CS808" s="2478"/>
      <c r="CT808" s="2478"/>
    </row>
    <row r="809" spans="1:98" hidden="1" x14ac:dyDescent="0.2">
      <c r="A809" s="2395">
        <v>610</v>
      </c>
      <c r="B809" s="2440" t="s">
        <v>1214</v>
      </c>
      <c r="C809" s="2396">
        <v>61005</v>
      </c>
      <c r="D809" s="2396">
        <v>54000</v>
      </c>
      <c r="E809" s="2397" t="s">
        <v>1268</v>
      </c>
      <c r="F809" s="2440" t="s">
        <v>1214</v>
      </c>
      <c r="G809" s="2440" t="s">
        <v>2271</v>
      </c>
      <c r="H809" s="2466">
        <v>3600</v>
      </c>
      <c r="I809" s="2470">
        <v>-1100</v>
      </c>
      <c r="J809" s="2466">
        <f t="shared" si="435"/>
        <v>2500</v>
      </c>
      <c r="K809" s="2468">
        <f t="shared" si="436"/>
        <v>-0.30555555555555558</v>
      </c>
      <c r="M809" s="2467">
        <v>2500</v>
      </c>
      <c r="N809" s="2467">
        <v>2500</v>
      </c>
      <c r="P809" s="2469"/>
      <c r="R809" s="2466">
        <v>2500</v>
      </c>
      <c r="S809" s="2466">
        <v>1874.02</v>
      </c>
      <c r="U809" s="2466">
        <v>2500</v>
      </c>
      <c r="V809" s="2470"/>
      <c r="W809" s="2466">
        <f t="shared" si="437"/>
        <v>2500</v>
      </c>
      <c r="X809" s="2468">
        <f t="shared" si="438"/>
        <v>0</v>
      </c>
      <c r="Z809" s="2467">
        <v>2500</v>
      </c>
      <c r="AA809" s="2467">
        <v>2500</v>
      </c>
      <c r="AC809" s="2469"/>
      <c r="AE809" s="2466">
        <v>2500</v>
      </c>
      <c r="AF809" s="2471">
        <v>2532.85</v>
      </c>
      <c r="AH809" s="2466">
        <v>2500</v>
      </c>
      <c r="AI809" s="2470">
        <v>-800</v>
      </c>
      <c r="AJ809" s="2466">
        <f t="shared" si="439"/>
        <v>1700</v>
      </c>
      <c r="AK809" s="2468">
        <f t="shared" si="440"/>
        <v>-0.32</v>
      </c>
      <c r="AM809" s="2467">
        <v>1700</v>
      </c>
      <c r="AN809" s="2467">
        <v>1700</v>
      </c>
      <c r="AP809" s="2469"/>
      <c r="AR809" s="2466">
        <v>1700</v>
      </c>
      <c r="AS809" s="2466">
        <v>1641.58</v>
      </c>
      <c r="AT809" s="2466"/>
      <c r="AU809" s="2466">
        <v>1700</v>
      </c>
      <c r="AV809" s="2466">
        <v>1985.08</v>
      </c>
      <c r="AX809" s="2466">
        <v>1700</v>
      </c>
      <c r="AY809" s="2470"/>
      <c r="AZ809" s="2466">
        <f t="shared" si="448"/>
        <v>1700</v>
      </c>
      <c r="BA809" s="2468">
        <f t="shared" si="449"/>
        <v>0</v>
      </c>
      <c r="BC809" s="2467">
        <v>1700</v>
      </c>
      <c r="BD809" s="2467">
        <v>1700</v>
      </c>
      <c r="BF809" s="2469"/>
      <c r="BH809" s="2467">
        <v>1700</v>
      </c>
      <c r="BI809" s="2466">
        <v>3456.68</v>
      </c>
      <c r="BM809" s="2466">
        <v>1700</v>
      </c>
      <c r="BN809" s="2470"/>
      <c r="BO809" s="2472">
        <f t="shared" si="450"/>
        <v>1700</v>
      </c>
      <c r="BP809" s="2473">
        <f t="shared" si="444"/>
        <v>0</v>
      </c>
      <c r="BR809" s="2474">
        <v>1700</v>
      </c>
      <c r="BS809" s="2474">
        <v>1700</v>
      </c>
      <c r="BU809" s="2475"/>
      <c r="BW809" s="2474">
        <v>1700</v>
      </c>
      <c r="BX809" s="2466">
        <v>1539.44</v>
      </c>
      <c r="BZ809" s="2474">
        <v>1700</v>
      </c>
      <c r="CA809" s="2470"/>
      <c r="CB809" s="2472">
        <f t="shared" si="451"/>
        <v>1700</v>
      </c>
      <c r="CC809" s="2473">
        <f t="shared" si="446"/>
        <v>0</v>
      </c>
      <c r="CE809" s="2474">
        <v>1700</v>
      </c>
      <c r="CF809" s="2476">
        <f t="shared" si="447"/>
        <v>0</v>
      </c>
      <c r="CG809" s="2474">
        <v>1700</v>
      </c>
      <c r="CH809" s="2449" t="s">
        <v>1217</v>
      </c>
      <c r="CI809" s="2449"/>
      <c r="CJ809" s="2450"/>
      <c r="CK809" s="2450"/>
      <c r="CO809" s="2477">
        <v>1.033341176470588</v>
      </c>
      <c r="CP809" s="2478">
        <f t="shared" si="415"/>
        <v>1756.6799999999998</v>
      </c>
      <c r="CQ809" s="2478"/>
      <c r="CR809" s="2478"/>
      <c r="CS809" s="2478"/>
      <c r="CT809" s="2478"/>
    </row>
    <row r="810" spans="1:98" hidden="1" x14ac:dyDescent="0.2">
      <c r="A810" s="2395">
        <v>610</v>
      </c>
      <c r="B810" s="2440" t="s">
        <v>1214</v>
      </c>
      <c r="C810" s="2396">
        <v>61005</v>
      </c>
      <c r="D810" s="2396">
        <v>54200</v>
      </c>
      <c r="E810" s="2397" t="s">
        <v>1268</v>
      </c>
      <c r="F810" s="2440" t="s">
        <v>1214</v>
      </c>
      <c r="G810" s="2440" t="s">
        <v>2272</v>
      </c>
      <c r="H810" s="2466">
        <v>2750</v>
      </c>
      <c r="I810" s="2470"/>
      <c r="J810" s="2466">
        <f t="shared" si="435"/>
        <v>2750</v>
      </c>
      <c r="K810" s="2468">
        <f t="shared" si="436"/>
        <v>0</v>
      </c>
      <c r="M810" s="2467">
        <v>2750</v>
      </c>
      <c r="N810" s="2467">
        <v>2750</v>
      </c>
      <c r="P810" s="2469"/>
      <c r="R810" s="2466">
        <v>2750</v>
      </c>
      <c r="S810" s="2466">
        <v>6434.15</v>
      </c>
      <c r="U810" s="2466">
        <v>2750</v>
      </c>
      <c r="V810" s="2470"/>
      <c r="W810" s="2466">
        <f t="shared" si="437"/>
        <v>2750</v>
      </c>
      <c r="X810" s="2468">
        <f t="shared" si="438"/>
        <v>0</v>
      </c>
      <c r="Z810" s="2467">
        <v>2750</v>
      </c>
      <c r="AA810" s="2467">
        <v>2750</v>
      </c>
      <c r="AC810" s="2469"/>
      <c r="AE810" s="2466">
        <v>2750</v>
      </c>
      <c r="AF810" s="2471">
        <v>9921.4</v>
      </c>
      <c r="AH810" s="2466">
        <v>2750</v>
      </c>
      <c r="AI810" s="2470">
        <v>1444</v>
      </c>
      <c r="AJ810" s="2466">
        <f t="shared" si="439"/>
        <v>4194</v>
      </c>
      <c r="AK810" s="2468">
        <f t="shared" si="440"/>
        <v>0.52509090909090905</v>
      </c>
      <c r="AM810" s="2467">
        <v>4194</v>
      </c>
      <c r="AN810" s="2467">
        <v>4194</v>
      </c>
      <c r="AP810" s="2530"/>
      <c r="AR810" s="2466">
        <v>4194</v>
      </c>
      <c r="AS810" s="2466">
        <v>1422.06</v>
      </c>
      <c r="AT810" s="2466"/>
      <c r="AU810" s="2466">
        <v>2000</v>
      </c>
      <c r="AV810" s="2466">
        <v>1533.84</v>
      </c>
      <c r="AX810" s="2466">
        <v>2000</v>
      </c>
      <c r="AY810" s="2470"/>
      <c r="AZ810" s="2466">
        <f t="shared" si="448"/>
        <v>2000</v>
      </c>
      <c r="BA810" s="2468">
        <f t="shared" si="449"/>
        <v>0</v>
      </c>
      <c r="BC810" s="2467">
        <v>2000</v>
      </c>
      <c r="BD810" s="2467">
        <v>2000</v>
      </c>
      <c r="BF810" s="2469"/>
      <c r="BH810" s="2467">
        <v>2000</v>
      </c>
      <c r="BI810" s="2466">
        <v>2800.41</v>
      </c>
      <c r="BM810" s="2466">
        <v>2000</v>
      </c>
      <c r="BN810" s="2470"/>
      <c r="BO810" s="2472">
        <f t="shared" si="450"/>
        <v>2000</v>
      </c>
      <c r="BP810" s="2473">
        <f t="shared" si="444"/>
        <v>0</v>
      </c>
      <c r="BR810" s="2474">
        <v>2000</v>
      </c>
      <c r="BS810" s="2474">
        <v>2000</v>
      </c>
      <c r="BU810" s="2475"/>
      <c r="BW810" s="2474">
        <v>2000</v>
      </c>
      <c r="BX810" s="2466">
        <v>743.86</v>
      </c>
      <c r="BZ810" s="2474">
        <v>2000</v>
      </c>
      <c r="CA810" s="2470"/>
      <c r="CB810" s="2472">
        <f t="shared" si="451"/>
        <v>2000</v>
      </c>
      <c r="CC810" s="2473">
        <f t="shared" si="446"/>
        <v>0</v>
      </c>
      <c r="CE810" s="2474">
        <v>2000</v>
      </c>
      <c r="CF810" s="2476">
        <f t="shared" si="447"/>
        <v>0</v>
      </c>
      <c r="CG810" s="2474">
        <v>2000</v>
      </c>
      <c r="CH810" s="2449" t="s">
        <v>1217</v>
      </c>
      <c r="CI810" s="2449"/>
      <c r="CJ810" s="2450"/>
      <c r="CK810" s="2450"/>
      <c r="CO810" s="2477">
        <v>0.40020499999999992</v>
      </c>
      <c r="CP810" s="2478">
        <f t="shared" si="415"/>
        <v>800.40999999999985</v>
      </c>
      <c r="CQ810" s="2478"/>
      <c r="CR810" s="2478"/>
      <c r="CS810" s="2478"/>
      <c r="CT810" s="2478"/>
    </row>
    <row r="811" spans="1:98" hidden="1" x14ac:dyDescent="0.2">
      <c r="A811" s="2395">
        <v>610</v>
      </c>
      <c r="B811" s="2440" t="s">
        <v>1214</v>
      </c>
      <c r="C811" s="2396">
        <v>61005</v>
      </c>
      <c r="D811" s="2396">
        <v>54220</v>
      </c>
      <c r="E811" s="2397" t="s">
        <v>1268</v>
      </c>
      <c r="F811" s="2440" t="s">
        <v>1214</v>
      </c>
      <c r="G811" s="2440" t="s">
        <v>2273</v>
      </c>
      <c r="H811" s="2466">
        <v>1800</v>
      </c>
      <c r="I811" s="2470"/>
      <c r="J811" s="2466">
        <f t="shared" si="435"/>
        <v>1800</v>
      </c>
      <c r="K811" s="2468">
        <f t="shared" si="436"/>
        <v>0</v>
      </c>
      <c r="M811" s="2467">
        <v>1800</v>
      </c>
      <c r="N811" s="2467">
        <v>1800</v>
      </c>
      <c r="P811" s="2469"/>
      <c r="R811" s="2466">
        <v>1800</v>
      </c>
      <c r="S811" s="2466">
        <v>1800</v>
      </c>
      <c r="U811" s="2466">
        <v>1800</v>
      </c>
      <c r="V811" s="2470"/>
      <c r="W811" s="2466">
        <f t="shared" si="437"/>
        <v>1800</v>
      </c>
      <c r="X811" s="2468">
        <f t="shared" si="438"/>
        <v>0</v>
      </c>
      <c r="Z811" s="2467">
        <v>1800</v>
      </c>
      <c r="AA811" s="2467">
        <v>1800</v>
      </c>
      <c r="AC811" s="2469"/>
      <c r="AE811" s="2466">
        <v>1800</v>
      </c>
      <c r="AF811" s="2471">
        <v>1650</v>
      </c>
      <c r="AH811" s="2466">
        <v>1800</v>
      </c>
      <c r="AI811" s="2470"/>
      <c r="AJ811" s="2466">
        <f t="shared" si="439"/>
        <v>1800</v>
      </c>
      <c r="AK811" s="2468">
        <f t="shared" si="440"/>
        <v>0</v>
      </c>
      <c r="AM811" s="2467">
        <v>1800</v>
      </c>
      <c r="AN811" s="2467">
        <v>1800</v>
      </c>
      <c r="AP811" s="2469"/>
      <c r="AR811" s="2466">
        <v>1800</v>
      </c>
      <c r="AS811" s="2466">
        <v>1976.6</v>
      </c>
      <c r="AT811" s="2466"/>
      <c r="AU811" s="2466">
        <v>1800</v>
      </c>
      <c r="AV811" s="2466">
        <v>1889.12</v>
      </c>
      <c r="AX811" s="2466">
        <v>1800</v>
      </c>
      <c r="AY811" s="2470"/>
      <c r="AZ811" s="2466">
        <f t="shared" si="448"/>
        <v>1800</v>
      </c>
      <c r="BA811" s="2468">
        <f t="shared" si="449"/>
        <v>0</v>
      </c>
      <c r="BC811" s="2467">
        <v>1800</v>
      </c>
      <c r="BD811" s="2467">
        <v>1800</v>
      </c>
      <c r="BF811" s="2469"/>
      <c r="BH811" s="2467">
        <v>1800</v>
      </c>
      <c r="BI811" s="2466">
        <v>1893.12</v>
      </c>
      <c r="BM811" s="2466">
        <v>1800</v>
      </c>
      <c r="BN811" s="2470"/>
      <c r="BO811" s="2472">
        <f t="shared" si="450"/>
        <v>1800</v>
      </c>
      <c r="BP811" s="2473">
        <f t="shared" si="444"/>
        <v>0</v>
      </c>
      <c r="BR811" s="2474">
        <v>1800</v>
      </c>
      <c r="BS811" s="2474">
        <v>1800</v>
      </c>
      <c r="BU811" s="2475"/>
      <c r="BW811" s="2474">
        <v>1800</v>
      </c>
      <c r="BX811" s="2466">
        <v>896.56</v>
      </c>
      <c r="BZ811" s="2474">
        <v>1800</v>
      </c>
      <c r="CA811" s="2470">
        <v>100</v>
      </c>
      <c r="CB811" s="2472">
        <f t="shared" si="451"/>
        <v>1900</v>
      </c>
      <c r="CC811" s="2473">
        <f t="shared" si="446"/>
        <v>5.5555555555555552E-2</v>
      </c>
      <c r="CE811" s="2474">
        <v>1900</v>
      </c>
      <c r="CF811" s="2476">
        <f t="shared" si="447"/>
        <v>0</v>
      </c>
      <c r="CG811" s="2474">
        <v>1900</v>
      </c>
      <c r="CH811" s="2449" t="s">
        <v>1217</v>
      </c>
      <c r="CI811" s="2449"/>
      <c r="CJ811" s="2450"/>
      <c r="CK811" s="2450"/>
      <c r="CO811" s="2477">
        <v>5.1733333333333187E-2</v>
      </c>
      <c r="CP811" s="2478">
        <f t="shared" si="415"/>
        <v>93.119999999999891</v>
      </c>
      <c r="CQ811" s="2478"/>
      <c r="CR811" s="2478"/>
      <c r="CS811" s="2478"/>
      <c r="CT811" s="2478"/>
    </row>
    <row r="812" spans="1:98" hidden="1" x14ac:dyDescent="0.2">
      <c r="A812" s="2395">
        <v>610</v>
      </c>
      <c r="B812" s="2440" t="s">
        <v>1214</v>
      </c>
      <c r="C812" s="2396">
        <v>61005</v>
      </c>
      <c r="D812" s="2396">
        <v>54300</v>
      </c>
      <c r="E812" s="2397" t="s">
        <v>1268</v>
      </c>
      <c r="F812" s="2440" t="s">
        <v>1214</v>
      </c>
      <c r="G812" s="2440" t="s">
        <v>2274</v>
      </c>
      <c r="H812" s="2466">
        <v>1000</v>
      </c>
      <c r="I812" s="2470"/>
      <c r="J812" s="2466">
        <f t="shared" si="435"/>
        <v>1000</v>
      </c>
      <c r="K812" s="2468">
        <f t="shared" si="436"/>
        <v>0</v>
      </c>
      <c r="M812" s="2467">
        <v>1000</v>
      </c>
      <c r="N812" s="2467">
        <v>1000</v>
      </c>
      <c r="P812" s="2469"/>
      <c r="R812" s="2466">
        <v>1000</v>
      </c>
      <c r="S812" s="2466">
        <v>197.79</v>
      </c>
      <c r="U812" s="2466">
        <v>1000</v>
      </c>
      <c r="V812" s="2470"/>
      <c r="W812" s="2466">
        <f t="shared" si="437"/>
        <v>1000</v>
      </c>
      <c r="X812" s="2468">
        <f t="shared" si="438"/>
        <v>0</v>
      </c>
      <c r="Z812" s="2467">
        <v>1000</v>
      </c>
      <c r="AA812" s="2467">
        <v>1000</v>
      </c>
      <c r="AC812" s="2469"/>
      <c r="AE812" s="2466">
        <v>1000</v>
      </c>
      <c r="AF812" s="2471">
        <v>355.53</v>
      </c>
      <c r="AH812" s="2466">
        <v>1000</v>
      </c>
      <c r="AI812" s="2470">
        <v>-300</v>
      </c>
      <c r="AJ812" s="2466">
        <f t="shared" si="439"/>
        <v>700</v>
      </c>
      <c r="AK812" s="2468">
        <f t="shared" si="440"/>
        <v>-0.3</v>
      </c>
      <c r="AM812" s="2467">
        <v>700</v>
      </c>
      <c r="AN812" s="2467">
        <v>700</v>
      </c>
      <c r="AP812" s="2469"/>
      <c r="AR812" s="2466">
        <v>700</v>
      </c>
      <c r="AS812" s="2466">
        <v>837.32</v>
      </c>
      <c r="AT812" s="2466"/>
      <c r="AU812" s="2466">
        <v>700</v>
      </c>
      <c r="AV812" s="2466">
        <v>463.58</v>
      </c>
      <c r="AX812" s="2466">
        <v>700</v>
      </c>
      <c r="AY812" s="2470"/>
      <c r="AZ812" s="2466">
        <f t="shared" si="448"/>
        <v>700</v>
      </c>
      <c r="BA812" s="2468">
        <f t="shared" si="449"/>
        <v>0</v>
      </c>
      <c r="BC812" s="2467">
        <v>700</v>
      </c>
      <c r="BD812" s="2467">
        <v>700</v>
      </c>
      <c r="BF812" s="2469"/>
      <c r="BH812" s="2467">
        <v>700</v>
      </c>
      <c r="BI812" s="2466">
        <v>147.44</v>
      </c>
      <c r="BM812" s="2466">
        <v>700</v>
      </c>
      <c r="BN812" s="2470"/>
      <c r="BO812" s="2472">
        <f t="shared" si="450"/>
        <v>700</v>
      </c>
      <c r="BP812" s="2473">
        <f t="shared" si="444"/>
        <v>0</v>
      </c>
      <c r="BR812" s="2474">
        <v>700</v>
      </c>
      <c r="BS812" s="2474">
        <v>700</v>
      </c>
      <c r="BU812" s="2475"/>
      <c r="BW812" s="2474">
        <v>700</v>
      </c>
      <c r="BX812" s="2466">
        <v>71.680000000000007</v>
      </c>
      <c r="BZ812" s="2474">
        <v>700</v>
      </c>
      <c r="CA812" s="2470"/>
      <c r="CB812" s="2472">
        <f t="shared" si="451"/>
        <v>700</v>
      </c>
      <c r="CC812" s="2473">
        <f t="shared" si="446"/>
        <v>0</v>
      </c>
      <c r="CE812" s="2474">
        <v>700</v>
      </c>
      <c r="CF812" s="2476">
        <f t="shared" si="447"/>
        <v>0</v>
      </c>
      <c r="CG812" s="2474">
        <v>700</v>
      </c>
      <c r="CH812" s="2449" t="s">
        <v>1217</v>
      </c>
      <c r="CI812" s="2449"/>
      <c r="CJ812" s="2450"/>
      <c r="CK812" s="2450"/>
      <c r="CO812" s="2477">
        <v>-0.78937142857142861</v>
      </c>
      <c r="CP812" s="2478">
        <f t="shared" si="415"/>
        <v>-552.55999999999995</v>
      </c>
      <c r="CQ812" s="2478"/>
      <c r="CR812" s="2478"/>
      <c r="CS812" s="2478"/>
      <c r="CT812" s="2478"/>
    </row>
    <row r="813" spans="1:98" hidden="1" x14ac:dyDescent="0.2">
      <c r="A813" s="2395">
        <v>610</v>
      </c>
      <c r="B813" s="2440" t="s">
        <v>1214</v>
      </c>
      <c r="C813" s="2396">
        <v>61005</v>
      </c>
      <c r="D813" s="2396">
        <v>54500</v>
      </c>
      <c r="E813" s="2397" t="s">
        <v>1268</v>
      </c>
      <c r="F813" s="2440" t="s">
        <v>1214</v>
      </c>
      <c r="G813" s="2440" t="s">
        <v>2275</v>
      </c>
      <c r="H813" s="2466">
        <v>1500</v>
      </c>
      <c r="I813" s="2470"/>
      <c r="J813" s="2466">
        <f t="shared" si="435"/>
        <v>1500</v>
      </c>
      <c r="K813" s="2468">
        <f t="shared" si="436"/>
        <v>0</v>
      </c>
      <c r="M813" s="2467">
        <v>1500</v>
      </c>
      <c r="N813" s="2467">
        <v>1500</v>
      </c>
      <c r="P813" s="2469"/>
      <c r="R813" s="2466">
        <v>1500</v>
      </c>
      <c r="S813" s="2466">
        <v>1532.64</v>
      </c>
      <c r="U813" s="2466">
        <v>1500</v>
      </c>
      <c r="V813" s="2470"/>
      <c r="W813" s="2466">
        <f t="shared" si="437"/>
        <v>1500</v>
      </c>
      <c r="X813" s="2468">
        <f t="shared" si="438"/>
        <v>0</v>
      </c>
      <c r="Z813" s="2467">
        <v>1500</v>
      </c>
      <c r="AA813" s="2467">
        <v>1500</v>
      </c>
      <c r="AC813" s="2469"/>
      <c r="AE813" s="2466">
        <v>1500</v>
      </c>
      <c r="AF813" s="2471">
        <v>1605.6</v>
      </c>
      <c r="AH813" s="2466">
        <v>1500</v>
      </c>
      <c r="AI813" s="2470"/>
      <c r="AJ813" s="2466">
        <f t="shared" si="439"/>
        <v>1500</v>
      </c>
      <c r="AK813" s="2468">
        <f t="shared" si="440"/>
        <v>0</v>
      </c>
      <c r="AM813" s="2467">
        <v>1500</v>
      </c>
      <c r="AN813" s="2467">
        <v>1500</v>
      </c>
      <c r="AP813" s="2469"/>
      <c r="AR813" s="2466">
        <v>1500</v>
      </c>
      <c r="AS813" s="2466">
        <v>1484.4</v>
      </c>
      <c r="AT813" s="2466"/>
      <c r="AU813" s="2466">
        <v>1500</v>
      </c>
      <c r="AV813" s="2466">
        <v>1430.46</v>
      </c>
      <c r="AX813" s="2466">
        <v>1500</v>
      </c>
      <c r="AY813" s="2470"/>
      <c r="AZ813" s="2466">
        <f t="shared" si="448"/>
        <v>1500</v>
      </c>
      <c r="BA813" s="2468">
        <f t="shared" si="449"/>
        <v>0</v>
      </c>
      <c r="BC813" s="2467">
        <v>1500</v>
      </c>
      <c r="BD813" s="2467">
        <v>1500</v>
      </c>
      <c r="BF813" s="2469"/>
      <c r="BH813" s="2467">
        <v>1500</v>
      </c>
      <c r="BI813" s="2466">
        <v>1934.93</v>
      </c>
      <c r="BM813" s="2466">
        <v>1500</v>
      </c>
      <c r="BN813" s="2470"/>
      <c r="BO813" s="2472">
        <f t="shared" si="450"/>
        <v>1500</v>
      </c>
      <c r="BP813" s="2473">
        <f t="shared" si="444"/>
        <v>0</v>
      </c>
      <c r="BR813" s="2474">
        <v>1500</v>
      </c>
      <c r="BS813" s="2474">
        <v>1500</v>
      </c>
      <c r="BU813" s="2475"/>
      <c r="BW813" s="2474">
        <v>1500</v>
      </c>
      <c r="BX813" s="2466">
        <v>920.87</v>
      </c>
      <c r="BZ813" s="2474">
        <v>1500</v>
      </c>
      <c r="CA813" s="2470"/>
      <c r="CB813" s="2472">
        <f t="shared" si="451"/>
        <v>1500</v>
      </c>
      <c r="CC813" s="2473">
        <f t="shared" si="446"/>
        <v>0</v>
      </c>
      <c r="CE813" s="2474">
        <v>1500</v>
      </c>
      <c r="CF813" s="2476">
        <f t="shared" si="447"/>
        <v>0</v>
      </c>
      <c r="CG813" s="2474">
        <v>1500</v>
      </c>
      <c r="CH813" s="2449" t="s">
        <v>1217</v>
      </c>
      <c r="CI813" s="2449"/>
      <c r="CJ813" s="2450"/>
      <c r="CK813" s="2450"/>
      <c r="CO813" s="2477">
        <v>0.28995333333333329</v>
      </c>
      <c r="CP813" s="2478">
        <f t="shared" si="415"/>
        <v>434.93000000000006</v>
      </c>
      <c r="CQ813" s="2478"/>
      <c r="CR813" s="2478"/>
      <c r="CS813" s="2478"/>
      <c r="CT813" s="2478"/>
    </row>
    <row r="814" spans="1:98" hidden="1" x14ac:dyDescent="0.2">
      <c r="A814" s="2395">
        <v>610</v>
      </c>
      <c r="B814" s="2440" t="s">
        <v>1214</v>
      </c>
      <c r="C814" s="2396">
        <v>61005</v>
      </c>
      <c r="D814" s="2396">
        <v>57100</v>
      </c>
      <c r="E814" s="2397" t="s">
        <v>1268</v>
      </c>
      <c r="F814" s="2440" t="s">
        <v>1214</v>
      </c>
      <c r="G814" s="2440" t="s">
        <v>2276</v>
      </c>
      <c r="H814" s="2466">
        <v>900</v>
      </c>
      <c r="I814" s="2470"/>
      <c r="J814" s="2466">
        <f t="shared" si="435"/>
        <v>900</v>
      </c>
      <c r="K814" s="2468">
        <f t="shared" si="436"/>
        <v>0</v>
      </c>
      <c r="M814" s="2467">
        <v>900</v>
      </c>
      <c r="N814" s="2467">
        <v>900</v>
      </c>
      <c r="P814" s="2469"/>
      <c r="R814" s="2466">
        <v>900</v>
      </c>
      <c r="S814" s="2466">
        <v>749.06</v>
      </c>
      <c r="U814" s="2466">
        <v>900</v>
      </c>
      <c r="V814" s="2470"/>
      <c r="W814" s="2466">
        <f t="shared" si="437"/>
        <v>900</v>
      </c>
      <c r="X814" s="2468">
        <f t="shared" si="438"/>
        <v>0</v>
      </c>
      <c r="Z814" s="2467">
        <v>900</v>
      </c>
      <c r="AA814" s="2467">
        <v>900</v>
      </c>
      <c r="AC814" s="2469"/>
      <c r="AE814" s="2466">
        <v>900</v>
      </c>
      <c r="AF814" s="2471">
        <v>685.27</v>
      </c>
      <c r="AH814" s="2466">
        <v>900</v>
      </c>
      <c r="AI814" s="2470"/>
      <c r="AJ814" s="2466">
        <f t="shared" si="439"/>
        <v>900</v>
      </c>
      <c r="AK814" s="2468">
        <f t="shared" si="440"/>
        <v>0</v>
      </c>
      <c r="AM814" s="2467">
        <v>900</v>
      </c>
      <c r="AN814" s="2467">
        <v>900</v>
      </c>
      <c r="AP814" s="2469"/>
      <c r="AR814" s="2466">
        <v>900</v>
      </c>
      <c r="AS814" s="2466">
        <v>550.91999999999996</v>
      </c>
      <c r="AT814" s="2466"/>
      <c r="AU814" s="2466">
        <v>900</v>
      </c>
      <c r="AV814" s="2466">
        <v>0</v>
      </c>
      <c r="AX814" s="2466">
        <v>900</v>
      </c>
      <c r="AY814" s="2470"/>
      <c r="AZ814" s="2466">
        <f t="shared" si="448"/>
        <v>900</v>
      </c>
      <c r="BA814" s="2468">
        <f t="shared" si="449"/>
        <v>0</v>
      </c>
      <c r="BC814" s="2467">
        <v>900</v>
      </c>
      <c r="BD814" s="2467">
        <v>900</v>
      </c>
      <c r="BF814" s="2469"/>
      <c r="BH814" s="2467">
        <v>900</v>
      </c>
      <c r="BI814" s="2466">
        <v>25</v>
      </c>
      <c r="BM814" s="2466">
        <v>900</v>
      </c>
      <c r="BN814" s="2470"/>
      <c r="BO814" s="2472">
        <f t="shared" si="450"/>
        <v>900</v>
      </c>
      <c r="BP814" s="2473">
        <f t="shared" si="444"/>
        <v>0</v>
      </c>
      <c r="BR814" s="2474">
        <v>900</v>
      </c>
      <c r="BS814" s="2474">
        <v>900</v>
      </c>
      <c r="BU814" s="2475"/>
      <c r="BW814" s="2474">
        <v>900</v>
      </c>
      <c r="BX814" s="2466">
        <v>79</v>
      </c>
      <c r="BZ814" s="2474">
        <v>900</v>
      </c>
      <c r="CA814" s="2470"/>
      <c r="CB814" s="2472">
        <f t="shared" si="451"/>
        <v>900</v>
      </c>
      <c r="CC814" s="2473">
        <f t="shared" si="446"/>
        <v>0</v>
      </c>
      <c r="CE814" s="2474">
        <v>900</v>
      </c>
      <c r="CF814" s="2476">
        <f t="shared" si="447"/>
        <v>0</v>
      </c>
      <c r="CG814" s="2474">
        <v>900</v>
      </c>
      <c r="CH814" s="2449" t="s">
        <v>1217</v>
      </c>
      <c r="CI814" s="2449"/>
      <c r="CJ814" s="2450"/>
      <c r="CK814" s="2450"/>
      <c r="CO814" s="2477">
        <v>-0.97222222222222221</v>
      </c>
      <c r="CP814" s="2478">
        <f t="shared" si="415"/>
        <v>-875</v>
      </c>
      <c r="CQ814" s="2478"/>
      <c r="CR814" s="2478"/>
      <c r="CS814" s="2478"/>
      <c r="CT814" s="2478"/>
    </row>
    <row r="815" spans="1:98" hidden="1" x14ac:dyDescent="0.2">
      <c r="A815" s="2395">
        <v>610</v>
      </c>
      <c r="B815" s="2440" t="s">
        <v>1214</v>
      </c>
      <c r="C815" s="2396">
        <v>61005</v>
      </c>
      <c r="D815" s="2396">
        <v>57300</v>
      </c>
      <c r="E815" s="2397" t="s">
        <v>1268</v>
      </c>
      <c r="F815" s="2440" t="s">
        <v>1214</v>
      </c>
      <c r="G815" s="2440" t="s">
        <v>2277</v>
      </c>
      <c r="H815" s="2466">
        <v>200</v>
      </c>
      <c r="I815" s="2470"/>
      <c r="J815" s="2466">
        <f t="shared" si="435"/>
        <v>200</v>
      </c>
      <c r="K815" s="2468">
        <f t="shared" si="436"/>
        <v>0</v>
      </c>
      <c r="M815" s="2467">
        <v>200</v>
      </c>
      <c r="N815" s="2467">
        <v>200</v>
      </c>
      <c r="P815" s="2469"/>
      <c r="R815" s="2466">
        <v>200</v>
      </c>
      <c r="S815" s="2466">
        <v>175</v>
      </c>
      <c r="U815" s="2466">
        <v>200</v>
      </c>
      <c r="V815" s="2470"/>
      <c r="W815" s="2466">
        <f t="shared" si="437"/>
        <v>200</v>
      </c>
      <c r="X815" s="2468">
        <f t="shared" si="438"/>
        <v>0</v>
      </c>
      <c r="Z815" s="2467">
        <v>200</v>
      </c>
      <c r="AA815" s="2467">
        <v>200</v>
      </c>
      <c r="AC815" s="2469"/>
      <c r="AE815" s="2466">
        <v>200</v>
      </c>
      <c r="AF815" s="2471">
        <v>175</v>
      </c>
      <c r="AH815" s="2466">
        <v>200</v>
      </c>
      <c r="AI815" s="2470"/>
      <c r="AJ815" s="2466">
        <f t="shared" si="439"/>
        <v>200</v>
      </c>
      <c r="AK815" s="2468">
        <f t="shared" si="440"/>
        <v>0</v>
      </c>
      <c r="AM815" s="2467">
        <v>200</v>
      </c>
      <c r="AN815" s="2467">
        <v>200</v>
      </c>
      <c r="AP815" s="2469"/>
      <c r="AR815" s="2466">
        <v>200</v>
      </c>
      <c r="AS815" s="2466">
        <v>175</v>
      </c>
      <c r="AT815" s="2466"/>
      <c r="AU815" s="2466">
        <v>200</v>
      </c>
      <c r="AV815" s="2466">
        <v>175</v>
      </c>
      <c r="AX815" s="2466">
        <v>200</v>
      </c>
      <c r="AY815" s="2470"/>
      <c r="AZ815" s="2466">
        <f t="shared" si="448"/>
        <v>200</v>
      </c>
      <c r="BA815" s="2468">
        <f t="shared" si="449"/>
        <v>0</v>
      </c>
      <c r="BC815" s="2467">
        <v>200</v>
      </c>
      <c r="BD815" s="2467">
        <v>200</v>
      </c>
      <c r="BF815" s="2469"/>
      <c r="BH815" s="2467">
        <v>200</v>
      </c>
      <c r="BI815" s="2466">
        <v>175</v>
      </c>
      <c r="BM815" s="2466">
        <v>200</v>
      </c>
      <c r="BN815" s="2470"/>
      <c r="BO815" s="2472">
        <f t="shared" si="450"/>
        <v>200</v>
      </c>
      <c r="BP815" s="2473">
        <f t="shared" si="444"/>
        <v>0</v>
      </c>
      <c r="BR815" s="2474">
        <v>200</v>
      </c>
      <c r="BS815" s="2474">
        <v>200</v>
      </c>
      <c r="BU815" s="2475"/>
      <c r="BW815" s="2474">
        <v>200</v>
      </c>
      <c r="BX815" s="2466">
        <v>175</v>
      </c>
      <c r="BZ815" s="2474">
        <v>200</v>
      </c>
      <c r="CA815" s="2470"/>
      <c r="CB815" s="2472">
        <f t="shared" si="451"/>
        <v>200</v>
      </c>
      <c r="CC815" s="2473">
        <f t="shared" si="446"/>
        <v>0</v>
      </c>
      <c r="CE815" s="2474">
        <v>200</v>
      </c>
      <c r="CF815" s="2476">
        <f t="shared" si="447"/>
        <v>0</v>
      </c>
      <c r="CG815" s="2474">
        <v>200</v>
      </c>
      <c r="CH815" s="2449" t="s">
        <v>1217</v>
      </c>
      <c r="CI815" s="2449"/>
      <c r="CJ815" s="2450"/>
      <c r="CK815" s="2450"/>
      <c r="CO815" s="2477">
        <v>-0.125</v>
      </c>
      <c r="CP815" s="2478">
        <f t="shared" si="415"/>
        <v>-25</v>
      </c>
      <c r="CQ815" s="2478"/>
      <c r="CR815" s="2478"/>
      <c r="CS815" s="2478"/>
      <c r="CT815" s="2478"/>
    </row>
    <row r="816" spans="1:98" hidden="1" x14ac:dyDescent="0.2">
      <c r="A816" s="2395">
        <v>610</v>
      </c>
      <c r="B816" s="2440" t="s">
        <v>1214</v>
      </c>
      <c r="C816" s="2396">
        <v>61005</v>
      </c>
      <c r="D816" s="2396">
        <v>58500</v>
      </c>
      <c r="E816" s="2397" t="s">
        <v>1268</v>
      </c>
      <c r="F816" s="2440" t="s">
        <v>1214</v>
      </c>
      <c r="G816" s="2440" t="s">
        <v>2278</v>
      </c>
      <c r="H816" s="2466">
        <v>2000</v>
      </c>
      <c r="I816" s="2470"/>
      <c r="J816" s="2466">
        <f t="shared" si="435"/>
        <v>2000</v>
      </c>
      <c r="K816" s="2468">
        <f t="shared" si="436"/>
        <v>0</v>
      </c>
      <c r="M816" s="2467">
        <v>2000</v>
      </c>
      <c r="N816" s="2467">
        <v>2000</v>
      </c>
      <c r="P816" s="2469"/>
      <c r="R816" s="2466">
        <v>2000</v>
      </c>
      <c r="S816" s="2466">
        <v>503.38</v>
      </c>
      <c r="U816" s="2466">
        <v>2000</v>
      </c>
      <c r="V816" s="2470"/>
      <c r="W816" s="2466">
        <f t="shared" si="437"/>
        <v>2000</v>
      </c>
      <c r="X816" s="2468">
        <f t="shared" si="438"/>
        <v>0</v>
      </c>
      <c r="Z816" s="2467">
        <v>2000</v>
      </c>
      <c r="AA816" s="2467">
        <v>2000</v>
      </c>
      <c r="AC816" s="2469"/>
      <c r="AE816" s="2466">
        <v>2000</v>
      </c>
      <c r="AF816" s="2471">
        <v>2000</v>
      </c>
      <c r="AH816" s="2466">
        <v>2000</v>
      </c>
      <c r="AI816" s="2470"/>
      <c r="AJ816" s="2466">
        <f t="shared" si="439"/>
        <v>2000</v>
      </c>
      <c r="AK816" s="2468">
        <f t="shared" si="440"/>
        <v>0</v>
      </c>
      <c r="AM816" s="2467">
        <v>2000</v>
      </c>
      <c r="AN816" s="2467">
        <v>2000</v>
      </c>
      <c r="AP816" s="2469"/>
      <c r="AR816" s="2466">
        <v>2000</v>
      </c>
      <c r="AS816" s="2466">
        <v>0</v>
      </c>
      <c r="AT816" s="2466"/>
      <c r="AU816" s="2466">
        <v>2000</v>
      </c>
      <c r="AV816" s="2466">
        <v>0</v>
      </c>
      <c r="AX816" s="2466">
        <v>2000</v>
      </c>
      <c r="AY816" s="2470"/>
      <c r="AZ816" s="2466">
        <f t="shared" si="448"/>
        <v>2000</v>
      </c>
      <c r="BA816" s="2468">
        <f t="shared" si="449"/>
        <v>0</v>
      </c>
      <c r="BC816" s="2467">
        <v>2000</v>
      </c>
      <c r="BD816" s="2467">
        <v>2000</v>
      </c>
      <c r="BF816" s="2469"/>
      <c r="BH816" s="2467">
        <v>2000</v>
      </c>
      <c r="BI816" s="2466">
        <v>2161.2399999999998</v>
      </c>
      <c r="BM816" s="2466">
        <v>2000</v>
      </c>
      <c r="BN816" s="2470"/>
      <c r="BO816" s="2472">
        <f t="shared" si="450"/>
        <v>2000</v>
      </c>
      <c r="BP816" s="2473">
        <f t="shared" si="444"/>
        <v>0</v>
      </c>
      <c r="BR816" s="2474">
        <v>2000</v>
      </c>
      <c r="BS816" s="2474">
        <v>2000</v>
      </c>
      <c r="BU816" s="2475"/>
      <c r="BW816" s="2474">
        <v>2000</v>
      </c>
      <c r="BX816" s="2466">
        <v>433.98</v>
      </c>
      <c r="BZ816" s="2474">
        <v>2000</v>
      </c>
      <c r="CA816" s="2470"/>
      <c r="CB816" s="2472">
        <f t="shared" si="451"/>
        <v>2000</v>
      </c>
      <c r="CC816" s="2473">
        <f t="shared" si="446"/>
        <v>0</v>
      </c>
      <c r="CE816" s="2474">
        <v>2000</v>
      </c>
      <c r="CF816" s="2476">
        <f t="shared" si="447"/>
        <v>0</v>
      </c>
      <c r="CG816" s="2474">
        <v>2000</v>
      </c>
      <c r="CH816" s="2449" t="s">
        <v>1217</v>
      </c>
      <c r="CI816" s="2449"/>
      <c r="CJ816" s="2450"/>
      <c r="CK816" s="2450"/>
      <c r="CO816" s="2477">
        <v>8.0619999999999914E-2</v>
      </c>
      <c r="CP816" s="2478">
        <f t="shared" si="415"/>
        <v>161.23999999999978</v>
      </c>
      <c r="CQ816" s="2478"/>
      <c r="CR816" s="2478"/>
      <c r="CS816" s="2478"/>
      <c r="CT816" s="2478"/>
    </row>
    <row r="817" spans="1:98" s="2485" customFormat="1" hidden="1" x14ac:dyDescent="0.2">
      <c r="A817" s="2532"/>
      <c r="B817" s="2533"/>
      <c r="C817" s="2534"/>
      <c r="D817" s="2534"/>
      <c r="E817" s="2535"/>
      <c r="F817" s="2533"/>
      <c r="G817" s="2654" t="s">
        <v>2279</v>
      </c>
      <c r="H817" s="2536">
        <f>SUM(H797:H816)</f>
        <v>149317</v>
      </c>
      <c r="I817" s="2536">
        <f>SUM(I797:I816)</f>
        <v>2982</v>
      </c>
      <c r="J817" s="2536">
        <f>SUM(J797:J816)</f>
        <v>152299</v>
      </c>
      <c r="K817" s="2484">
        <f>IF(H817=0," ",(J817-H817)/H817)</f>
        <v>1.9970934320941353E-2</v>
      </c>
      <c r="M817" s="2536">
        <f>SUM(M797:M816)</f>
        <v>152299</v>
      </c>
      <c r="N817" s="2536">
        <f>SUM(N797:N816)</f>
        <v>152299</v>
      </c>
      <c r="P817" s="2537">
        <f>SUM(P797:P816)</f>
        <v>0</v>
      </c>
      <c r="R817" s="2536">
        <f>SUM(R797:R816)</f>
        <v>152299</v>
      </c>
      <c r="S817" s="2536">
        <f>SUM(S797:S816)</f>
        <v>148242.47</v>
      </c>
      <c r="U817" s="2536">
        <f>SUM(U797:U816)</f>
        <v>152299</v>
      </c>
      <c r="V817" s="2536">
        <f>SUM(V797:V816)</f>
        <v>0</v>
      </c>
      <c r="W817" s="2536">
        <f>SUM(W797:W816)</f>
        <v>152299</v>
      </c>
      <c r="X817" s="2484">
        <f>IF(U817=0," ",(W817-U817)/U817)</f>
        <v>0</v>
      </c>
      <c r="Z817" s="2536">
        <f>SUM(Z797:Z816)</f>
        <v>152299</v>
      </c>
      <c r="AA817" s="2536">
        <f>SUM(AA797:AA816)</f>
        <v>154870</v>
      </c>
      <c r="AC817" s="2537"/>
      <c r="AE817" s="2536">
        <f>SUM(AE797:AE816)</f>
        <v>154870</v>
      </c>
      <c r="AF817" s="2538">
        <f>SUM(AF797:AF816)</f>
        <v>152931.71</v>
      </c>
      <c r="AH817" s="2536">
        <f>SUM(AH797:AH816)</f>
        <v>154870</v>
      </c>
      <c r="AI817" s="2536">
        <f>SUM(AI797:AI816)</f>
        <v>0</v>
      </c>
      <c r="AJ817" s="2536">
        <f>SUM(AJ797:AJ816)</f>
        <v>154870</v>
      </c>
      <c r="AK817" s="2484">
        <f>IF(AH817=0," ",(AJ817-AH817)/AH817)</f>
        <v>0</v>
      </c>
      <c r="AM817" s="2536">
        <f>SUM(AM797:AM816)</f>
        <v>158168</v>
      </c>
      <c r="AN817" s="2536">
        <f>SUM(AN797:AN816)</f>
        <v>158168</v>
      </c>
      <c r="AP817" s="2537"/>
      <c r="AR817" s="2536">
        <f>SUM(AR797:AR816)</f>
        <v>158168</v>
      </c>
      <c r="AS817" s="2536">
        <f>SUM(AS797:AS816)</f>
        <v>147830.91</v>
      </c>
      <c r="AT817" s="2536"/>
      <c r="AU817" s="2536">
        <f>SUM(AU797:AU816)</f>
        <v>174395</v>
      </c>
      <c r="AV817" s="2536">
        <f>SUM(AV797:AV816)</f>
        <v>147477.10999999996</v>
      </c>
      <c r="AX817" s="2536">
        <f>SUM(AX797:AX816)</f>
        <v>174395</v>
      </c>
      <c r="AY817" s="2536">
        <f>SUM(AY797:AY816)</f>
        <v>-12000</v>
      </c>
      <c r="AZ817" s="2536">
        <f>SUM(AZ797:AZ816)</f>
        <v>162395</v>
      </c>
      <c r="BA817" s="2484">
        <f>IF(AX817=0," ",(AZ817-AX817)/AX817)</f>
        <v>-6.8809312193583536E-2</v>
      </c>
      <c r="BC817" s="2536">
        <f>SUM(BC797:BC816)</f>
        <v>162395</v>
      </c>
      <c r="BD817" s="2536">
        <f>SUM(BD797:BD816)</f>
        <v>164680</v>
      </c>
      <c r="BF817" s="2537"/>
      <c r="BH817" s="2536">
        <f>SUM(BH797:BH816)</f>
        <v>164680</v>
      </c>
      <c r="BI817" s="2536">
        <f>SUM(BI797:BI816)</f>
        <v>147160.54999999996</v>
      </c>
      <c r="BJ817" s="2536"/>
      <c r="BK817" s="2536"/>
      <c r="BM817" s="2536">
        <f>SUM(BM797:BM816)</f>
        <v>164680</v>
      </c>
      <c r="BN817" s="2539">
        <f>SUM(BN797:BN816)</f>
        <v>0</v>
      </c>
      <c r="BO817" s="2540">
        <f>SUM(BO797:BO816)</f>
        <v>164680</v>
      </c>
      <c r="BP817" s="2490">
        <f>IF(BM817=0," ",(BO817-BM817)/BM817)</f>
        <v>0</v>
      </c>
      <c r="BQ817" s="2491"/>
      <c r="BR817" s="2540">
        <f>SUM(BR797:BR816)</f>
        <v>164680</v>
      </c>
      <c r="BS817" s="2540">
        <f>SUM(BS797:BS816)</f>
        <v>176656</v>
      </c>
      <c r="BT817" s="2491"/>
      <c r="BU817" s="2541"/>
      <c r="BV817" s="2491"/>
      <c r="BW817" s="2540">
        <f>SUM(BW797:BW816)</f>
        <v>176656</v>
      </c>
      <c r="BX817" s="2536">
        <f>SUM(BX797:BX816)</f>
        <v>92687.56</v>
      </c>
      <c r="BZ817" s="2540">
        <f>SUM(BZ797:BZ816)</f>
        <v>176656</v>
      </c>
      <c r="CA817" s="2540">
        <f>SUM(CA797:CA816)</f>
        <v>840</v>
      </c>
      <c r="CB817" s="2540">
        <f>SUM(CB797:CB816)</f>
        <v>177496</v>
      </c>
      <c r="CC817" s="2490">
        <f>IF(BZ817=0," ",(CB817-BZ817)/BZ817)</f>
        <v>4.7550040757177794E-3</v>
      </c>
      <c r="CD817" s="2491"/>
      <c r="CE817" s="2540">
        <f>SUM(CE797:CE816)</f>
        <v>177496</v>
      </c>
      <c r="CF817" s="2490">
        <f t="shared" si="447"/>
        <v>0</v>
      </c>
      <c r="CG817" s="2540">
        <f>SUM(CG797:CG816)</f>
        <v>177496</v>
      </c>
      <c r="CH817" s="2449" t="s">
        <v>1220</v>
      </c>
      <c r="CI817" s="2449"/>
      <c r="CJ817" s="2450"/>
      <c r="CK817" s="2450"/>
      <c r="CL817" s="2451"/>
      <c r="CM817" s="2451"/>
      <c r="CN817" s="2451"/>
      <c r="CO817" s="2477">
        <v>-0.10638480689822716</v>
      </c>
      <c r="CP817" s="2478">
        <f t="shared" si="415"/>
        <v>-17519.450000000041</v>
      </c>
      <c r="CQ817" s="2478"/>
      <c r="CR817" s="2478"/>
      <c r="CS817" s="2478"/>
      <c r="CT817" s="2478"/>
    </row>
    <row r="818" spans="1:98" ht="9.9499999999999993" hidden="1" customHeight="1" x14ac:dyDescent="0.2">
      <c r="AS818" s="2466"/>
      <c r="AT818" s="2466"/>
      <c r="BZ818" s="2472"/>
      <c r="CH818" s="2449" t="s">
        <v>1091</v>
      </c>
      <c r="CI818" s="2449"/>
      <c r="CJ818" s="2450"/>
      <c r="CK818" s="2450"/>
      <c r="CP818" s="2478">
        <f t="shared" si="415"/>
        <v>0</v>
      </c>
      <c r="CQ818" s="2478"/>
      <c r="CR818" s="2478"/>
      <c r="CS818" s="2478"/>
      <c r="CT818" s="2478"/>
    </row>
    <row r="819" spans="1:98" x14ac:dyDescent="0.2">
      <c r="A819" s="2495"/>
      <c r="B819" s="2496"/>
      <c r="C819" s="2497"/>
      <c r="D819" s="2497"/>
      <c r="E819" s="2498"/>
      <c r="F819" s="2496"/>
      <c r="G819" s="2499" t="s">
        <v>2280</v>
      </c>
      <c r="H819" s="2500">
        <f>H795+H817</f>
        <v>570391</v>
      </c>
      <c r="I819" s="2500">
        <f>I795+I817</f>
        <v>14891</v>
      </c>
      <c r="J819" s="2500">
        <f>J795+J817</f>
        <v>585282</v>
      </c>
      <c r="K819" s="2501">
        <f>IF(H819=0," ",(J819-H819)/H819)</f>
        <v>2.6106653155467039E-2</v>
      </c>
      <c r="M819" s="2500">
        <f>M795+M817</f>
        <v>585282</v>
      </c>
      <c r="N819" s="2500">
        <f>N795+N817</f>
        <v>585282</v>
      </c>
      <c r="P819" s="2502">
        <f>P795+P817</f>
        <v>0</v>
      </c>
      <c r="R819" s="2500">
        <f>R795+R817</f>
        <v>585282</v>
      </c>
      <c r="S819" s="2500">
        <f>S795+S817</f>
        <v>578405.46000000008</v>
      </c>
      <c r="U819" s="2500">
        <f>U795+U817</f>
        <v>585282</v>
      </c>
      <c r="V819" s="2500">
        <f>V795+V817</f>
        <v>19621</v>
      </c>
      <c r="W819" s="2500">
        <f>W795+W817</f>
        <v>604903</v>
      </c>
      <c r="X819" s="2501">
        <f>IF(U819=0," ",(W819-U819)/U819)</f>
        <v>3.3524010647858642E-2</v>
      </c>
      <c r="Z819" s="2500">
        <f>Z795+Z817</f>
        <v>604903</v>
      </c>
      <c r="AA819" s="2500">
        <f>AA795+AA817</f>
        <v>607474</v>
      </c>
      <c r="AC819" s="2502"/>
      <c r="AE819" s="2500">
        <f>AE795+AE817</f>
        <v>607474</v>
      </c>
      <c r="AF819" s="2503">
        <f>AF795+AF817</f>
        <v>603677.30999999994</v>
      </c>
      <c r="AH819" s="2500">
        <v>607474</v>
      </c>
      <c r="AI819" s="2500">
        <f>AI795+AI817</f>
        <v>25586</v>
      </c>
      <c r="AJ819" s="2500">
        <f>AJ795+AJ817</f>
        <v>633060</v>
      </c>
      <c r="AK819" s="2501">
        <f>IF(AH819=0," ",(AJ819-AH819)/AH819)</f>
        <v>4.211867503794401E-2</v>
      </c>
      <c r="AM819" s="2500">
        <f>AM795+AM817</f>
        <v>636358</v>
      </c>
      <c r="AN819" s="2500">
        <f>AN795+AN817</f>
        <v>636358</v>
      </c>
      <c r="AP819" s="2502"/>
      <c r="AR819" s="2500">
        <f>AR795+AR817</f>
        <v>636358</v>
      </c>
      <c r="AS819" s="2500">
        <f>AS795+AS817</f>
        <v>624856.15</v>
      </c>
      <c r="AT819" s="2500"/>
      <c r="AU819" s="2500">
        <f>AU795+AU817</f>
        <v>663086</v>
      </c>
      <c r="AV819" s="2500">
        <f>AV795+AV817</f>
        <v>588540.30000000005</v>
      </c>
      <c r="AX819" s="2500">
        <f>AX795+AX817</f>
        <v>663086</v>
      </c>
      <c r="AY819" s="2500">
        <f>AY795+AY817</f>
        <v>-12889</v>
      </c>
      <c r="AZ819" s="2500">
        <f>AZ795+AZ817</f>
        <v>650197</v>
      </c>
      <c r="BA819" s="2501">
        <f>IF(AX819=0," ",(AZ819-AX819)/AX819)</f>
        <v>-1.9437900966088863E-2</v>
      </c>
      <c r="BC819" s="2500">
        <f>BC795+BC817</f>
        <v>650197</v>
      </c>
      <c r="BD819" s="2500">
        <f>BD795+BD817</f>
        <v>652482</v>
      </c>
      <c r="BF819" s="2502"/>
      <c r="BH819" s="2500">
        <f>BH795+BH817</f>
        <v>652482</v>
      </c>
      <c r="BI819" s="2500">
        <f>BI795+BI817</f>
        <v>619613.50999999989</v>
      </c>
      <c r="BJ819" s="2500"/>
      <c r="BK819" s="2500"/>
      <c r="BM819" s="2500">
        <f>BM795+BM817</f>
        <v>652482</v>
      </c>
      <c r="BN819" s="2504">
        <f>BN795+BN817</f>
        <v>2451</v>
      </c>
      <c r="BO819" s="2505">
        <f>BO795+BO817</f>
        <v>654933</v>
      </c>
      <c r="BP819" s="2506">
        <f>IF(BM819=0," ",(BO819-BM819)/BM819)</f>
        <v>3.7564254646105179E-3</v>
      </c>
      <c r="BR819" s="2505">
        <f>BR795+BR817</f>
        <v>654933</v>
      </c>
      <c r="BS819" s="2505">
        <f>BS795+BS817</f>
        <v>666909</v>
      </c>
      <c r="BU819" s="2507"/>
      <c r="BW819" s="2505">
        <f>BW795+BW817</f>
        <v>666909</v>
      </c>
      <c r="BX819" s="2500">
        <f>BX795+BX817</f>
        <v>327007.76</v>
      </c>
      <c r="BZ819" s="2505">
        <f>BZ795+BZ817</f>
        <v>666909</v>
      </c>
      <c r="CA819" s="2505">
        <f>CA795+CA817</f>
        <v>2542</v>
      </c>
      <c r="CB819" s="2505">
        <f>CB795+CB817</f>
        <v>669451</v>
      </c>
      <c r="CC819" s="2506">
        <f>IF(BZ819=0," ",(CB819-BZ819)/BZ819)</f>
        <v>3.811614478137197E-3</v>
      </c>
      <c r="CE819" s="2505">
        <f>CE795+CE817</f>
        <v>683350</v>
      </c>
      <c r="CF819" s="2506">
        <f>IF(CB819=0," ",(CE819-CB819)/CB819)</f>
        <v>2.0761788390785883E-2</v>
      </c>
      <c r="CG819" s="2505">
        <f>CG795+CG817</f>
        <v>683350</v>
      </c>
      <c r="CH819" s="2449" t="s">
        <v>1222</v>
      </c>
      <c r="CI819" s="2508" t="str">
        <f>IF(CG819-CE819=0,"",CG819-CE819)</f>
        <v/>
      </c>
      <c r="CJ819" s="2509"/>
      <c r="CK819" s="2509"/>
      <c r="CL819" s="2451" t="str">
        <f>IF(CO819&lt;-1*CM$2,"examine","ignore")</f>
        <v>examine</v>
      </c>
      <c r="CM819" s="2545">
        <f>IF(CL819="examine",CP819+CM$2*CP819/CO819,"")</f>
        <v>-6769.2100000001192</v>
      </c>
      <c r="CN819" s="2545">
        <f>IF(CI819="",CM819,CM819-CI819)</f>
        <v>-6769.2100000001192</v>
      </c>
      <c r="CO819" s="2477">
        <v>-5.0374554393837867E-2</v>
      </c>
      <c r="CP819" s="2510">
        <f t="shared" si="415"/>
        <v>-32868.490000000107</v>
      </c>
      <c r="CQ819" s="2510">
        <f>AV819-AU819</f>
        <v>-74545.699999999953</v>
      </c>
      <c r="CR819" s="2510">
        <f>AS819-AR819</f>
        <v>-11501.849999999977</v>
      </c>
      <c r="CS819" s="2510">
        <f>AF819-AE819</f>
        <v>-3796.6900000000605</v>
      </c>
    </row>
    <row r="820" spans="1:98" ht="20.100000000000001" hidden="1" customHeight="1" x14ac:dyDescent="0.2">
      <c r="AS820" s="2466"/>
      <c r="AT820" s="2466"/>
      <c r="BZ820" s="2472"/>
      <c r="CH820" s="2449" t="s">
        <v>1091</v>
      </c>
      <c r="CI820" s="2449"/>
      <c r="CJ820" s="2450"/>
      <c r="CK820" s="2450"/>
      <c r="CP820" s="2478">
        <f t="shared" si="415"/>
        <v>0</v>
      </c>
      <c r="CQ820" s="2478"/>
      <c r="CR820" s="2478"/>
      <c r="CS820" s="2478"/>
      <c r="CT820" s="2478"/>
    </row>
    <row r="821" spans="1:98" ht="15.75" hidden="1" x14ac:dyDescent="0.2">
      <c r="A821" s="2453" t="s">
        <v>2281</v>
      </c>
      <c r="B821" s="2454"/>
      <c r="C821" s="2455"/>
      <c r="D821" s="2455"/>
      <c r="E821" s="2456"/>
      <c r="F821" s="2454"/>
      <c r="G821" s="2454"/>
      <c r="H821" s="2457"/>
      <c r="I821" s="2457"/>
      <c r="J821" s="2457"/>
      <c r="K821" s="2458"/>
      <c r="M821" s="2457"/>
      <c r="N821" s="2457"/>
      <c r="P821" s="2459"/>
      <c r="R821" s="2457"/>
      <c r="S821" s="2457"/>
      <c r="U821" s="2457"/>
      <c r="V821" s="2457"/>
      <c r="W821" s="2457"/>
      <c r="X821" s="2458"/>
      <c r="Z821" s="2457"/>
      <c r="AA821" s="2457"/>
      <c r="AC821" s="2459"/>
      <c r="AE821" s="2457"/>
      <c r="AF821" s="2460"/>
      <c r="AH821" s="2457"/>
      <c r="AI821" s="2457"/>
      <c r="AJ821" s="2457"/>
      <c r="AK821" s="2458"/>
      <c r="AM821" s="2457"/>
      <c r="AN821" s="2457"/>
      <c r="AP821" s="2459"/>
      <c r="AR821" s="2457"/>
      <c r="AS821" s="2457"/>
      <c r="AT821" s="2457"/>
      <c r="AU821" s="2457"/>
      <c r="AV821" s="2457"/>
      <c r="AX821" s="2457"/>
      <c r="AY821" s="2457"/>
      <c r="AZ821" s="2457"/>
      <c r="BA821" s="2458"/>
      <c r="BC821" s="2457"/>
      <c r="BD821" s="2457"/>
      <c r="BF821" s="2461"/>
      <c r="BH821" s="2457"/>
      <c r="BI821" s="2457"/>
      <c r="BJ821" s="2457"/>
      <c r="BK821" s="2457"/>
      <c r="BM821" s="2457"/>
      <c r="BN821" s="2462"/>
      <c r="BO821" s="2463"/>
      <c r="BP821" s="2464"/>
      <c r="BR821" s="2463"/>
      <c r="BS821" s="2463"/>
      <c r="BU821" s="2465"/>
      <c r="BW821" s="2463"/>
      <c r="BX821" s="2457"/>
      <c r="BZ821" s="2463"/>
      <c r="CA821" s="2462"/>
      <c r="CB821" s="2463"/>
      <c r="CC821" s="2464"/>
      <c r="CE821" s="2463"/>
      <c r="CF821" s="2464"/>
      <c r="CG821" s="2463"/>
      <c r="CH821" s="2449" t="s">
        <v>1212</v>
      </c>
      <c r="CI821" s="2449"/>
      <c r="CJ821" s="2450"/>
      <c r="CK821" s="2450"/>
      <c r="CP821" s="2478">
        <f t="shared" si="415"/>
        <v>0</v>
      </c>
      <c r="CQ821" s="2478"/>
      <c r="CR821" s="2478"/>
      <c r="CS821" s="2478"/>
      <c r="CT821" s="2478"/>
    </row>
    <row r="822" spans="1:98" hidden="1" x14ac:dyDescent="0.2">
      <c r="A822" s="2395">
        <v>630</v>
      </c>
      <c r="B822" s="2440" t="s">
        <v>1214</v>
      </c>
      <c r="C822" s="2396">
        <v>63001</v>
      </c>
      <c r="D822" s="2396">
        <v>51129</v>
      </c>
      <c r="E822" s="2397" t="s">
        <v>319</v>
      </c>
      <c r="F822" s="2440" t="s">
        <v>1214</v>
      </c>
      <c r="G822" s="2440" t="s">
        <v>2282</v>
      </c>
      <c r="I822" s="2470"/>
      <c r="J822" s="2466">
        <f>H822+I822</f>
        <v>0</v>
      </c>
      <c r="K822" s="2468" t="str">
        <f>IF(H822=0," ",(J822-H822)/H822)</f>
        <v xml:space="preserve"> </v>
      </c>
      <c r="M822" s="2467"/>
      <c r="N822" s="2467"/>
      <c r="P822" s="2469"/>
      <c r="S822" s="2466">
        <v>0</v>
      </c>
      <c r="V822" s="2470">
        <v>0</v>
      </c>
      <c r="W822" s="2466">
        <f>U822+V822</f>
        <v>0</v>
      </c>
      <c r="X822" s="2468" t="str">
        <f>IF(U822=0," ",(W822-U822)/U822)</f>
        <v xml:space="preserve"> </v>
      </c>
      <c r="Z822" s="2467"/>
      <c r="AA822" s="2467"/>
      <c r="AC822" s="2469"/>
      <c r="AF822" s="2471">
        <v>0</v>
      </c>
      <c r="AI822" s="2470"/>
      <c r="AJ822" s="2466">
        <f>AH822+AI822</f>
        <v>0</v>
      </c>
      <c r="AK822" s="2468" t="str">
        <f>IF(AH822=0," ",(AJ822-AH822)/AH822)</f>
        <v xml:space="preserve"> </v>
      </c>
      <c r="AM822" s="2467"/>
      <c r="AN822" s="2467"/>
      <c r="AP822" s="2469"/>
      <c r="AS822" s="2466"/>
      <c r="AT822" s="2466"/>
      <c r="AV822" s="2466">
        <v>0</v>
      </c>
      <c r="AY822" s="2470"/>
      <c r="AZ822" s="2466">
        <f>AX822+AY822</f>
        <v>0</v>
      </c>
      <c r="BA822" s="2468" t="str">
        <f>IF(AX822=0," ",(AZ822-AX822)/AX822)</f>
        <v xml:space="preserve"> </v>
      </c>
      <c r="BC822" s="2467"/>
      <c r="BD822" s="2467">
        <v>31103</v>
      </c>
      <c r="BF822" s="2530" t="s">
        <v>2283</v>
      </c>
      <c r="BH822" s="2467">
        <v>31103</v>
      </c>
      <c r="BI822" s="2466">
        <v>23278.799999999999</v>
      </c>
      <c r="BM822" s="2466">
        <v>31103</v>
      </c>
      <c r="BN822" s="2470">
        <v>605</v>
      </c>
      <c r="BO822" s="2472">
        <f>BM822+BN822</f>
        <v>31708</v>
      </c>
      <c r="BP822" s="2473">
        <f>IF(BM822=0," ",(BO822-BM822)/BM822)</f>
        <v>1.9451499855319423E-2</v>
      </c>
      <c r="BR822" s="2474">
        <v>31708</v>
      </c>
      <c r="BS822" s="2474">
        <v>31708</v>
      </c>
      <c r="BU822" s="2512" t="s">
        <v>2284</v>
      </c>
      <c r="BW822" s="2474">
        <v>31708</v>
      </c>
      <c r="BX822" s="2466">
        <v>14839</v>
      </c>
      <c r="BZ822" s="2474">
        <v>31708</v>
      </c>
      <c r="CA822" s="2470">
        <v>887</v>
      </c>
      <c r="CB822" s="2472">
        <f>BZ822+CA822</f>
        <v>32595</v>
      </c>
      <c r="CC822" s="2473">
        <f>IF(BZ822=0," ",(CB822-BZ822)/BZ822)</f>
        <v>2.7974012867415163E-2</v>
      </c>
      <c r="CE822" s="2474">
        <v>34156</v>
      </c>
      <c r="CF822" s="2476">
        <f>IF(CB822=0," ",(CE822-CB822)/CB822)</f>
        <v>4.78907807946004E-2</v>
      </c>
      <c r="CG822" s="2572">
        <f>34156-905</f>
        <v>33251</v>
      </c>
      <c r="CH822" s="2449" t="s">
        <v>1217</v>
      </c>
      <c r="CI822" s="2449"/>
      <c r="CJ822" s="2450" t="s">
        <v>1256</v>
      </c>
      <c r="CK822" s="2518">
        <f t="shared" ref="CK822" si="452">-CG822</f>
        <v>-33251</v>
      </c>
      <c r="CO822" s="2477">
        <v>-0.25155772755039707</v>
      </c>
      <c r="CP822" s="2478">
        <f t="shared" si="415"/>
        <v>-7824.2000000000007</v>
      </c>
      <c r="CQ822" s="2478"/>
      <c r="CR822" s="2478"/>
      <c r="CS822" s="2478"/>
      <c r="CT822" s="2478"/>
    </row>
    <row r="823" spans="1:98" s="2485" customFormat="1" hidden="1" x14ac:dyDescent="0.2">
      <c r="A823" s="2532"/>
      <c r="B823" s="2533"/>
      <c r="C823" s="2534"/>
      <c r="D823" s="2534"/>
      <c r="E823" s="2535"/>
      <c r="F823" s="2533"/>
      <c r="G823" s="2588" t="s">
        <v>2285</v>
      </c>
      <c r="H823" s="2536">
        <f t="shared" ref="H823" si="453">SUM(H822)</f>
        <v>0</v>
      </c>
      <c r="I823" s="2536">
        <f>SUM(I822)</f>
        <v>0</v>
      </c>
      <c r="J823" s="2536">
        <f>SUM(J822)</f>
        <v>0</v>
      </c>
      <c r="K823" s="2484" t="str">
        <f>IF(H823=0," ",(J823-H823)/H823)</f>
        <v xml:space="preserve"> </v>
      </c>
      <c r="M823" s="2536">
        <f>SUM(M822)</f>
        <v>0</v>
      </c>
      <c r="N823" s="2536">
        <f>SUM(N822)</f>
        <v>0</v>
      </c>
      <c r="P823" s="2537">
        <f>SUM(P822)</f>
        <v>0</v>
      </c>
      <c r="R823" s="2536">
        <f>SUM(R822)</f>
        <v>0</v>
      </c>
      <c r="S823" s="2536">
        <f>SUM(S822)</f>
        <v>0</v>
      </c>
      <c r="U823" s="2536">
        <f>SUM(U822)</f>
        <v>0</v>
      </c>
      <c r="V823" s="2536">
        <f>SUM(V822)</f>
        <v>0</v>
      </c>
      <c r="W823" s="2536">
        <f>SUM(W822)</f>
        <v>0</v>
      </c>
      <c r="X823" s="2484" t="str">
        <f>IF(U823=0," ",(W823-U823)/U823)</f>
        <v xml:space="preserve"> </v>
      </c>
      <c r="Z823" s="2536">
        <f>SUM(Z822)</f>
        <v>0</v>
      </c>
      <c r="AA823" s="2536">
        <f>SUM(AA822)</f>
        <v>0</v>
      </c>
      <c r="AC823" s="2537"/>
      <c r="AE823" s="2536">
        <f>SUM(AE822)</f>
        <v>0</v>
      </c>
      <c r="AF823" s="2538">
        <f>SUM(AF822)</f>
        <v>0</v>
      </c>
      <c r="AH823" s="2536">
        <v>100</v>
      </c>
      <c r="AI823" s="2536">
        <f>SUM(AI822)</f>
        <v>0</v>
      </c>
      <c r="AJ823" s="2536">
        <f>SUM(AJ822)</f>
        <v>0</v>
      </c>
      <c r="AK823" s="2484">
        <f>IF(AH823=0," ",(AJ823-AH823)/AH823)</f>
        <v>-1</v>
      </c>
      <c r="AM823" s="2536">
        <f>SUM(AM822)</f>
        <v>0</v>
      </c>
      <c r="AN823" s="2536">
        <f>SUM(AN822)</f>
        <v>0</v>
      </c>
      <c r="AP823" s="2537"/>
      <c r="AR823" s="2536">
        <f>SUM(AR822)</f>
        <v>0</v>
      </c>
      <c r="AS823" s="2536">
        <f>SUM(AS822)</f>
        <v>0</v>
      </c>
      <c r="AT823" s="2536"/>
      <c r="AU823" s="2536">
        <f>SUM(AU822)</f>
        <v>0</v>
      </c>
      <c r="AV823" s="2536">
        <f>SUM(AV822)</f>
        <v>0</v>
      </c>
      <c r="AX823" s="2536">
        <f>SUM(AX822)</f>
        <v>0</v>
      </c>
      <c r="AY823" s="2536">
        <f>SUM(AY822)</f>
        <v>0</v>
      </c>
      <c r="AZ823" s="2536">
        <f>SUM(AZ822)</f>
        <v>0</v>
      </c>
      <c r="BA823" s="2484" t="str">
        <f>IF(AX823=0," ",(AZ823-AX823)/AX823)</f>
        <v xml:space="preserve"> </v>
      </c>
      <c r="BC823" s="2536">
        <f>SUM(BC822)</f>
        <v>0</v>
      </c>
      <c r="BD823" s="2536">
        <f>SUM(BD822)</f>
        <v>31103</v>
      </c>
      <c r="BF823" s="2537"/>
      <c r="BH823" s="2536">
        <f>SUM(BH822)</f>
        <v>31103</v>
      </c>
      <c r="BI823" s="2536">
        <f>SUM(BI822)</f>
        <v>23278.799999999999</v>
      </c>
      <c r="BJ823" s="2536"/>
      <c r="BK823" s="2536"/>
      <c r="BM823" s="2536">
        <f>SUM(BM822)</f>
        <v>31103</v>
      </c>
      <c r="BN823" s="2539">
        <f>SUM(BN822)</f>
        <v>605</v>
      </c>
      <c r="BO823" s="2540">
        <f>SUM(BO822)</f>
        <v>31708</v>
      </c>
      <c r="BP823" s="2490">
        <f>IF(BM823=0," ",(BO823-BM823)/BM823)</f>
        <v>1.9451499855319423E-2</v>
      </c>
      <c r="BQ823" s="2491"/>
      <c r="BR823" s="2540">
        <f>SUM(BR822)</f>
        <v>31708</v>
      </c>
      <c r="BS823" s="2540">
        <f>SUM(BS822)</f>
        <v>31708</v>
      </c>
      <c r="BT823" s="2491"/>
      <c r="BU823" s="2541"/>
      <c r="BV823" s="2491"/>
      <c r="BW823" s="2540">
        <f>SUM(BW822)</f>
        <v>31708</v>
      </c>
      <c r="BX823" s="2536">
        <f>SUM(BX822)</f>
        <v>14839</v>
      </c>
      <c r="BZ823" s="2540">
        <f>SUM(BZ822)</f>
        <v>31708</v>
      </c>
      <c r="CA823" s="2540">
        <f>SUM(CA822)</f>
        <v>887</v>
      </c>
      <c r="CB823" s="2540">
        <f>SUM(CB822)</f>
        <v>32595</v>
      </c>
      <c r="CC823" s="2490">
        <f>IF(BZ823=0," ",(CB823-BZ823)/BZ823)</f>
        <v>2.7974012867415163E-2</v>
      </c>
      <c r="CD823" s="2491"/>
      <c r="CE823" s="2540">
        <f>SUM(CE822)</f>
        <v>34156</v>
      </c>
      <c r="CF823" s="2490">
        <f>IF(CB823=0," ",(CE823-CB823)/CB823)</f>
        <v>4.78907807946004E-2</v>
      </c>
      <c r="CG823" s="2540">
        <f>SUM(CG822)</f>
        <v>33251</v>
      </c>
      <c r="CH823" s="2449" t="s">
        <v>1220</v>
      </c>
      <c r="CI823" s="2449"/>
      <c r="CJ823" s="2450"/>
      <c r="CK823" s="2450"/>
      <c r="CL823" s="2451"/>
      <c r="CM823" s="2451"/>
      <c r="CN823" s="2451"/>
      <c r="CO823" s="2477">
        <v>-0.25155772755039707</v>
      </c>
      <c r="CP823" s="2478">
        <f t="shared" si="415"/>
        <v>-7824.2000000000007</v>
      </c>
      <c r="CQ823" s="2478"/>
      <c r="CR823" s="2478"/>
      <c r="CS823" s="2478"/>
      <c r="CT823" s="2478"/>
    </row>
    <row r="824" spans="1:98" hidden="1" x14ac:dyDescent="0.2">
      <c r="AS824" s="2466"/>
      <c r="AT824" s="2466"/>
      <c r="BZ824" s="2472"/>
      <c r="CH824" s="2449" t="s">
        <v>1091</v>
      </c>
      <c r="CI824" s="2449"/>
      <c r="CJ824" s="2450"/>
      <c r="CK824" s="2450"/>
      <c r="CP824" s="2478">
        <f t="shared" si="415"/>
        <v>0</v>
      </c>
      <c r="CQ824" s="2478"/>
      <c r="CR824" s="2478"/>
      <c r="CS824" s="2478"/>
      <c r="CT824" s="2478"/>
    </row>
    <row r="825" spans="1:98" hidden="1" x14ac:dyDescent="0.2">
      <c r="A825" s="2395">
        <v>630</v>
      </c>
      <c r="B825" s="2440" t="s">
        <v>1214</v>
      </c>
      <c r="C825" s="2396">
        <v>63005</v>
      </c>
      <c r="D825" s="2396">
        <v>53430</v>
      </c>
      <c r="E825" s="2397" t="s">
        <v>1268</v>
      </c>
      <c r="F825" s="2440" t="s">
        <v>1214</v>
      </c>
      <c r="G825" s="2440" t="s">
        <v>2286</v>
      </c>
      <c r="I825" s="2470"/>
      <c r="J825" s="2466">
        <f>H825+I825</f>
        <v>0</v>
      </c>
      <c r="K825" s="2468" t="str">
        <f t="shared" ref="K825:K830" si="454">IF(H825=0," ",(J825-H825)/H825)</f>
        <v xml:space="preserve"> </v>
      </c>
      <c r="M825" s="2467"/>
      <c r="N825" s="2467"/>
      <c r="P825" s="2469"/>
      <c r="V825" s="2470">
        <v>0</v>
      </c>
      <c r="W825" s="2466">
        <f>U825+V825</f>
        <v>0</v>
      </c>
      <c r="X825" s="2468" t="str">
        <f t="shared" ref="X825:X830" si="455">IF(U825=0," ",(W825-U825)/U825)</f>
        <v xml:space="preserve"> </v>
      </c>
      <c r="Z825" s="2467"/>
      <c r="AA825" s="2467"/>
      <c r="AC825" s="2469"/>
      <c r="AI825" s="2470"/>
      <c r="AJ825" s="2466">
        <f>AH825+AI825</f>
        <v>0</v>
      </c>
      <c r="AK825" s="2468" t="str">
        <f t="shared" ref="AK825:AK830" si="456">IF(AH825=0," ",(AJ825-AH825)/AH825)</f>
        <v xml:space="preserve"> </v>
      </c>
      <c r="AM825" s="2467"/>
      <c r="AN825" s="2467"/>
      <c r="AP825" s="2469"/>
      <c r="AS825" s="2466">
        <v>0</v>
      </c>
      <c r="AT825" s="2466"/>
      <c r="AY825" s="2470"/>
      <c r="AZ825" s="2466">
        <f>AX825+AY825</f>
        <v>0</v>
      </c>
      <c r="BA825" s="2468" t="str">
        <f t="shared" ref="BA825:BA830" si="457">IF(AX825=0," ",(AZ825-AX825)/AX825)</f>
        <v xml:space="preserve"> </v>
      </c>
      <c r="BC825" s="2467"/>
      <c r="BD825" s="2467">
        <v>400</v>
      </c>
      <c r="BF825" s="2530" t="s">
        <v>2287</v>
      </c>
      <c r="BH825" s="2467">
        <v>400</v>
      </c>
      <c r="BI825" s="2466">
        <v>8.6999999999999993</v>
      </c>
      <c r="BM825" s="2466">
        <v>400</v>
      </c>
      <c r="BN825" s="2470">
        <v>-250</v>
      </c>
      <c r="BO825" s="2472">
        <f>BM825+BN825</f>
        <v>150</v>
      </c>
      <c r="BP825" s="2473">
        <f t="shared" ref="BP825:BP830" si="458">IF(BM825=0," ",(BO825-BM825)/BM825)</f>
        <v>-0.625</v>
      </c>
      <c r="BR825" s="2474">
        <v>150</v>
      </c>
      <c r="BS825" s="2474">
        <v>150</v>
      </c>
      <c r="BU825" s="2578" t="s">
        <v>1430</v>
      </c>
      <c r="BW825" s="2474">
        <v>150</v>
      </c>
      <c r="BZ825" s="2474">
        <v>150</v>
      </c>
      <c r="CA825" s="2470">
        <v>-75</v>
      </c>
      <c r="CB825" s="2472">
        <f>BZ825+CA825</f>
        <v>75</v>
      </c>
      <c r="CC825" s="2473">
        <f t="shared" ref="CC825:CC830" si="459">IF(BZ825=0," ",(CB825-BZ825)/BZ825)</f>
        <v>-0.5</v>
      </c>
      <c r="CE825" s="2474">
        <v>75</v>
      </c>
      <c r="CF825" s="2476">
        <f t="shared" ref="CF825:CF830" si="460">IF(CB825=0," ",(CE825-CB825)/CB825)</f>
        <v>0</v>
      </c>
      <c r="CG825" s="2474">
        <v>75</v>
      </c>
      <c r="CH825" s="2449" t="s">
        <v>1217</v>
      </c>
      <c r="CI825" s="2449"/>
      <c r="CJ825" s="2450" t="s">
        <v>1256</v>
      </c>
      <c r="CK825" s="2518">
        <f t="shared" ref="CK825:CK829" si="461">-CG825</f>
        <v>-75</v>
      </c>
      <c r="CO825" s="2477">
        <v>-0.97824999999999995</v>
      </c>
      <c r="CP825" s="2478">
        <f t="shared" si="415"/>
        <v>-391.3</v>
      </c>
      <c r="CQ825" s="2478"/>
      <c r="CR825" s="2478"/>
      <c r="CS825" s="2478"/>
      <c r="CT825" s="2478"/>
    </row>
    <row r="826" spans="1:98" hidden="1" x14ac:dyDescent="0.2">
      <c r="A826" s="2395">
        <v>630</v>
      </c>
      <c r="B826" s="2440" t="s">
        <v>1214</v>
      </c>
      <c r="C826" s="2396">
        <v>63005</v>
      </c>
      <c r="D826" s="2396">
        <v>54200</v>
      </c>
      <c r="E826" s="2397" t="s">
        <v>1268</v>
      </c>
      <c r="F826" s="2440" t="s">
        <v>1214</v>
      </c>
      <c r="G826" s="2440" t="s">
        <v>2288</v>
      </c>
      <c r="I826" s="2470"/>
      <c r="J826" s="2466">
        <f>H826+I826</f>
        <v>0</v>
      </c>
      <c r="K826" s="2468" t="str">
        <f t="shared" si="454"/>
        <v xml:space="preserve"> </v>
      </c>
      <c r="M826" s="2467"/>
      <c r="N826" s="2467"/>
      <c r="P826" s="2469"/>
      <c r="V826" s="2470">
        <v>0</v>
      </c>
      <c r="W826" s="2466">
        <f>U826+V826</f>
        <v>0</v>
      </c>
      <c r="X826" s="2468" t="str">
        <f t="shared" si="455"/>
        <v xml:space="preserve"> </v>
      </c>
      <c r="Z826" s="2467"/>
      <c r="AA826" s="2467"/>
      <c r="AC826" s="2469"/>
      <c r="AI826" s="2470"/>
      <c r="AJ826" s="2466">
        <f>AH826+AI826</f>
        <v>0</v>
      </c>
      <c r="AK826" s="2468" t="str">
        <f t="shared" si="456"/>
        <v xml:space="preserve"> </v>
      </c>
      <c r="AM826" s="2467"/>
      <c r="AN826" s="2467"/>
      <c r="AP826" s="2469"/>
      <c r="AS826" s="2466">
        <v>0</v>
      </c>
      <c r="AT826" s="2466"/>
      <c r="AY826" s="2470"/>
      <c r="AZ826" s="2466">
        <f>AX826+AY826</f>
        <v>0</v>
      </c>
      <c r="BA826" s="2468" t="str">
        <f t="shared" si="457"/>
        <v xml:space="preserve"> </v>
      </c>
      <c r="BC826" s="2467"/>
      <c r="BD826" s="2467">
        <v>400</v>
      </c>
      <c r="BF826" s="2530" t="s">
        <v>2287</v>
      </c>
      <c r="BH826" s="2467">
        <v>400</v>
      </c>
      <c r="BI826" s="2466">
        <v>607.61</v>
      </c>
      <c r="BM826" s="2466">
        <v>400</v>
      </c>
      <c r="BN826" s="2470"/>
      <c r="BO826" s="2472">
        <f>BM826+BN826</f>
        <v>400</v>
      </c>
      <c r="BP826" s="2473">
        <f t="shared" si="458"/>
        <v>0</v>
      </c>
      <c r="BR826" s="2474">
        <v>400</v>
      </c>
      <c r="BS826" s="2474">
        <v>400</v>
      </c>
      <c r="BU826" s="2475"/>
      <c r="BW826" s="2474">
        <v>400</v>
      </c>
      <c r="BX826" s="2466">
        <v>84.74</v>
      </c>
      <c r="BZ826" s="2474">
        <v>400</v>
      </c>
      <c r="CA826" s="2470"/>
      <c r="CB826" s="2472">
        <f>BZ826+CA826</f>
        <v>400</v>
      </c>
      <c r="CC826" s="2473">
        <f t="shared" si="459"/>
        <v>0</v>
      </c>
      <c r="CE826" s="2474">
        <v>400</v>
      </c>
      <c r="CF826" s="2476">
        <f t="shared" si="460"/>
        <v>0</v>
      </c>
      <c r="CG826" s="2474">
        <v>400</v>
      </c>
      <c r="CH826" s="2449" t="s">
        <v>1217</v>
      </c>
      <c r="CI826" s="2449"/>
      <c r="CJ826" s="2450" t="s">
        <v>1256</v>
      </c>
      <c r="CK826" s="2518">
        <f t="shared" si="461"/>
        <v>-400</v>
      </c>
      <c r="CO826" s="2477">
        <v>0.51902500000000007</v>
      </c>
      <c r="CP826" s="2478">
        <f t="shared" si="415"/>
        <v>207.61</v>
      </c>
      <c r="CQ826" s="2478"/>
      <c r="CR826" s="2478"/>
      <c r="CS826" s="2478"/>
      <c r="CT826" s="2478"/>
    </row>
    <row r="827" spans="1:98" hidden="1" x14ac:dyDescent="0.2">
      <c r="A827" s="2395">
        <v>630</v>
      </c>
      <c r="B827" s="2440" t="s">
        <v>1214</v>
      </c>
      <c r="C827" s="2396">
        <v>63005</v>
      </c>
      <c r="D827" s="2396">
        <v>54650</v>
      </c>
      <c r="E827" s="2397" t="s">
        <v>1268</v>
      </c>
      <c r="F827" s="2440" t="s">
        <v>1214</v>
      </c>
      <c r="G827" s="2440" t="s">
        <v>2289</v>
      </c>
      <c r="I827" s="2470"/>
      <c r="J827" s="2466">
        <f>H827+I827</f>
        <v>0</v>
      </c>
      <c r="K827" s="2468" t="str">
        <f t="shared" si="454"/>
        <v xml:space="preserve"> </v>
      </c>
      <c r="M827" s="2467"/>
      <c r="N827" s="2467"/>
      <c r="P827" s="2469"/>
      <c r="V827" s="2470">
        <v>0</v>
      </c>
      <c r="W827" s="2466">
        <f>U827+V827</f>
        <v>0</v>
      </c>
      <c r="X827" s="2468" t="str">
        <f t="shared" si="455"/>
        <v xml:space="preserve"> </v>
      </c>
      <c r="Z827" s="2467"/>
      <c r="AA827" s="2467"/>
      <c r="AC827" s="2469"/>
      <c r="AI827" s="2470"/>
      <c r="AJ827" s="2466">
        <f>AH827+AI827</f>
        <v>0</v>
      </c>
      <c r="AK827" s="2468" t="str">
        <f t="shared" si="456"/>
        <v xml:space="preserve"> </v>
      </c>
      <c r="AM827" s="2467"/>
      <c r="AN827" s="2467"/>
      <c r="AP827" s="2469"/>
      <c r="AS827" s="2466">
        <v>0</v>
      </c>
      <c r="AT827" s="2466"/>
      <c r="AY827" s="2470"/>
      <c r="AZ827" s="2466">
        <f>AX827+AY827</f>
        <v>0</v>
      </c>
      <c r="BA827" s="2468" t="str">
        <f t="shared" si="457"/>
        <v xml:space="preserve"> </v>
      </c>
      <c r="BC827" s="2467"/>
      <c r="BD827" s="2467">
        <v>500</v>
      </c>
      <c r="BF827" s="2530" t="s">
        <v>2290</v>
      </c>
      <c r="BH827" s="2467">
        <v>500</v>
      </c>
      <c r="BI827" s="2466">
        <v>342.45</v>
      </c>
      <c r="BM827" s="2466">
        <v>500</v>
      </c>
      <c r="BN827" s="2470"/>
      <c r="BO827" s="2472">
        <f>BM827+BN827</f>
        <v>500</v>
      </c>
      <c r="BP827" s="2473">
        <f t="shared" si="458"/>
        <v>0</v>
      </c>
      <c r="BR827" s="2474">
        <v>500</v>
      </c>
      <c r="BS827" s="2474">
        <v>500</v>
      </c>
      <c r="BU827" s="2475"/>
      <c r="BW827" s="2474">
        <v>500</v>
      </c>
      <c r="BX827" s="2466">
        <v>109.9</v>
      </c>
      <c r="BZ827" s="2474">
        <v>500</v>
      </c>
      <c r="CA827" s="2470">
        <v>45</v>
      </c>
      <c r="CB827" s="2472">
        <f>BZ827+CA827</f>
        <v>545</v>
      </c>
      <c r="CC827" s="2473">
        <f t="shared" si="459"/>
        <v>0.09</v>
      </c>
      <c r="CE827" s="2474">
        <v>545</v>
      </c>
      <c r="CF827" s="2476">
        <f t="shared" si="460"/>
        <v>0</v>
      </c>
      <c r="CG827" s="2474">
        <v>545</v>
      </c>
      <c r="CH827" s="2449" t="s">
        <v>1217</v>
      </c>
      <c r="CI827" s="2449"/>
      <c r="CJ827" s="2450" t="s">
        <v>1256</v>
      </c>
      <c r="CK827" s="2518">
        <f t="shared" si="461"/>
        <v>-545</v>
      </c>
      <c r="CO827" s="2477">
        <v>-0.31510000000000005</v>
      </c>
      <c r="CP827" s="2478">
        <f t="shared" si="415"/>
        <v>-157.55000000000001</v>
      </c>
      <c r="CQ827" s="2478"/>
      <c r="CR827" s="2478"/>
      <c r="CS827" s="2478"/>
      <c r="CT827" s="2478"/>
    </row>
    <row r="828" spans="1:98" hidden="1" x14ac:dyDescent="0.2">
      <c r="A828" s="2395">
        <v>630</v>
      </c>
      <c r="B828" s="2440" t="s">
        <v>1214</v>
      </c>
      <c r="C828" s="2396">
        <v>63005</v>
      </c>
      <c r="D828" s="2396">
        <v>55800</v>
      </c>
      <c r="E828" s="2397" t="s">
        <v>1268</v>
      </c>
      <c r="F828" s="2440" t="s">
        <v>1214</v>
      </c>
      <c r="G828" s="2440" t="s">
        <v>2291</v>
      </c>
      <c r="I828" s="2470"/>
      <c r="J828" s="2466">
        <f>H828+I828</f>
        <v>0</v>
      </c>
      <c r="K828" s="2468" t="str">
        <f t="shared" si="454"/>
        <v xml:space="preserve"> </v>
      </c>
      <c r="M828" s="2467"/>
      <c r="N828" s="2467"/>
      <c r="P828" s="2469"/>
      <c r="V828" s="2470">
        <v>0</v>
      </c>
      <c r="W828" s="2466">
        <f>U828+V828</f>
        <v>0</v>
      </c>
      <c r="X828" s="2468" t="str">
        <f t="shared" si="455"/>
        <v xml:space="preserve"> </v>
      </c>
      <c r="Z828" s="2467"/>
      <c r="AA828" s="2467"/>
      <c r="AC828" s="2469"/>
      <c r="AI828" s="2470"/>
      <c r="AJ828" s="2466">
        <f>AH828+AI828</f>
        <v>0</v>
      </c>
      <c r="AK828" s="2468" t="str">
        <f t="shared" si="456"/>
        <v xml:space="preserve"> </v>
      </c>
      <c r="AM828" s="2467"/>
      <c r="AN828" s="2467"/>
      <c r="AP828" s="2469"/>
      <c r="AS828" s="2466">
        <v>0</v>
      </c>
      <c r="AT828" s="2466"/>
      <c r="AY828" s="2470"/>
      <c r="AZ828" s="2466">
        <f>AX828+AY828</f>
        <v>0</v>
      </c>
      <c r="BA828" s="2468" t="str">
        <f t="shared" si="457"/>
        <v xml:space="preserve"> </v>
      </c>
      <c r="BC828" s="2467"/>
      <c r="BD828" s="2467">
        <v>500</v>
      </c>
      <c r="BF828" s="2530" t="s">
        <v>2290</v>
      </c>
      <c r="BH828" s="2467">
        <v>500</v>
      </c>
      <c r="BI828" s="2466">
        <v>828.17</v>
      </c>
      <c r="BM828" s="2466">
        <v>500</v>
      </c>
      <c r="BN828" s="2470"/>
      <c r="BO828" s="2472">
        <f>BM828+BN828</f>
        <v>500</v>
      </c>
      <c r="BP828" s="2473">
        <f t="shared" si="458"/>
        <v>0</v>
      </c>
      <c r="BR828" s="2474">
        <v>500</v>
      </c>
      <c r="BS828" s="2474">
        <v>500</v>
      </c>
      <c r="BU828" s="2475"/>
      <c r="BW828" s="2474">
        <v>500</v>
      </c>
      <c r="BX828" s="2466">
        <v>137.74</v>
      </c>
      <c r="BZ828" s="2474">
        <v>500</v>
      </c>
      <c r="CA828" s="2470">
        <v>30</v>
      </c>
      <c r="CB828" s="2472">
        <f>BZ828+CA828</f>
        <v>530</v>
      </c>
      <c r="CC828" s="2473">
        <f t="shared" si="459"/>
        <v>0.06</v>
      </c>
      <c r="CE828" s="2474">
        <v>530</v>
      </c>
      <c r="CF828" s="2476">
        <f t="shared" si="460"/>
        <v>0</v>
      </c>
      <c r="CG828" s="2474">
        <v>530</v>
      </c>
      <c r="CH828" s="2449" t="s">
        <v>1217</v>
      </c>
      <c r="CI828" s="2449"/>
      <c r="CJ828" s="2450" t="s">
        <v>1256</v>
      </c>
      <c r="CK828" s="2518">
        <f t="shared" si="461"/>
        <v>-530</v>
      </c>
      <c r="CO828" s="2477">
        <v>0.65633999999999992</v>
      </c>
      <c r="CP828" s="2478">
        <f t="shared" si="415"/>
        <v>328.16999999999996</v>
      </c>
      <c r="CQ828" s="2478"/>
      <c r="CR828" s="2478"/>
      <c r="CS828" s="2478"/>
      <c r="CT828" s="2478"/>
    </row>
    <row r="829" spans="1:98" hidden="1" x14ac:dyDescent="0.2">
      <c r="A829" s="2395">
        <v>630</v>
      </c>
      <c r="B829" s="2440" t="s">
        <v>1214</v>
      </c>
      <c r="C829" s="2396">
        <v>63005</v>
      </c>
      <c r="D829" s="2396">
        <v>57300</v>
      </c>
      <c r="E829" s="2397" t="s">
        <v>1268</v>
      </c>
      <c r="F829" s="2440" t="s">
        <v>1214</v>
      </c>
      <c r="G829" s="2440" t="s">
        <v>2292</v>
      </c>
      <c r="I829" s="2470"/>
      <c r="J829" s="2466">
        <f>H829+I829</f>
        <v>0</v>
      </c>
      <c r="K829" s="2468" t="str">
        <f t="shared" si="454"/>
        <v xml:space="preserve"> </v>
      </c>
      <c r="M829" s="2467"/>
      <c r="N829" s="2467"/>
      <c r="P829" s="2469"/>
      <c r="V829" s="2470">
        <v>0</v>
      </c>
      <c r="W829" s="2466">
        <f>U829+V829</f>
        <v>0</v>
      </c>
      <c r="X829" s="2468" t="str">
        <f t="shared" si="455"/>
        <v xml:space="preserve"> </v>
      </c>
      <c r="Z829" s="2467"/>
      <c r="AA829" s="2467"/>
      <c r="AC829" s="2469"/>
      <c r="AI829" s="2470"/>
      <c r="AJ829" s="2466">
        <f>AH829+AI829</f>
        <v>0</v>
      </c>
      <c r="AK829" s="2468" t="str">
        <f t="shared" si="456"/>
        <v xml:space="preserve"> </v>
      </c>
      <c r="AM829" s="2467"/>
      <c r="AN829" s="2467"/>
      <c r="AP829" s="2469"/>
      <c r="AS829" s="2466">
        <v>0</v>
      </c>
      <c r="AT829" s="2466"/>
      <c r="AY829" s="2470"/>
      <c r="AZ829" s="2466">
        <f>AX829+AY829</f>
        <v>0</v>
      </c>
      <c r="BA829" s="2468" t="str">
        <f t="shared" si="457"/>
        <v xml:space="preserve"> </v>
      </c>
      <c r="BC829" s="2467"/>
      <c r="BD829" s="2467">
        <v>200</v>
      </c>
      <c r="BF829" s="2530" t="s">
        <v>2293</v>
      </c>
      <c r="BH829" s="2467">
        <v>200</v>
      </c>
      <c r="BI829" s="2466">
        <v>210</v>
      </c>
      <c r="BM829" s="2466">
        <v>200</v>
      </c>
      <c r="BN829" s="2470">
        <v>250</v>
      </c>
      <c r="BO829" s="2472">
        <f>BM829+BN829</f>
        <v>450</v>
      </c>
      <c r="BP829" s="2473">
        <f t="shared" si="458"/>
        <v>1.25</v>
      </c>
      <c r="BR829" s="2474">
        <v>450</v>
      </c>
      <c r="BS829" s="2474">
        <v>450</v>
      </c>
      <c r="BU829" s="2578" t="s">
        <v>1430</v>
      </c>
      <c r="BW829" s="2474">
        <v>450</v>
      </c>
      <c r="BX829" s="2466">
        <v>125</v>
      </c>
      <c r="BZ829" s="2474">
        <v>450</v>
      </c>
      <c r="CA829" s="2470"/>
      <c r="CB829" s="2472">
        <f>BZ829+CA829</f>
        <v>450</v>
      </c>
      <c r="CC829" s="2473">
        <f t="shared" si="459"/>
        <v>0</v>
      </c>
      <c r="CE829" s="2474">
        <v>450</v>
      </c>
      <c r="CF829" s="2476">
        <f t="shared" si="460"/>
        <v>0</v>
      </c>
      <c r="CG829" s="2474">
        <v>450</v>
      </c>
      <c r="CH829" s="2449" t="s">
        <v>1217</v>
      </c>
      <c r="CI829" s="2449"/>
      <c r="CJ829" s="2450" t="s">
        <v>1256</v>
      </c>
      <c r="CK829" s="2518">
        <f t="shared" si="461"/>
        <v>-450</v>
      </c>
      <c r="CO829" s="2477">
        <v>5.0000000000000044E-2</v>
      </c>
      <c r="CP829" s="2478">
        <f t="shared" si="415"/>
        <v>10</v>
      </c>
      <c r="CQ829" s="2478"/>
      <c r="CR829" s="2478"/>
      <c r="CS829" s="2478"/>
      <c r="CT829" s="2478"/>
    </row>
    <row r="830" spans="1:98" s="2485" customFormat="1" hidden="1" x14ac:dyDescent="0.2">
      <c r="A830" s="2532"/>
      <c r="B830" s="2533"/>
      <c r="C830" s="2534"/>
      <c r="D830" s="2534"/>
      <c r="E830" s="2535"/>
      <c r="F830" s="2533"/>
      <c r="G830" s="2588" t="s">
        <v>2294</v>
      </c>
      <c r="H830" s="2536">
        <f>SUM(H825:H829)</f>
        <v>0</v>
      </c>
      <c r="I830" s="2536">
        <f>SUM(I825:I829)</f>
        <v>0</v>
      </c>
      <c r="J830" s="2536">
        <f>SUM(J825:J829)</f>
        <v>0</v>
      </c>
      <c r="K830" s="2484" t="str">
        <f t="shared" si="454"/>
        <v xml:space="preserve"> </v>
      </c>
      <c r="M830" s="2536">
        <f>SUM(M825:M829)</f>
        <v>0</v>
      </c>
      <c r="N830" s="2536">
        <f>SUM(N825:N829)</f>
        <v>0</v>
      </c>
      <c r="P830" s="2537"/>
      <c r="R830" s="2536">
        <f>SUM(R825:R829)</f>
        <v>0</v>
      </c>
      <c r="S830" s="2536">
        <f>SUM(S825:S829)</f>
        <v>0</v>
      </c>
      <c r="U830" s="2536">
        <f>SUM(U825:U829)</f>
        <v>0</v>
      </c>
      <c r="V830" s="2536">
        <f>SUM(V825:V829)</f>
        <v>0</v>
      </c>
      <c r="W830" s="2536">
        <f>SUM(W825:W829)</f>
        <v>0</v>
      </c>
      <c r="X830" s="2484" t="str">
        <f t="shared" si="455"/>
        <v xml:space="preserve"> </v>
      </c>
      <c r="Z830" s="2536">
        <f>SUM(Z825:Z829)</f>
        <v>0</v>
      </c>
      <c r="AA830" s="2536">
        <f>SUM(AA825:AA829)</f>
        <v>0</v>
      </c>
      <c r="AC830" s="2537"/>
      <c r="AE830" s="2536">
        <f>SUM(AE825:AE829)</f>
        <v>0</v>
      </c>
      <c r="AF830" s="2536">
        <f>SUM(AF825:AF829)</f>
        <v>0</v>
      </c>
      <c r="AH830" s="2536">
        <f>SUM(AH825:AH829)</f>
        <v>0</v>
      </c>
      <c r="AI830" s="2536">
        <f>SUM(AI825:AI829)</f>
        <v>0</v>
      </c>
      <c r="AJ830" s="2536">
        <f>SUM(AJ825:AJ829)</f>
        <v>0</v>
      </c>
      <c r="AK830" s="2484" t="str">
        <f t="shared" si="456"/>
        <v xml:space="preserve"> </v>
      </c>
      <c r="AM830" s="2536">
        <f>SUM(AM825:AM829)</f>
        <v>0</v>
      </c>
      <c r="AN830" s="2536">
        <f>SUM(AN825:AN829)</f>
        <v>0</v>
      </c>
      <c r="AP830" s="2537"/>
      <c r="AR830" s="2536">
        <f>SUM(AR825:AR829)</f>
        <v>0</v>
      </c>
      <c r="AS830" s="2536">
        <f>SUM(AS825:AS829)</f>
        <v>0</v>
      </c>
      <c r="AT830" s="2536"/>
      <c r="AU830" s="2536">
        <f>SUM(AU825:AU829)</f>
        <v>0</v>
      </c>
      <c r="AV830" s="2536">
        <f>SUM(AV825:AV829)</f>
        <v>0</v>
      </c>
      <c r="AX830" s="2536">
        <f>SUM(AX825:AX829)</f>
        <v>0</v>
      </c>
      <c r="AY830" s="2536">
        <f>SUM(AY825:AY829)</f>
        <v>0</v>
      </c>
      <c r="AZ830" s="2536">
        <f>SUM(AZ825:AZ829)</f>
        <v>0</v>
      </c>
      <c r="BA830" s="2484" t="str">
        <f t="shared" si="457"/>
        <v xml:space="preserve"> </v>
      </c>
      <c r="BC830" s="2536">
        <f>SUM(BC825:BC829)</f>
        <v>0</v>
      </c>
      <c r="BD830" s="2536">
        <f>SUM(BD825:BD829)</f>
        <v>2000</v>
      </c>
      <c r="BF830" s="2537"/>
      <c r="BH830" s="2536">
        <f>SUM(BH825:BH829)</f>
        <v>2000</v>
      </c>
      <c r="BI830" s="2536">
        <f>SUM(BI825:BI829)</f>
        <v>1996.9299999999998</v>
      </c>
      <c r="BJ830" s="2536"/>
      <c r="BK830" s="2536"/>
      <c r="BM830" s="2536">
        <f>SUM(BM825:BM829)</f>
        <v>2000</v>
      </c>
      <c r="BN830" s="2539">
        <f>SUM(BN825:BN829)</f>
        <v>0</v>
      </c>
      <c r="BO830" s="2540">
        <f>SUM(BO825:BO829)</f>
        <v>2000</v>
      </c>
      <c r="BP830" s="2490">
        <f t="shared" si="458"/>
        <v>0</v>
      </c>
      <c r="BQ830" s="2491"/>
      <c r="BR830" s="2540">
        <f>SUM(BR825:BR829)</f>
        <v>2000</v>
      </c>
      <c r="BS830" s="2540">
        <f>SUM(BS825:BS829)</f>
        <v>2000</v>
      </c>
      <c r="BT830" s="2491"/>
      <c r="BU830" s="2541"/>
      <c r="BV830" s="2491"/>
      <c r="BW830" s="2540">
        <f>SUM(BW825:BW829)</f>
        <v>2000</v>
      </c>
      <c r="BX830" s="2536">
        <f>SUM(BX825:BX829)</f>
        <v>457.38</v>
      </c>
      <c r="BZ830" s="2540">
        <f>SUM(BZ825:BZ829)</f>
        <v>2000</v>
      </c>
      <c r="CA830" s="2540">
        <f>SUM(CA825:CA829)</f>
        <v>0</v>
      </c>
      <c r="CB830" s="2540">
        <f>SUM(CB825:CB829)</f>
        <v>2000</v>
      </c>
      <c r="CC830" s="2490">
        <f t="shared" si="459"/>
        <v>0</v>
      </c>
      <c r="CD830" s="2491"/>
      <c r="CE830" s="2540">
        <f>SUM(CE825:CE829)</f>
        <v>2000</v>
      </c>
      <c r="CF830" s="2490">
        <f t="shared" si="460"/>
        <v>0</v>
      </c>
      <c r="CG830" s="2540">
        <f>SUM(CG825:CG829)</f>
        <v>2000</v>
      </c>
      <c r="CH830" s="2449" t="s">
        <v>1220</v>
      </c>
      <c r="CI830" s="2449"/>
      <c r="CJ830" s="2450"/>
      <c r="CK830" s="2450"/>
      <c r="CL830" s="2451"/>
      <c r="CM830" s="2451"/>
      <c r="CN830" s="2451"/>
      <c r="CO830" s="2477">
        <v>-1.5350000000000641E-3</v>
      </c>
      <c r="CP830" s="2478">
        <f t="shared" si="415"/>
        <v>-3.0700000000001637</v>
      </c>
      <c r="CQ830" s="2478"/>
      <c r="CR830" s="2478"/>
      <c r="CS830" s="2478"/>
      <c r="CT830" s="2478"/>
    </row>
    <row r="831" spans="1:98" ht="9.9499999999999993" hidden="1" customHeight="1" x14ac:dyDescent="0.2">
      <c r="AS831" s="2466"/>
      <c r="AT831" s="2466"/>
      <c r="BZ831" s="2472"/>
      <c r="CH831" s="2449" t="s">
        <v>1091</v>
      </c>
      <c r="CI831" s="2449"/>
      <c r="CJ831" s="2450"/>
      <c r="CK831" s="2450"/>
      <c r="CP831" s="2478">
        <f t="shared" si="415"/>
        <v>0</v>
      </c>
      <c r="CQ831" s="2478"/>
      <c r="CR831" s="2478"/>
      <c r="CS831" s="2478"/>
      <c r="CT831" s="2478"/>
    </row>
    <row r="832" spans="1:98" x14ac:dyDescent="0.2">
      <c r="A832" s="2495"/>
      <c r="B832" s="2496"/>
      <c r="C832" s="2497"/>
      <c r="D832" s="2497"/>
      <c r="E832" s="2498"/>
      <c r="F832" s="2496"/>
      <c r="G832" s="2499" t="s">
        <v>2295</v>
      </c>
      <c r="H832" s="2500">
        <f>H823+H830</f>
        <v>0</v>
      </c>
      <c r="I832" s="2500">
        <f>I823+I830</f>
        <v>0</v>
      </c>
      <c r="J832" s="2500">
        <f>J823+J830</f>
        <v>0</v>
      </c>
      <c r="K832" s="2501" t="str">
        <f>IF(H832=0," ",(J832-H832)/H832)</f>
        <v xml:space="preserve"> </v>
      </c>
      <c r="M832" s="2500">
        <f>M823+M830</f>
        <v>0</v>
      </c>
      <c r="N832" s="2500">
        <f>N823+N830</f>
        <v>0</v>
      </c>
      <c r="P832" s="2502">
        <f>P823+P830</f>
        <v>0</v>
      </c>
      <c r="R832" s="2500">
        <f>R823+R830</f>
        <v>0</v>
      </c>
      <c r="S832" s="2500">
        <f>S823+S830</f>
        <v>0</v>
      </c>
      <c r="U832" s="2500">
        <f>U823+U830</f>
        <v>0</v>
      </c>
      <c r="V832" s="2500">
        <f>V823+V830</f>
        <v>0</v>
      </c>
      <c r="W832" s="2500">
        <f>W823+W830</f>
        <v>0</v>
      </c>
      <c r="X832" s="2501" t="str">
        <f>IF(U832=0," ",(W832-U832)/U832)</f>
        <v xml:space="preserve"> </v>
      </c>
      <c r="Z832" s="2500">
        <f>Z823+Z830</f>
        <v>0</v>
      </c>
      <c r="AA832" s="2500">
        <f>AA823+AA830</f>
        <v>0</v>
      </c>
      <c r="AC832" s="2502"/>
      <c r="AE832" s="2500">
        <f>AE823+AE830</f>
        <v>0</v>
      </c>
      <c r="AF832" s="2503">
        <f>AF823+AF830</f>
        <v>0</v>
      </c>
      <c r="AH832" s="2500">
        <v>1850</v>
      </c>
      <c r="AI832" s="2500">
        <f>AI823+AI830</f>
        <v>0</v>
      </c>
      <c r="AJ832" s="2500">
        <f>AJ823+AJ830</f>
        <v>0</v>
      </c>
      <c r="AK832" s="2501">
        <f>IF(AH832=0," ",(AJ832-AH832)/AH832)</f>
        <v>-1</v>
      </c>
      <c r="AM832" s="2500">
        <f>AM823+AM830</f>
        <v>0</v>
      </c>
      <c r="AN832" s="2500">
        <f>AN823+AN830</f>
        <v>0</v>
      </c>
      <c r="AP832" s="2502"/>
      <c r="AR832" s="2500">
        <f>AR823+AR830</f>
        <v>0</v>
      </c>
      <c r="AS832" s="2500">
        <f>AS823+AS830</f>
        <v>0</v>
      </c>
      <c r="AT832" s="2500"/>
      <c r="AU832" s="2500">
        <f>AU823+AU830</f>
        <v>0</v>
      </c>
      <c r="AV832" s="2500">
        <f>AV823+AV830</f>
        <v>0</v>
      </c>
      <c r="AX832" s="2500">
        <f>AX823+AX830</f>
        <v>0</v>
      </c>
      <c r="AY832" s="2500">
        <f>AY823+AY830</f>
        <v>0</v>
      </c>
      <c r="AZ832" s="2500">
        <f>AZ823+AZ830</f>
        <v>0</v>
      </c>
      <c r="BA832" s="2501" t="str">
        <f>IF(AX832=0," ",(AZ832-AX832)/AX832)</f>
        <v xml:space="preserve"> </v>
      </c>
      <c r="BC832" s="2500">
        <f>BC823+BC830</f>
        <v>0</v>
      </c>
      <c r="BD832" s="2500">
        <f>BD823+BD830</f>
        <v>33103</v>
      </c>
      <c r="BF832" s="2502"/>
      <c r="BH832" s="2500">
        <f>BH823+BH830</f>
        <v>33103</v>
      </c>
      <c r="BI832" s="2500">
        <f>BI823+BI830</f>
        <v>25275.73</v>
      </c>
      <c r="BJ832" s="2500"/>
      <c r="BK832" s="2500"/>
      <c r="BM832" s="2500">
        <f>BM823+BM830</f>
        <v>33103</v>
      </c>
      <c r="BN832" s="2504">
        <f>BN823+BN830</f>
        <v>605</v>
      </c>
      <c r="BO832" s="2505">
        <f>BO823+BO830</f>
        <v>33708</v>
      </c>
      <c r="BP832" s="2506">
        <f>IF(BM832=0," ",(BO832-BM832)/BM832)</f>
        <v>1.827628915808235E-2</v>
      </c>
      <c r="BR832" s="2505">
        <f>BR823+BR830</f>
        <v>33708</v>
      </c>
      <c r="BS832" s="2505">
        <f>BS823+BS830</f>
        <v>33708</v>
      </c>
      <c r="BU832" s="2507"/>
      <c r="BW832" s="2505">
        <f>BW823+BW830</f>
        <v>33708</v>
      </c>
      <c r="BX832" s="2500">
        <f>BX823+BX830</f>
        <v>15296.38</v>
      </c>
      <c r="BZ832" s="2505">
        <f>BZ823+BZ830</f>
        <v>33708</v>
      </c>
      <c r="CA832" s="2505">
        <f>CA823+CA830</f>
        <v>887</v>
      </c>
      <c r="CB832" s="2505">
        <f>CB823+CB830</f>
        <v>34595</v>
      </c>
      <c r="CC832" s="2506">
        <f>IF(BZ832=0," ",(CB832-BZ832)/BZ832)</f>
        <v>2.6314228076421028E-2</v>
      </c>
      <c r="CE832" s="2505">
        <f>CE823+CE830</f>
        <v>36156</v>
      </c>
      <c r="CF832" s="2506">
        <f>IF(CB832=0," ",(CE832-CB832)/CB832)</f>
        <v>4.5122127475068649E-2</v>
      </c>
      <c r="CG832" s="2505">
        <f>CG823+CG830</f>
        <v>35251</v>
      </c>
      <c r="CH832" s="2449" t="s">
        <v>1222</v>
      </c>
      <c r="CI832" s="2508">
        <f>IF(CG832-CE832=0,"",CG832-CE832)</f>
        <v>-905</v>
      </c>
      <c r="CJ832" s="2509"/>
      <c r="CK832" s="2509"/>
      <c r="CL832" s="2451" t="str">
        <f>IF(CO832&lt;-1*CM$2,"examine","ignore")</f>
        <v>examine</v>
      </c>
      <c r="CM832" s="2545">
        <f>IF(CL832="examine",CP832+CM$2*CP832/CO832,"")</f>
        <v>-6503.1500000000005</v>
      </c>
      <c r="CN832" s="2545">
        <f>IF(CI832="",CM832,CM832-CI832)</f>
        <v>-5598.1500000000005</v>
      </c>
      <c r="CO832" s="2477">
        <v>-0.23645198320393923</v>
      </c>
      <c r="CP832" s="2510">
        <f t="shared" si="415"/>
        <v>-7827.27</v>
      </c>
      <c r="CQ832" s="2510">
        <f>AV832-AU832</f>
        <v>0</v>
      </c>
      <c r="CR832" s="2510">
        <f>AS832-AR832</f>
        <v>0</v>
      </c>
      <c r="CS832" s="2510">
        <f>AF832-AE832</f>
        <v>0</v>
      </c>
    </row>
    <row r="833" spans="1:98" ht="20.100000000000001" hidden="1" customHeight="1" x14ac:dyDescent="0.2">
      <c r="AS833" s="2466"/>
      <c r="AT833" s="2466"/>
      <c r="BZ833" s="2472"/>
      <c r="CH833" s="2449" t="s">
        <v>1091</v>
      </c>
      <c r="CI833" s="2449"/>
      <c r="CJ833" s="2450"/>
      <c r="CK833" s="2450"/>
      <c r="CP833" s="2478">
        <f t="shared" si="415"/>
        <v>0</v>
      </c>
      <c r="CQ833" s="2478"/>
      <c r="CR833" s="2478"/>
      <c r="CS833" s="2478"/>
      <c r="CT833" s="2478"/>
    </row>
    <row r="834" spans="1:98" ht="15.75" hidden="1" x14ac:dyDescent="0.2">
      <c r="A834" s="2453" t="s">
        <v>504</v>
      </c>
      <c r="B834" s="2454"/>
      <c r="C834" s="2455"/>
      <c r="D834" s="2455"/>
      <c r="E834" s="2456"/>
      <c r="F834" s="2454"/>
      <c r="G834" s="2454"/>
      <c r="H834" s="2457"/>
      <c r="I834" s="2457"/>
      <c r="J834" s="2457"/>
      <c r="K834" s="2458"/>
      <c r="M834" s="2457"/>
      <c r="N834" s="2457"/>
      <c r="P834" s="2459"/>
      <c r="R834" s="2457"/>
      <c r="S834" s="2457"/>
      <c r="U834" s="2457"/>
      <c r="V834" s="2457"/>
      <c r="W834" s="2457"/>
      <c r="X834" s="2458"/>
      <c r="Z834" s="2457"/>
      <c r="AA834" s="2457"/>
      <c r="AC834" s="2459"/>
      <c r="AE834" s="2457"/>
      <c r="AF834" s="2460"/>
      <c r="AH834" s="2457"/>
      <c r="AI834" s="2457"/>
      <c r="AJ834" s="2457"/>
      <c r="AK834" s="2458"/>
      <c r="AM834" s="2457"/>
      <c r="AN834" s="2457"/>
      <c r="AP834" s="2459"/>
      <c r="AR834" s="2457"/>
      <c r="AS834" s="2457"/>
      <c r="AT834" s="2457"/>
      <c r="AU834" s="2457"/>
      <c r="AV834" s="2457"/>
      <c r="AX834" s="2457"/>
      <c r="AY834" s="2457"/>
      <c r="AZ834" s="2457"/>
      <c r="BA834" s="2458"/>
      <c r="BC834" s="2457"/>
      <c r="BD834" s="2457"/>
      <c r="BF834" s="2461"/>
      <c r="BH834" s="2457"/>
      <c r="BI834" s="2457"/>
      <c r="BJ834" s="2457"/>
      <c r="BK834" s="2457"/>
      <c r="BM834" s="2457"/>
      <c r="BN834" s="2462"/>
      <c r="BO834" s="2463"/>
      <c r="BP834" s="2464"/>
      <c r="BR834" s="2463"/>
      <c r="BS834" s="2463"/>
      <c r="BU834" s="2465"/>
      <c r="BW834" s="2463"/>
      <c r="BX834" s="2457"/>
      <c r="BZ834" s="2463"/>
      <c r="CA834" s="2462"/>
      <c r="CB834" s="2463"/>
      <c r="CC834" s="2464"/>
      <c r="CE834" s="2463"/>
      <c r="CF834" s="2464"/>
      <c r="CG834" s="2463"/>
      <c r="CH834" s="2449" t="s">
        <v>1212</v>
      </c>
      <c r="CI834" s="2449"/>
      <c r="CJ834" s="2450"/>
      <c r="CK834" s="2450"/>
      <c r="CP834" s="2478">
        <f t="shared" si="415"/>
        <v>0</v>
      </c>
      <c r="CQ834" s="2478"/>
      <c r="CR834" s="2478"/>
      <c r="CS834" s="2478"/>
      <c r="CT834" s="2478"/>
    </row>
    <row r="835" spans="1:98" hidden="1" x14ac:dyDescent="0.2">
      <c r="A835" s="2395">
        <v>691</v>
      </c>
      <c r="B835" s="2440" t="s">
        <v>1214</v>
      </c>
      <c r="C835" s="2396">
        <v>69105</v>
      </c>
      <c r="D835" s="2396">
        <v>53430</v>
      </c>
      <c r="E835" s="2397" t="s">
        <v>1268</v>
      </c>
      <c r="F835" s="2440" t="s">
        <v>1214</v>
      </c>
      <c r="G835" s="2440" t="s">
        <v>2296</v>
      </c>
      <c r="H835" s="2466">
        <v>150</v>
      </c>
      <c r="I835" s="2470"/>
      <c r="J835" s="2466">
        <f>H835+I835</f>
        <v>150</v>
      </c>
      <c r="K835" s="2468">
        <f>IF(H835=0," ",(J835-H835)/H835)</f>
        <v>0</v>
      </c>
      <c r="M835" s="2467">
        <v>150</v>
      </c>
      <c r="N835" s="2467">
        <v>150</v>
      </c>
      <c r="P835" s="2469" t="s">
        <v>1289</v>
      </c>
      <c r="R835" s="2466">
        <v>150</v>
      </c>
      <c r="S835" s="2466">
        <v>0</v>
      </c>
      <c r="U835" s="2466">
        <v>150</v>
      </c>
      <c r="V835" s="2470">
        <v>0</v>
      </c>
      <c r="W835" s="2466">
        <f>U835+V835</f>
        <v>150</v>
      </c>
      <c r="X835" s="2468">
        <f>IF(U835=0," ",(W835-U835)/U835)</f>
        <v>0</v>
      </c>
      <c r="Z835" s="2467">
        <v>150</v>
      </c>
      <c r="AA835" s="2467">
        <v>150</v>
      </c>
      <c r="AC835" s="2469"/>
      <c r="AE835" s="2466">
        <v>150</v>
      </c>
      <c r="AF835" s="2471">
        <v>0</v>
      </c>
      <c r="AH835" s="2466">
        <v>150</v>
      </c>
      <c r="AI835" s="2470"/>
      <c r="AJ835" s="2466">
        <f>AH835+AI835</f>
        <v>150</v>
      </c>
      <c r="AK835" s="2468">
        <f>IF(AH835=0," ",(AJ835-AH835)/AH835)</f>
        <v>0</v>
      </c>
      <c r="AM835" s="2467">
        <v>150</v>
      </c>
      <c r="AN835" s="2467">
        <v>150</v>
      </c>
      <c r="AP835" s="2469"/>
      <c r="AR835" s="2466">
        <v>150</v>
      </c>
      <c r="AS835" s="2466"/>
      <c r="AT835" s="2466"/>
      <c r="AY835" s="2470"/>
      <c r="AZ835" s="2466">
        <f>AX835+AY835</f>
        <v>0</v>
      </c>
      <c r="BA835" s="2468" t="str">
        <f>IF(AX835=0," ",(AZ835-AX835)/AX835)</f>
        <v xml:space="preserve"> </v>
      </c>
      <c r="BC835" s="2467">
        <v>0</v>
      </c>
      <c r="BD835" s="2467">
        <v>0</v>
      </c>
      <c r="BF835" s="2469"/>
      <c r="BH835" s="2467">
        <v>0</v>
      </c>
      <c r="BM835" s="2466">
        <v>0</v>
      </c>
      <c r="BN835" s="2470"/>
      <c r="BO835" s="2472">
        <f>BM835+BN835</f>
        <v>0</v>
      </c>
      <c r="BP835" s="2473" t="str">
        <f>IF(BM835=0," ",(BO835-BM835)/BM835)</f>
        <v xml:space="preserve"> </v>
      </c>
      <c r="BR835" s="2474">
        <v>0</v>
      </c>
      <c r="BS835" s="2474">
        <v>0</v>
      </c>
      <c r="BU835" s="2475"/>
      <c r="BW835" s="2474">
        <v>0</v>
      </c>
      <c r="BZ835" s="2474">
        <v>0</v>
      </c>
      <c r="CA835" s="2470"/>
      <c r="CB835" s="2472">
        <f>BZ835+CA835</f>
        <v>0</v>
      </c>
      <c r="CC835" s="2473" t="str">
        <f>IF(BZ835=0," ",(CB835-BZ835)/BZ835)</f>
        <v xml:space="preserve"> </v>
      </c>
      <c r="CE835" s="2474">
        <v>0</v>
      </c>
      <c r="CF835" s="2476" t="str">
        <f>IF(CB835=0," ",(CE835-CB835)/CB835)</f>
        <v xml:space="preserve"> </v>
      </c>
      <c r="CG835" s="2474">
        <v>0</v>
      </c>
      <c r="CH835" s="2449" t="s">
        <v>1217</v>
      </c>
      <c r="CI835" s="2449"/>
      <c r="CJ835" s="2450"/>
      <c r="CK835" s="2450"/>
      <c r="CP835" s="2478">
        <f t="shared" si="415"/>
        <v>0</v>
      </c>
      <c r="CQ835" s="2478"/>
      <c r="CR835" s="2478"/>
      <c r="CS835" s="2478"/>
      <c r="CT835" s="2478"/>
    </row>
    <row r="836" spans="1:98" hidden="1" x14ac:dyDescent="0.2">
      <c r="A836" s="2395">
        <v>691</v>
      </c>
      <c r="B836" s="2440" t="s">
        <v>1214</v>
      </c>
      <c r="C836" s="2396">
        <v>69105</v>
      </c>
      <c r="D836" s="2396">
        <v>57800</v>
      </c>
      <c r="E836" s="2397" t="s">
        <v>1268</v>
      </c>
      <c r="F836" s="2440" t="s">
        <v>1214</v>
      </c>
      <c r="G836" s="2440" t="s">
        <v>2297</v>
      </c>
      <c r="H836" s="2466">
        <v>300</v>
      </c>
      <c r="I836" s="2470"/>
      <c r="J836" s="2466">
        <f>H836+I836</f>
        <v>300</v>
      </c>
      <c r="K836" s="2468">
        <f>IF(H836=0," ",(J836-H836)/H836)</f>
        <v>0</v>
      </c>
      <c r="M836" s="2467">
        <v>300</v>
      </c>
      <c r="N836" s="2467">
        <v>300</v>
      </c>
      <c r="P836" s="2469"/>
      <c r="R836" s="2466">
        <v>300</v>
      </c>
      <c r="S836" s="2466">
        <v>0</v>
      </c>
      <c r="U836" s="2466">
        <v>300</v>
      </c>
      <c r="V836" s="2470">
        <v>0</v>
      </c>
      <c r="W836" s="2466">
        <f>U836+V836</f>
        <v>300</v>
      </c>
      <c r="X836" s="2468">
        <f>IF(U836=0," ",(W836-U836)/U836)</f>
        <v>0</v>
      </c>
      <c r="Z836" s="2467">
        <v>300</v>
      </c>
      <c r="AA836" s="2467">
        <v>300</v>
      </c>
      <c r="AC836" s="2469"/>
      <c r="AE836" s="2466">
        <v>300</v>
      </c>
      <c r="AF836" s="2471">
        <v>0</v>
      </c>
      <c r="AH836" s="2466">
        <v>300</v>
      </c>
      <c r="AI836" s="2470"/>
      <c r="AJ836" s="2466">
        <f>AH836+AI836</f>
        <v>300</v>
      </c>
      <c r="AK836" s="2468">
        <f>IF(AH836=0," ",(AJ836-AH836)/AH836)</f>
        <v>0</v>
      </c>
      <c r="AM836" s="2467">
        <v>300</v>
      </c>
      <c r="AN836" s="2467">
        <v>300</v>
      </c>
      <c r="AP836" s="2469"/>
      <c r="AR836" s="2466">
        <v>300</v>
      </c>
      <c r="AS836" s="2466">
        <v>0</v>
      </c>
      <c r="AT836" s="2466"/>
      <c r="AU836" s="2466">
        <v>400</v>
      </c>
      <c r="AV836" s="2466">
        <v>350</v>
      </c>
      <c r="AX836" s="2466">
        <v>400</v>
      </c>
      <c r="AY836" s="2470"/>
      <c r="AZ836" s="2466">
        <f>AX836+AY836</f>
        <v>400</v>
      </c>
      <c r="BA836" s="2468">
        <f>IF(AX836=0," ",(AZ836-AX836)/AX836)</f>
        <v>0</v>
      </c>
      <c r="BC836" s="2467">
        <v>400</v>
      </c>
      <c r="BD836" s="2467">
        <v>400</v>
      </c>
      <c r="BF836" s="2469"/>
      <c r="BH836" s="2467">
        <v>400</v>
      </c>
      <c r="BM836" s="2466">
        <v>400</v>
      </c>
      <c r="BN836" s="2470">
        <v>-100</v>
      </c>
      <c r="BO836" s="2472">
        <f>BM836+BN836</f>
        <v>300</v>
      </c>
      <c r="BP836" s="2473">
        <f>IF(BM836=0," ",(BO836-BM836)/BM836)</f>
        <v>-0.25</v>
      </c>
      <c r="BR836" s="2474">
        <v>300</v>
      </c>
      <c r="BS836" s="2474">
        <v>300</v>
      </c>
      <c r="BU836" s="2578" t="s">
        <v>2298</v>
      </c>
      <c r="BW836" s="2474">
        <v>300</v>
      </c>
      <c r="BZ836" s="2474">
        <v>300</v>
      </c>
      <c r="CA836" s="2470"/>
      <c r="CB836" s="2472">
        <f>BZ836+CA836</f>
        <v>300</v>
      </c>
      <c r="CC836" s="2473">
        <f>IF(BZ836=0," ",(CB836-BZ836)/BZ836)</f>
        <v>0</v>
      </c>
      <c r="CE836" s="2474">
        <v>300</v>
      </c>
      <c r="CF836" s="2476">
        <f>IF(CB836=0," ",(CE836-CB836)/CB836)</f>
        <v>0</v>
      </c>
      <c r="CG836" s="2474">
        <v>300</v>
      </c>
      <c r="CH836" s="2449" t="s">
        <v>1217</v>
      </c>
      <c r="CI836" s="2449"/>
      <c r="CJ836" s="2450"/>
      <c r="CK836" s="2450"/>
      <c r="CO836" s="2477" t="s">
        <v>1218</v>
      </c>
      <c r="CP836" s="2478">
        <f t="shared" si="415"/>
        <v>-400</v>
      </c>
      <c r="CQ836" s="2478"/>
      <c r="CR836" s="2478"/>
      <c r="CS836" s="2478"/>
      <c r="CT836" s="2478"/>
    </row>
    <row r="837" spans="1:98" s="2485" customFormat="1" hidden="1" x14ac:dyDescent="0.2">
      <c r="A837" s="2532"/>
      <c r="B837" s="2533"/>
      <c r="C837" s="2534"/>
      <c r="D837" s="2534"/>
      <c r="E837" s="2535"/>
      <c r="F837" s="2533"/>
      <c r="G837" s="2654" t="s">
        <v>2299</v>
      </c>
      <c r="H837" s="2536">
        <f>SUM(H835:H836)</f>
        <v>450</v>
      </c>
      <c r="I837" s="2536">
        <f>SUM(I835:I836)</f>
        <v>0</v>
      </c>
      <c r="J837" s="2536">
        <f>SUM(J835:J836)</f>
        <v>450</v>
      </c>
      <c r="K837" s="2484">
        <f>IF(H837=0," ",(J837-H837)/H837)</f>
        <v>0</v>
      </c>
      <c r="M837" s="2536">
        <f>SUM(M835:M836)</f>
        <v>450</v>
      </c>
      <c r="N837" s="2536">
        <f>SUM(N835:N836)</f>
        <v>450</v>
      </c>
      <c r="P837" s="2537">
        <f>SUM(P835:P836)</f>
        <v>0</v>
      </c>
      <c r="R837" s="2536">
        <f>SUM(R835:R836)</f>
        <v>450</v>
      </c>
      <c r="S837" s="2536">
        <f>SUM(S835:S836)</f>
        <v>0</v>
      </c>
      <c r="U837" s="2536">
        <f>SUM(U835:U836)</f>
        <v>450</v>
      </c>
      <c r="V837" s="2536">
        <f>SUM(V835:V836)</f>
        <v>0</v>
      </c>
      <c r="W837" s="2536">
        <f>SUM(W835:W836)</f>
        <v>450</v>
      </c>
      <c r="X837" s="2484">
        <f>IF(U837=0," ",(W837-U837)/U837)</f>
        <v>0</v>
      </c>
      <c r="Z837" s="2536">
        <f>SUM(Z835:Z836)</f>
        <v>450</v>
      </c>
      <c r="AA837" s="2536">
        <f>SUM(AA835:AA836)</f>
        <v>450</v>
      </c>
      <c r="AC837" s="2537"/>
      <c r="AE837" s="2536">
        <f>SUM(AE835:AE836)</f>
        <v>450</v>
      </c>
      <c r="AF837" s="2538">
        <f>SUM(AF835:AF836)</f>
        <v>0</v>
      </c>
      <c r="AH837" s="2536">
        <v>450</v>
      </c>
      <c r="AI837" s="2536">
        <f>SUM(AI835:AI836)</f>
        <v>0</v>
      </c>
      <c r="AJ837" s="2536">
        <f>SUM(AJ835:AJ836)</f>
        <v>450</v>
      </c>
      <c r="AK837" s="2484">
        <f>IF(AH837=0," ",(AJ837-AH837)/AH837)</f>
        <v>0</v>
      </c>
      <c r="AM837" s="2536">
        <f>SUM(AM835:AM836)</f>
        <v>450</v>
      </c>
      <c r="AN837" s="2536">
        <f>SUM(AN835:AN836)</f>
        <v>450</v>
      </c>
      <c r="AP837" s="2537"/>
      <c r="AR837" s="2536">
        <f>SUM(AR835:AR836)</f>
        <v>450</v>
      </c>
      <c r="AS837" s="2536">
        <f>SUM(AS835:AS836)</f>
        <v>0</v>
      </c>
      <c r="AT837" s="2536"/>
      <c r="AU837" s="2536">
        <f>SUM(AU835:AU836)</f>
        <v>400</v>
      </c>
      <c r="AV837" s="2536">
        <f>SUM(AV835:AV836)</f>
        <v>350</v>
      </c>
      <c r="AX837" s="2536">
        <f>SUM(AX835:AX836)</f>
        <v>400</v>
      </c>
      <c r="AY837" s="2536">
        <f>SUM(AY835:AY836)</f>
        <v>0</v>
      </c>
      <c r="AZ837" s="2536">
        <f>SUM(AZ835:AZ836)</f>
        <v>400</v>
      </c>
      <c r="BA837" s="2484">
        <f>IF(AX837=0," ",(AZ837-AX837)/AX837)</f>
        <v>0</v>
      </c>
      <c r="BC837" s="2536">
        <f>SUM(BC835:BC836)</f>
        <v>400</v>
      </c>
      <c r="BD837" s="2536">
        <f>SUM(BD835:BD836)</f>
        <v>400</v>
      </c>
      <c r="BF837" s="2537"/>
      <c r="BH837" s="2536">
        <f>SUM(BH835:BH836)</f>
        <v>400</v>
      </c>
      <c r="BI837" s="2536">
        <f>SUM(BI835:BI836)</f>
        <v>0</v>
      </c>
      <c r="BJ837" s="2536"/>
      <c r="BK837" s="2536"/>
      <c r="BM837" s="2536">
        <f>SUM(BM835:BM836)</f>
        <v>400</v>
      </c>
      <c r="BN837" s="2539">
        <f>SUM(BN835:BN836)</f>
        <v>-100</v>
      </c>
      <c r="BO837" s="2540">
        <f>SUM(BO835:BO836)</f>
        <v>300</v>
      </c>
      <c r="BP837" s="2490">
        <f>IF(BM837=0," ",(BO837-BM837)/BM837)</f>
        <v>-0.25</v>
      </c>
      <c r="BQ837" s="2491"/>
      <c r="BR837" s="2540">
        <f>SUM(BR835:BR836)</f>
        <v>300</v>
      </c>
      <c r="BS837" s="2540">
        <f>SUM(BS835:BS836)</f>
        <v>300</v>
      </c>
      <c r="BT837" s="2491"/>
      <c r="BU837" s="2541"/>
      <c r="BV837" s="2491"/>
      <c r="BW837" s="2540">
        <f>SUM(BW835:BW836)</f>
        <v>300</v>
      </c>
      <c r="BX837" s="2536">
        <f>SUM(BX835:BX836)</f>
        <v>0</v>
      </c>
      <c r="BZ837" s="2540">
        <f>SUM(BZ835:BZ836)</f>
        <v>300</v>
      </c>
      <c r="CA837" s="2540">
        <f>SUM(CA835:CA836)</f>
        <v>0</v>
      </c>
      <c r="CB837" s="2540">
        <f>SUM(CB835:CB836)</f>
        <v>300</v>
      </c>
      <c r="CC837" s="2490">
        <f>IF(BZ837=0," ",(CB837-BZ837)/BZ837)</f>
        <v>0</v>
      </c>
      <c r="CD837" s="2491"/>
      <c r="CE837" s="2540">
        <f>SUM(CE835:CE836)</f>
        <v>300</v>
      </c>
      <c r="CF837" s="2490">
        <f>IF(CB837=0," ",(CE837-CB837)/CB837)</f>
        <v>0</v>
      </c>
      <c r="CG837" s="2540">
        <f>SUM(CG835:CG836)</f>
        <v>300</v>
      </c>
      <c r="CH837" s="2449" t="s">
        <v>1220</v>
      </c>
      <c r="CI837" s="2449"/>
      <c r="CJ837" s="2450"/>
      <c r="CK837" s="2450"/>
      <c r="CL837" s="2451"/>
      <c r="CM837" s="2451"/>
      <c r="CN837" s="2451"/>
      <c r="CO837" s="2477" t="s">
        <v>1218</v>
      </c>
      <c r="CP837" s="2478">
        <f t="shared" si="415"/>
        <v>-400</v>
      </c>
      <c r="CQ837" s="2478"/>
      <c r="CR837" s="2478"/>
      <c r="CS837" s="2478"/>
      <c r="CT837" s="2478"/>
    </row>
    <row r="838" spans="1:98" ht="9.9499999999999993" hidden="1" customHeight="1" x14ac:dyDescent="0.2">
      <c r="AS838" s="2466"/>
      <c r="AT838" s="2466"/>
      <c r="BZ838" s="2472"/>
      <c r="CA838" s="2472"/>
      <c r="CH838" s="2449" t="s">
        <v>1091</v>
      </c>
      <c r="CI838" s="2449"/>
      <c r="CJ838" s="2450"/>
      <c r="CK838" s="2450"/>
      <c r="CP838" s="2478">
        <f t="shared" ref="CP838:CP901" si="462">IFERROR(BI838-BH838,"")</f>
        <v>0</v>
      </c>
      <c r="CQ838" s="2478"/>
      <c r="CR838" s="2478"/>
      <c r="CS838" s="2478"/>
      <c r="CT838" s="2478"/>
    </row>
    <row r="839" spans="1:98" x14ac:dyDescent="0.2">
      <c r="A839" s="2495"/>
      <c r="B839" s="2496"/>
      <c r="C839" s="2497"/>
      <c r="D839" s="2497"/>
      <c r="E839" s="2498"/>
      <c r="F839" s="2496"/>
      <c r="G839" s="2499" t="s">
        <v>2300</v>
      </c>
      <c r="H839" s="2500">
        <f t="shared" ref="H839" si="463">H837</f>
        <v>450</v>
      </c>
      <c r="I839" s="2500">
        <f>I837</f>
        <v>0</v>
      </c>
      <c r="J839" s="2500">
        <f>J837</f>
        <v>450</v>
      </c>
      <c r="K839" s="2501">
        <f>IF(H839=0," ",(J839-H839)/H839)</f>
        <v>0</v>
      </c>
      <c r="M839" s="2500">
        <f>M837</f>
        <v>450</v>
      </c>
      <c r="N839" s="2500">
        <f>N837</f>
        <v>450</v>
      </c>
      <c r="P839" s="2502">
        <f>P837</f>
        <v>0</v>
      </c>
      <c r="R839" s="2500">
        <f>R837</f>
        <v>450</v>
      </c>
      <c r="S839" s="2500">
        <f>S837</f>
        <v>0</v>
      </c>
      <c r="U839" s="2500">
        <f>U837</f>
        <v>450</v>
      </c>
      <c r="V839" s="2500">
        <f>V837</f>
        <v>0</v>
      </c>
      <c r="W839" s="2500">
        <f>W837</f>
        <v>450</v>
      </c>
      <c r="X839" s="2501">
        <f>IF(U839=0," ",(W839-U839)/U839)</f>
        <v>0</v>
      </c>
      <c r="Z839" s="2500">
        <f>Z837</f>
        <v>450</v>
      </c>
      <c r="AA839" s="2500">
        <f>AA837</f>
        <v>450</v>
      </c>
      <c r="AC839" s="2502"/>
      <c r="AE839" s="2500">
        <f>AE837</f>
        <v>450</v>
      </c>
      <c r="AF839" s="2503">
        <f>AF837</f>
        <v>0</v>
      </c>
      <c r="AH839" s="2500">
        <v>450</v>
      </c>
      <c r="AI839" s="2500">
        <f>AI837</f>
        <v>0</v>
      </c>
      <c r="AJ839" s="2500">
        <f>AJ837</f>
        <v>450</v>
      </c>
      <c r="AK839" s="2501">
        <f>IF(AH839=0," ",(AJ839-AH839)/AH839)</f>
        <v>0</v>
      </c>
      <c r="AM839" s="2500">
        <f>AM837</f>
        <v>450</v>
      </c>
      <c r="AN839" s="2500">
        <f>AN837</f>
        <v>450</v>
      </c>
      <c r="AP839" s="2502"/>
      <c r="AR839" s="2500">
        <f>AR837</f>
        <v>450</v>
      </c>
      <c r="AS839" s="2500">
        <f>AS837</f>
        <v>0</v>
      </c>
      <c r="AT839" s="2500"/>
      <c r="AU839" s="2500">
        <f>AU837</f>
        <v>400</v>
      </c>
      <c r="AV839" s="2500">
        <f>AV837</f>
        <v>350</v>
      </c>
      <c r="AX839" s="2500">
        <f>AX837</f>
        <v>400</v>
      </c>
      <c r="AY839" s="2500">
        <f>AY837</f>
        <v>0</v>
      </c>
      <c r="AZ839" s="2500">
        <f>AZ837</f>
        <v>400</v>
      </c>
      <c r="BA839" s="2501">
        <f>IF(AX839=0," ",(AZ839-AX839)/AX839)</f>
        <v>0</v>
      </c>
      <c r="BC839" s="2500">
        <f>BC837</f>
        <v>400</v>
      </c>
      <c r="BD839" s="2500">
        <f>BD837</f>
        <v>400</v>
      </c>
      <c r="BF839" s="2502"/>
      <c r="BH839" s="2500">
        <f>BH837</f>
        <v>400</v>
      </c>
      <c r="BI839" s="2500">
        <f>BI837</f>
        <v>0</v>
      </c>
      <c r="BJ839" s="2500"/>
      <c r="BK839" s="2500"/>
      <c r="BM839" s="2500">
        <f>BM837</f>
        <v>400</v>
      </c>
      <c r="BN839" s="2504">
        <f>BN837</f>
        <v>-100</v>
      </c>
      <c r="BO839" s="2505">
        <f>BO837</f>
        <v>300</v>
      </c>
      <c r="BP839" s="2506">
        <f>IF(BM839=0," ",(BO839-BM839)/BM839)</f>
        <v>-0.25</v>
      </c>
      <c r="BR839" s="2505">
        <f>BR837</f>
        <v>300</v>
      </c>
      <c r="BS839" s="2505">
        <f>BS837</f>
        <v>300</v>
      </c>
      <c r="BU839" s="2507"/>
      <c r="BW839" s="2505">
        <f>BW837</f>
        <v>300</v>
      </c>
      <c r="BX839" s="2500">
        <f>BX837</f>
        <v>0</v>
      </c>
      <c r="BZ839" s="2505">
        <f>BZ837</f>
        <v>300</v>
      </c>
      <c r="CA839" s="2505">
        <f>CA837</f>
        <v>0</v>
      </c>
      <c r="CB839" s="2505">
        <f>CB837</f>
        <v>300</v>
      </c>
      <c r="CC839" s="2506">
        <f>IF(BZ839=0," ",(CB839-BZ839)/BZ839)</f>
        <v>0</v>
      </c>
      <c r="CE839" s="2505">
        <f>CE837</f>
        <v>300</v>
      </c>
      <c r="CF839" s="2506">
        <f>IF(CB839=0," ",(CE839-CB839)/CB839)</f>
        <v>0</v>
      </c>
      <c r="CG839" s="2505">
        <f>CG837</f>
        <v>300</v>
      </c>
      <c r="CH839" s="2449" t="s">
        <v>1222</v>
      </c>
      <c r="CI839" s="2508" t="str">
        <f>IF(CG839-CE839=0,"",CG839-CE839)</f>
        <v/>
      </c>
      <c r="CJ839" s="2509"/>
      <c r="CK839" s="2509"/>
      <c r="CL839" s="2451" t="str">
        <f>IF(CO839&lt;-1*CM$2,"examine","ignore")</f>
        <v>ignore</v>
      </c>
      <c r="CM839" s="2545" t="str">
        <f>IF(CL839="examine",CP839+CM$2*CP839/CO839,"")</f>
        <v/>
      </c>
      <c r="CN839" s="2545"/>
      <c r="CO839" s="2477" t="s">
        <v>1218</v>
      </c>
      <c r="CP839" s="2510">
        <f t="shared" si="462"/>
        <v>-400</v>
      </c>
      <c r="CQ839" s="2510">
        <f>AV839-AU839</f>
        <v>-50</v>
      </c>
      <c r="CR839" s="2510">
        <f>AS839-AR839</f>
        <v>-450</v>
      </c>
      <c r="CS839" s="2510">
        <f>AF839-AE839</f>
        <v>-450</v>
      </c>
    </row>
    <row r="840" spans="1:98" ht="20.100000000000001" hidden="1" customHeight="1" x14ac:dyDescent="0.2">
      <c r="AS840" s="2466"/>
      <c r="AT840" s="2466"/>
      <c r="BZ840" s="2472"/>
      <c r="CH840" s="2449" t="s">
        <v>1091</v>
      </c>
      <c r="CI840" s="2449"/>
      <c r="CJ840" s="2450"/>
      <c r="CK840" s="2450"/>
      <c r="CP840" s="2478">
        <f t="shared" si="462"/>
        <v>0</v>
      </c>
      <c r="CQ840" s="2478"/>
      <c r="CR840" s="2478"/>
      <c r="CS840" s="2478"/>
      <c r="CT840" s="2478"/>
    </row>
    <row r="841" spans="1:98" ht="15.75" hidden="1" x14ac:dyDescent="0.2">
      <c r="A841" s="2453" t="s">
        <v>2301</v>
      </c>
      <c r="B841" s="2454"/>
      <c r="C841" s="2455"/>
      <c r="D841" s="2455"/>
      <c r="E841" s="2456"/>
      <c r="F841" s="2454"/>
      <c r="G841" s="2454"/>
      <c r="H841" s="2457"/>
      <c r="I841" s="2457"/>
      <c r="J841" s="2457"/>
      <c r="K841" s="2458"/>
      <c r="M841" s="2457"/>
      <c r="N841" s="2457"/>
      <c r="P841" s="2459"/>
      <c r="R841" s="2457"/>
      <c r="S841" s="2457"/>
      <c r="U841" s="2457"/>
      <c r="V841" s="2457"/>
      <c r="W841" s="2457"/>
      <c r="X841" s="2458"/>
      <c r="Z841" s="2457"/>
      <c r="AA841" s="2457"/>
      <c r="AC841" s="2459"/>
      <c r="AE841" s="2457"/>
      <c r="AF841" s="2460"/>
      <c r="AH841" s="2457"/>
      <c r="AI841" s="2457"/>
      <c r="AJ841" s="2457"/>
      <c r="AK841" s="2458"/>
      <c r="AM841" s="2457"/>
      <c r="AN841" s="2457"/>
      <c r="AP841" s="2459"/>
      <c r="AR841" s="2457"/>
      <c r="AS841" s="2457"/>
      <c r="AT841" s="2457"/>
      <c r="AU841" s="2457"/>
      <c r="AV841" s="2457"/>
      <c r="AX841" s="2457"/>
      <c r="AY841" s="2457"/>
      <c r="AZ841" s="2457"/>
      <c r="BA841" s="2458"/>
      <c r="BC841" s="2457"/>
      <c r="BD841" s="2457"/>
      <c r="BF841" s="2461"/>
      <c r="BH841" s="2457"/>
      <c r="BI841" s="2457"/>
      <c r="BJ841" s="2457"/>
      <c r="BK841" s="2457"/>
      <c r="BM841" s="2457"/>
      <c r="BN841" s="2462"/>
      <c r="BO841" s="2463"/>
      <c r="BP841" s="2464"/>
      <c r="BR841" s="2463"/>
      <c r="BS841" s="2463"/>
      <c r="BU841" s="2465"/>
      <c r="BW841" s="2463"/>
      <c r="BX841" s="2457"/>
      <c r="BZ841" s="2463"/>
      <c r="CA841" s="2462"/>
      <c r="CB841" s="2463"/>
      <c r="CC841" s="2464"/>
      <c r="CE841" s="2463"/>
      <c r="CF841" s="2464"/>
      <c r="CG841" s="2463"/>
      <c r="CH841" s="2449" t="s">
        <v>1212</v>
      </c>
      <c r="CI841" s="2449"/>
      <c r="CJ841" s="2450"/>
      <c r="CK841" s="2450"/>
      <c r="CP841" s="2478">
        <f t="shared" si="462"/>
        <v>0</v>
      </c>
      <c r="CQ841" s="2478"/>
      <c r="CR841" s="2478"/>
      <c r="CS841" s="2478"/>
      <c r="CT841" s="2478"/>
    </row>
    <row r="842" spans="1:98" hidden="1" x14ac:dyDescent="0.2">
      <c r="A842" s="2395">
        <v>692</v>
      </c>
      <c r="B842" s="2440" t="s">
        <v>1214</v>
      </c>
      <c r="C842" s="2396">
        <v>69205</v>
      </c>
      <c r="D842" s="2396">
        <v>51129</v>
      </c>
      <c r="E842" s="2397" t="s">
        <v>319</v>
      </c>
      <c r="F842" s="2440" t="s">
        <v>1214</v>
      </c>
      <c r="G842" s="2440" t="s">
        <v>2302</v>
      </c>
      <c r="H842" s="2466">
        <v>100</v>
      </c>
      <c r="I842" s="2470"/>
      <c r="J842" s="2466">
        <f>H842+I842</f>
        <v>100</v>
      </c>
      <c r="K842" s="2468">
        <f>IF(H842=0," ",(J842-H842)/H842)</f>
        <v>0</v>
      </c>
      <c r="M842" s="2467">
        <v>100</v>
      </c>
      <c r="N842" s="2467">
        <v>100</v>
      </c>
      <c r="P842" s="2469"/>
      <c r="R842" s="2466">
        <v>100</v>
      </c>
      <c r="S842" s="2466">
        <v>0</v>
      </c>
      <c r="U842" s="2466">
        <v>100</v>
      </c>
      <c r="V842" s="2470">
        <v>0</v>
      </c>
      <c r="W842" s="2466">
        <f>U842+V842</f>
        <v>100</v>
      </c>
      <c r="X842" s="2468">
        <f>IF(U842=0," ",(W842-U842)/U842)</f>
        <v>0</v>
      </c>
      <c r="Z842" s="2467">
        <v>100</v>
      </c>
      <c r="AA842" s="2467">
        <v>100</v>
      </c>
      <c r="AC842" s="2469"/>
      <c r="AE842" s="2466">
        <v>100</v>
      </c>
      <c r="AF842" s="2471">
        <v>0</v>
      </c>
      <c r="AH842" s="2466">
        <v>100</v>
      </c>
      <c r="AI842" s="2470"/>
      <c r="AJ842" s="2466">
        <f>AH842+AI842</f>
        <v>100</v>
      </c>
      <c r="AK842" s="2468">
        <f>IF(AH842=0," ",(AJ842-AH842)/AH842)</f>
        <v>0</v>
      </c>
      <c r="AM842" s="2467">
        <v>100</v>
      </c>
      <c r="AN842" s="2467">
        <v>100</v>
      </c>
      <c r="AP842" s="2469"/>
      <c r="AR842" s="2466">
        <v>100</v>
      </c>
      <c r="AS842" s="2466">
        <v>0</v>
      </c>
      <c r="AT842" s="2466"/>
      <c r="AU842" s="2466">
        <v>100</v>
      </c>
      <c r="AV842" s="2466">
        <v>0</v>
      </c>
      <c r="AX842" s="2466">
        <v>100</v>
      </c>
      <c r="AY842" s="2470"/>
      <c r="AZ842" s="2466">
        <f>AX842+AY842</f>
        <v>100</v>
      </c>
      <c r="BA842" s="2468">
        <f>IF(AX842=0," ",(AZ842-AX842)/AX842)</f>
        <v>0</v>
      </c>
      <c r="BC842" s="2467">
        <v>100</v>
      </c>
      <c r="BD842" s="2467">
        <v>100</v>
      </c>
      <c r="BF842" s="2469"/>
      <c r="BH842" s="2467">
        <v>100</v>
      </c>
      <c r="BM842" s="2466">
        <v>100</v>
      </c>
      <c r="BN842" s="2470"/>
      <c r="BO842" s="2472">
        <f>BM842+BN842</f>
        <v>100</v>
      </c>
      <c r="BP842" s="2473">
        <f>IF(BM842=0," ",(BO842-BM842)/BM842)</f>
        <v>0</v>
      </c>
      <c r="BR842" s="2474">
        <v>100</v>
      </c>
      <c r="BS842" s="2474">
        <v>100</v>
      </c>
      <c r="BU842" s="2475"/>
      <c r="BW842" s="2474">
        <v>100</v>
      </c>
      <c r="BZ842" s="2474">
        <v>100</v>
      </c>
      <c r="CA842" s="2470"/>
      <c r="CB842" s="2472">
        <f>BZ842+CA842</f>
        <v>100</v>
      </c>
      <c r="CC842" s="2473">
        <f>IF(BZ842=0," ",(CB842-BZ842)/BZ842)</f>
        <v>0</v>
      </c>
      <c r="CE842" s="2474">
        <v>100</v>
      </c>
      <c r="CF842" s="2476">
        <f>IF(CB842=0," ",(CE842-CB842)/CB842)</f>
        <v>0</v>
      </c>
      <c r="CG842" s="2474">
        <v>100</v>
      </c>
      <c r="CH842" s="2449" t="s">
        <v>1217</v>
      </c>
      <c r="CI842" s="2449"/>
      <c r="CJ842" s="2450"/>
      <c r="CK842" s="2450"/>
      <c r="CO842" s="2477" t="s">
        <v>1218</v>
      </c>
      <c r="CP842" s="2478">
        <f t="shared" si="462"/>
        <v>-100</v>
      </c>
      <c r="CQ842" s="2478"/>
      <c r="CR842" s="2478"/>
      <c r="CS842" s="2478"/>
      <c r="CT842" s="2478"/>
    </row>
    <row r="843" spans="1:98" s="2485" customFormat="1" hidden="1" x14ac:dyDescent="0.2">
      <c r="A843" s="2532"/>
      <c r="B843" s="2533"/>
      <c r="C843" s="2534"/>
      <c r="D843" s="2534"/>
      <c r="E843" s="2535"/>
      <c r="F843" s="2533"/>
      <c r="G843" s="2588" t="s">
        <v>2303</v>
      </c>
      <c r="H843" s="2536">
        <f t="shared" ref="H843" si="464">SUM(H842)</f>
        <v>100</v>
      </c>
      <c r="I843" s="2536">
        <f>SUM(I842)</f>
        <v>0</v>
      </c>
      <c r="J843" s="2536">
        <f>SUM(J842)</f>
        <v>100</v>
      </c>
      <c r="K843" s="2484">
        <f>IF(H843=0," ",(J843-H843)/H843)</f>
        <v>0</v>
      </c>
      <c r="M843" s="2536">
        <f>SUM(M842)</f>
        <v>100</v>
      </c>
      <c r="N843" s="2536">
        <f>SUM(N842)</f>
        <v>100</v>
      </c>
      <c r="P843" s="2537">
        <f>SUM(P842)</f>
        <v>0</v>
      </c>
      <c r="R843" s="2536">
        <f>SUM(R842)</f>
        <v>100</v>
      </c>
      <c r="S843" s="2536">
        <f>SUM(S842)</f>
        <v>0</v>
      </c>
      <c r="U843" s="2536">
        <f>SUM(U842)</f>
        <v>100</v>
      </c>
      <c r="V843" s="2536">
        <f>SUM(V842)</f>
        <v>0</v>
      </c>
      <c r="W843" s="2536">
        <f>SUM(W842)</f>
        <v>100</v>
      </c>
      <c r="X843" s="2484">
        <f>IF(U843=0," ",(W843-U843)/U843)</f>
        <v>0</v>
      </c>
      <c r="Z843" s="2536">
        <f>SUM(Z842)</f>
        <v>100</v>
      </c>
      <c r="AA843" s="2536">
        <f>SUM(AA842)</f>
        <v>100</v>
      </c>
      <c r="AC843" s="2537"/>
      <c r="AE843" s="2536">
        <f>SUM(AE842)</f>
        <v>100</v>
      </c>
      <c r="AF843" s="2538">
        <f>SUM(AF842)</f>
        <v>0</v>
      </c>
      <c r="AH843" s="2536">
        <v>100</v>
      </c>
      <c r="AI843" s="2536">
        <f>SUM(AI842)</f>
        <v>0</v>
      </c>
      <c r="AJ843" s="2536">
        <f>SUM(AJ842)</f>
        <v>100</v>
      </c>
      <c r="AK843" s="2484">
        <f>IF(AH843=0," ",(AJ843-AH843)/AH843)</f>
        <v>0</v>
      </c>
      <c r="AM843" s="2536">
        <f>SUM(AM842)</f>
        <v>100</v>
      </c>
      <c r="AN843" s="2536">
        <f>SUM(AN842)</f>
        <v>100</v>
      </c>
      <c r="AP843" s="2537"/>
      <c r="AR843" s="2536">
        <f>SUM(AR842)</f>
        <v>100</v>
      </c>
      <c r="AS843" s="2536">
        <f>SUM(AS842)</f>
        <v>0</v>
      </c>
      <c r="AT843" s="2536"/>
      <c r="AU843" s="2536">
        <f>SUM(AU842)</f>
        <v>100</v>
      </c>
      <c r="AV843" s="2536">
        <f>SUM(AV842)</f>
        <v>0</v>
      </c>
      <c r="AX843" s="2536">
        <f>SUM(AX842)</f>
        <v>100</v>
      </c>
      <c r="AY843" s="2536">
        <f>SUM(AY842)</f>
        <v>0</v>
      </c>
      <c r="AZ843" s="2536">
        <f>SUM(AZ842)</f>
        <v>100</v>
      </c>
      <c r="BA843" s="2484">
        <f>IF(AX843=0," ",(AZ843-AX843)/AX843)</f>
        <v>0</v>
      </c>
      <c r="BC843" s="2536">
        <f>SUM(BC842)</f>
        <v>100</v>
      </c>
      <c r="BD843" s="2536">
        <f>SUM(BD842)</f>
        <v>100</v>
      </c>
      <c r="BF843" s="2537"/>
      <c r="BH843" s="2536">
        <f>SUM(BH842)</f>
        <v>100</v>
      </c>
      <c r="BI843" s="2536">
        <f>SUM(BI842)</f>
        <v>0</v>
      </c>
      <c r="BJ843" s="2536"/>
      <c r="BK843" s="2536"/>
      <c r="BM843" s="2536">
        <f>SUM(BM842)</f>
        <v>100</v>
      </c>
      <c r="BN843" s="2539">
        <f>SUM(BN842)</f>
        <v>0</v>
      </c>
      <c r="BO843" s="2540">
        <f>SUM(BO842)</f>
        <v>100</v>
      </c>
      <c r="BP843" s="2490">
        <f>IF(BM843=0," ",(BO843-BM843)/BM843)</f>
        <v>0</v>
      </c>
      <c r="BQ843" s="2491"/>
      <c r="BR843" s="2540">
        <f>SUM(BR842)</f>
        <v>100</v>
      </c>
      <c r="BS843" s="2540">
        <f>SUM(BS842)</f>
        <v>100</v>
      </c>
      <c r="BT843" s="2491"/>
      <c r="BU843" s="2541"/>
      <c r="BV843" s="2491"/>
      <c r="BW843" s="2540">
        <f>SUM(BW842)</f>
        <v>100</v>
      </c>
      <c r="BX843" s="2536">
        <f>SUM(BX842)</f>
        <v>0</v>
      </c>
      <c r="BZ843" s="2540">
        <f>SUM(BZ842)</f>
        <v>100</v>
      </c>
      <c r="CA843" s="2540">
        <f>SUM(CA842)</f>
        <v>0</v>
      </c>
      <c r="CB843" s="2540">
        <f>SUM(CB842)</f>
        <v>100</v>
      </c>
      <c r="CC843" s="2490">
        <f>IF(BZ843=0," ",(CB843-BZ843)/BZ843)</f>
        <v>0</v>
      </c>
      <c r="CD843" s="2491"/>
      <c r="CE843" s="2540">
        <f>SUM(CE842)</f>
        <v>100</v>
      </c>
      <c r="CF843" s="2490">
        <f>IF(CB843=0," ",(CE843-CB843)/CB843)</f>
        <v>0</v>
      </c>
      <c r="CG843" s="2540">
        <f>SUM(CG842)</f>
        <v>100</v>
      </c>
      <c r="CH843" s="2449" t="s">
        <v>1220</v>
      </c>
      <c r="CI843" s="2449"/>
      <c r="CJ843" s="2450"/>
      <c r="CK843" s="2450"/>
      <c r="CL843" s="2451"/>
      <c r="CM843" s="2451"/>
      <c r="CN843" s="2451"/>
      <c r="CO843" s="2477" t="s">
        <v>1218</v>
      </c>
      <c r="CP843" s="2478">
        <f t="shared" si="462"/>
        <v>-100</v>
      </c>
      <c r="CQ843" s="2478"/>
      <c r="CR843" s="2478"/>
      <c r="CS843" s="2478"/>
      <c r="CT843" s="2478"/>
    </row>
    <row r="844" spans="1:98" hidden="1" x14ac:dyDescent="0.2">
      <c r="AS844" s="2466"/>
      <c r="AT844" s="2466"/>
      <c r="BZ844" s="2472"/>
      <c r="CH844" s="2449" t="s">
        <v>1091</v>
      </c>
      <c r="CI844" s="2449"/>
      <c r="CJ844" s="2450"/>
      <c r="CK844" s="2450"/>
      <c r="CP844" s="2478">
        <f t="shared" si="462"/>
        <v>0</v>
      </c>
      <c r="CQ844" s="2478"/>
      <c r="CR844" s="2478"/>
      <c r="CS844" s="2478"/>
      <c r="CT844" s="2478"/>
    </row>
    <row r="845" spans="1:98" hidden="1" x14ac:dyDescent="0.2">
      <c r="A845" s="2395">
        <v>692</v>
      </c>
      <c r="B845" s="2440" t="s">
        <v>1214</v>
      </c>
      <c r="C845" s="2396">
        <v>69205</v>
      </c>
      <c r="D845" s="2396">
        <v>52780</v>
      </c>
      <c r="E845" s="2397" t="s">
        <v>1268</v>
      </c>
      <c r="F845" s="2440" t="s">
        <v>1214</v>
      </c>
      <c r="G845" s="2440" t="s">
        <v>2304</v>
      </c>
      <c r="H845" s="2466">
        <v>500</v>
      </c>
      <c r="I845" s="2470">
        <v>-200</v>
      </c>
      <c r="J845" s="2466">
        <f t="shared" ref="J845:J850" si="465">H845+I845</f>
        <v>300</v>
      </c>
      <c r="K845" s="2468">
        <f t="shared" ref="K845:K850" si="466">IF(H845=0," ",(J845-H845)/H845)</f>
        <v>-0.4</v>
      </c>
      <c r="M845" s="2467">
        <v>300</v>
      </c>
      <c r="N845" s="2467">
        <v>300</v>
      </c>
      <c r="P845" s="2469"/>
      <c r="R845" s="2466">
        <v>300</v>
      </c>
      <c r="S845" s="2466">
        <v>0</v>
      </c>
      <c r="U845" s="2466">
        <v>300</v>
      </c>
      <c r="V845" s="2470">
        <v>0</v>
      </c>
      <c r="W845" s="2466">
        <f t="shared" ref="W845:W850" si="467">U845+V845</f>
        <v>300</v>
      </c>
      <c r="X845" s="2468">
        <f t="shared" ref="X845:X850" si="468">IF(U845=0," ",(W845-U845)/U845)</f>
        <v>0</v>
      </c>
      <c r="Z845" s="2467">
        <v>300</v>
      </c>
      <c r="AA845" s="2467">
        <v>300</v>
      </c>
      <c r="AC845" s="2469"/>
      <c r="AE845" s="2466">
        <v>300</v>
      </c>
      <c r="AF845" s="2471">
        <v>0</v>
      </c>
      <c r="AH845" s="2466">
        <v>300</v>
      </c>
      <c r="AI845" s="2470"/>
      <c r="AJ845" s="2466">
        <f t="shared" ref="AJ845:AJ850" si="469">AH845+AI845</f>
        <v>300</v>
      </c>
      <c r="AK845" s="2468">
        <f t="shared" ref="AK845:AK850" si="470">IF(AH845=0," ",(AJ845-AH845)/AH845)</f>
        <v>0</v>
      </c>
      <c r="AM845" s="2467">
        <v>300</v>
      </c>
      <c r="AN845" s="2467">
        <v>300</v>
      </c>
      <c r="AP845" s="2469"/>
      <c r="AR845" s="2466">
        <v>300</v>
      </c>
      <c r="AS845" s="2466">
        <v>0</v>
      </c>
      <c r="AT845" s="2466"/>
      <c r="AU845" s="2466">
        <v>300</v>
      </c>
      <c r="AV845" s="2466">
        <v>0</v>
      </c>
      <c r="AX845" s="2466">
        <v>300</v>
      </c>
      <c r="AY845" s="2470"/>
      <c r="AZ845" s="2466">
        <f t="shared" ref="AZ845:AZ850" si="471">AX845+AY845</f>
        <v>300</v>
      </c>
      <c r="BA845" s="2468">
        <f t="shared" ref="BA845:BA850" si="472">IF(AX845=0," ",(AZ845-AX845)/AX845)</f>
        <v>0</v>
      </c>
      <c r="BC845" s="2467">
        <v>300</v>
      </c>
      <c r="BD845" s="2467">
        <v>300</v>
      </c>
      <c r="BF845" s="2469"/>
      <c r="BH845" s="2467">
        <v>300</v>
      </c>
      <c r="BM845" s="2466">
        <v>300</v>
      </c>
      <c r="BN845" s="2470"/>
      <c r="BO845" s="2472">
        <f t="shared" ref="BO845:BO850" si="473">BM845+BN845</f>
        <v>300</v>
      </c>
      <c r="BP845" s="2473">
        <f t="shared" ref="BP845:BP850" si="474">IF(BM845=0," ",(BO845-BM845)/BM845)</f>
        <v>0</v>
      </c>
      <c r="BR845" s="2474">
        <v>300</v>
      </c>
      <c r="BS845" s="2474">
        <v>300</v>
      </c>
      <c r="BU845" s="2475"/>
      <c r="BW845" s="2474">
        <v>300</v>
      </c>
      <c r="BZ845" s="2474">
        <v>300</v>
      </c>
      <c r="CA845" s="2470"/>
      <c r="CB845" s="2472">
        <f t="shared" ref="CB845:CB850" si="475">BZ845+CA845</f>
        <v>300</v>
      </c>
      <c r="CC845" s="2473">
        <f t="shared" ref="CC845:CC850" si="476">IF(BZ845=0," ",(CB845-BZ845)/BZ845)</f>
        <v>0</v>
      </c>
      <c r="CE845" s="2474">
        <v>300</v>
      </c>
      <c r="CF845" s="2476">
        <f t="shared" ref="CF845:CF851" si="477">IF(CB845=0," ",(CE845-CB845)/CB845)</f>
        <v>0</v>
      </c>
      <c r="CG845" s="2474">
        <v>300</v>
      </c>
      <c r="CH845" s="2449" t="s">
        <v>1217</v>
      </c>
      <c r="CI845" s="2449"/>
      <c r="CJ845" s="2450"/>
      <c r="CK845" s="2450"/>
      <c r="CO845" s="2477" t="s">
        <v>1218</v>
      </c>
      <c r="CP845" s="2478">
        <f t="shared" si="462"/>
        <v>-300</v>
      </c>
      <c r="CQ845" s="2478"/>
      <c r="CR845" s="2478"/>
      <c r="CS845" s="2478"/>
      <c r="CT845" s="2478"/>
    </row>
    <row r="846" spans="1:98" hidden="1" x14ac:dyDescent="0.2">
      <c r="A846" s="2395">
        <v>692</v>
      </c>
      <c r="B846" s="2440" t="s">
        <v>1214</v>
      </c>
      <c r="C846" s="2396">
        <v>69205</v>
      </c>
      <c r="D846" s="2396">
        <v>53050</v>
      </c>
      <c r="E846" s="2397" t="s">
        <v>1268</v>
      </c>
      <c r="F846" s="2440" t="s">
        <v>1214</v>
      </c>
      <c r="G846" s="2440" t="s">
        <v>2305</v>
      </c>
      <c r="H846" s="2466">
        <v>500</v>
      </c>
      <c r="I846" s="2470">
        <v>-200</v>
      </c>
      <c r="J846" s="2466">
        <f t="shared" si="465"/>
        <v>300</v>
      </c>
      <c r="K846" s="2468">
        <f t="shared" si="466"/>
        <v>-0.4</v>
      </c>
      <c r="M846" s="2467">
        <v>300</v>
      </c>
      <c r="N846" s="2467">
        <v>300</v>
      </c>
      <c r="P846" s="2469"/>
      <c r="R846" s="2466">
        <v>300</v>
      </c>
      <c r="S846" s="2466">
        <v>0</v>
      </c>
      <c r="U846" s="2466">
        <v>300</v>
      </c>
      <c r="V846" s="2470">
        <v>0</v>
      </c>
      <c r="W846" s="2466">
        <f t="shared" si="467"/>
        <v>300</v>
      </c>
      <c r="X846" s="2468">
        <f t="shared" si="468"/>
        <v>0</v>
      </c>
      <c r="Z846" s="2467">
        <v>300</v>
      </c>
      <c r="AA846" s="2467">
        <v>300</v>
      </c>
      <c r="AC846" s="2469"/>
      <c r="AE846" s="2466">
        <v>300</v>
      </c>
      <c r="AF846" s="2471">
        <v>0</v>
      </c>
      <c r="AH846" s="2466">
        <v>300</v>
      </c>
      <c r="AI846" s="2470"/>
      <c r="AJ846" s="2466">
        <f t="shared" si="469"/>
        <v>300</v>
      </c>
      <c r="AK846" s="2468">
        <f t="shared" si="470"/>
        <v>0</v>
      </c>
      <c r="AM846" s="2467">
        <v>300</v>
      </c>
      <c r="AN846" s="2467">
        <v>300</v>
      </c>
      <c r="AP846" s="2469"/>
      <c r="AR846" s="2466">
        <v>300</v>
      </c>
      <c r="AS846" s="2466">
        <v>0</v>
      </c>
      <c r="AT846" s="2466"/>
      <c r="AU846" s="2466">
        <v>300</v>
      </c>
      <c r="AV846" s="2466">
        <v>0</v>
      </c>
      <c r="AX846" s="2466">
        <v>300</v>
      </c>
      <c r="AY846" s="2470"/>
      <c r="AZ846" s="2466">
        <f t="shared" si="471"/>
        <v>300</v>
      </c>
      <c r="BA846" s="2468">
        <f t="shared" si="472"/>
        <v>0</v>
      </c>
      <c r="BC846" s="2467">
        <v>300</v>
      </c>
      <c r="BD846" s="2467">
        <v>300</v>
      </c>
      <c r="BF846" s="2469"/>
      <c r="BH846" s="2467">
        <v>300</v>
      </c>
      <c r="BM846" s="2466">
        <v>300</v>
      </c>
      <c r="BN846" s="2470"/>
      <c r="BO846" s="2472">
        <f t="shared" si="473"/>
        <v>300</v>
      </c>
      <c r="BP846" s="2473">
        <f t="shared" si="474"/>
        <v>0</v>
      </c>
      <c r="BR846" s="2474">
        <v>300</v>
      </c>
      <c r="BS846" s="2474">
        <v>300</v>
      </c>
      <c r="BU846" s="2475"/>
      <c r="BW846" s="2474">
        <v>300</v>
      </c>
      <c r="BZ846" s="2474">
        <v>300</v>
      </c>
      <c r="CA846" s="2470"/>
      <c r="CB846" s="2472">
        <f t="shared" si="475"/>
        <v>300</v>
      </c>
      <c r="CC846" s="2473">
        <f t="shared" si="476"/>
        <v>0</v>
      </c>
      <c r="CE846" s="2474">
        <v>300</v>
      </c>
      <c r="CF846" s="2476">
        <f t="shared" si="477"/>
        <v>0</v>
      </c>
      <c r="CG846" s="2474">
        <v>300</v>
      </c>
      <c r="CH846" s="2449" t="s">
        <v>1217</v>
      </c>
      <c r="CI846" s="2449"/>
      <c r="CJ846" s="2450"/>
      <c r="CK846" s="2450"/>
      <c r="CO846" s="2477" t="s">
        <v>1218</v>
      </c>
      <c r="CP846" s="2478">
        <f t="shared" si="462"/>
        <v>-300</v>
      </c>
      <c r="CQ846" s="2478"/>
      <c r="CR846" s="2478"/>
      <c r="CS846" s="2478"/>
      <c r="CT846" s="2478"/>
    </row>
    <row r="847" spans="1:98" hidden="1" x14ac:dyDescent="0.2">
      <c r="A847" s="2395">
        <v>692</v>
      </c>
      <c r="B847" s="2440" t="s">
        <v>1214</v>
      </c>
      <c r="C847" s="2396">
        <v>69205</v>
      </c>
      <c r="D847" s="2396">
        <v>53430</v>
      </c>
      <c r="E847" s="2397" t="s">
        <v>1268</v>
      </c>
      <c r="F847" s="2440" t="s">
        <v>1214</v>
      </c>
      <c r="G847" s="2440" t="s">
        <v>2306</v>
      </c>
      <c r="H847" s="2466">
        <v>200</v>
      </c>
      <c r="I847" s="2470"/>
      <c r="J847" s="2466">
        <f t="shared" si="465"/>
        <v>200</v>
      </c>
      <c r="K847" s="2468">
        <f t="shared" si="466"/>
        <v>0</v>
      </c>
      <c r="M847" s="2467">
        <v>200</v>
      </c>
      <c r="N847" s="2467">
        <v>200</v>
      </c>
      <c r="P847" s="2469"/>
      <c r="R847" s="2466">
        <v>200</v>
      </c>
      <c r="S847" s="2466">
        <v>0</v>
      </c>
      <c r="U847" s="2466">
        <v>200</v>
      </c>
      <c r="V847" s="2470">
        <v>0</v>
      </c>
      <c r="W847" s="2466">
        <f t="shared" si="467"/>
        <v>200</v>
      </c>
      <c r="X847" s="2468">
        <f t="shared" si="468"/>
        <v>0</v>
      </c>
      <c r="Z847" s="2467">
        <v>200</v>
      </c>
      <c r="AA847" s="2467">
        <v>200</v>
      </c>
      <c r="AC847" s="2469"/>
      <c r="AE847" s="2466">
        <v>200</v>
      </c>
      <c r="AF847" s="2471">
        <v>0</v>
      </c>
      <c r="AH847" s="2466">
        <v>200</v>
      </c>
      <c r="AI847" s="2470"/>
      <c r="AJ847" s="2466">
        <f t="shared" si="469"/>
        <v>200</v>
      </c>
      <c r="AK847" s="2468">
        <f t="shared" si="470"/>
        <v>0</v>
      </c>
      <c r="AM847" s="2467">
        <v>200</v>
      </c>
      <c r="AN847" s="2467">
        <v>200</v>
      </c>
      <c r="AP847" s="2469"/>
      <c r="AR847" s="2466">
        <v>200</v>
      </c>
      <c r="AS847" s="2466">
        <v>0</v>
      </c>
      <c r="AT847" s="2466"/>
      <c r="AU847" s="2466">
        <v>200</v>
      </c>
      <c r="AV847" s="2466">
        <v>0</v>
      </c>
      <c r="AX847" s="2466">
        <v>200</v>
      </c>
      <c r="AY847" s="2470"/>
      <c r="AZ847" s="2466">
        <f t="shared" si="471"/>
        <v>200</v>
      </c>
      <c r="BA847" s="2468">
        <f t="shared" si="472"/>
        <v>0</v>
      </c>
      <c r="BC847" s="2467">
        <v>200</v>
      </c>
      <c r="BD847" s="2467">
        <v>200</v>
      </c>
      <c r="BF847" s="2469"/>
      <c r="BH847" s="2467">
        <v>200</v>
      </c>
      <c r="BM847" s="2466">
        <v>200</v>
      </c>
      <c r="BN847" s="2470"/>
      <c r="BO847" s="2472">
        <f t="shared" si="473"/>
        <v>200</v>
      </c>
      <c r="BP847" s="2473">
        <f t="shared" si="474"/>
        <v>0</v>
      </c>
      <c r="BR847" s="2474">
        <v>200</v>
      </c>
      <c r="BS847" s="2474">
        <v>200</v>
      </c>
      <c r="BU847" s="2475"/>
      <c r="BW847" s="2474">
        <v>200</v>
      </c>
      <c r="BZ847" s="2474">
        <v>200</v>
      </c>
      <c r="CA847" s="2470"/>
      <c r="CB847" s="2472">
        <f t="shared" si="475"/>
        <v>200</v>
      </c>
      <c r="CC847" s="2473">
        <f t="shared" si="476"/>
        <v>0</v>
      </c>
      <c r="CE847" s="2474">
        <v>200</v>
      </c>
      <c r="CF847" s="2476">
        <f t="shared" si="477"/>
        <v>0</v>
      </c>
      <c r="CG847" s="2474">
        <v>200</v>
      </c>
      <c r="CH847" s="2449" t="s">
        <v>1217</v>
      </c>
      <c r="CI847" s="2449"/>
      <c r="CJ847" s="2450"/>
      <c r="CK847" s="2450"/>
      <c r="CO847" s="2477" t="s">
        <v>1218</v>
      </c>
      <c r="CP847" s="2478">
        <f t="shared" si="462"/>
        <v>-200</v>
      </c>
      <c r="CQ847" s="2478"/>
      <c r="CR847" s="2478"/>
      <c r="CS847" s="2478"/>
      <c r="CT847" s="2478"/>
    </row>
    <row r="848" spans="1:98" hidden="1" x14ac:dyDescent="0.2">
      <c r="A848" s="2395">
        <v>692</v>
      </c>
      <c r="B848" s="2440" t="s">
        <v>1214</v>
      </c>
      <c r="C848" s="2396">
        <v>69205</v>
      </c>
      <c r="D848" s="2396">
        <v>53500</v>
      </c>
      <c r="E848" s="2397" t="s">
        <v>1268</v>
      </c>
      <c r="F848" s="2440" t="s">
        <v>1214</v>
      </c>
      <c r="G848" s="2440" t="s">
        <v>2307</v>
      </c>
      <c r="H848" s="2466">
        <v>600</v>
      </c>
      <c r="I848" s="2470">
        <v>-200</v>
      </c>
      <c r="J848" s="2466">
        <f t="shared" si="465"/>
        <v>400</v>
      </c>
      <c r="K848" s="2468">
        <f t="shared" si="466"/>
        <v>-0.33333333333333331</v>
      </c>
      <c r="M848" s="2467">
        <v>400</v>
      </c>
      <c r="N848" s="2467">
        <v>400</v>
      </c>
      <c r="P848" s="2469"/>
      <c r="R848" s="2466">
        <v>400</v>
      </c>
      <c r="S848" s="2466">
        <v>350</v>
      </c>
      <c r="U848" s="2466">
        <v>400</v>
      </c>
      <c r="V848" s="2470">
        <v>0</v>
      </c>
      <c r="W848" s="2466">
        <f t="shared" si="467"/>
        <v>400</v>
      </c>
      <c r="X848" s="2468">
        <f t="shared" si="468"/>
        <v>0</v>
      </c>
      <c r="Z848" s="2467">
        <v>400</v>
      </c>
      <c r="AA848" s="2467">
        <v>400</v>
      </c>
      <c r="AC848" s="2469"/>
      <c r="AE848" s="2466">
        <v>400</v>
      </c>
      <c r="AF848" s="2471">
        <v>400</v>
      </c>
      <c r="AH848" s="2466">
        <v>400</v>
      </c>
      <c r="AI848" s="2470"/>
      <c r="AJ848" s="2466">
        <f t="shared" si="469"/>
        <v>400</v>
      </c>
      <c r="AK848" s="2468">
        <f t="shared" si="470"/>
        <v>0</v>
      </c>
      <c r="AM848" s="2467">
        <v>400</v>
      </c>
      <c r="AN848" s="2467">
        <v>400</v>
      </c>
      <c r="AP848" s="2469"/>
      <c r="AR848" s="2466">
        <v>400</v>
      </c>
      <c r="AS848" s="2466">
        <v>0</v>
      </c>
      <c r="AT848" s="2466"/>
      <c r="AU848" s="2466">
        <v>400</v>
      </c>
      <c r="AV848" s="2466">
        <v>0</v>
      </c>
      <c r="AX848" s="2466">
        <v>400</v>
      </c>
      <c r="AY848" s="2470"/>
      <c r="AZ848" s="2466">
        <f t="shared" si="471"/>
        <v>400</v>
      </c>
      <c r="BA848" s="2468">
        <f t="shared" si="472"/>
        <v>0</v>
      </c>
      <c r="BC848" s="2467">
        <v>400</v>
      </c>
      <c r="BD848" s="2467">
        <v>400</v>
      </c>
      <c r="BF848" s="2469"/>
      <c r="BH848" s="2467">
        <v>400</v>
      </c>
      <c r="BI848" s="2466">
        <v>450</v>
      </c>
      <c r="BM848" s="2466">
        <v>400</v>
      </c>
      <c r="BN848" s="2470"/>
      <c r="BO848" s="2472">
        <f t="shared" si="473"/>
        <v>400</v>
      </c>
      <c r="BP848" s="2473">
        <f t="shared" si="474"/>
        <v>0</v>
      </c>
      <c r="BR848" s="2474">
        <v>400</v>
      </c>
      <c r="BS848" s="2474">
        <v>400</v>
      </c>
      <c r="BU848" s="2475"/>
      <c r="BW848" s="2474">
        <v>400</v>
      </c>
      <c r="BZ848" s="2474">
        <v>400</v>
      </c>
      <c r="CA848" s="2470"/>
      <c r="CB848" s="2472">
        <f t="shared" si="475"/>
        <v>400</v>
      </c>
      <c r="CC848" s="2473">
        <f t="shared" si="476"/>
        <v>0</v>
      </c>
      <c r="CE848" s="2474">
        <v>400</v>
      </c>
      <c r="CF848" s="2476">
        <f t="shared" si="477"/>
        <v>0</v>
      </c>
      <c r="CG848" s="2474">
        <v>400</v>
      </c>
      <c r="CH848" s="2449" t="s">
        <v>1217</v>
      </c>
      <c r="CI848" s="2449"/>
      <c r="CJ848" s="2450"/>
      <c r="CK848" s="2450"/>
      <c r="CO848" s="2477">
        <v>0.125</v>
      </c>
      <c r="CP848" s="2478">
        <f t="shared" si="462"/>
        <v>50</v>
      </c>
      <c r="CQ848" s="2478"/>
      <c r="CR848" s="2478"/>
      <c r="CS848" s="2478"/>
      <c r="CT848" s="2478"/>
    </row>
    <row r="849" spans="1:98" hidden="1" x14ac:dyDescent="0.2">
      <c r="A849" s="2395">
        <v>692</v>
      </c>
      <c r="B849" s="2440" t="s">
        <v>1214</v>
      </c>
      <c r="C849" s="2396">
        <v>69205</v>
      </c>
      <c r="D849" s="2396">
        <v>53600</v>
      </c>
      <c r="E849" s="2397" t="s">
        <v>1268</v>
      </c>
      <c r="F849" s="2440" t="s">
        <v>1214</v>
      </c>
      <c r="G849" s="2440" t="s">
        <v>2308</v>
      </c>
      <c r="H849" s="2466">
        <v>500</v>
      </c>
      <c r="I849" s="2470">
        <v>-100</v>
      </c>
      <c r="J849" s="2466">
        <f t="shared" si="465"/>
        <v>400</v>
      </c>
      <c r="K849" s="2468">
        <f t="shared" si="466"/>
        <v>-0.2</v>
      </c>
      <c r="M849" s="2467">
        <v>400</v>
      </c>
      <c r="N849" s="2467">
        <v>400</v>
      </c>
      <c r="P849" s="2469"/>
      <c r="R849" s="2466">
        <v>400</v>
      </c>
      <c r="S849" s="2466">
        <v>300</v>
      </c>
      <c r="U849" s="2466">
        <v>400</v>
      </c>
      <c r="V849" s="2470">
        <v>0</v>
      </c>
      <c r="W849" s="2466">
        <f t="shared" si="467"/>
        <v>400</v>
      </c>
      <c r="X849" s="2468">
        <f t="shared" si="468"/>
        <v>0</v>
      </c>
      <c r="Z849" s="2467">
        <v>400</v>
      </c>
      <c r="AA849" s="2467">
        <v>400</v>
      </c>
      <c r="AC849" s="2469"/>
      <c r="AE849" s="2466">
        <v>400</v>
      </c>
      <c r="AF849" s="2471">
        <v>400</v>
      </c>
      <c r="AH849" s="2466">
        <v>400</v>
      </c>
      <c r="AI849" s="2470"/>
      <c r="AJ849" s="2466">
        <f t="shared" si="469"/>
        <v>400</v>
      </c>
      <c r="AK849" s="2468">
        <f t="shared" si="470"/>
        <v>0</v>
      </c>
      <c r="AM849" s="2467">
        <v>400</v>
      </c>
      <c r="AN849" s="2467">
        <v>400</v>
      </c>
      <c r="AP849" s="2469"/>
      <c r="AR849" s="2466">
        <v>400</v>
      </c>
      <c r="AS849" s="2466">
        <v>450</v>
      </c>
      <c r="AT849" s="2466"/>
      <c r="AU849" s="2466">
        <v>400</v>
      </c>
      <c r="AV849" s="2466">
        <v>0</v>
      </c>
      <c r="AX849" s="2466">
        <v>400</v>
      </c>
      <c r="AY849" s="2470"/>
      <c r="AZ849" s="2466">
        <f t="shared" si="471"/>
        <v>400</v>
      </c>
      <c r="BA849" s="2468">
        <f t="shared" si="472"/>
        <v>0</v>
      </c>
      <c r="BC849" s="2467">
        <v>400</v>
      </c>
      <c r="BD849" s="2467">
        <v>400</v>
      </c>
      <c r="BF849" s="2469"/>
      <c r="BH849" s="2467">
        <v>400</v>
      </c>
      <c r="BI849" s="2466">
        <v>425</v>
      </c>
      <c r="BM849" s="2466">
        <v>400</v>
      </c>
      <c r="BN849" s="2470"/>
      <c r="BO849" s="2472">
        <f t="shared" si="473"/>
        <v>400</v>
      </c>
      <c r="BP849" s="2473">
        <f t="shared" si="474"/>
        <v>0</v>
      </c>
      <c r="BR849" s="2474">
        <v>400</v>
      </c>
      <c r="BS849" s="2474">
        <v>400</v>
      </c>
      <c r="BU849" s="2475"/>
      <c r="BW849" s="2474">
        <v>400</v>
      </c>
      <c r="BZ849" s="2474">
        <v>400</v>
      </c>
      <c r="CA849" s="2470"/>
      <c r="CB849" s="2472">
        <f t="shared" si="475"/>
        <v>400</v>
      </c>
      <c r="CC849" s="2473">
        <f t="shared" si="476"/>
        <v>0</v>
      </c>
      <c r="CE849" s="2474">
        <v>400</v>
      </c>
      <c r="CF849" s="2476">
        <f t="shared" si="477"/>
        <v>0</v>
      </c>
      <c r="CG849" s="2474">
        <v>400</v>
      </c>
      <c r="CH849" s="2449" t="s">
        <v>1217</v>
      </c>
      <c r="CI849" s="2449"/>
      <c r="CJ849" s="2450"/>
      <c r="CK849" s="2450"/>
      <c r="CO849" s="2477">
        <v>6.25E-2</v>
      </c>
      <c r="CP849" s="2478">
        <f t="shared" si="462"/>
        <v>25</v>
      </c>
      <c r="CQ849" s="2478"/>
      <c r="CR849" s="2478"/>
      <c r="CS849" s="2478"/>
      <c r="CT849" s="2478"/>
    </row>
    <row r="850" spans="1:98" hidden="1" x14ac:dyDescent="0.2">
      <c r="A850" s="2395">
        <v>692</v>
      </c>
      <c r="B850" s="2440" t="s">
        <v>1214</v>
      </c>
      <c r="C850" s="2396">
        <v>69205</v>
      </c>
      <c r="D850" s="2396">
        <v>55800</v>
      </c>
      <c r="E850" s="2397" t="s">
        <v>1268</v>
      </c>
      <c r="F850" s="2440" t="s">
        <v>1214</v>
      </c>
      <c r="G850" s="2440" t="s">
        <v>2309</v>
      </c>
      <c r="H850" s="2466">
        <v>250</v>
      </c>
      <c r="I850" s="2470">
        <v>-100</v>
      </c>
      <c r="J850" s="2466">
        <f t="shared" si="465"/>
        <v>150</v>
      </c>
      <c r="K850" s="2468">
        <f t="shared" si="466"/>
        <v>-0.4</v>
      </c>
      <c r="M850" s="2467">
        <v>150</v>
      </c>
      <c r="N850" s="2467">
        <v>150</v>
      </c>
      <c r="P850" s="2469"/>
      <c r="R850" s="2466">
        <v>150</v>
      </c>
      <c r="S850" s="2466">
        <v>0</v>
      </c>
      <c r="U850" s="2466">
        <v>150</v>
      </c>
      <c r="V850" s="2470">
        <v>0</v>
      </c>
      <c r="W850" s="2466">
        <f t="shared" si="467"/>
        <v>150</v>
      </c>
      <c r="X850" s="2468">
        <f t="shared" si="468"/>
        <v>0</v>
      </c>
      <c r="Z850" s="2467">
        <v>150</v>
      </c>
      <c r="AA850" s="2467">
        <v>150</v>
      </c>
      <c r="AC850" s="2469"/>
      <c r="AE850" s="2466">
        <v>150</v>
      </c>
      <c r="AF850" s="2471">
        <v>0</v>
      </c>
      <c r="AH850" s="2466">
        <v>150</v>
      </c>
      <c r="AI850" s="2470"/>
      <c r="AJ850" s="2466">
        <f t="shared" si="469"/>
        <v>150</v>
      </c>
      <c r="AK850" s="2468">
        <f t="shared" si="470"/>
        <v>0</v>
      </c>
      <c r="AM850" s="2467">
        <v>150</v>
      </c>
      <c r="AN850" s="2467">
        <v>150</v>
      </c>
      <c r="AP850" s="2469"/>
      <c r="AR850" s="2466">
        <v>150</v>
      </c>
      <c r="AS850" s="2466">
        <v>54</v>
      </c>
      <c r="AT850" s="2466"/>
      <c r="AU850" s="2466">
        <v>150</v>
      </c>
      <c r="AV850" s="2466">
        <v>0</v>
      </c>
      <c r="AX850" s="2466">
        <v>150</v>
      </c>
      <c r="AY850" s="2470"/>
      <c r="AZ850" s="2466">
        <f t="shared" si="471"/>
        <v>150</v>
      </c>
      <c r="BA850" s="2468">
        <f t="shared" si="472"/>
        <v>0</v>
      </c>
      <c r="BC850" s="2467">
        <v>150</v>
      </c>
      <c r="BD850" s="2467">
        <v>150</v>
      </c>
      <c r="BF850" s="2469"/>
      <c r="BH850" s="2467">
        <v>150</v>
      </c>
      <c r="BM850" s="2466">
        <v>150</v>
      </c>
      <c r="BN850" s="2470"/>
      <c r="BO850" s="2472">
        <f t="shared" si="473"/>
        <v>150</v>
      </c>
      <c r="BP850" s="2473">
        <f t="shared" si="474"/>
        <v>0</v>
      </c>
      <c r="BR850" s="2474">
        <v>150</v>
      </c>
      <c r="BS850" s="2474">
        <v>150</v>
      </c>
      <c r="BU850" s="2475"/>
      <c r="BW850" s="2474">
        <v>150</v>
      </c>
      <c r="BZ850" s="2474">
        <v>150</v>
      </c>
      <c r="CA850" s="2470"/>
      <c r="CB850" s="2472">
        <f t="shared" si="475"/>
        <v>150</v>
      </c>
      <c r="CC850" s="2473">
        <f t="shared" si="476"/>
        <v>0</v>
      </c>
      <c r="CE850" s="2474">
        <v>150</v>
      </c>
      <c r="CF850" s="2476">
        <f t="shared" si="477"/>
        <v>0</v>
      </c>
      <c r="CG850" s="2474">
        <v>150</v>
      </c>
      <c r="CH850" s="2449" t="s">
        <v>1217</v>
      </c>
      <c r="CI850" s="2449"/>
      <c r="CJ850" s="2450"/>
      <c r="CK850" s="2450"/>
      <c r="CO850" s="2477" t="s">
        <v>1218</v>
      </c>
      <c r="CP850" s="2478">
        <f t="shared" si="462"/>
        <v>-150</v>
      </c>
      <c r="CQ850" s="2478"/>
      <c r="CR850" s="2478"/>
      <c r="CS850" s="2478"/>
      <c r="CT850" s="2478"/>
    </row>
    <row r="851" spans="1:98" s="2485" customFormat="1" hidden="1" x14ac:dyDescent="0.2">
      <c r="A851" s="2532"/>
      <c r="B851" s="2533"/>
      <c r="C851" s="2534"/>
      <c r="D851" s="2534"/>
      <c r="E851" s="2535"/>
      <c r="F851" s="2533"/>
      <c r="G851" s="2654" t="s">
        <v>2310</v>
      </c>
      <c r="H851" s="2536">
        <f t="shared" ref="H851" si="478">SUM(H845:H850)</f>
        <v>2550</v>
      </c>
      <c r="I851" s="2536">
        <f>SUM(I845:I850)</f>
        <v>-800</v>
      </c>
      <c r="J851" s="2536">
        <f>SUM(J845:J850)</f>
        <v>1750</v>
      </c>
      <c r="K851" s="2484">
        <f>IF(H851=0," ",(J851-H851)/H851)</f>
        <v>-0.31372549019607843</v>
      </c>
      <c r="M851" s="2536">
        <f>SUM(M845:M850)</f>
        <v>1750</v>
      </c>
      <c r="N851" s="2536">
        <f>SUM(N845:N850)</f>
        <v>1750</v>
      </c>
      <c r="P851" s="2537">
        <f>SUM(P845:P850)</f>
        <v>0</v>
      </c>
      <c r="R851" s="2536">
        <f>SUM(R845:R850)</f>
        <v>1750</v>
      </c>
      <c r="S851" s="2536">
        <f>SUM(S845:S850)</f>
        <v>650</v>
      </c>
      <c r="U851" s="2536">
        <f>SUM(U845:U850)</f>
        <v>1750</v>
      </c>
      <c r="V851" s="2536">
        <f>SUM(V845:V850)</f>
        <v>0</v>
      </c>
      <c r="W851" s="2536">
        <f>SUM(W845:W850)</f>
        <v>1750</v>
      </c>
      <c r="X851" s="2484">
        <f>IF(U851=0," ",(W851-U851)/U851)</f>
        <v>0</v>
      </c>
      <c r="Z851" s="2536">
        <f>SUM(Z845:Z850)</f>
        <v>1750</v>
      </c>
      <c r="AA851" s="2536">
        <f>SUM(AA845:AA850)</f>
        <v>1750</v>
      </c>
      <c r="AC851" s="2537"/>
      <c r="AE851" s="2536">
        <f>SUM(AE845:AE850)</f>
        <v>1750</v>
      </c>
      <c r="AF851" s="2538">
        <f>SUM(AF845:AF850)</f>
        <v>800</v>
      </c>
      <c r="AH851" s="2536">
        <v>1750</v>
      </c>
      <c r="AI851" s="2536">
        <f>SUM(AI845:AI850)</f>
        <v>0</v>
      </c>
      <c r="AJ851" s="2536">
        <f>SUM(AJ845:AJ850)</f>
        <v>1750</v>
      </c>
      <c r="AK851" s="2484">
        <f>IF(AH851=0," ",(AJ851-AH851)/AH851)</f>
        <v>0</v>
      </c>
      <c r="AM851" s="2536">
        <f>SUM(AM845:AM850)</f>
        <v>1750</v>
      </c>
      <c r="AN851" s="2536">
        <f>SUM(AN845:AN850)</f>
        <v>1750</v>
      </c>
      <c r="AP851" s="2537"/>
      <c r="AR851" s="2536">
        <f>SUM(AR845:AR850)</f>
        <v>1750</v>
      </c>
      <c r="AS851" s="2536">
        <f>SUM(AS845:AS850)</f>
        <v>504</v>
      </c>
      <c r="AT851" s="2536"/>
      <c r="AU851" s="2536">
        <f>SUM(AU845:AU850)</f>
        <v>1750</v>
      </c>
      <c r="AV851" s="2536">
        <f>SUM(AV845:AV850)</f>
        <v>0</v>
      </c>
      <c r="AX851" s="2536">
        <f>SUM(AX845:AX850)</f>
        <v>1750</v>
      </c>
      <c r="AY851" s="2536">
        <f>SUM(AY845:AY850)</f>
        <v>0</v>
      </c>
      <c r="AZ851" s="2536">
        <f>SUM(AZ845:AZ850)</f>
        <v>1750</v>
      </c>
      <c r="BA851" s="2484">
        <f>IF(AX851=0," ",(AZ851-AX851)/AX851)</f>
        <v>0</v>
      </c>
      <c r="BC851" s="2536">
        <f>SUM(BC845:BC850)</f>
        <v>1750</v>
      </c>
      <c r="BD851" s="2536">
        <f>SUM(BD845:BD850)</f>
        <v>1750</v>
      </c>
      <c r="BF851" s="2537"/>
      <c r="BH851" s="2536">
        <f>SUM(BH845:BH850)</f>
        <v>1750</v>
      </c>
      <c r="BI851" s="2536">
        <f>SUM(BI845:BI850)</f>
        <v>875</v>
      </c>
      <c r="BJ851" s="2536"/>
      <c r="BK851" s="2536"/>
      <c r="BM851" s="2536">
        <f>SUM(BM845:BM850)</f>
        <v>1750</v>
      </c>
      <c r="BN851" s="2539">
        <f>SUM(BN845:BN850)</f>
        <v>0</v>
      </c>
      <c r="BO851" s="2540">
        <f>SUM(BO845:BO850)</f>
        <v>1750</v>
      </c>
      <c r="BP851" s="2490">
        <f>IF(BM851=0," ",(BO851-BM851)/BM851)</f>
        <v>0</v>
      </c>
      <c r="BQ851" s="2491"/>
      <c r="BR851" s="2540">
        <f>SUM(BR845:BR850)</f>
        <v>1750</v>
      </c>
      <c r="BS851" s="2540">
        <f>SUM(BS845:BS850)</f>
        <v>1750</v>
      </c>
      <c r="BT851" s="2491"/>
      <c r="BU851" s="2541"/>
      <c r="BV851" s="2491"/>
      <c r="BW851" s="2540">
        <f>SUM(BW845:BW850)</f>
        <v>1750</v>
      </c>
      <c r="BX851" s="2536">
        <f>SUM(BX845:BX850)</f>
        <v>0</v>
      </c>
      <c r="BZ851" s="2540">
        <f>SUM(BZ845:BZ850)</f>
        <v>1750</v>
      </c>
      <c r="CA851" s="2540">
        <f>SUM(CA845:CA850)</f>
        <v>0</v>
      </c>
      <c r="CB851" s="2540">
        <f>SUM(CB845:CB850)</f>
        <v>1750</v>
      </c>
      <c r="CC851" s="2490">
        <f>IF(BZ851=0," ",(CB851-BZ851)/BZ851)</f>
        <v>0</v>
      </c>
      <c r="CD851" s="2491"/>
      <c r="CE851" s="2540">
        <f>SUM(CE845:CE850)</f>
        <v>1750</v>
      </c>
      <c r="CF851" s="2490">
        <f t="shared" si="477"/>
        <v>0</v>
      </c>
      <c r="CG851" s="2540">
        <f>SUM(CG845:CG850)</f>
        <v>1750</v>
      </c>
      <c r="CH851" s="2449" t="s">
        <v>1220</v>
      </c>
      <c r="CI851" s="2449"/>
      <c r="CJ851" s="2450"/>
      <c r="CK851" s="2450"/>
      <c r="CL851" s="2451"/>
      <c r="CM851" s="2451"/>
      <c r="CN851" s="2451"/>
      <c r="CO851" s="2477">
        <v>-0.5</v>
      </c>
      <c r="CP851" s="2478">
        <f t="shared" si="462"/>
        <v>-875</v>
      </c>
      <c r="CQ851" s="2478"/>
      <c r="CR851" s="2478"/>
      <c r="CS851" s="2478"/>
      <c r="CT851" s="2478"/>
    </row>
    <row r="852" spans="1:98" ht="9.9499999999999993" hidden="1" customHeight="1" x14ac:dyDescent="0.2">
      <c r="AS852" s="2466"/>
      <c r="AT852" s="2466"/>
      <c r="BZ852" s="2472"/>
      <c r="CA852" s="2472"/>
      <c r="CH852" s="2449" t="s">
        <v>1091</v>
      </c>
      <c r="CI852" s="2449"/>
      <c r="CJ852" s="2450"/>
      <c r="CK852" s="2450"/>
      <c r="CP852" s="2478">
        <f t="shared" si="462"/>
        <v>0</v>
      </c>
      <c r="CQ852" s="2478"/>
      <c r="CR852" s="2478"/>
      <c r="CS852" s="2478"/>
      <c r="CT852" s="2478"/>
    </row>
    <row r="853" spans="1:98" x14ac:dyDescent="0.2">
      <c r="A853" s="2495"/>
      <c r="B853" s="2496"/>
      <c r="C853" s="2497"/>
      <c r="D853" s="2497"/>
      <c r="E853" s="2498"/>
      <c r="F853" s="2496"/>
      <c r="G853" s="2499" t="s">
        <v>2311</v>
      </c>
      <c r="H853" s="2500">
        <f t="shared" ref="H853" si="479">H843+H851</f>
        <v>2650</v>
      </c>
      <c r="I853" s="2500">
        <f>I843+I851</f>
        <v>-800</v>
      </c>
      <c r="J853" s="2500">
        <f>J843+J851</f>
        <v>1850</v>
      </c>
      <c r="K853" s="2501">
        <f>IF(H853=0," ",(J853-H853)/H853)</f>
        <v>-0.30188679245283018</v>
      </c>
      <c r="M853" s="2500">
        <f>M843+M851</f>
        <v>1850</v>
      </c>
      <c r="N853" s="2500">
        <f>N843+N851</f>
        <v>1850</v>
      </c>
      <c r="P853" s="2502">
        <f>P843+P851</f>
        <v>0</v>
      </c>
      <c r="R853" s="2500">
        <f>R843+R851</f>
        <v>1850</v>
      </c>
      <c r="S853" s="2500">
        <f>S843+S851</f>
        <v>650</v>
      </c>
      <c r="U853" s="2500">
        <f>U843+U851</f>
        <v>1850</v>
      </c>
      <c r="V853" s="2500">
        <f>V843+V851</f>
        <v>0</v>
      </c>
      <c r="W853" s="2500">
        <f>W843+W851</f>
        <v>1850</v>
      </c>
      <c r="X853" s="2501">
        <f>IF(U853=0," ",(W853-U853)/U853)</f>
        <v>0</v>
      </c>
      <c r="Z853" s="2500">
        <f>Z843+Z851</f>
        <v>1850</v>
      </c>
      <c r="AA853" s="2500">
        <f>AA843+AA851</f>
        <v>1850</v>
      </c>
      <c r="AC853" s="2502"/>
      <c r="AE853" s="2500">
        <f>AE843+AE851</f>
        <v>1850</v>
      </c>
      <c r="AF853" s="2503">
        <f>AF843+AF851</f>
        <v>800</v>
      </c>
      <c r="AH853" s="2500">
        <v>1850</v>
      </c>
      <c r="AI853" s="2500">
        <f>AI843+AI851</f>
        <v>0</v>
      </c>
      <c r="AJ853" s="2500">
        <f>AJ843+AJ851</f>
        <v>1850</v>
      </c>
      <c r="AK853" s="2501">
        <f>IF(AH853=0," ",(AJ853-AH853)/AH853)</f>
        <v>0</v>
      </c>
      <c r="AM853" s="2500">
        <f>AM843+AM851</f>
        <v>1850</v>
      </c>
      <c r="AN853" s="2500">
        <f>AN843+AN851</f>
        <v>1850</v>
      </c>
      <c r="AP853" s="2502"/>
      <c r="AR853" s="2500">
        <f>AR843+AR851</f>
        <v>1850</v>
      </c>
      <c r="AS853" s="2500">
        <f>AS843+AS851</f>
        <v>504</v>
      </c>
      <c r="AT853" s="2500"/>
      <c r="AU853" s="2500">
        <f>AU843+AU851</f>
        <v>1850</v>
      </c>
      <c r="AV853" s="2500">
        <f>AV843+AV851</f>
        <v>0</v>
      </c>
      <c r="AX853" s="2500">
        <f>AX843+AX851</f>
        <v>1850</v>
      </c>
      <c r="AY853" s="2500">
        <f>AY843+AY851</f>
        <v>0</v>
      </c>
      <c r="AZ853" s="2500">
        <f>AZ843+AZ851</f>
        <v>1850</v>
      </c>
      <c r="BA853" s="2501">
        <f>IF(AX853=0," ",(AZ853-AX853)/AX853)</f>
        <v>0</v>
      </c>
      <c r="BC853" s="2500">
        <f>BC843+BC851</f>
        <v>1850</v>
      </c>
      <c r="BD853" s="2500">
        <f>BD843+BD851</f>
        <v>1850</v>
      </c>
      <c r="BF853" s="2502"/>
      <c r="BH853" s="2500">
        <f>BH843+BH851</f>
        <v>1850</v>
      </c>
      <c r="BI853" s="2500">
        <f>BI843+BI851</f>
        <v>875</v>
      </c>
      <c r="BJ853" s="2500"/>
      <c r="BK853" s="2500"/>
      <c r="BM853" s="2500">
        <f>BM843+BM851</f>
        <v>1850</v>
      </c>
      <c r="BN853" s="2504">
        <f>BN843+BN851</f>
        <v>0</v>
      </c>
      <c r="BO853" s="2505">
        <f>BO843+BO851</f>
        <v>1850</v>
      </c>
      <c r="BP853" s="2506">
        <f>IF(BM853=0," ",(BO853-BM853)/BM853)</f>
        <v>0</v>
      </c>
      <c r="BR853" s="2505">
        <f>BR843+BR851</f>
        <v>1850</v>
      </c>
      <c r="BS853" s="2505">
        <f>BS843+BS851</f>
        <v>1850</v>
      </c>
      <c r="BU853" s="2507"/>
      <c r="BW853" s="2505">
        <f>BW843+BW851</f>
        <v>1850</v>
      </c>
      <c r="BX853" s="2500">
        <f>BX843+BX851</f>
        <v>0</v>
      </c>
      <c r="BZ853" s="2505">
        <f>BZ843+BZ851</f>
        <v>1850</v>
      </c>
      <c r="CA853" s="2505">
        <f>CA843+CA851</f>
        <v>0</v>
      </c>
      <c r="CB853" s="2505">
        <f>CB843+CB851</f>
        <v>1850</v>
      </c>
      <c r="CC853" s="2506">
        <f>IF(BZ853=0," ",(CB853-BZ853)/BZ853)</f>
        <v>0</v>
      </c>
      <c r="CE853" s="2505">
        <f>CE843+CE851</f>
        <v>1850</v>
      </c>
      <c r="CF853" s="2506">
        <f>IF(CB853=0," ",(CE853-CB853)/CB853)</f>
        <v>0</v>
      </c>
      <c r="CG853" s="2505">
        <f>CG843+CG851</f>
        <v>1850</v>
      </c>
      <c r="CH853" s="2449" t="s">
        <v>1222</v>
      </c>
      <c r="CI853" s="2508" t="str">
        <f>IF(CG853-CE853=0,"",CG853-CE853)</f>
        <v/>
      </c>
      <c r="CJ853" s="2509"/>
      <c r="CK853" s="2509"/>
      <c r="CL853" s="2451" t="str">
        <f>IF(CO853&lt;-1*CM$2,"examine","ignore")</f>
        <v>examine</v>
      </c>
      <c r="CM853" s="2545">
        <f>IF(CL853="examine",CP853+CM$2*CP853/CO853,"")</f>
        <v>-901</v>
      </c>
      <c r="CN853" s="2545">
        <f>IF(CI853="",CM853,CM853-CI853)</f>
        <v>-901</v>
      </c>
      <c r="CO853" s="2477">
        <v>-0.52702702702702697</v>
      </c>
      <c r="CP853" s="2510">
        <f t="shared" si="462"/>
        <v>-975</v>
      </c>
      <c r="CQ853" s="2510">
        <f>AV853-AU853</f>
        <v>-1850</v>
      </c>
      <c r="CR853" s="2510">
        <f>AS853-AR853</f>
        <v>-1346</v>
      </c>
      <c r="CS853" s="2510">
        <f>AF853-AE853</f>
        <v>-1050</v>
      </c>
    </row>
    <row r="854" spans="1:98" ht="20.100000000000001" hidden="1" customHeight="1" x14ac:dyDescent="0.2">
      <c r="AS854" s="2466"/>
      <c r="AT854" s="2466"/>
      <c r="BZ854" s="2472"/>
      <c r="CH854" s="2449" t="s">
        <v>1091</v>
      </c>
      <c r="CI854" s="2449"/>
      <c r="CJ854" s="2450"/>
      <c r="CK854" s="2450"/>
      <c r="CP854" s="2478">
        <f t="shared" si="462"/>
        <v>0</v>
      </c>
      <c r="CQ854" s="2478"/>
      <c r="CR854" s="2478"/>
      <c r="CS854" s="2478"/>
      <c r="CT854" s="2478"/>
    </row>
    <row r="855" spans="1:98" ht="15.75" hidden="1" x14ac:dyDescent="0.2">
      <c r="A855" s="2453" t="s">
        <v>2312</v>
      </c>
      <c r="B855" s="2454"/>
      <c r="C855" s="2455"/>
      <c r="D855" s="2455"/>
      <c r="E855" s="2456"/>
      <c r="F855" s="2454"/>
      <c r="G855" s="2454"/>
      <c r="H855" s="2457"/>
      <c r="I855" s="2457"/>
      <c r="J855" s="2457"/>
      <c r="K855" s="2458"/>
      <c r="M855" s="2457"/>
      <c r="N855" s="2457"/>
      <c r="P855" s="2459"/>
      <c r="R855" s="2457"/>
      <c r="S855" s="2457"/>
      <c r="U855" s="2457"/>
      <c r="V855" s="2457"/>
      <c r="W855" s="2457"/>
      <c r="X855" s="2458"/>
      <c r="Z855" s="2457"/>
      <c r="AA855" s="2457"/>
      <c r="AC855" s="2459"/>
      <c r="AE855" s="2457"/>
      <c r="AF855" s="2460"/>
      <c r="AH855" s="2457"/>
      <c r="AI855" s="2457"/>
      <c r="AJ855" s="2457"/>
      <c r="AK855" s="2458"/>
      <c r="AM855" s="2457"/>
      <c r="AN855" s="2457"/>
      <c r="AP855" s="2459"/>
      <c r="AR855" s="2457"/>
      <c r="AS855" s="2457"/>
      <c r="AT855" s="2457"/>
      <c r="AU855" s="2457"/>
      <c r="AV855" s="2457"/>
      <c r="AX855" s="2457"/>
      <c r="AY855" s="2457"/>
      <c r="AZ855" s="2457"/>
      <c r="BA855" s="2458"/>
      <c r="BC855" s="2457"/>
      <c r="BD855" s="2457"/>
      <c r="BF855" s="2461"/>
      <c r="BH855" s="2457"/>
      <c r="BI855" s="2457"/>
      <c r="BJ855" s="2457"/>
      <c r="BK855" s="2457"/>
      <c r="BM855" s="2457"/>
      <c r="BN855" s="2462"/>
      <c r="BO855" s="2463"/>
      <c r="BP855" s="2464"/>
      <c r="BR855" s="2463"/>
      <c r="BS855" s="2463"/>
      <c r="BU855" s="2465"/>
      <c r="BW855" s="2463"/>
      <c r="BX855" s="2457"/>
      <c r="BZ855" s="2463"/>
      <c r="CA855" s="2462"/>
      <c r="CB855" s="2463"/>
      <c r="CC855" s="2464"/>
      <c r="CE855" s="2463"/>
      <c r="CF855" s="2464"/>
      <c r="CG855" s="2463"/>
      <c r="CH855" s="2449" t="s">
        <v>1212</v>
      </c>
      <c r="CI855" s="2449"/>
      <c r="CJ855" s="2450"/>
      <c r="CK855" s="2450"/>
      <c r="CP855" s="2478">
        <f t="shared" si="462"/>
        <v>0</v>
      </c>
      <c r="CQ855" s="2478"/>
      <c r="CR855" s="2478"/>
      <c r="CS855" s="2478"/>
      <c r="CT855" s="2478"/>
    </row>
    <row r="856" spans="1:98" hidden="1" x14ac:dyDescent="0.2">
      <c r="A856" s="2395">
        <v>693</v>
      </c>
      <c r="B856" s="2440" t="s">
        <v>1214</v>
      </c>
      <c r="C856" s="2396">
        <v>69305</v>
      </c>
      <c r="D856" s="2396">
        <v>53430</v>
      </c>
      <c r="E856" s="2397" t="s">
        <v>1268</v>
      </c>
      <c r="F856" s="2440" t="s">
        <v>1214</v>
      </c>
      <c r="G856" s="2440" t="s">
        <v>2313</v>
      </c>
      <c r="H856" s="2466">
        <v>0</v>
      </c>
      <c r="I856" s="2470"/>
      <c r="J856" s="2466">
        <f>H856+I856</f>
        <v>0</v>
      </c>
      <c r="K856" s="2468" t="str">
        <f>IF(H856=0," ",(J856-H856)/H856)</f>
        <v xml:space="preserve"> </v>
      </c>
      <c r="M856" s="2467"/>
      <c r="N856" s="2467"/>
      <c r="P856" s="2469"/>
      <c r="R856" s="2466">
        <v>0</v>
      </c>
      <c r="V856" s="2470"/>
      <c r="W856" s="2466">
        <f>U856+V856</f>
        <v>0</v>
      </c>
      <c r="X856" s="2468" t="str">
        <f>IF(U856=0," ",(W856-U856)/U856)</f>
        <v xml:space="preserve"> </v>
      </c>
      <c r="Z856" s="2467"/>
      <c r="AA856" s="2467"/>
      <c r="AC856" s="2469"/>
      <c r="AI856" s="2470"/>
      <c r="AJ856" s="2466">
        <f>AH856+AI856</f>
        <v>0</v>
      </c>
      <c r="AK856" s="2468" t="str">
        <f>IF(AH856=0," ",(AJ856-AH856)/AH856)</f>
        <v xml:space="preserve"> </v>
      </c>
      <c r="AM856" s="2467"/>
      <c r="AN856" s="2467"/>
      <c r="AP856" s="2469"/>
      <c r="AS856" s="2466"/>
      <c r="AT856" s="2466"/>
      <c r="AY856" s="2470"/>
      <c r="AZ856" s="2466">
        <f>AX856+AY856</f>
        <v>0</v>
      </c>
      <c r="BA856" s="2468" t="str">
        <f>IF(AX856=0," ",(AZ856-AX856)/AX856)</f>
        <v xml:space="preserve"> </v>
      </c>
      <c r="BC856" s="2467">
        <v>0</v>
      </c>
      <c r="BD856" s="2467"/>
      <c r="BF856" s="2681" t="s">
        <v>2314</v>
      </c>
      <c r="BH856" s="2467"/>
      <c r="BN856" s="2470"/>
      <c r="BO856" s="2472">
        <f>BM856+BN856</f>
        <v>0</v>
      </c>
      <c r="BP856" s="2473" t="str">
        <f>IF(BM856=0," ",(BO856-BM856)/BM856)</f>
        <v xml:space="preserve"> </v>
      </c>
      <c r="BR856" s="2474">
        <v>0</v>
      </c>
      <c r="BS856" s="2474">
        <v>0</v>
      </c>
      <c r="BU856" s="2682"/>
      <c r="BW856" s="2474">
        <v>0</v>
      </c>
      <c r="BZ856" s="2474">
        <v>0</v>
      </c>
      <c r="CA856" s="2470"/>
      <c r="CB856" s="2472">
        <f>BZ856+CA856</f>
        <v>0</v>
      </c>
      <c r="CC856" s="2473" t="str">
        <f>IF(BZ856=0," ",(CB856-BZ856)/BZ856)</f>
        <v xml:space="preserve"> </v>
      </c>
      <c r="CE856" s="2474">
        <v>0</v>
      </c>
      <c r="CF856" s="2473" t="str">
        <f>IF(CB856=0," ",(CE856-CB856)/CB856)</f>
        <v xml:space="preserve"> </v>
      </c>
      <c r="CG856" s="2474"/>
      <c r="CH856" s="2449" t="s">
        <v>1217</v>
      </c>
      <c r="CI856" s="2449"/>
      <c r="CJ856" s="2450"/>
      <c r="CK856" s="2450"/>
      <c r="CP856" s="2478">
        <f t="shared" si="462"/>
        <v>0</v>
      </c>
      <c r="CQ856" s="2478"/>
      <c r="CR856" s="2478"/>
      <c r="CS856" s="2478"/>
      <c r="CT856" s="2478"/>
    </row>
    <row r="857" spans="1:98" hidden="1" x14ac:dyDescent="0.2">
      <c r="A857" s="2395">
        <v>693</v>
      </c>
      <c r="B857" s="2440" t="s">
        <v>1214</v>
      </c>
      <c r="C857" s="2396">
        <v>69305</v>
      </c>
      <c r="D857" s="2396">
        <v>53450</v>
      </c>
      <c r="E857" s="2397" t="s">
        <v>1268</v>
      </c>
      <c r="F857" s="2440" t="s">
        <v>1214</v>
      </c>
      <c r="G857" s="2440" t="s">
        <v>2315</v>
      </c>
      <c r="H857" s="2466">
        <v>0</v>
      </c>
      <c r="I857" s="2470"/>
      <c r="J857" s="2466">
        <f>H857+I857</f>
        <v>0</v>
      </c>
      <c r="K857" s="2468" t="str">
        <f>IF(H857=0," ",(J857-H857)/H857)</f>
        <v xml:space="preserve"> </v>
      </c>
      <c r="M857" s="2467"/>
      <c r="N857" s="2467"/>
      <c r="P857" s="2469"/>
      <c r="R857" s="2466">
        <v>0</v>
      </c>
      <c r="V857" s="2470"/>
      <c r="W857" s="2466">
        <f>U857+V857</f>
        <v>0</v>
      </c>
      <c r="X857" s="2468" t="str">
        <f>IF(U857=0," ",(W857-U857)/U857)</f>
        <v xml:space="preserve"> </v>
      </c>
      <c r="Z857" s="2467"/>
      <c r="AA857" s="2467"/>
      <c r="AC857" s="2469"/>
      <c r="AI857" s="2470"/>
      <c r="AJ857" s="2466">
        <f>AH857+AI857</f>
        <v>0</v>
      </c>
      <c r="AK857" s="2468" t="str">
        <f>IF(AH857=0," ",(AJ857-AH857)/AH857)</f>
        <v xml:space="preserve"> </v>
      </c>
      <c r="AM857" s="2467"/>
      <c r="AN857" s="2467"/>
      <c r="AP857" s="2469"/>
      <c r="AS857" s="2466"/>
      <c r="AT857" s="2466"/>
      <c r="AY857" s="2470"/>
      <c r="AZ857" s="2466">
        <f>AX857+AY857</f>
        <v>0</v>
      </c>
      <c r="BA857" s="2468" t="str">
        <f>IF(AX857=0," ",(AZ857-AX857)/AX857)</f>
        <v xml:space="preserve"> </v>
      </c>
      <c r="BC857" s="2467">
        <v>0</v>
      </c>
      <c r="BD857" s="2467"/>
      <c r="BF857" s="2681" t="s">
        <v>2316</v>
      </c>
      <c r="BH857" s="2467"/>
      <c r="BN857" s="2470"/>
      <c r="BO857" s="2472">
        <f>BM857+BN857</f>
        <v>0</v>
      </c>
      <c r="BP857" s="2473" t="str">
        <f>IF(BM857=0," ",(BO857-BM857)/BM857)</f>
        <v xml:space="preserve"> </v>
      </c>
      <c r="BR857" s="2474">
        <v>0</v>
      </c>
      <c r="BS857" s="2474">
        <v>0</v>
      </c>
      <c r="BU857" s="2682"/>
      <c r="BW857" s="2474">
        <v>0</v>
      </c>
      <c r="BZ857" s="2474">
        <v>0</v>
      </c>
      <c r="CA857" s="2470"/>
      <c r="CB857" s="2472">
        <f>BZ857+CA857</f>
        <v>0</v>
      </c>
      <c r="CC857" s="2473" t="str">
        <f>IF(BZ857=0," ",(CB857-BZ857)/BZ857)</f>
        <v xml:space="preserve"> </v>
      </c>
      <c r="CE857" s="2474">
        <v>0</v>
      </c>
      <c r="CF857" s="2473" t="str">
        <f>IF(CB857=0," ",(CE857-CB857)/CB857)</f>
        <v xml:space="preserve"> </v>
      </c>
      <c r="CG857" s="2474"/>
      <c r="CH857" s="2449" t="s">
        <v>1217</v>
      </c>
      <c r="CI857" s="2449"/>
      <c r="CJ857" s="2450"/>
      <c r="CK857" s="2450"/>
      <c r="CP857" s="2478">
        <f t="shared" si="462"/>
        <v>0</v>
      </c>
      <c r="CQ857" s="2478"/>
      <c r="CR857" s="2478"/>
      <c r="CS857" s="2478"/>
      <c r="CT857" s="2478"/>
    </row>
    <row r="858" spans="1:98" hidden="1" x14ac:dyDescent="0.2">
      <c r="A858" s="2395">
        <v>693</v>
      </c>
      <c r="B858" s="2440" t="s">
        <v>1214</v>
      </c>
      <c r="C858" s="2396">
        <v>69305</v>
      </c>
      <c r="D858" s="2396">
        <v>57800</v>
      </c>
      <c r="E858" s="2397" t="s">
        <v>1268</v>
      </c>
      <c r="F858" s="2440" t="s">
        <v>1214</v>
      </c>
      <c r="G858" s="2440" t="s">
        <v>2317</v>
      </c>
      <c r="H858" s="2466">
        <v>0</v>
      </c>
      <c r="I858" s="2470"/>
      <c r="J858" s="2466">
        <f>H858+I858</f>
        <v>0</v>
      </c>
      <c r="K858" s="2468" t="str">
        <f>IF(H858=0," ",(J858-H858)/H858)</f>
        <v xml:space="preserve"> </v>
      </c>
      <c r="M858" s="2467"/>
      <c r="N858" s="2467"/>
      <c r="P858" s="2469"/>
      <c r="R858" s="2466">
        <v>0</v>
      </c>
      <c r="V858" s="2470"/>
      <c r="W858" s="2466">
        <f>U858+V858</f>
        <v>0</v>
      </c>
      <c r="X858" s="2468" t="str">
        <f>IF(U858=0," ",(W858-U858)/U858)</f>
        <v xml:space="preserve"> </v>
      </c>
      <c r="Z858" s="2467"/>
      <c r="AA858" s="2467"/>
      <c r="AC858" s="2469" t="s">
        <v>2318</v>
      </c>
      <c r="AI858" s="2470"/>
      <c r="AJ858" s="2466">
        <f>AH858+AI858</f>
        <v>0</v>
      </c>
      <c r="AK858" s="2468" t="str">
        <f>IF(AH858=0," ",(AJ858-AH858)/AH858)</f>
        <v xml:space="preserve"> </v>
      </c>
      <c r="AM858" s="2467"/>
      <c r="AN858" s="2467"/>
      <c r="AP858" s="2469"/>
      <c r="AS858" s="2466"/>
      <c r="AT858" s="2466"/>
      <c r="AY858" s="2470"/>
      <c r="AZ858" s="2466">
        <f>AX858+AY858</f>
        <v>0</v>
      </c>
      <c r="BA858" s="2468" t="str">
        <f>IF(AX858=0," ",(AZ858-AX858)/AX858)</f>
        <v xml:space="preserve"> </v>
      </c>
      <c r="BC858" s="2467">
        <v>0</v>
      </c>
      <c r="BD858" s="2467"/>
      <c r="BF858" s="2469"/>
      <c r="BH858" s="2467"/>
      <c r="BN858" s="2470"/>
      <c r="BO858" s="2472">
        <f>BM858+BN858</f>
        <v>0</v>
      </c>
      <c r="BP858" s="2473" t="str">
        <f>IF(BM858=0," ",(BO858-BM858)/BM858)</f>
        <v xml:space="preserve"> </v>
      </c>
      <c r="BR858" s="2474">
        <v>0</v>
      </c>
      <c r="BS858" s="2474">
        <v>0</v>
      </c>
      <c r="BU858" s="2475"/>
      <c r="BW858" s="2474">
        <v>0</v>
      </c>
      <c r="BZ858" s="2474">
        <v>0</v>
      </c>
      <c r="CA858" s="2470"/>
      <c r="CB858" s="2472">
        <f>BZ858+CA858</f>
        <v>0</v>
      </c>
      <c r="CC858" s="2473" t="str">
        <f>IF(BZ858=0," ",(CB858-BZ858)/BZ858)</f>
        <v xml:space="preserve"> </v>
      </c>
      <c r="CE858" s="2474">
        <v>0</v>
      </c>
      <c r="CF858" s="2473" t="str">
        <f>IF(CB858=0," ",(CE858-CB858)/CB858)</f>
        <v xml:space="preserve"> </v>
      </c>
      <c r="CG858" s="2474"/>
      <c r="CH858" s="2449" t="s">
        <v>1217</v>
      </c>
      <c r="CI858" s="2449"/>
      <c r="CJ858" s="2450"/>
      <c r="CK858" s="2450"/>
      <c r="CP858" s="2478">
        <f t="shared" si="462"/>
        <v>0</v>
      </c>
      <c r="CQ858" s="2478"/>
      <c r="CR858" s="2478"/>
      <c r="CS858" s="2478"/>
      <c r="CT858" s="2478"/>
    </row>
    <row r="859" spans="1:98" s="2485" customFormat="1" hidden="1" x14ac:dyDescent="0.2">
      <c r="A859" s="2532"/>
      <c r="B859" s="2533"/>
      <c r="C859" s="2534"/>
      <c r="D859" s="2534"/>
      <c r="E859" s="2535"/>
      <c r="F859" s="2533"/>
      <c r="G859" s="2654" t="s">
        <v>2319</v>
      </c>
      <c r="H859" s="2536">
        <f>SUM(H856:H858)</f>
        <v>0</v>
      </c>
      <c r="I859" s="2536">
        <f>SUM(I856:I858)</f>
        <v>0</v>
      </c>
      <c r="J859" s="2536">
        <f>SUM(J856:J858)</f>
        <v>0</v>
      </c>
      <c r="K859" s="2536">
        <f>SUM(K856:K858)</f>
        <v>0</v>
      </c>
      <c r="M859" s="2536">
        <f>SUM(M856:M858)</f>
        <v>0</v>
      </c>
      <c r="N859" s="2536">
        <f>SUM(N856:N858)</f>
        <v>0</v>
      </c>
      <c r="P859" s="2537">
        <f>SUM(P856:P858)</f>
        <v>0</v>
      </c>
      <c r="R859" s="2536">
        <f>SUM(R856:R858)</f>
        <v>0</v>
      </c>
      <c r="S859" s="2536">
        <f>SUM(S856:S858)</f>
        <v>0</v>
      </c>
      <c r="U859" s="2536">
        <f>SUM(U856:U858)</f>
        <v>0</v>
      </c>
      <c r="V859" s="2536">
        <f>SUM(V856:V858)</f>
        <v>0</v>
      </c>
      <c r="W859" s="2536">
        <f>SUM(W856:W858)</f>
        <v>0</v>
      </c>
      <c r="X859" s="2484" t="str">
        <f>IF(U859=0," ",(W859-U859)/U859)</f>
        <v xml:space="preserve"> </v>
      </c>
      <c r="Z859" s="2536">
        <f>SUM(Z856:Z858)</f>
        <v>0</v>
      </c>
      <c r="AA859" s="2536">
        <f>SUM(AA856:AA858)</f>
        <v>0</v>
      </c>
      <c r="AC859" s="2537"/>
      <c r="AE859" s="2536">
        <f>SUM(AE856:AE858)</f>
        <v>0</v>
      </c>
      <c r="AF859" s="2538">
        <f>SUM(AF856:AF858)</f>
        <v>0</v>
      </c>
      <c r="AH859" s="2536">
        <v>0</v>
      </c>
      <c r="AI859" s="2536">
        <f>SUM(AI856:AI858)</f>
        <v>0</v>
      </c>
      <c r="AJ859" s="2536">
        <f>SUM(AJ856:AJ858)</f>
        <v>0</v>
      </c>
      <c r="AK859" s="2484" t="str">
        <f>IF(AH859=0," ",(AJ859-AH859)/AH859)</f>
        <v xml:space="preserve"> </v>
      </c>
      <c r="AM859" s="2536">
        <f>SUM(AM856:AM858)</f>
        <v>0</v>
      </c>
      <c r="AN859" s="2536">
        <f>SUM(AN856:AN858)</f>
        <v>0</v>
      </c>
      <c r="AP859" s="2537"/>
      <c r="AR859" s="2536">
        <f>SUM(AR856:AR858)</f>
        <v>0</v>
      </c>
      <c r="AS859" s="2536">
        <f>SUM(AS856:AS858)</f>
        <v>0</v>
      </c>
      <c r="AT859" s="2536"/>
      <c r="AU859" s="2536">
        <f>SUM(AU856:AU858)</f>
        <v>0</v>
      </c>
      <c r="AV859" s="2536">
        <f>SUM(AV856:AV858)</f>
        <v>0</v>
      </c>
      <c r="AX859" s="2536">
        <f>SUM(AX856:AX858)</f>
        <v>0</v>
      </c>
      <c r="AY859" s="2536">
        <f>SUM(AY856:AY858)</f>
        <v>0</v>
      </c>
      <c r="AZ859" s="2536">
        <f>SUM(AZ856:AZ858)</f>
        <v>0</v>
      </c>
      <c r="BA859" s="2484" t="str">
        <f>IF(AX859=0," ",(AZ859-AX859)/AX859)</f>
        <v xml:space="preserve"> </v>
      </c>
      <c r="BC859" s="2536">
        <f>SUM(BC856:BC858)</f>
        <v>0</v>
      </c>
      <c r="BD859" s="2536">
        <f>SUM(BD856:BD858)</f>
        <v>0</v>
      </c>
      <c r="BF859" s="2537"/>
      <c r="BH859" s="2536">
        <f>SUM(BH856:BH858)</f>
        <v>0</v>
      </c>
      <c r="BI859" s="2536">
        <f>SUM(BI856:BI858)</f>
        <v>0</v>
      </c>
      <c r="BJ859" s="2536"/>
      <c r="BK859" s="2536"/>
      <c r="BM859" s="2536">
        <f>SUM(BM856:BM858)</f>
        <v>0</v>
      </c>
      <c r="BN859" s="2539">
        <f>SUM(BN856:BN858)</f>
        <v>0</v>
      </c>
      <c r="BO859" s="2540">
        <f>SUM(BO856:BO858)</f>
        <v>0</v>
      </c>
      <c r="BP859" s="2490" t="str">
        <f>IF(BM859=0," ",(BO859-BM859)/BM859)</f>
        <v xml:space="preserve"> </v>
      </c>
      <c r="BQ859" s="2491"/>
      <c r="BR859" s="2540">
        <f>SUM(BR856:BR858)</f>
        <v>0</v>
      </c>
      <c r="BS859" s="2540">
        <f>SUM(BS856:BS858)</f>
        <v>0</v>
      </c>
      <c r="BT859" s="2491"/>
      <c r="BU859" s="2541"/>
      <c r="BV859" s="2491"/>
      <c r="BW859" s="2540">
        <f>SUM(BW856:BW858)</f>
        <v>0</v>
      </c>
      <c r="BX859" s="2536">
        <f>SUM(BX856:BX858)</f>
        <v>0</v>
      </c>
      <c r="BZ859" s="2540">
        <f>SUM(BZ856:BZ858)</f>
        <v>0</v>
      </c>
      <c r="CA859" s="2539">
        <f>SUM(CA856:CA858)</f>
        <v>0</v>
      </c>
      <c r="CB859" s="2540">
        <f>SUM(CB856:CB858)</f>
        <v>0</v>
      </c>
      <c r="CC859" s="2490" t="str">
        <f>IF(BZ859=0," ",(CB859-BZ859)/BZ859)</f>
        <v xml:space="preserve"> </v>
      </c>
      <c r="CD859" s="2491"/>
      <c r="CE859" s="2540">
        <v>0</v>
      </c>
      <c r="CF859" s="2490" t="str">
        <f>IF(CB859=0," ",(CE859-CB859)/CB859)</f>
        <v xml:space="preserve"> </v>
      </c>
      <c r="CG859" s="2540">
        <f>SUM(CG856:CG858)</f>
        <v>0</v>
      </c>
      <c r="CH859" s="2449" t="s">
        <v>1091</v>
      </c>
      <c r="CI859" s="2449"/>
      <c r="CJ859" s="2450"/>
      <c r="CK859" s="2450"/>
      <c r="CL859" s="2451"/>
      <c r="CM859" s="2451"/>
      <c r="CN859" s="2451"/>
      <c r="CO859" s="2477"/>
      <c r="CP859" s="2478">
        <f t="shared" si="462"/>
        <v>0</v>
      </c>
      <c r="CQ859" s="2478"/>
      <c r="CR859" s="2478"/>
      <c r="CS859" s="2478"/>
      <c r="CT859" s="2478"/>
    </row>
    <row r="860" spans="1:98" ht="9.9499999999999993" hidden="1" customHeight="1" x14ac:dyDescent="0.2">
      <c r="AS860" s="2466"/>
      <c r="AT860" s="2466"/>
      <c r="BZ860" s="2472"/>
      <c r="CH860" s="2449" t="s">
        <v>1091</v>
      </c>
      <c r="CI860" s="2449"/>
      <c r="CJ860" s="2450"/>
      <c r="CK860" s="2450"/>
      <c r="CP860" s="2478">
        <f t="shared" si="462"/>
        <v>0</v>
      </c>
      <c r="CQ860" s="2478"/>
      <c r="CR860" s="2478"/>
      <c r="CS860" s="2478"/>
      <c r="CT860" s="2478"/>
    </row>
    <row r="861" spans="1:98" hidden="1" x14ac:dyDescent="0.2">
      <c r="A861" s="2495"/>
      <c r="B861" s="2496"/>
      <c r="C861" s="2497"/>
      <c r="D861" s="2497"/>
      <c r="E861" s="2498"/>
      <c r="F861" s="2496"/>
      <c r="G861" s="2499" t="s">
        <v>2320</v>
      </c>
      <c r="H861" s="2500">
        <f>H859</f>
        <v>0</v>
      </c>
      <c r="I861" s="2500">
        <f>I859</f>
        <v>0</v>
      </c>
      <c r="J861" s="2500">
        <f>J859</f>
        <v>0</v>
      </c>
      <c r="K861" s="2501" t="str">
        <f>IF(H861=0," ",(J861-H861)/H861)</f>
        <v xml:space="preserve"> </v>
      </c>
      <c r="M861" s="2500">
        <f>M859</f>
        <v>0</v>
      </c>
      <c r="N861" s="2500">
        <f>N859</f>
        <v>0</v>
      </c>
      <c r="P861" s="2502">
        <f>P859</f>
        <v>0</v>
      </c>
      <c r="R861" s="2500">
        <f>R859</f>
        <v>0</v>
      </c>
      <c r="S861" s="2500">
        <f>S859</f>
        <v>0</v>
      </c>
      <c r="U861" s="2500">
        <f>U859</f>
        <v>0</v>
      </c>
      <c r="V861" s="2500">
        <f>V859</f>
        <v>0</v>
      </c>
      <c r="W861" s="2500">
        <f>W859</f>
        <v>0</v>
      </c>
      <c r="X861" s="2501" t="str">
        <f>IF(U861=0," ",(W861-U861)/U861)</f>
        <v xml:space="preserve"> </v>
      </c>
      <c r="Z861" s="2500">
        <f>Z859</f>
        <v>0</v>
      </c>
      <c r="AA861" s="2500">
        <f>AA859</f>
        <v>0</v>
      </c>
      <c r="AC861" s="2502"/>
      <c r="AE861" s="2500">
        <f>AE859</f>
        <v>0</v>
      </c>
      <c r="AF861" s="2503">
        <f>AF859</f>
        <v>0</v>
      </c>
      <c r="AH861" s="2500">
        <v>0</v>
      </c>
      <c r="AI861" s="2500">
        <f>AI859</f>
        <v>0</v>
      </c>
      <c r="AJ861" s="2500">
        <f>AJ859</f>
        <v>0</v>
      </c>
      <c r="AK861" s="2501" t="str">
        <f>IF(AH861=0," ",(AJ861-AH861)/AH861)</f>
        <v xml:space="preserve"> </v>
      </c>
      <c r="AM861" s="2500">
        <f>AM859</f>
        <v>0</v>
      </c>
      <c r="AN861" s="2500">
        <f>AN859</f>
        <v>0</v>
      </c>
      <c r="AP861" s="2502"/>
      <c r="AR861" s="2500">
        <f>AR859</f>
        <v>0</v>
      </c>
      <c r="AS861" s="2500">
        <f>AS859</f>
        <v>0</v>
      </c>
      <c r="AT861" s="2500"/>
      <c r="AU861" s="2500">
        <f>AU859</f>
        <v>0</v>
      </c>
      <c r="AV861" s="2500">
        <f>AV859</f>
        <v>0</v>
      </c>
      <c r="AX861" s="2500">
        <f>AX859</f>
        <v>0</v>
      </c>
      <c r="AY861" s="2500">
        <f>AY859</f>
        <v>0</v>
      </c>
      <c r="AZ861" s="2500">
        <f>AZ859</f>
        <v>0</v>
      </c>
      <c r="BA861" s="2501" t="str">
        <f>IF(AX861=0," ",(AZ861-AX861)/AX861)</f>
        <v xml:space="preserve"> </v>
      </c>
      <c r="BC861" s="2500">
        <f>BC859</f>
        <v>0</v>
      </c>
      <c r="BD861" s="2500">
        <f>BD859</f>
        <v>0</v>
      </c>
      <c r="BF861" s="2502"/>
      <c r="BH861" s="2500">
        <f>BH859</f>
        <v>0</v>
      </c>
      <c r="BI861" s="2500">
        <f>BI859</f>
        <v>0</v>
      </c>
      <c r="BJ861" s="2500"/>
      <c r="BK861" s="2500"/>
      <c r="BM861" s="2500">
        <f>BM859</f>
        <v>0</v>
      </c>
      <c r="BN861" s="2504">
        <f>BN859</f>
        <v>0</v>
      </c>
      <c r="BO861" s="2505">
        <f>BO859</f>
        <v>0</v>
      </c>
      <c r="BP861" s="2506" t="str">
        <f>IF(BM861=0," ",(BO861-BM861)/BM861)</f>
        <v xml:space="preserve"> </v>
      </c>
      <c r="BR861" s="2505">
        <f>BR859</f>
        <v>0</v>
      </c>
      <c r="BS861" s="2505">
        <f>BS859</f>
        <v>0</v>
      </c>
      <c r="BU861" s="2507"/>
      <c r="BW861" s="2505">
        <f>BW859</f>
        <v>0</v>
      </c>
      <c r="BX861" s="2500">
        <f>BX859</f>
        <v>0</v>
      </c>
      <c r="BZ861" s="2505">
        <f>BZ859</f>
        <v>0</v>
      </c>
      <c r="CA861" s="2504">
        <f>CA859</f>
        <v>0</v>
      </c>
      <c r="CB861" s="2505">
        <f>CB859</f>
        <v>0</v>
      </c>
      <c r="CC861" s="2506" t="str">
        <f>IF(BZ861=0," ",(CB861-BZ861)/BZ861)</f>
        <v xml:space="preserve"> </v>
      </c>
      <c r="CE861" s="2505">
        <v>0</v>
      </c>
      <c r="CF861" s="2506" t="str">
        <f>IF(CB861=0," ",(CE861-CB861)/CB861)</f>
        <v xml:space="preserve"> </v>
      </c>
      <c r="CG861" s="2505">
        <f>CG859</f>
        <v>0</v>
      </c>
      <c r="CH861" s="2449" t="s">
        <v>1091</v>
      </c>
      <c r="CI861" s="2449"/>
      <c r="CJ861" s="2450"/>
      <c r="CK861" s="2450"/>
      <c r="CP861" s="2478">
        <f t="shared" si="462"/>
        <v>0</v>
      </c>
      <c r="CQ861" s="2478"/>
      <c r="CR861" s="2478"/>
      <c r="CS861" s="2478"/>
      <c r="CT861" s="2478"/>
    </row>
    <row r="862" spans="1:98" ht="20.100000000000001" hidden="1" customHeight="1" x14ac:dyDescent="0.2">
      <c r="A862" s="2604" t="s">
        <v>2321</v>
      </c>
      <c r="B862" s="2435"/>
      <c r="C862" s="2436"/>
      <c r="D862" s="2436"/>
      <c r="E862" s="2437"/>
      <c r="F862" s="2435"/>
      <c r="G862" s="2435"/>
      <c r="H862" s="2438">
        <f>H853+H839+H819+H859</f>
        <v>573491</v>
      </c>
      <c r="I862" s="2438">
        <f>I853+I839+I819+I859</f>
        <v>14091</v>
      </c>
      <c r="J862" s="2438">
        <f>J853+J839+J819+J859</f>
        <v>587582</v>
      </c>
      <c r="K862" s="2439">
        <f>IF(H862=0," ",(J862-H862)/H862)</f>
        <v>2.4570568675009723E-2</v>
      </c>
      <c r="M862" s="2438">
        <f>M853+M839+M819+M859</f>
        <v>587582</v>
      </c>
      <c r="N862" s="2438">
        <f>N853+N839+N819+N859</f>
        <v>587582</v>
      </c>
      <c r="P862" s="2441"/>
      <c r="R862" s="2438">
        <f>R853+R839+R819+R859</f>
        <v>587582</v>
      </c>
      <c r="S862" s="2438">
        <f>S861+S853+S839+S832+S819</f>
        <v>579055.46000000008</v>
      </c>
      <c r="U862" s="2438">
        <f>U853+U839+U819+U859</f>
        <v>587582</v>
      </c>
      <c r="V862" s="2438">
        <f>V853+V839+V819+V859</f>
        <v>19621</v>
      </c>
      <c r="W862" s="2438">
        <f>W853+W839+W819+W859</f>
        <v>607203</v>
      </c>
      <c r="X862" s="2439">
        <f>IF(U862=0," ",(W862-U862)/U862)</f>
        <v>3.3392786028162876E-2</v>
      </c>
      <c r="Z862" s="2438">
        <f>Z853+Z839+Z819+Z859</f>
        <v>607203</v>
      </c>
      <c r="AA862" s="2438">
        <f>AA853+AA839+AA819+AA859</f>
        <v>609774</v>
      </c>
      <c r="AC862" s="2441"/>
      <c r="AE862" s="2438">
        <f>AE853+AE839+AE819+AE859</f>
        <v>609774</v>
      </c>
      <c r="AF862" s="2438">
        <f>AF861+AF853+AF839+AF832+AF819</f>
        <v>604477.30999999994</v>
      </c>
      <c r="AH862" s="2438">
        <v>609774</v>
      </c>
      <c r="AI862" s="2438">
        <f>AI853+AI839+AI819+AI859</f>
        <v>25586</v>
      </c>
      <c r="AJ862" s="2438">
        <f>AJ853+AJ839+AJ819+AJ859</f>
        <v>635360</v>
      </c>
      <c r="AK862" s="2439">
        <f>IF(AH862=0," ",(AJ862-AH862)/AH862)</f>
        <v>4.195980806003536E-2</v>
      </c>
      <c r="AM862" s="2438">
        <f>AM853+AM839+AM819+AM859</f>
        <v>638658</v>
      </c>
      <c r="AN862" s="2438">
        <f>AN853+AN839+AN819+AN859</f>
        <v>638658</v>
      </c>
      <c r="AP862" s="2441"/>
      <c r="AR862" s="2438">
        <f>AR853+AR839+AR819+AR859</f>
        <v>638658</v>
      </c>
      <c r="AS862" s="2438">
        <f>AS861+AS853+AS839+AS832+AS819</f>
        <v>625360.15</v>
      </c>
      <c r="AT862" s="2438"/>
      <c r="AU862" s="2438">
        <f>AU861+AU853+AU839+AU832+AU819</f>
        <v>665336</v>
      </c>
      <c r="AV862" s="2438">
        <f>AV861+AV853+AV839+AV832+AV819</f>
        <v>588890.30000000005</v>
      </c>
      <c r="AX862" s="2438">
        <f>AX861+AX853+AX839+AX832+AX819</f>
        <v>665336</v>
      </c>
      <c r="AY862" s="2438">
        <f>AY861+AY853+AY839+AY832+AY819</f>
        <v>-12889</v>
      </c>
      <c r="AZ862" s="2438">
        <f>AZ861+AZ853+AZ839+AZ832+AZ819</f>
        <v>652447</v>
      </c>
      <c r="BA862" s="2439">
        <f>IF(AX862=0," ",(AZ862-AX862)/AX862)</f>
        <v>-1.9372166845022666E-2</v>
      </c>
      <c r="BC862" s="2438">
        <f>BC861+BC853+BC839+BC832+BC819</f>
        <v>652447</v>
      </c>
      <c r="BD862" s="2438">
        <f>BD861+BD853+BD839+BD832+BD819</f>
        <v>687835</v>
      </c>
      <c r="BF862" s="2443"/>
      <c r="BH862" s="2438">
        <f>BH861+BH853+BH839+BH832+BH819</f>
        <v>687835</v>
      </c>
      <c r="BI862" s="2438">
        <f>BI861+BI853+BI839+BI832+BI819</f>
        <v>645764.23999999987</v>
      </c>
      <c r="BJ862" s="2438"/>
      <c r="BK862" s="2438"/>
      <c r="BM862" s="2438">
        <f>BM861+BM853+BM839+BM832+BM819</f>
        <v>687835</v>
      </c>
      <c r="BN862" s="2438">
        <f>BN861+BN853+BN839+BN832+BN819</f>
        <v>2956</v>
      </c>
      <c r="BO862" s="2438">
        <f>BO861+BO853+BO839+BO832+BO819</f>
        <v>690791</v>
      </c>
      <c r="BP862" s="2439">
        <f>IF(BM862=0," ",(BO862-BM862)/BM862)</f>
        <v>4.2975422884848841E-3</v>
      </c>
      <c r="BR862" s="2438">
        <f>BR861+BR853+BR839+BR832+BR819</f>
        <v>690791</v>
      </c>
      <c r="BS862" s="2438">
        <f>BS861+BS853+BS839+BS832+BS819</f>
        <v>702767</v>
      </c>
      <c r="BU862" s="2448"/>
      <c r="BW862" s="2438">
        <f>BW861+BW853+BW839+BW832+BW819</f>
        <v>702767</v>
      </c>
      <c r="BX862" s="2438">
        <f>BX861+BX853+BX839+BX832+BX819</f>
        <v>342304.14</v>
      </c>
      <c r="BZ862" s="2438">
        <f>BZ861+BZ853+BZ839+BZ832+BZ819</f>
        <v>702767</v>
      </c>
      <c r="CA862" s="2438">
        <f>CA861+CA853+CA839+CA832+CA819</f>
        <v>3429</v>
      </c>
      <c r="CB862" s="2438">
        <f>CB861+CB853+CB839+CB832+CB819</f>
        <v>706196</v>
      </c>
      <c r="CC862" s="2439">
        <f>IF(BZ862=0," ",(CB862-BZ862)/BZ862)</f>
        <v>4.8792843147159731E-3</v>
      </c>
      <c r="CE862" s="2438">
        <f>CE861+CE853+CE839+CE832+CE819</f>
        <v>721656</v>
      </c>
      <c r="CF862" s="2439">
        <f>IF(CB862=0," ",(CE862-CB862)/CB862)</f>
        <v>2.1891939348282912E-2</v>
      </c>
      <c r="CG862" s="2438">
        <f>CG861+CG853+CG839+CG832+CG819</f>
        <v>720751</v>
      </c>
      <c r="CH862" s="2449" t="s">
        <v>1602</v>
      </c>
      <c r="CI862" s="2449"/>
      <c r="CJ862" s="2450"/>
      <c r="CK862" s="2450"/>
      <c r="CO862" s="2477">
        <v>-6.1164029163971234E-2</v>
      </c>
      <c r="CP862" s="2478">
        <f t="shared" si="462"/>
        <v>-42070.760000000126</v>
      </c>
      <c r="CQ862" s="2478"/>
      <c r="CR862" s="2478"/>
      <c r="CS862" s="2478"/>
      <c r="CT862" s="2478"/>
    </row>
    <row r="863" spans="1:98" ht="20.100000000000001" hidden="1" customHeight="1" x14ac:dyDescent="0.2">
      <c r="A863" s="2605"/>
      <c r="B863" s="2606"/>
      <c r="C863" s="2607"/>
      <c r="D863" s="2607"/>
      <c r="E863" s="2608"/>
      <c r="F863" s="2606"/>
      <c r="G863" s="2606"/>
      <c r="H863" s="2609"/>
      <c r="I863" s="2609"/>
      <c r="J863" s="2609"/>
      <c r="K863" s="2610"/>
      <c r="M863" s="2609"/>
      <c r="N863" s="2609"/>
      <c r="P863" s="2612"/>
      <c r="R863" s="2609"/>
      <c r="S863" s="2609"/>
      <c r="U863" s="2609"/>
      <c r="V863" s="2609"/>
      <c r="W863" s="2609"/>
      <c r="X863" s="2610"/>
      <c r="Z863" s="2609"/>
      <c r="AA863" s="2609"/>
      <c r="AC863" s="2612"/>
      <c r="AE863" s="2609"/>
      <c r="AF863" s="2656"/>
      <c r="AH863" s="2609"/>
      <c r="AI863" s="2609"/>
      <c r="AJ863" s="2609"/>
      <c r="AK863" s="2610"/>
      <c r="AM863" s="2609"/>
      <c r="AN863" s="2609"/>
      <c r="AP863" s="2612"/>
      <c r="AR863" s="2609"/>
      <c r="AS863" s="2609"/>
      <c r="AT863" s="2609"/>
      <c r="AU863" s="2609"/>
      <c r="AV863" s="2609"/>
      <c r="AX863" s="2609"/>
      <c r="AY863" s="2609"/>
      <c r="AZ863" s="2609"/>
      <c r="BA863" s="2610"/>
      <c r="BC863" s="2609"/>
      <c r="BD863" s="2609"/>
      <c r="BF863" s="2551"/>
      <c r="BH863" s="2609"/>
      <c r="BI863" s="2609"/>
      <c r="BJ863" s="2609"/>
      <c r="BK863" s="2609"/>
      <c r="BM863" s="2609"/>
      <c r="BN863" s="2614"/>
      <c r="BO863" s="2553"/>
      <c r="BP863" s="2554"/>
      <c r="BR863" s="2553"/>
      <c r="BS863" s="2553"/>
      <c r="BU863" s="2555"/>
      <c r="BW863" s="2553"/>
      <c r="BX863" s="2609"/>
      <c r="BZ863" s="2553"/>
      <c r="CA863" s="2614"/>
      <c r="CB863" s="2553"/>
      <c r="CC863" s="2554"/>
      <c r="CE863" s="2553"/>
      <c r="CF863" s="2554"/>
      <c r="CG863" s="2553"/>
      <c r="CH863" s="2449" t="s">
        <v>1091</v>
      </c>
      <c r="CI863" s="2449"/>
      <c r="CJ863" s="2450"/>
      <c r="CK863" s="2450"/>
      <c r="CP863" s="2478">
        <f t="shared" si="462"/>
        <v>0</v>
      </c>
      <c r="CQ863" s="2478"/>
      <c r="CR863" s="2478"/>
      <c r="CS863" s="2478"/>
      <c r="CT863" s="2478"/>
    </row>
    <row r="864" spans="1:98" ht="20.100000000000001" hidden="1" customHeight="1" x14ac:dyDescent="0.2">
      <c r="A864" s="2605"/>
      <c r="B864" s="2606"/>
      <c r="C864" s="2607"/>
      <c r="D864" s="2607"/>
      <c r="E864" s="2608"/>
      <c r="F864" s="2606"/>
      <c r="G864" s="2606"/>
      <c r="H864" s="2609"/>
      <c r="I864" s="2609"/>
      <c r="J864" s="2609"/>
      <c r="K864" s="2610"/>
      <c r="M864" s="2609"/>
      <c r="N864" s="2609"/>
      <c r="P864" s="2612"/>
      <c r="R864" s="2609"/>
      <c r="S864" s="2609"/>
      <c r="U864" s="2609"/>
      <c r="V864" s="2609"/>
      <c r="W864" s="2609"/>
      <c r="X864" s="2610"/>
      <c r="Z864" s="2609"/>
      <c r="AA864" s="2609"/>
      <c r="AC864" s="2612"/>
      <c r="AE864" s="2609"/>
      <c r="AF864" s="2656"/>
      <c r="AH864" s="2609"/>
      <c r="AI864" s="2609"/>
      <c r="AJ864" s="2609"/>
      <c r="AK864" s="2610"/>
      <c r="AM864" s="2609"/>
      <c r="AN864" s="2609"/>
      <c r="AP864" s="2612"/>
      <c r="AR864" s="2609"/>
      <c r="AS864" s="2609"/>
      <c r="AT864" s="2609"/>
      <c r="AU864" s="2609"/>
      <c r="AV864" s="2609"/>
      <c r="AX864" s="2609"/>
      <c r="AY864" s="2609"/>
      <c r="AZ864" s="2609"/>
      <c r="BA864" s="2610"/>
      <c r="BC864" s="2609"/>
      <c r="BD864" s="2609"/>
      <c r="BF864" s="2551"/>
      <c r="BH864" s="2609"/>
      <c r="BI864" s="2609"/>
      <c r="BJ864" s="2609"/>
      <c r="BK864" s="2609"/>
      <c r="BM864" s="2609"/>
      <c r="BN864" s="2614"/>
      <c r="BO864" s="2553"/>
      <c r="BP864" s="2554"/>
      <c r="BR864" s="2553"/>
      <c r="BS864" s="2553"/>
      <c r="BU864" s="2555"/>
      <c r="BW864" s="2553"/>
      <c r="BX864" s="2609"/>
      <c r="BZ864" s="2553"/>
      <c r="CA864" s="2614"/>
      <c r="CB864" s="2553"/>
      <c r="CC864" s="2554"/>
      <c r="CE864" s="2553"/>
      <c r="CF864" s="2554"/>
      <c r="CG864" s="2553"/>
      <c r="CH864" s="2449" t="s">
        <v>1091</v>
      </c>
      <c r="CI864" s="2449"/>
      <c r="CJ864" s="2450"/>
      <c r="CK864" s="2450"/>
      <c r="CP864" s="2478">
        <f t="shared" si="462"/>
        <v>0</v>
      </c>
      <c r="CQ864" s="2478"/>
      <c r="CR864" s="2478"/>
      <c r="CS864" s="2478"/>
      <c r="CT864" s="2478"/>
    </row>
    <row r="865" spans="1:98" ht="20.100000000000001" hidden="1" customHeight="1" x14ac:dyDescent="0.2">
      <c r="A865" s="2434" t="s">
        <v>760</v>
      </c>
      <c r="B865" s="2435"/>
      <c r="C865" s="2436"/>
      <c r="D865" s="2436"/>
      <c r="E865" s="2437"/>
      <c r="F865" s="2435"/>
      <c r="G865" s="2435"/>
      <c r="H865" s="2438"/>
      <c r="I865" s="2438"/>
      <c r="J865" s="2438"/>
      <c r="K865" s="2439"/>
      <c r="M865" s="2438"/>
      <c r="N865" s="2438"/>
      <c r="P865" s="2441"/>
      <c r="R865" s="2438"/>
      <c r="S865" s="2438"/>
      <c r="U865" s="2438"/>
      <c r="V865" s="2438"/>
      <c r="W865" s="2438"/>
      <c r="X865" s="2439"/>
      <c r="Z865" s="2438"/>
      <c r="AA865" s="2438"/>
      <c r="AC865" s="2441"/>
      <c r="AE865" s="2438"/>
      <c r="AF865" s="2442"/>
      <c r="AH865" s="2438"/>
      <c r="AI865" s="2438"/>
      <c r="AJ865" s="2438"/>
      <c r="AK865" s="2439"/>
      <c r="AM865" s="2438"/>
      <c r="AN865" s="2438"/>
      <c r="AP865" s="2441"/>
      <c r="AR865" s="2438"/>
      <c r="AS865" s="2438"/>
      <c r="AT865" s="2438"/>
      <c r="AU865" s="2438"/>
      <c r="AV865" s="2438"/>
      <c r="AX865" s="2438"/>
      <c r="AY865" s="2438"/>
      <c r="AZ865" s="2438"/>
      <c r="BA865" s="2439"/>
      <c r="BC865" s="2438"/>
      <c r="BD865" s="2438"/>
      <c r="BF865" s="2443"/>
      <c r="BH865" s="2438"/>
      <c r="BI865" s="2438"/>
      <c r="BJ865" s="2438"/>
      <c r="BK865" s="2438"/>
      <c r="BM865" s="2438"/>
      <c r="BN865" s="2444"/>
      <c r="BO865" s="2445"/>
      <c r="BP865" s="2446"/>
      <c r="BR865" s="2445"/>
      <c r="BS865" s="2445"/>
      <c r="BU865" s="2448"/>
      <c r="BW865" s="2445"/>
      <c r="BX865" s="2438"/>
      <c r="BZ865" s="2445"/>
      <c r="CA865" s="2444"/>
      <c r="CB865" s="2445"/>
      <c r="CC865" s="2446"/>
      <c r="CE865" s="2445"/>
      <c r="CF865" s="2446"/>
      <c r="CG865" s="2445"/>
      <c r="CH865" s="2449" t="s">
        <v>1212</v>
      </c>
      <c r="CI865" s="2449"/>
      <c r="CJ865" s="2450"/>
      <c r="CK865" s="2450"/>
      <c r="CP865" s="2478">
        <f t="shared" si="462"/>
        <v>0</v>
      </c>
      <c r="CQ865" s="2478"/>
      <c r="CR865" s="2478"/>
      <c r="CS865" s="2478"/>
      <c r="CT865" s="2478"/>
    </row>
    <row r="866" spans="1:98" ht="15.75" hidden="1" x14ac:dyDescent="0.2">
      <c r="A866" s="2453" t="s">
        <v>760</v>
      </c>
      <c r="B866" s="2454"/>
      <c r="C866" s="2455"/>
      <c r="D866" s="2455"/>
      <c r="E866" s="2456"/>
      <c r="F866" s="2454"/>
      <c r="G866" s="2454"/>
      <c r="H866" s="2457"/>
      <c r="I866" s="2457"/>
      <c r="J866" s="2457"/>
      <c r="K866" s="2458"/>
      <c r="M866" s="2457"/>
      <c r="N866" s="2457"/>
      <c r="P866" s="2459"/>
      <c r="R866" s="2457"/>
      <c r="S866" s="2457"/>
      <c r="U866" s="2457"/>
      <c r="V866" s="2457"/>
      <c r="W866" s="2457"/>
      <c r="X866" s="2458"/>
      <c r="Z866" s="2457"/>
      <c r="AA866" s="2457"/>
      <c r="AC866" s="2459"/>
      <c r="AE866" s="2457"/>
      <c r="AF866" s="2460"/>
      <c r="AH866" s="2457"/>
      <c r="AI866" s="2457"/>
      <c r="AJ866" s="2457"/>
      <c r="AK866" s="2458"/>
      <c r="AM866" s="2457"/>
      <c r="AN866" s="2457"/>
      <c r="AP866" s="2459"/>
      <c r="AR866" s="2457"/>
      <c r="AS866" s="2457"/>
      <c r="AT866" s="2457"/>
      <c r="AU866" s="2457"/>
      <c r="AV866" s="2457"/>
      <c r="AX866" s="2457"/>
      <c r="AY866" s="2457"/>
      <c r="AZ866" s="2457"/>
      <c r="BA866" s="2458"/>
      <c r="BC866" s="2457"/>
      <c r="BD866" s="2457"/>
      <c r="BF866" s="2461"/>
      <c r="BH866" s="2457"/>
      <c r="BI866" s="2457"/>
      <c r="BJ866" s="2457"/>
      <c r="BK866" s="2457"/>
      <c r="BM866" s="2457"/>
      <c r="BN866" s="2462"/>
      <c r="BO866" s="2463"/>
      <c r="BP866" s="2464"/>
      <c r="BR866" s="2463"/>
      <c r="BS866" s="2463"/>
      <c r="BU866" s="2465"/>
      <c r="BW866" s="2463"/>
      <c r="BX866" s="2457"/>
      <c r="BZ866" s="2463"/>
      <c r="CA866" s="2462"/>
      <c r="CB866" s="2463"/>
      <c r="CC866" s="2464"/>
      <c r="CE866" s="2463"/>
      <c r="CF866" s="2464"/>
      <c r="CG866" s="2463"/>
      <c r="CH866" s="2449" t="s">
        <v>1212</v>
      </c>
      <c r="CI866" s="2449"/>
      <c r="CJ866" s="2450"/>
      <c r="CK866" s="2450"/>
      <c r="CP866" s="2478">
        <f t="shared" si="462"/>
        <v>0</v>
      </c>
      <c r="CQ866" s="2478"/>
      <c r="CR866" s="2478"/>
      <c r="CS866" s="2478"/>
      <c r="CT866" s="2478"/>
    </row>
    <row r="867" spans="1:98" hidden="1" x14ac:dyDescent="0.2">
      <c r="A867" s="2395">
        <v>755</v>
      </c>
      <c r="B867" s="2440" t="s">
        <v>1214</v>
      </c>
      <c r="C867" s="2396">
        <v>71005</v>
      </c>
      <c r="D867" s="2396">
        <v>53800</v>
      </c>
      <c r="F867" s="2440" t="s">
        <v>1214</v>
      </c>
      <c r="G867" s="2440" t="s">
        <v>2322</v>
      </c>
      <c r="H867" s="2466">
        <v>2500</v>
      </c>
      <c r="I867" s="2470"/>
      <c r="J867" s="2466">
        <f>H867+I867</f>
        <v>2500</v>
      </c>
      <c r="K867" s="2468">
        <f>IF(H867=0," ",(J867-H867)/H867)</f>
        <v>0</v>
      </c>
      <c r="M867" s="2467">
        <v>2500</v>
      </c>
      <c r="N867" s="2467">
        <v>2500</v>
      </c>
      <c r="P867" s="2469"/>
      <c r="R867" s="2466">
        <v>2500</v>
      </c>
      <c r="S867" s="2466">
        <v>250</v>
      </c>
      <c r="U867" s="2466">
        <v>2500</v>
      </c>
      <c r="V867" s="2470"/>
      <c r="W867" s="2466">
        <f>U867+V867</f>
        <v>2500</v>
      </c>
      <c r="X867" s="2468">
        <f>IF(U867=0," ",(W867-U867)/U867)</f>
        <v>0</v>
      </c>
      <c r="Z867" s="2467">
        <v>2500</v>
      </c>
      <c r="AA867" s="2467">
        <v>2500</v>
      </c>
      <c r="AC867" s="2469"/>
      <c r="AE867" s="2466">
        <v>2500</v>
      </c>
      <c r="AF867" s="2471">
        <v>500</v>
      </c>
      <c r="AH867" s="2466">
        <v>2500</v>
      </c>
      <c r="AI867" s="2470"/>
      <c r="AJ867" s="2466">
        <f>AH867+AI867</f>
        <v>2500</v>
      </c>
      <c r="AK867" s="2468">
        <f>IF(AH867=0," ",(AJ867-AH867)/AH867)</f>
        <v>0</v>
      </c>
      <c r="AM867" s="2467">
        <v>2500</v>
      </c>
      <c r="AN867" s="2467">
        <v>2500</v>
      </c>
      <c r="AP867" s="2469"/>
      <c r="AR867" s="2466">
        <v>2500</v>
      </c>
      <c r="AS867" s="2466">
        <v>500</v>
      </c>
      <c r="AT867" s="2466"/>
      <c r="AU867" s="2466">
        <v>2500</v>
      </c>
      <c r="AV867" s="2466">
        <v>2000</v>
      </c>
      <c r="AX867" s="2466">
        <v>2500</v>
      </c>
      <c r="AY867" s="2470"/>
      <c r="AZ867" s="2466">
        <f t="shared" ref="AZ867:AZ876" si="480">AX867+AY867</f>
        <v>2500</v>
      </c>
      <c r="BA867" s="2468">
        <f t="shared" ref="BA867:BA876" si="481">IF(AX867=0," ",(AZ867-AX867)/AX867)</f>
        <v>0</v>
      </c>
      <c r="BC867" s="2467">
        <v>2500</v>
      </c>
      <c r="BD867" s="2467">
        <v>2500</v>
      </c>
      <c r="BF867" s="2469"/>
      <c r="BH867" s="2467">
        <v>2500</v>
      </c>
      <c r="BI867" s="2466">
        <v>2000</v>
      </c>
      <c r="BM867" s="2466">
        <v>2500</v>
      </c>
      <c r="BN867" s="2470"/>
      <c r="BO867" s="2472">
        <f t="shared" ref="BO867:BO876" si="482">BM867+BN867</f>
        <v>2500</v>
      </c>
      <c r="BP867" s="2473">
        <f t="shared" ref="BP867:BP876" si="483">IF(BM867=0," ",(BO867-BM867)/BM867)</f>
        <v>0</v>
      </c>
      <c r="BR867" s="2474">
        <v>2500</v>
      </c>
      <c r="BS867" s="2474">
        <v>2500</v>
      </c>
      <c r="BU867" s="2475"/>
      <c r="BW867" s="2474">
        <v>2500</v>
      </c>
      <c r="BZ867" s="2474">
        <v>2500</v>
      </c>
      <c r="CA867" s="2470"/>
      <c r="CB867" s="2472">
        <f t="shared" ref="CB867:CB878" si="484">BZ867+CA867</f>
        <v>2500</v>
      </c>
      <c r="CC867" s="2473">
        <f t="shared" ref="CC867:CC876" si="485">IF(BZ867=0," ",(CB867-BZ867)/BZ867)</f>
        <v>0</v>
      </c>
      <c r="CE867" s="2474">
        <v>2500</v>
      </c>
      <c r="CF867" s="2476">
        <f>IF(CB867=0," ",(CE867-CB867)/CB867)</f>
        <v>0</v>
      </c>
      <c r="CG867" s="2474">
        <v>2500</v>
      </c>
      <c r="CH867" s="2449" t="s">
        <v>1217</v>
      </c>
      <c r="CI867" s="2449"/>
      <c r="CJ867" s="2450"/>
      <c r="CK867" s="2450"/>
      <c r="CO867" s="2477">
        <v>-0.19999999999999996</v>
      </c>
      <c r="CP867" s="2478">
        <f t="shared" si="462"/>
        <v>-500</v>
      </c>
      <c r="CQ867" s="2478"/>
      <c r="CR867" s="2478"/>
      <c r="CS867" s="2478"/>
      <c r="CT867" s="2478"/>
    </row>
    <row r="868" spans="1:98" hidden="1" x14ac:dyDescent="0.2">
      <c r="A868" s="2395">
        <v>751</v>
      </c>
      <c r="B868" s="2440" t="s">
        <v>1214</v>
      </c>
      <c r="C868" s="2396">
        <v>71005</v>
      </c>
      <c r="D868" s="2396">
        <v>59111</v>
      </c>
      <c r="F868" s="2440" t="s">
        <v>1214</v>
      </c>
      <c r="G868" s="2440" t="s">
        <v>2323</v>
      </c>
      <c r="H868" s="2466">
        <v>300500</v>
      </c>
      <c r="I868" s="2470">
        <v>5000</v>
      </c>
      <c r="J868" s="2466">
        <f>H868+I868</f>
        <v>305500</v>
      </c>
      <c r="K868" s="2468">
        <f>IF(H868=0," ",(J868-H868)/H868)</f>
        <v>1.6638935108153077E-2</v>
      </c>
      <c r="M868" s="2467">
        <v>305500</v>
      </c>
      <c r="N868" s="2467">
        <v>305500</v>
      </c>
      <c r="P868" s="2469"/>
      <c r="R868" s="2466">
        <v>305500</v>
      </c>
      <c r="S868" s="2466">
        <v>305500</v>
      </c>
      <c r="U868" s="2466">
        <v>305500</v>
      </c>
      <c r="V868" s="2470">
        <v>-95500</v>
      </c>
      <c r="W868" s="2466">
        <f>U868+V868</f>
        <v>210000</v>
      </c>
      <c r="X868" s="2468">
        <f>IF(U868=0," ",(W868-U868)/U868)</f>
        <v>-0.31260229132569556</v>
      </c>
      <c r="Z868" s="2467">
        <v>210000</v>
      </c>
      <c r="AA868" s="2467">
        <v>210000</v>
      </c>
      <c r="AC868" s="2469" t="s">
        <v>2324</v>
      </c>
      <c r="AE868" s="2466">
        <v>210000</v>
      </c>
      <c r="AF868" s="2471">
        <v>210000</v>
      </c>
      <c r="AH868" s="2466">
        <v>210000</v>
      </c>
      <c r="AI868" s="2470">
        <v>5000</v>
      </c>
      <c r="AJ868" s="2466">
        <f>AH868+AI868</f>
        <v>215000</v>
      </c>
      <c r="AK868" s="2468">
        <f>IF(AH868=0," ",(AJ868-AH868)/AH868)</f>
        <v>2.3809523809523808E-2</v>
      </c>
      <c r="AM868" s="2467">
        <v>215000</v>
      </c>
      <c r="AN868" s="2467">
        <v>215000</v>
      </c>
      <c r="AP868" s="2469"/>
      <c r="AR868" s="2466">
        <v>215000</v>
      </c>
      <c r="AS868" s="2466">
        <v>215000</v>
      </c>
      <c r="AT868" s="2466"/>
      <c r="AU868" s="2466">
        <v>120000</v>
      </c>
      <c r="AV868" s="2466">
        <v>120000</v>
      </c>
      <c r="AX868" s="2466">
        <v>120000</v>
      </c>
      <c r="AY868" s="2470">
        <v>-120000</v>
      </c>
      <c r="AZ868" s="2466">
        <f t="shared" si="480"/>
        <v>0</v>
      </c>
      <c r="BA868" s="2468">
        <f t="shared" si="481"/>
        <v>-1</v>
      </c>
      <c r="BC868" s="2467">
        <v>0</v>
      </c>
      <c r="BD868" s="2467">
        <v>0</v>
      </c>
      <c r="BF868" s="2575"/>
      <c r="BH868" s="2467">
        <v>0</v>
      </c>
      <c r="BM868" s="2466">
        <v>0</v>
      </c>
      <c r="BN868" s="2470"/>
      <c r="BO868" s="2472">
        <f t="shared" si="482"/>
        <v>0</v>
      </c>
      <c r="BP868" s="2473" t="str">
        <f t="shared" si="483"/>
        <v xml:space="preserve"> </v>
      </c>
      <c r="BR868" s="2474">
        <v>0</v>
      </c>
      <c r="BS868" s="2474">
        <v>0</v>
      </c>
      <c r="BU868" s="2475"/>
      <c r="BW868" s="2474">
        <v>0</v>
      </c>
      <c r="BZ868" s="2474">
        <v>0</v>
      </c>
      <c r="CA868" s="2470"/>
      <c r="CB868" s="2472">
        <f t="shared" si="484"/>
        <v>0</v>
      </c>
      <c r="CC868" s="2473" t="str">
        <f t="shared" si="485"/>
        <v xml:space="preserve"> </v>
      </c>
      <c r="CE868" s="2474">
        <v>0</v>
      </c>
      <c r="CF868" s="2476" t="str">
        <f t="shared" ref="CF868:CF897" si="486">IF(CB868=0," ",(CE868-CB868)/CB868)</f>
        <v xml:space="preserve"> </v>
      </c>
      <c r="CG868" s="2474">
        <v>0</v>
      </c>
      <c r="CH868" s="2449" t="s">
        <v>1217</v>
      </c>
      <c r="CI868" s="2449"/>
      <c r="CJ868" s="2450"/>
      <c r="CK868" s="2450"/>
      <c r="CP868" s="2478">
        <f t="shared" si="462"/>
        <v>0</v>
      </c>
      <c r="CQ868" s="2478"/>
      <c r="CR868" s="2478"/>
      <c r="CS868" s="2478"/>
      <c r="CT868" s="2478"/>
    </row>
    <row r="869" spans="1:98" hidden="1" x14ac:dyDescent="0.2">
      <c r="A869" s="2395">
        <v>751</v>
      </c>
      <c r="B869" s="2440" t="s">
        <v>1214</v>
      </c>
      <c r="C869" s="2396">
        <v>71005</v>
      </c>
      <c r="D869" s="2396">
        <v>59112</v>
      </c>
      <c r="F869" s="2440" t="s">
        <v>1214</v>
      </c>
      <c r="G869" s="2440" t="s">
        <v>2325</v>
      </c>
      <c r="H869" s="2466">
        <v>195000</v>
      </c>
      <c r="I869" s="2470">
        <v>5000</v>
      </c>
      <c r="J869" s="2466">
        <f>H869+I869</f>
        <v>200000</v>
      </c>
      <c r="K869" s="2468">
        <f>IF(H869=0," ",(J869-H869)/H869)</f>
        <v>2.564102564102564E-2</v>
      </c>
      <c r="M869" s="2467">
        <v>200000</v>
      </c>
      <c r="N869" s="2467">
        <v>200000</v>
      </c>
      <c r="P869" s="2469"/>
      <c r="R869" s="2466">
        <v>200000</v>
      </c>
      <c r="S869" s="2466">
        <v>200000</v>
      </c>
      <c r="U869" s="2466">
        <v>200000</v>
      </c>
      <c r="V869" s="2470">
        <v>10000</v>
      </c>
      <c r="W869" s="2466">
        <f>U869+V869</f>
        <v>210000</v>
      </c>
      <c r="X869" s="2468">
        <f>IF(U869=0," ",(W869-U869)/U869)</f>
        <v>0.05</v>
      </c>
      <c r="Z869" s="2467">
        <v>210000</v>
      </c>
      <c r="AA869" s="2467">
        <v>210000</v>
      </c>
      <c r="AC869" s="2469" t="s">
        <v>2324</v>
      </c>
      <c r="AE869" s="2466">
        <v>210000</v>
      </c>
      <c r="AF869" s="2471">
        <v>210000</v>
      </c>
      <c r="AH869" s="2466">
        <v>210000</v>
      </c>
      <c r="AI869" s="2470"/>
      <c r="AJ869" s="2466">
        <f>AH869+AI869</f>
        <v>210000</v>
      </c>
      <c r="AK869" s="2468">
        <f>IF(AH869=0," ",(AJ869-AH869)/AH869)</f>
        <v>0</v>
      </c>
      <c r="AM869" s="2467">
        <v>210000</v>
      </c>
      <c r="AN869" s="2467">
        <v>210000</v>
      </c>
      <c r="AP869" s="2469"/>
      <c r="AR869" s="2466">
        <v>210000</v>
      </c>
      <c r="AS869" s="2466">
        <v>210000</v>
      </c>
      <c r="AT869" s="2466"/>
      <c r="AU869" s="2466">
        <v>200000</v>
      </c>
      <c r="AV869" s="2466">
        <v>200000</v>
      </c>
      <c r="AX869" s="2466">
        <v>200000</v>
      </c>
      <c r="AY869" s="2470"/>
      <c r="AZ869" s="2466">
        <f t="shared" si="480"/>
        <v>200000</v>
      </c>
      <c r="BA869" s="2468">
        <f t="shared" si="481"/>
        <v>0</v>
      </c>
      <c r="BC869" s="2467">
        <v>200000</v>
      </c>
      <c r="BD869" s="2467">
        <v>200000</v>
      </c>
      <c r="BF869" s="2469"/>
      <c r="BH869" s="2467">
        <v>200000</v>
      </c>
      <c r="BI869" s="2466">
        <v>200000</v>
      </c>
      <c r="BM869" s="2466">
        <v>200000</v>
      </c>
      <c r="BN869" s="2470">
        <v>-200000</v>
      </c>
      <c r="BO869" s="2472">
        <f t="shared" si="482"/>
        <v>0</v>
      </c>
      <c r="BP869" s="2473">
        <f t="shared" si="483"/>
        <v>-1</v>
      </c>
      <c r="BR869" s="2474">
        <v>0</v>
      </c>
      <c r="BS869" s="2474">
        <v>0</v>
      </c>
      <c r="BU869" s="2547" t="s">
        <v>2326</v>
      </c>
      <c r="BW869" s="2474">
        <v>0</v>
      </c>
      <c r="BZ869" s="2474">
        <v>0</v>
      </c>
      <c r="CA869" s="2470"/>
      <c r="CB869" s="2472">
        <f t="shared" si="484"/>
        <v>0</v>
      </c>
      <c r="CC869" s="2473" t="str">
        <f t="shared" si="485"/>
        <v xml:space="preserve"> </v>
      </c>
      <c r="CE869" s="2474">
        <v>0</v>
      </c>
      <c r="CF869" s="2476" t="str">
        <f t="shared" si="486"/>
        <v xml:space="preserve"> </v>
      </c>
      <c r="CG869" s="2474">
        <v>0</v>
      </c>
      <c r="CH869" s="2449" t="s">
        <v>1217</v>
      </c>
      <c r="CI869" s="2449"/>
      <c r="CJ869" s="2450"/>
      <c r="CK869" s="2450"/>
      <c r="CO869" s="2477">
        <v>0</v>
      </c>
      <c r="CP869" s="2478">
        <f t="shared" si="462"/>
        <v>0</v>
      </c>
      <c r="CQ869" s="2478"/>
      <c r="CR869" s="2478"/>
      <c r="CS869" s="2478"/>
      <c r="CT869" s="2478"/>
    </row>
    <row r="870" spans="1:98" hidden="1" x14ac:dyDescent="0.2">
      <c r="A870" s="2395">
        <v>751</v>
      </c>
      <c r="C870" s="2396">
        <v>71005</v>
      </c>
      <c r="D870" s="2396">
        <v>59117</v>
      </c>
      <c r="G870" s="2440" t="s">
        <v>2327</v>
      </c>
      <c r="I870" s="2470"/>
      <c r="M870" s="2467"/>
      <c r="N870" s="2467"/>
      <c r="P870" s="2469"/>
      <c r="V870" s="2470">
        <v>135500</v>
      </c>
      <c r="W870" s="2466">
        <f>U870+V870</f>
        <v>135500</v>
      </c>
      <c r="Z870" s="2467">
        <v>135500</v>
      </c>
      <c r="AA870" s="2467">
        <v>135500</v>
      </c>
      <c r="AC870" s="2469" t="s">
        <v>2324</v>
      </c>
      <c r="AE870" s="2466">
        <v>135500</v>
      </c>
      <c r="AF870" s="2471">
        <v>135500</v>
      </c>
      <c r="AH870" s="2466">
        <v>135500</v>
      </c>
      <c r="AI870" s="2470">
        <v>14500</v>
      </c>
      <c r="AJ870" s="2466">
        <f>AH870+AI870</f>
        <v>150000</v>
      </c>
      <c r="AK870" s="2468">
        <f>IF(AH870=0," ",(AJ870-AH870)/AH870)</f>
        <v>0.1070110701107011</v>
      </c>
      <c r="AM870" s="2467">
        <v>150000</v>
      </c>
      <c r="AN870" s="2467">
        <v>150000</v>
      </c>
      <c r="AP870" s="2469"/>
      <c r="AR870" s="2466">
        <v>150000</v>
      </c>
      <c r="AS870" s="2466">
        <v>150000</v>
      </c>
      <c r="AT870" s="2466"/>
      <c r="AU870" s="2466">
        <v>155000</v>
      </c>
      <c r="AV870" s="2466">
        <v>155000</v>
      </c>
      <c r="AX870" s="2466">
        <v>155000</v>
      </c>
      <c r="AY870" s="2470">
        <v>10000</v>
      </c>
      <c r="AZ870" s="2466">
        <f t="shared" si="480"/>
        <v>165000</v>
      </c>
      <c r="BA870" s="2468">
        <f t="shared" si="481"/>
        <v>6.4516129032258063E-2</v>
      </c>
      <c r="BC870" s="2467">
        <v>165000</v>
      </c>
      <c r="BD870" s="2467">
        <v>165000</v>
      </c>
      <c r="BF870" s="2575"/>
      <c r="BH870" s="2467">
        <v>165000</v>
      </c>
      <c r="BI870" s="2466">
        <v>165000</v>
      </c>
      <c r="BM870" s="2466">
        <v>165000</v>
      </c>
      <c r="BN870" s="2470">
        <v>-10000</v>
      </c>
      <c r="BO870" s="2472">
        <f t="shared" si="482"/>
        <v>155000</v>
      </c>
      <c r="BP870" s="2473">
        <f t="shared" si="483"/>
        <v>-6.0606060606060608E-2</v>
      </c>
      <c r="BR870" s="2474">
        <v>155000</v>
      </c>
      <c r="BS870" s="2474">
        <v>155000</v>
      </c>
      <c r="BU870" s="2547" t="s">
        <v>2328</v>
      </c>
      <c r="BW870" s="2474">
        <v>155000</v>
      </c>
      <c r="BX870" s="2466">
        <v>155000</v>
      </c>
      <c r="BZ870" s="2474">
        <v>155000</v>
      </c>
      <c r="CA870" s="2470">
        <v>-155000</v>
      </c>
      <c r="CB870" s="2472">
        <f t="shared" si="484"/>
        <v>0</v>
      </c>
      <c r="CC870" s="2473">
        <f t="shared" si="485"/>
        <v>-1</v>
      </c>
      <c r="CE870" s="2474">
        <v>0</v>
      </c>
      <c r="CF870" s="2476" t="str">
        <f t="shared" si="486"/>
        <v xml:space="preserve"> </v>
      </c>
      <c r="CG870" s="2474">
        <v>0</v>
      </c>
      <c r="CH870" s="2449" t="s">
        <v>1217</v>
      </c>
      <c r="CI870" s="2449"/>
      <c r="CJ870" s="2450"/>
      <c r="CK870" s="2450"/>
      <c r="CO870" s="2477">
        <v>0</v>
      </c>
      <c r="CP870" s="2478">
        <f t="shared" si="462"/>
        <v>0</v>
      </c>
      <c r="CQ870" s="2478"/>
      <c r="CR870" s="2478"/>
      <c r="CS870" s="2478"/>
      <c r="CT870" s="2478"/>
    </row>
    <row r="871" spans="1:98" hidden="1" x14ac:dyDescent="0.2">
      <c r="A871" s="2395">
        <v>751</v>
      </c>
      <c r="C871" s="2396">
        <v>71005</v>
      </c>
      <c r="G871" s="2440" t="s">
        <v>2329</v>
      </c>
      <c r="I871" s="2470"/>
      <c r="M871" s="2467"/>
      <c r="N871" s="2467"/>
      <c r="P871" s="2469"/>
      <c r="V871" s="2470"/>
      <c r="Z871" s="2467"/>
      <c r="AA871" s="2467"/>
      <c r="AC871" s="2469"/>
      <c r="AI871" s="2470"/>
      <c r="AM871" s="2467"/>
      <c r="AN871" s="2467"/>
      <c r="AP871" s="2469"/>
      <c r="AS871" s="2466"/>
      <c r="AT871" s="2466"/>
      <c r="AY871" s="2470"/>
      <c r="BC871" s="2467"/>
      <c r="BD871" s="2467"/>
      <c r="BF871" s="2575"/>
      <c r="BH871" s="2467"/>
      <c r="BN871" s="2470"/>
      <c r="BR871" s="2474"/>
      <c r="BS871" s="2474"/>
      <c r="BU871" s="2547"/>
      <c r="BW871" s="2474"/>
      <c r="BZ871" s="2474"/>
      <c r="CA871" s="2470">
        <v>145000</v>
      </c>
      <c r="CB871" s="2472">
        <f t="shared" si="484"/>
        <v>145000</v>
      </c>
      <c r="CE871" s="2474">
        <v>145000</v>
      </c>
      <c r="CF871" s="2476">
        <f t="shared" si="486"/>
        <v>0</v>
      </c>
      <c r="CG871" s="2474">
        <v>145000</v>
      </c>
      <c r="CH871" s="2449" t="s">
        <v>1091</v>
      </c>
      <c r="CI871" s="2449"/>
      <c r="CJ871" s="2450"/>
      <c r="CK871" s="2450"/>
      <c r="CP871" s="2478">
        <f t="shared" si="462"/>
        <v>0</v>
      </c>
      <c r="CQ871" s="2478"/>
      <c r="CR871" s="2478"/>
      <c r="CS871" s="2478"/>
      <c r="CT871" s="2478"/>
    </row>
    <row r="872" spans="1:98" hidden="1" x14ac:dyDescent="0.2">
      <c r="A872" s="2395">
        <v>751</v>
      </c>
      <c r="C872" s="2396">
        <v>71005</v>
      </c>
      <c r="G872" s="2440" t="s">
        <v>2330</v>
      </c>
      <c r="I872" s="2470"/>
      <c r="M872" s="2467"/>
      <c r="N872" s="2467"/>
      <c r="P872" s="2469"/>
      <c r="V872" s="2470"/>
      <c r="Z872" s="2467"/>
      <c r="AA872" s="2467"/>
      <c r="AC872" s="2469"/>
      <c r="AI872" s="2470"/>
      <c r="AM872" s="2467"/>
      <c r="AN872" s="2467"/>
      <c r="AP872" s="2469"/>
      <c r="AS872" s="2466"/>
      <c r="AT872" s="2466"/>
      <c r="AY872" s="2470"/>
      <c r="BC872" s="2467"/>
      <c r="BD872" s="2467"/>
      <c r="BF872" s="2575"/>
      <c r="BH872" s="2467"/>
      <c r="BN872" s="2470"/>
      <c r="BR872" s="2474"/>
      <c r="BS872" s="2474"/>
      <c r="BU872" s="2547"/>
      <c r="BW872" s="2474"/>
      <c r="BZ872" s="2474"/>
      <c r="CA872" s="2470">
        <v>15000</v>
      </c>
      <c r="CB872" s="2472">
        <f t="shared" si="484"/>
        <v>15000</v>
      </c>
      <c r="CE872" s="2474">
        <v>15000</v>
      </c>
      <c r="CF872" s="2476">
        <f t="shared" si="486"/>
        <v>0</v>
      </c>
      <c r="CG872" s="2474">
        <v>15000</v>
      </c>
      <c r="CH872" s="2449" t="s">
        <v>1091</v>
      </c>
      <c r="CI872" s="2449"/>
      <c r="CJ872" s="2450"/>
      <c r="CK872" s="2450"/>
      <c r="CP872" s="2478">
        <f t="shared" si="462"/>
        <v>0</v>
      </c>
      <c r="CQ872" s="2478"/>
      <c r="CR872" s="2478"/>
      <c r="CS872" s="2478"/>
      <c r="CT872" s="2478"/>
    </row>
    <row r="873" spans="1:98" hidden="1" x14ac:dyDescent="0.2">
      <c r="A873" s="2395">
        <v>751</v>
      </c>
      <c r="C873" s="2396">
        <v>71005</v>
      </c>
      <c r="D873" s="2396">
        <v>59119</v>
      </c>
      <c r="G873" s="2587" t="s">
        <v>2331</v>
      </c>
      <c r="I873" s="2470"/>
      <c r="M873" s="2467"/>
      <c r="N873" s="2467"/>
      <c r="P873" s="2469"/>
      <c r="V873" s="2470"/>
      <c r="Z873" s="2467"/>
      <c r="AA873" s="2467"/>
      <c r="AC873" s="2469"/>
      <c r="AI873" s="2470">
        <v>150000</v>
      </c>
      <c r="AJ873" s="2466">
        <f>AH873+AI873</f>
        <v>150000</v>
      </c>
      <c r="AK873" s="2468" t="str">
        <f>IF(AH873=0," ",(AJ873-AH873)/AH873)</f>
        <v xml:space="preserve"> </v>
      </c>
      <c r="AM873" s="2467">
        <v>191000</v>
      </c>
      <c r="AN873" s="2467">
        <v>191000</v>
      </c>
      <c r="AP873" s="2469"/>
      <c r="AR873" s="2466">
        <v>191000</v>
      </c>
      <c r="AS873" s="2466">
        <v>191000</v>
      </c>
      <c r="AT873" s="2466"/>
      <c r="AU873" s="2466">
        <v>200000</v>
      </c>
      <c r="AV873" s="2466">
        <v>200000</v>
      </c>
      <c r="AX873" s="2466">
        <v>200000</v>
      </c>
      <c r="AY873" s="2470">
        <v>85000</v>
      </c>
      <c r="AZ873" s="2466">
        <f t="shared" si="480"/>
        <v>285000</v>
      </c>
      <c r="BA873" s="2468">
        <f t="shared" si="481"/>
        <v>0.42499999999999999</v>
      </c>
      <c r="BC873" s="2467">
        <v>285000</v>
      </c>
      <c r="BD873" s="2467">
        <v>285000</v>
      </c>
      <c r="BF873" s="2575"/>
      <c r="BH873" s="2467">
        <v>285000</v>
      </c>
      <c r="BI873" s="2466">
        <v>285000</v>
      </c>
      <c r="BM873" s="2466">
        <v>285000</v>
      </c>
      <c r="BN873" s="2470">
        <v>20000</v>
      </c>
      <c r="BO873" s="2472">
        <f t="shared" si="482"/>
        <v>305000</v>
      </c>
      <c r="BP873" s="2473">
        <f t="shared" si="483"/>
        <v>7.0175438596491224E-2</v>
      </c>
      <c r="BR873" s="2474">
        <v>305000</v>
      </c>
      <c r="BS873" s="2474">
        <v>305000</v>
      </c>
      <c r="BU873" s="2547" t="s">
        <v>2332</v>
      </c>
      <c r="BW873" s="2474">
        <v>305000</v>
      </c>
      <c r="BZ873" s="2474">
        <v>305000</v>
      </c>
      <c r="CA873" s="2470">
        <v>-305000</v>
      </c>
      <c r="CB873" s="2472">
        <f t="shared" si="484"/>
        <v>0</v>
      </c>
      <c r="CC873" s="2473">
        <f t="shared" si="485"/>
        <v>-1</v>
      </c>
      <c r="CE873" s="2474">
        <v>0</v>
      </c>
      <c r="CF873" s="2476" t="str">
        <f t="shared" si="486"/>
        <v xml:space="preserve"> </v>
      </c>
      <c r="CG873" s="2474">
        <v>0</v>
      </c>
      <c r="CH873" s="2449" t="s">
        <v>1217</v>
      </c>
      <c r="CI873" s="2449"/>
      <c r="CJ873" s="2450"/>
      <c r="CK873" s="2450"/>
      <c r="CO873" s="2477">
        <v>0</v>
      </c>
      <c r="CP873" s="2478">
        <f t="shared" si="462"/>
        <v>0</v>
      </c>
      <c r="CQ873" s="2478"/>
      <c r="CR873" s="2478"/>
      <c r="CS873" s="2478"/>
      <c r="CT873" s="2478"/>
    </row>
    <row r="874" spans="1:98" hidden="1" x14ac:dyDescent="0.2">
      <c r="A874" s="2395">
        <v>751</v>
      </c>
      <c r="C874" s="2396">
        <v>71005</v>
      </c>
      <c r="G874" s="2587" t="s">
        <v>2333</v>
      </c>
      <c r="I874" s="2470"/>
      <c r="M874" s="2467"/>
      <c r="N874" s="2467"/>
      <c r="P874" s="2469"/>
      <c r="V874" s="2470"/>
      <c r="Z874" s="2467"/>
      <c r="AA874" s="2467"/>
      <c r="AC874" s="2469"/>
      <c r="AI874" s="2470"/>
      <c r="AM874" s="2467"/>
      <c r="AN874" s="2467"/>
      <c r="AP874" s="2469"/>
      <c r="AS874" s="2466"/>
      <c r="AT874" s="2466"/>
      <c r="AY874" s="2470"/>
      <c r="BC874" s="2467"/>
      <c r="BD874" s="2467"/>
      <c r="BF874" s="2575"/>
      <c r="BH874" s="2467"/>
      <c r="BN874" s="2470"/>
      <c r="BR874" s="2474"/>
      <c r="BS874" s="2474"/>
      <c r="BU874" s="2547"/>
      <c r="BW874" s="2474"/>
      <c r="BZ874" s="2474"/>
      <c r="CA874" s="2470">
        <v>160000</v>
      </c>
      <c r="CB874" s="2472">
        <f t="shared" si="484"/>
        <v>160000</v>
      </c>
      <c r="CE874" s="2474">
        <v>160000</v>
      </c>
      <c r="CF874" s="2476">
        <f t="shared" si="486"/>
        <v>0</v>
      </c>
      <c r="CG874" s="2474">
        <v>160000</v>
      </c>
      <c r="CH874" s="2449" t="s">
        <v>1091</v>
      </c>
      <c r="CI874" s="2449"/>
      <c r="CJ874" s="2450"/>
      <c r="CK874" s="2450"/>
      <c r="CP874" s="2478">
        <f t="shared" si="462"/>
        <v>0</v>
      </c>
      <c r="CQ874" s="2478"/>
      <c r="CR874" s="2478"/>
      <c r="CS874" s="2478"/>
      <c r="CT874" s="2478"/>
    </row>
    <row r="875" spans="1:98" hidden="1" x14ac:dyDescent="0.2">
      <c r="A875" s="2395">
        <v>751</v>
      </c>
      <c r="C875" s="2396">
        <v>71005</v>
      </c>
      <c r="G875" s="2587" t="s">
        <v>2334</v>
      </c>
      <c r="I875" s="2470"/>
      <c r="M875" s="2467"/>
      <c r="N875" s="2467"/>
      <c r="P875" s="2469"/>
      <c r="V875" s="2470"/>
      <c r="Z875" s="2467"/>
      <c r="AA875" s="2467"/>
      <c r="AC875" s="2469"/>
      <c r="AI875" s="2470"/>
      <c r="AM875" s="2467"/>
      <c r="AN875" s="2467"/>
      <c r="AP875" s="2469"/>
      <c r="AS875" s="2466"/>
      <c r="AT875" s="2466"/>
      <c r="AY875" s="2470"/>
      <c r="BC875" s="2467"/>
      <c r="BD875" s="2467"/>
      <c r="BF875" s="2575"/>
      <c r="BH875" s="2467"/>
      <c r="BN875" s="2470"/>
      <c r="BR875" s="2474"/>
      <c r="BS875" s="2474"/>
      <c r="BU875" s="2547"/>
      <c r="BW875" s="2474"/>
      <c r="BZ875" s="2474"/>
      <c r="CA875" s="2470">
        <v>160000</v>
      </c>
      <c r="CB875" s="2472">
        <f t="shared" si="484"/>
        <v>160000</v>
      </c>
      <c r="CE875" s="2474">
        <v>160000</v>
      </c>
      <c r="CF875" s="2476">
        <f t="shared" si="486"/>
        <v>0</v>
      </c>
      <c r="CG875" s="2474">
        <v>160000</v>
      </c>
      <c r="CH875" s="2449" t="s">
        <v>1091</v>
      </c>
      <c r="CI875" s="2449"/>
      <c r="CJ875" s="2450"/>
      <c r="CK875" s="2450"/>
      <c r="CP875" s="2478">
        <f t="shared" si="462"/>
        <v>0</v>
      </c>
      <c r="CQ875" s="2478"/>
      <c r="CR875" s="2478"/>
      <c r="CS875" s="2478"/>
      <c r="CT875" s="2478"/>
    </row>
    <row r="876" spans="1:98" hidden="1" x14ac:dyDescent="0.2">
      <c r="A876" s="2395">
        <v>751</v>
      </c>
      <c r="C876" s="2396">
        <v>71005</v>
      </c>
      <c r="D876" s="2396">
        <v>59120</v>
      </c>
      <c r="G876" s="2587" t="s">
        <v>2335</v>
      </c>
      <c r="I876" s="2470"/>
      <c r="M876" s="2467"/>
      <c r="N876" s="2467"/>
      <c r="P876" s="2469"/>
      <c r="V876" s="2470"/>
      <c r="Z876" s="2467"/>
      <c r="AA876" s="2467"/>
      <c r="AC876" s="2469"/>
      <c r="AI876" s="2470"/>
      <c r="AM876" s="2467"/>
      <c r="AN876" s="2467"/>
      <c r="AP876" s="2469"/>
      <c r="AS876" s="2466"/>
      <c r="AT876" s="2466"/>
      <c r="AU876" s="2466">
        <v>120000</v>
      </c>
      <c r="AV876" s="2466">
        <v>120000</v>
      </c>
      <c r="AX876" s="2466">
        <v>120000</v>
      </c>
      <c r="AY876" s="2470">
        <v>5000</v>
      </c>
      <c r="AZ876" s="2466">
        <f t="shared" si="480"/>
        <v>125000</v>
      </c>
      <c r="BA876" s="2468">
        <f t="shared" si="481"/>
        <v>4.1666666666666664E-2</v>
      </c>
      <c r="BC876" s="2467">
        <v>125000</v>
      </c>
      <c r="BD876" s="2467">
        <v>125000</v>
      </c>
      <c r="BF876" s="2575"/>
      <c r="BH876" s="2467">
        <v>125000</v>
      </c>
      <c r="BI876" s="2466">
        <v>125000</v>
      </c>
      <c r="BM876" s="2466">
        <v>125000</v>
      </c>
      <c r="BN876" s="2470">
        <v>5000</v>
      </c>
      <c r="BO876" s="2472">
        <f t="shared" si="482"/>
        <v>130000</v>
      </c>
      <c r="BP876" s="2473">
        <f t="shared" si="483"/>
        <v>0.04</v>
      </c>
      <c r="BR876" s="2474">
        <v>130000</v>
      </c>
      <c r="BS876" s="2474">
        <v>130000</v>
      </c>
      <c r="BU876" s="2547" t="s">
        <v>2336</v>
      </c>
      <c r="BW876" s="2474">
        <v>130000</v>
      </c>
      <c r="BX876" s="2466">
        <v>130000</v>
      </c>
      <c r="BZ876" s="2474">
        <v>130000</v>
      </c>
      <c r="CA876" s="2470">
        <v>-130000</v>
      </c>
      <c r="CB876" s="2472">
        <f t="shared" si="484"/>
        <v>0</v>
      </c>
      <c r="CC876" s="2473">
        <f t="shared" si="485"/>
        <v>-1</v>
      </c>
      <c r="CE876" s="2474">
        <v>0</v>
      </c>
      <c r="CF876" s="2476" t="str">
        <f t="shared" si="486"/>
        <v xml:space="preserve"> </v>
      </c>
      <c r="CG876" s="2474">
        <v>0</v>
      </c>
      <c r="CH876" s="2449" t="s">
        <v>1217</v>
      </c>
      <c r="CI876" s="2449"/>
      <c r="CJ876" s="2450"/>
      <c r="CK876" s="2450"/>
      <c r="CO876" s="2477">
        <v>0</v>
      </c>
      <c r="CP876" s="2478">
        <f t="shared" si="462"/>
        <v>0</v>
      </c>
      <c r="CQ876" s="2478"/>
      <c r="CR876" s="2478"/>
      <c r="CS876" s="2478"/>
      <c r="CT876" s="2478"/>
    </row>
    <row r="877" spans="1:98" hidden="1" x14ac:dyDescent="0.2">
      <c r="A877" s="2395">
        <v>751</v>
      </c>
      <c r="C877" s="2396">
        <v>71005</v>
      </c>
      <c r="G877" s="2587" t="s">
        <v>2337</v>
      </c>
      <c r="I877" s="2470"/>
      <c r="M877" s="2467"/>
      <c r="N877" s="2467"/>
      <c r="P877" s="2469"/>
      <c r="V877" s="2470"/>
      <c r="Z877" s="2467"/>
      <c r="AA877" s="2467"/>
      <c r="AC877" s="2469"/>
      <c r="AI877" s="2470"/>
      <c r="AM877" s="2467"/>
      <c r="AN877" s="2467"/>
      <c r="AP877" s="2469"/>
      <c r="AS877" s="2466"/>
      <c r="AT877" s="2466"/>
      <c r="AY877" s="2470"/>
      <c r="BC877" s="2467"/>
      <c r="BD877" s="2467"/>
      <c r="BF877" s="2575"/>
      <c r="BH877" s="2467"/>
      <c r="BN877" s="2470"/>
      <c r="BR877" s="2474"/>
      <c r="BS877" s="2474"/>
      <c r="BU877" s="2547"/>
      <c r="BW877" s="2474"/>
      <c r="BZ877" s="2474"/>
      <c r="CA877" s="2470">
        <v>65000</v>
      </c>
      <c r="CB877" s="2472">
        <f t="shared" si="484"/>
        <v>65000</v>
      </c>
      <c r="CE877" s="2474">
        <v>65000</v>
      </c>
      <c r="CF877" s="2476">
        <f t="shared" si="486"/>
        <v>0</v>
      </c>
      <c r="CG877" s="2474">
        <v>65000</v>
      </c>
      <c r="CH877" s="2449" t="s">
        <v>1091</v>
      </c>
      <c r="CI877" s="2449"/>
      <c r="CJ877" s="2450"/>
      <c r="CK877" s="2450"/>
      <c r="CP877" s="2478">
        <f t="shared" si="462"/>
        <v>0</v>
      </c>
      <c r="CQ877" s="2478"/>
      <c r="CR877" s="2478"/>
      <c r="CS877" s="2478"/>
      <c r="CT877" s="2478"/>
    </row>
    <row r="878" spans="1:98" hidden="1" x14ac:dyDescent="0.2">
      <c r="A878" s="2395">
        <v>751</v>
      </c>
      <c r="C878" s="2396">
        <v>71005</v>
      </c>
      <c r="G878" s="2587" t="s">
        <v>2338</v>
      </c>
      <c r="I878" s="2470"/>
      <c r="M878" s="2467"/>
      <c r="N878" s="2467"/>
      <c r="P878" s="2469"/>
      <c r="V878" s="2470"/>
      <c r="Z878" s="2467"/>
      <c r="AA878" s="2467"/>
      <c r="AC878" s="2469"/>
      <c r="AI878" s="2470"/>
      <c r="AM878" s="2467"/>
      <c r="AN878" s="2467"/>
      <c r="AP878" s="2469"/>
      <c r="AS878" s="2466"/>
      <c r="AT878" s="2466"/>
      <c r="AY878" s="2470"/>
      <c r="BC878" s="2467"/>
      <c r="BD878" s="2467"/>
      <c r="BF878" s="2575"/>
      <c r="BH878" s="2467"/>
      <c r="BN878" s="2470"/>
      <c r="BR878" s="2474"/>
      <c r="BS878" s="2474"/>
      <c r="BU878" s="2547"/>
      <c r="BW878" s="2474"/>
      <c r="BZ878" s="2474"/>
      <c r="CA878" s="2470">
        <v>75000</v>
      </c>
      <c r="CB878" s="2472">
        <f t="shared" si="484"/>
        <v>75000</v>
      </c>
      <c r="CE878" s="2474">
        <v>75000</v>
      </c>
      <c r="CF878" s="2476">
        <f t="shared" si="486"/>
        <v>0</v>
      </c>
      <c r="CG878" s="2474">
        <v>75000</v>
      </c>
      <c r="CH878" s="2449" t="s">
        <v>1091</v>
      </c>
      <c r="CI878" s="2449"/>
      <c r="CJ878" s="2450"/>
      <c r="CK878" s="2450"/>
      <c r="CP878" s="2478">
        <f t="shared" si="462"/>
        <v>0</v>
      </c>
      <c r="CQ878" s="2478"/>
      <c r="CR878" s="2478"/>
      <c r="CS878" s="2478"/>
      <c r="CT878" s="2478"/>
    </row>
    <row r="879" spans="1:98" hidden="1" x14ac:dyDescent="0.2">
      <c r="AS879" s="2466"/>
      <c r="AT879" s="2466"/>
      <c r="BZ879" s="2472"/>
      <c r="CA879" s="2472"/>
      <c r="CH879" s="2449" t="s">
        <v>1091</v>
      </c>
      <c r="CI879" s="2449"/>
      <c r="CJ879" s="2450"/>
      <c r="CK879" s="2450"/>
      <c r="CP879" s="2478">
        <f t="shared" si="462"/>
        <v>0</v>
      </c>
      <c r="CQ879" s="2478"/>
      <c r="CR879" s="2478"/>
      <c r="CS879" s="2478"/>
      <c r="CT879" s="2478"/>
    </row>
    <row r="880" spans="1:98" hidden="1" x14ac:dyDescent="0.2">
      <c r="A880" s="2395">
        <v>751</v>
      </c>
      <c r="B880" s="2440" t="s">
        <v>1214</v>
      </c>
      <c r="C880" s="2396">
        <v>71005</v>
      </c>
      <c r="D880" s="2396">
        <v>59211</v>
      </c>
      <c r="F880" s="2440" t="s">
        <v>1214</v>
      </c>
      <c r="G880" s="2440" t="s">
        <v>2339</v>
      </c>
      <c r="H880" s="2466">
        <v>30989</v>
      </c>
      <c r="I880" s="2470">
        <v>-6761.5</v>
      </c>
      <c r="J880" s="2466">
        <f>H880+I880</f>
        <v>24227.5</v>
      </c>
      <c r="K880" s="2468">
        <f>IF(H880=0," ",(J880-H880)/H880)</f>
        <v>-0.21819032559940624</v>
      </c>
      <c r="M880" s="2467">
        <v>24228</v>
      </c>
      <c r="N880" s="2467">
        <v>24228</v>
      </c>
      <c r="P880" s="2469"/>
      <c r="R880" s="2466">
        <v>24228</v>
      </c>
      <c r="S880" s="2466">
        <v>24227.5</v>
      </c>
      <c r="U880" s="2466">
        <v>24228</v>
      </c>
      <c r="V880" s="2470">
        <v>-7638</v>
      </c>
      <c r="W880" s="2466">
        <f>U880+V880</f>
        <v>16590</v>
      </c>
      <c r="X880" s="2468">
        <f>IF(U880=0," ",(W880-U880)/U880)</f>
        <v>-0.31525507677067854</v>
      </c>
      <c r="Z880" s="2467">
        <v>16590</v>
      </c>
      <c r="AA880" s="2467">
        <v>16590</v>
      </c>
      <c r="AC880" s="2469" t="s">
        <v>2324</v>
      </c>
      <c r="AE880" s="2466">
        <v>16590</v>
      </c>
      <c r="AF880" s="2471">
        <v>16590</v>
      </c>
      <c r="AH880" s="2466">
        <v>16590</v>
      </c>
      <c r="AI880" s="2470">
        <v>-6300</v>
      </c>
      <c r="AJ880" s="2466">
        <f>AH880+AI880</f>
        <v>10290</v>
      </c>
      <c r="AK880" s="2468">
        <f>IF(AH880=0," ",(AJ880-AH880)/AH880)</f>
        <v>-0.379746835443038</v>
      </c>
      <c r="AM880" s="2467">
        <v>10290</v>
      </c>
      <c r="AN880" s="2467">
        <v>10290</v>
      </c>
      <c r="AP880" s="2469"/>
      <c r="AR880" s="2466">
        <v>10290</v>
      </c>
      <c r="AS880" s="2466">
        <v>10290</v>
      </c>
      <c r="AT880" s="2466"/>
      <c r="AU880" s="2466">
        <v>3840</v>
      </c>
      <c r="AV880" s="2466">
        <v>3840</v>
      </c>
      <c r="AX880" s="2466">
        <v>3840</v>
      </c>
      <c r="AY880" s="2470">
        <v>-3840</v>
      </c>
      <c r="AZ880" s="2466">
        <f>AX880+AY880</f>
        <v>0</v>
      </c>
      <c r="BA880" s="2468">
        <f>IF(AX880=0," ",(AZ880-AX880)/AX880)</f>
        <v>-1</v>
      </c>
      <c r="BC880" s="2467">
        <v>0</v>
      </c>
      <c r="BD880" s="2467">
        <v>0</v>
      </c>
      <c r="BF880" s="2575"/>
      <c r="BH880" s="2467">
        <v>0</v>
      </c>
      <c r="BM880" s="2466">
        <v>0</v>
      </c>
      <c r="BN880" s="2470"/>
      <c r="BO880" s="2472">
        <f>BM880+BN880</f>
        <v>0</v>
      </c>
      <c r="BP880" s="2473" t="str">
        <f>IF(BM880=0," ",(BO880-BM880)/BM880)</f>
        <v xml:space="preserve"> </v>
      </c>
      <c r="BR880" s="2474">
        <v>0</v>
      </c>
      <c r="BS880" s="2474">
        <v>0</v>
      </c>
      <c r="BU880" s="2475"/>
      <c r="BW880" s="2474">
        <v>0</v>
      </c>
      <c r="BZ880" s="2474">
        <v>0</v>
      </c>
      <c r="CA880" s="2470"/>
      <c r="CB880" s="2472">
        <f>BZ880+CA880</f>
        <v>0</v>
      </c>
      <c r="CC880" s="2473" t="str">
        <f>IF(BZ880=0," ",(CB880-BZ880)/BZ880)</f>
        <v xml:space="preserve"> </v>
      </c>
      <c r="CE880" s="2474">
        <v>0</v>
      </c>
      <c r="CF880" s="2476" t="str">
        <f t="shared" si="486"/>
        <v xml:space="preserve"> </v>
      </c>
      <c r="CG880" s="2474">
        <v>0</v>
      </c>
      <c r="CH880" s="2449" t="s">
        <v>1217</v>
      </c>
      <c r="CI880" s="2449"/>
      <c r="CJ880" s="2450"/>
      <c r="CK880" s="2450"/>
      <c r="CP880" s="2478">
        <f t="shared" si="462"/>
        <v>0</v>
      </c>
      <c r="CQ880" s="2478"/>
      <c r="CR880" s="2478"/>
      <c r="CS880" s="2478"/>
      <c r="CT880" s="2478"/>
    </row>
    <row r="881" spans="1:98" hidden="1" x14ac:dyDescent="0.2">
      <c r="A881" s="2395">
        <v>751</v>
      </c>
      <c r="B881" s="2440" t="s">
        <v>1214</v>
      </c>
      <c r="C881" s="2396">
        <v>71005</v>
      </c>
      <c r="D881" s="2396">
        <v>59212</v>
      </c>
      <c r="F881" s="2440" t="s">
        <v>1214</v>
      </c>
      <c r="G881" s="2440" t="s">
        <v>2340</v>
      </c>
      <c r="H881" s="2466">
        <v>32450</v>
      </c>
      <c r="I881" s="2470">
        <v>-5850</v>
      </c>
      <c r="J881" s="2466">
        <f>H881+I881</f>
        <v>26600</v>
      </c>
      <c r="K881" s="2468">
        <f>IF(H881=0," ",(J881-H881)/H881)</f>
        <v>-0.18027734976887519</v>
      </c>
      <c r="M881" s="2467">
        <v>26600</v>
      </c>
      <c r="N881" s="2467">
        <v>26600</v>
      </c>
      <c r="P881" s="2469"/>
      <c r="R881" s="2466">
        <v>26600</v>
      </c>
      <c r="S881" s="2466">
        <v>26600</v>
      </c>
      <c r="U881" s="2466">
        <v>26600</v>
      </c>
      <c r="V881" s="2470">
        <v>-6000</v>
      </c>
      <c r="W881" s="2466">
        <f>U881+V881</f>
        <v>20600</v>
      </c>
      <c r="X881" s="2468">
        <f>IF(U881=0," ",(W881-U881)/U881)</f>
        <v>-0.22556390977443608</v>
      </c>
      <c r="Z881" s="2467">
        <v>20600</v>
      </c>
      <c r="AA881" s="2467">
        <v>20600</v>
      </c>
      <c r="AC881" s="2469" t="s">
        <v>2324</v>
      </c>
      <c r="AE881" s="2466">
        <v>20600</v>
      </c>
      <c r="AF881" s="2471">
        <v>20600</v>
      </c>
      <c r="AH881" s="2466">
        <v>20600</v>
      </c>
      <c r="AI881" s="2470">
        <v>-8400</v>
      </c>
      <c r="AJ881" s="2466">
        <f>AH881+AI881</f>
        <v>12200</v>
      </c>
      <c r="AK881" s="2468">
        <f>IF(AH881=0," ",(AJ881-AH881)/AH881)</f>
        <v>-0.40776699029126212</v>
      </c>
      <c r="AM881" s="2467">
        <v>12200</v>
      </c>
      <c r="AN881" s="2467">
        <v>12200</v>
      </c>
      <c r="AP881" s="2469"/>
      <c r="AR881" s="2466">
        <v>12200</v>
      </c>
      <c r="AS881" s="2466">
        <v>12200</v>
      </c>
      <c r="AT881" s="2466"/>
      <c r="AU881" s="2466">
        <v>8000</v>
      </c>
      <c r="AV881" s="2466">
        <v>8000</v>
      </c>
      <c r="AX881" s="2466">
        <v>8000</v>
      </c>
      <c r="AY881" s="2470">
        <v>-4000</v>
      </c>
      <c r="AZ881" s="2466">
        <f>AX881+AY881</f>
        <v>4000</v>
      </c>
      <c r="BA881" s="2468">
        <f>IF(AX881=0," ",(AZ881-AX881)/AX881)</f>
        <v>-0.5</v>
      </c>
      <c r="BC881" s="2467">
        <v>4000</v>
      </c>
      <c r="BD881" s="2467">
        <v>4000</v>
      </c>
      <c r="BF881" s="2575"/>
      <c r="BH881" s="2467">
        <v>4000</v>
      </c>
      <c r="BI881" s="2466">
        <v>4000</v>
      </c>
      <c r="BM881" s="2466">
        <v>4000</v>
      </c>
      <c r="BN881" s="2470">
        <v>-4000</v>
      </c>
      <c r="BO881" s="2472">
        <f>BM881+BN881</f>
        <v>0</v>
      </c>
      <c r="BP881" s="2473">
        <f>IF(BM881=0," ",(BO881-BM881)/BM881)</f>
        <v>-1</v>
      </c>
      <c r="BR881" s="2474">
        <v>0</v>
      </c>
      <c r="BS881" s="2474">
        <v>0</v>
      </c>
      <c r="BU881" s="2547" t="s">
        <v>2326</v>
      </c>
      <c r="BW881" s="2474">
        <v>0</v>
      </c>
      <c r="BZ881" s="2474">
        <v>0</v>
      </c>
      <c r="CA881" s="2470"/>
      <c r="CB881" s="2472">
        <f>BZ881+CA881</f>
        <v>0</v>
      </c>
      <c r="CC881" s="2473" t="str">
        <f>IF(BZ881=0," ",(CB881-BZ881)/BZ881)</f>
        <v xml:space="preserve"> </v>
      </c>
      <c r="CE881" s="2474">
        <v>0</v>
      </c>
      <c r="CF881" s="2476" t="str">
        <f t="shared" si="486"/>
        <v xml:space="preserve"> </v>
      </c>
      <c r="CG881" s="2474">
        <v>0</v>
      </c>
      <c r="CH881" s="2449" t="s">
        <v>1217</v>
      </c>
      <c r="CI881" s="2449"/>
      <c r="CJ881" s="2450"/>
      <c r="CK881" s="2450"/>
      <c r="CO881" s="2477">
        <v>0</v>
      </c>
      <c r="CP881" s="2478">
        <f t="shared" si="462"/>
        <v>0</v>
      </c>
      <c r="CQ881" s="2478"/>
      <c r="CR881" s="2478"/>
      <c r="CS881" s="2478"/>
      <c r="CT881" s="2478"/>
    </row>
    <row r="882" spans="1:98" hidden="1" x14ac:dyDescent="0.2">
      <c r="A882" s="2395">
        <v>751</v>
      </c>
      <c r="B882" s="2440" t="s">
        <v>1214</v>
      </c>
      <c r="C882" s="2396">
        <v>71005</v>
      </c>
      <c r="D882" s="2396">
        <v>59217</v>
      </c>
      <c r="F882" s="2440" t="s">
        <v>1214</v>
      </c>
      <c r="G882" s="2440" t="s">
        <v>2341</v>
      </c>
      <c r="I882" s="2470"/>
      <c r="J882" s="2466">
        <f>H882+I882</f>
        <v>0</v>
      </c>
      <c r="K882" s="2468" t="str">
        <f>IF(H882=0," ",(J882-H882)/H882)</f>
        <v xml:space="preserve"> </v>
      </c>
      <c r="M882" s="2467"/>
      <c r="N882" s="2467"/>
      <c r="P882" s="2469"/>
      <c r="V882" s="2470">
        <v>97377</v>
      </c>
      <c r="W882" s="2466">
        <f>U882+V882</f>
        <v>97377</v>
      </c>
      <c r="X882" s="2468" t="str">
        <f>IF(U882=0," ",(W882-U882)/U882)</f>
        <v xml:space="preserve"> </v>
      </c>
      <c r="Z882" s="2467">
        <v>97377</v>
      </c>
      <c r="AA882" s="2467">
        <v>97377</v>
      </c>
      <c r="AC882" s="2469" t="s">
        <v>2324</v>
      </c>
      <c r="AE882" s="2466">
        <v>97377</v>
      </c>
      <c r="AF882" s="2471">
        <v>97376.27</v>
      </c>
      <c r="AH882" s="2466">
        <v>97377</v>
      </c>
      <c r="AI882" s="2470">
        <v>-4283</v>
      </c>
      <c r="AJ882" s="2466">
        <f>AH882+AI882</f>
        <v>93094</v>
      </c>
      <c r="AK882" s="2468">
        <f>IF(AH882=0," ",(AJ882-AH882)/AH882)</f>
        <v>-4.3983692247656019E-2</v>
      </c>
      <c r="AM882" s="2467">
        <v>93094</v>
      </c>
      <c r="AN882" s="2467">
        <v>93094</v>
      </c>
      <c r="AP882" s="2469"/>
      <c r="AR882" s="2466">
        <v>93094</v>
      </c>
      <c r="AS882" s="2466">
        <v>93093.74</v>
      </c>
      <c r="AT882" s="2466"/>
      <c r="AU882" s="2466">
        <v>88518</v>
      </c>
      <c r="AV882" s="2466">
        <v>88518.76</v>
      </c>
      <c r="AX882" s="2466">
        <v>88518</v>
      </c>
      <c r="AY882" s="2470">
        <v>-4799</v>
      </c>
      <c r="AZ882" s="2466">
        <f>AX882+AY882</f>
        <v>83719</v>
      </c>
      <c r="BA882" s="2468">
        <f>IF(AX882=0," ",(AZ882-AX882)/AX882)</f>
        <v>-5.4214961928647283E-2</v>
      </c>
      <c r="BC882" s="2467">
        <v>83719</v>
      </c>
      <c r="BD882" s="2467">
        <v>83719</v>
      </c>
      <c r="BF882" s="2575"/>
      <c r="BH882" s="2467">
        <v>83719</v>
      </c>
      <c r="BI882" s="2466">
        <v>83718.759999999995</v>
      </c>
      <c r="BM882" s="2466">
        <v>83719</v>
      </c>
      <c r="BN882" s="2470">
        <v>-5575</v>
      </c>
      <c r="BO882" s="2472">
        <f>BM882+BN882</f>
        <v>78144</v>
      </c>
      <c r="BP882" s="2473">
        <f>IF(BM882=0," ",(BO882-BM882)/BM882)</f>
        <v>-6.6591813089023996E-2</v>
      </c>
      <c r="BR882" s="2474">
        <v>78144</v>
      </c>
      <c r="BS882" s="2474">
        <v>78144</v>
      </c>
      <c r="BU882" s="2547" t="s">
        <v>2328</v>
      </c>
      <c r="BW882" s="2474">
        <v>78144</v>
      </c>
      <c r="BX882" s="2466">
        <v>40621.879999999997</v>
      </c>
      <c r="BZ882" s="2474">
        <v>78144</v>
      </c>
      <c r="CA882" s="2470">
        <v>-78144</v>
      </c>
      <c r="CB882" s="2472">
        <f>BZ882+CA882</f>
        <v>0</v>
      </c>
      <c r="CC882" s="2473">
        <f>IF(BZ882=0," ",(CB882-BZ882)/BZ882)</f>
        <v>-1</v>
      </c>
      <c r="CE882" s="2474">
        <v>0</v>
      </c>
      <c r="CF882" s="2476" t="str">
        <f t="shared" si="486"/>
        <v xml:space="preserve"> </v>
      </c>
      <c r="CG882" s="2474">
        <v>0</v>
      </c>
      <c r="CH882" s="2449" t="s">
        <v>1217</v>
      </c>
      <c r="CI882" s="2449"/>
      <c r="CJ882" s="2450"/>
      <c r="CK882" s="2450"/>
      <c r="CO882" s="2477">
        <v>-2.866732760842261E-6</v>
      </c>
      <c r="CP882" s="2478">
        <f t="shared" si="462"/>
        <v>-0.24000000000523869</v>
      </c>
      <c r="CQ882" s="2478"/>
      <c r="CR882" s="2478"/>
      <c r="CS882" s="2478"/>
      <c r="CT882" s="2478"/>
    </row>
    <row r="883" spans="1:98" hidden="1" x14ac:dyDescent="0.2">
      <c r="G883" s="2440" t="s">
        <v>2342</v>
      </c>
      <c r="I883" s="2470"/>
      <c r="M883" s="2467"/>
      <c r="N883" s="2467"/>
      <c r="P883" s="2469"/>
      <c r="V883" s="2470"/>
      <c r="Z883" s="2467"/>
      <c r="AA883" s="2467"/>
      <c r="AC883" s="2469"/>
      <c r="AI883" s="2470"/>
      <c r="AM883" s="2467"/>
      <c r="AN883" s="2467"/>
      <c r="AP883" s="2469"/>
      <c r="AS883" s="2466"/>
      <c r="AT883" s="2466"/>
      <c r="AY883" s="2470"/>
      <c r="BC883" s="2467"/>
      <c r="BD883" s="2467"/>
      <c r="BF883" s="2575"/>
      <c r="BH883" s="2467"/>
      <c r="BN883" s="2470"/>
      <c r="BR883" s="2474"/>
      <c r="BS883" s="2474"/>
      <c r="BU883" s="2547"/>
      <c r="BW883" s="2474"/>
      <c r="BZ883" s="2474"/>
      <c r="CA883" s="2470">
        <v>69414</v>
      </c>
      <c r="CB883" s="2472">
        <f t="shared" ref="CB883:CB890" si="487">BZ883+CA883</f>
        <v>69414</v>
      </c>
      <c r="CE883" s="2474">
        <v>69414</v>
      </c>
      <c r="CF883" s="2476">
        <f t="shared" si="486"/>
        <v>0</v>
      </c>
      <c r="CG883" s="2474">
        <v>69414</v>
      </c>
      <c r="CH883" s="2449" t="s">
        <v>1091</v>
      </c>
      <c r="CI883" s="2449"/>
      <c r="CJ883" s="2450"/>
      <c r="CK883" s="2450"/>
      <c r="CP883" s="2478">
        <f t="shared" si="462"/>
        <v>0</v>
      </c>
      <c r="CQ883" s="2478"/>
      <c r="CR883" s="2478"/>
      <c r="CS883" s="2478"/>
      <c r="CT883" s="2478"/>
    </row>
    <row r="884" spans="1:98" hidden="1" x14ac:dyDescent="0.2">
      <c r="G884" s="2440" t="s">
        <v>2343</v>
      </c>
      <c r="I884" s="2470"/>
      <c r="M884" s="2467"/>
      <c r="N884" s="2467"/>
      <c r="P884" s="2469"/>
      <c r="V884" s="2470"/>
      <c r="Z884" s="2467"/>
      <c r="AA884" s="2467"/>
      <c r="AC884" s="2469"/>
      <c r="AI884" s="2470"/>
      <c r="AM884" s="2467"/>
      <c r="AN884" s="2467"/>
      <c r="AP884" s="2469"/>
      <c r="AS884" s="2466"/>
      <c r="AT884" s="2466"/>
      <c r="AY884" s="2470"/>
      <c r="BC884" s="2467"/>
      <c r="BD884" s="2467"/>
      <c r="BF884" s="2575"/>
      <c r="BH884" s="2467"/>
      <c r="BN884" s="2470"/>
      <c r="BR884" s="2474"/>
      <c r="BS884" s="2474"/>
      <c r="BU884" s="2547"/>
      <c r="BW884" s="2474"/>
      <c r="BZ884" s="2474"/>
      <c r="CA884" s="2470">
        <v>2430</v>
      </c>
      <c r="CB884" s="2472">
        <f t="shared" si="487"/>
        <v>2430</v>
      </c>
      <c r="CE884" s="2474">
        <v>2430</v>
      </c>
      <c r="CF884" s="2476">
        <f t="shared" si="486"/>
        <v>0</v>
      </c>
      <c r="CG884" s="2474">
        <v>2430</v>
      </c>
      <c r="CH884" s="2449" t="s">
        <v>1091</v>
      </c>
      <c r="CI884" s="2449"/>
      <c r="CJ884" s="2450"/>
      <c r="CK884" s="2450"/>
      <c r="CP884" s="2478">
        <f t="shared" si="462"/>
        <v>0</v>
      </c>
      <c r="CQ884" s="2478"/>
      <c r="CR884" s="2478"/>
      <c r="CS884" s="2478"/>
      <c r="CT884" s="2478"/>
    </row>
    <row r="885" spans="1:98" hidden="1" x14ac:dyDescent="0.2">
      <c r="A885" s="2395">
        <v>751</v>
      </c>
      <c r="C885" s="2396">
        <v>71005</v>
      </c>
      <c r="D885" s="2396">
        <v>59219</v>
      </c>
      <c r="G885" s="2587" t="s">
        <v>2344</v>
      </c>
      <c r="I885" s="2470"/>
      <c r="M885" s="2467"/>
      <c r="N885" s="2467"/>
      <c r="P885" s="2469"/>
      <c r="V885" s="2470"/>
      <c r="Z885" s="2467"/>
      <c r="AA885" s="2467"/>
      <c r="AC885" s="2469"/>
      <c r="AI885" s="2470">
        <v>230000</v>
      </c>
      <c r="AJ885" s="2466">
        <f>AH885+AI885</f>
        <v>230000</v>
      </c>
      <c r="AK885" s="2468" t="str">
        <f>IF(AH885=0," ",(AJ885-AH885)/AH885)</f>
        <v xml:space="preserve"> </v>
      </c>
      <c r="AM885" s="2467">
        <v>351513</v>
      </c>
      <c r="AN885" s="2467">
        <v>351513</v>
      </c>
      <c r="AP885" s="2469"/>
      <c r="AR885" s="2466">
        <v>351513</v>
      </c>
      <c r="AS885" s="2466">
        <v>411449</v>
      </c>
      <c r="AT885" s="2466"/>
      <c r="AU885" s="2466">
        <v>341963</v>
      </c>
      <c r="AV885" s="2466">
        <v>341962.5</v>
      </c>
      <c r="AX885" s="2466">
        <v>341963</v>
      </c>
      <c r="AY885" s="2470">
        <v>-10000</v>
      </c>
      <c r="AZ885" s="2466">
        <f>AX885+AY885</f>
        <v>331963</v>
      </c>
      <c r="BA885" s="2468">
        <f>IF(AX885=0," ",(AZ885-AX885)/AX885)</f>
        <v>-2.9242929790649866E-2</v>
      </c>
      <c r="BC885" s="2467">
        <v>331963</v>
      </c>
      <c r="BD885" s="2467">
        <v>331963</v>
      </c>
      <c r="BF885" s="2575"/>
      <c r="BH885" s="2467">
        <v>331963</v>
      </c>
      <c r="BI885" s="2466">
        <v>331962.5</v>
      </c>
      <c r="BM885" s="2466">
        <v>331963</v>
      </c>
      <c r="BN885" s="2470">
        <v>-14250</v>
      </c>
      <c r="BO885" s="2472">
        <f>BM885+BN885</f>
        <v>317713</v>
      </c>
      <c r="BP885" s="2473">
        <f>IF(BM885=0," ",(BO885-BM885)/BM885)</f>
        <v>-4.2926470721134584E-2</v>
      </c>
      <c r="BR885" s="2474">
        <v>317713</v>
      </c>
      <c r="BS885" s="2474">
        <v>317713</v>
      </c>
      <c r="BU885" s="2547" t="s">
        <v>2328</v>
      </c>
      <c r="BW885" s="2474">
        <v>317713</v>
      </c>
      <c r="BX885" s="2466">
        <v>158856.25</v>
      </c>
      <c r="BZ885" s="2474">
        <v>317713</v>
      </c>
      <c r="CA885" s="2470">
        <v>-317713</v>
      </c>
      <c r="CB885" s="2472">
        <f t="shared" si="487"/>
        <v>0</v>
      </c>
      <c r="CC885" s="2473">
        <f>IF(BZ885=0," ",(CB885-BZ885)/BZ885)</f>
        <v>-1</v>
      </c>
      <c r="CE885" s="2474">
        <v>0</v>
      </c>
      <c r="CF885" s="2476" t="str">
        <f t="shared" si="486"/>
        <v xml:space="preserve"> </v>
      </c>
      <c r="CG885" s="2474">
        <v>0</v>
      </c>
      <c r="CH885" s="2449" t="s">
        <v>1217</v>
      </c>
      <c r="CI885" s="2449"/>
      <c r="CJ885" s="2450"/>
      <c r="CK885" s="2450"/>
      <c r="CO885" s="2477">
        <v>-1.5061919551584424E-6</v>
      </c>
      <c r="CP885" s="2478">
        <f t="shared" si="462"/>
        <v>-0.5</v>
      </c>
      <c r="CQ885" s="2478"/>
      <c r="CR885" s="2478"/>
      <c r="CS885" s="2478"/>
      <c r="CT885" s="2478"/>
    </row>
    <row r="886" spans="1:98" hidden="1" x14ac:dyDescent="0.2">
      <c r="G886" s="2587" t="s">
        <v>2345</v>
      </c>
      <c r="I886" s="2470"/>
      <c r="M886" s="2467"/>
      <c r="N886" s="2467"/>
      <c r="P886" s="2469"/>
      <c r="V886" s="2470"/>
      <c r="Z886" s="2467"/>
      <c r="AA886" s="2467"/>
      <c r="AC886" s="2469"/>
      <c r="AI886" s="2470"/>
      <c r="AM886" s="2467"/>
      <c r="AN886" s="2467"/>
      <c r="AP886" s="2469"/>
      <c r="AS886" s="2466"/>
      <c r="AT886" s="2466"/>
      <c r="AY886" s="2470"/>
      <c r="BC886" s="2467"/>
      <c r="BD886" s="2467"/>
      <c r="BF886" s="2575"/>
      <c r="BH886" s="2467"/>
      <c r="BN886" s="2470"/>
      <c r="BR886" s="2474"/>
      <c r="BS886" s="2474"/>
      <c r="BU886" s="2547"/>
      <c r="BW886" s="2474"/>
      <c r="BZ886" s="2474"/>
      <c r="CA886" s="2470">
        <v>191688</v>
      </c>
      <c r="CB886" s="2472">
        <f t="shared" si="487"/>
        <v>191688</v>
      </c>
      <c r="CE886" s="2474">
        <v>191688</v>
      </c>
      <c r="CF886" s="2476">
        <f t="shared" si="486"/>
        <v>0</v>
      </c>
      <c r="CG886" s="2474">
        <v>191688</v>
      </c>
      <c r="CH886" s="2449" t="s">
        <v>1091</v>
      </c>
      <c r="CI886" s="2449"/>
      <c r="CJ886" s="2450"/>
      <c r="CK886" s="2450"/>
      <c r="CP886" s="2478">
        <f t="shared" si="462"/>
        <v>0</v>
      </c>
      <c r="CQ886" s="2478"/>
      <c r="CR886" s="2478"/>
      <c r="CS886" s="2478"/>
      <c r="CT886" s="2478"/>
    </row>
    <row r="887" spans="1:98" hidden="1" x14ac:dyDescent="0.2">
      <c r="G887" s="2587" t="s">
        <v>2346</v>
      </c>
      <c r="I887" s="2470"/>
      <c r="M887" s="2467"/>
      <c r="N887" s="2467"/>
      <c r="P887" s="2469"/>
      <c r="V887" s="2470"/>
      <c r="Z887" s="2467"/>
      <c r="AA887" s="2467"/>
      <c r="AC887" s="2469"/>
      <c r="AI887" s="2470"/>
      <c r="AM887" s="2467"/>
      <c r="AN887" s="2467"/>
      <c r="AP887" s="2469"/>
      <c r="AS887" s="2466"/>
      <c r="AT887" s="2466"/>
      <c r="AY887" s="2470"/>
      <c r="BC887" s="2467"/>
      <c r="BD887" s="2467"/>
      <c r="BF887" s="2575"/>
      <c r="BH887" s="2467"/>
      <c r="BN887" s="2470"/>
      <c r="BR887" s="2474"/>
      <c r="BS887" s="2474"/>
      <c r="BU887" s="2547"/>
      <c r="BW887" s="2474"/>
      <c r="BZ887" s="2474"/>
      <c r="CA887" s="2470">
        <v>110775</v>
      </c>
      <c r="CB887" s="2472">
        <f t="shared" si="487"/>
        <v>110775</v>
      </c>
      <c r="CE887" s="2474">
        <v>110775</v>
      </c>
      <c r="CF887" s="2476">
        <f t="shared" si="486"/>
        <v>0</v>
      </c>
      <c r="CG887" s="2474">
        <v>110775</v>
      </c>
      <c r="CH887" s="2449" t="s">
        <v>1091</v>
      </c>
      <c r="CI887" s="2449"/>
      <c r="CJ887" s="2450"/>
      <c r="CK887" s="2450"/>
      <c r="CP887" s="2478">
        <f t="shared" si="462"/>
        <v>0</v>
      </c>
      <c r="CQ887" s="2478"/>
      <c r="CR887" s="2478"/>
      <c r="CS887" s="2478"/>
      <c r="CT887" s="2478"/>
    </row>
    <row r="888" spans="1:98" hidden="1" x14ac:dyDescent="0.2">
      <c r="A888" s="2395">
        <v>751</v>
      </c>
      <c r="C888" s="2396">
        <v>71005</v>
      </c>
      <c r="D888" s="2396">
        <v>59220</v>
      </c>
      <c r="G888" s="2587" t="s">
        <v>2347</v>
      </c>
      <c r="I888" s="2470"/>
      <c r="M888" s="2467"/>
      <c r="N888" s="2467"/>
      <c r="P888" s="2469"/>
      <c r="V888" s="2470"/>
      <c r="Z888" s="2467"/>
      <c r="AA888" s="2467"/>
      <c r="AC888" s="2469"/>
      <c r="AI888" s="2470"/>
      <c r="AJ888" s="2466">
        <f>AH888+AI888</f>
        <v>0</v>
      </c>
      <c r="AK888" s="2468" t="str">
        <f>IF(AH888=0," ",(AJ888-AH888)/AH888)</f>
        <v xml:space="preserve"> </v>
      </c>
      <c r="AM888" s="2467"/>
      <c r="AN888" s="2467"/>
      <c r="AP888" s="2469"/>
      <c r="AS888" s="2466">
        <v>53609.91</v>
      </c>
      <c r="AT888" s="2466"/>
      <c r="AU888" s="2466">
        <v>121007</v>
      </c>
      <c r="AV888" s="2466">
        <v>121006.5</v>
      </c>
      <c r="AX888" s="2466">
        <v>121007</v>
      </c>
      <c r="AY888" s="2470">
        <v>-6125</v>
      </c>
      <c r="AZ888" s="2466">
        <f>AX888+AY888</f>
        <v>114882</v>
      </c>
      <c r="BA888" s="2468">
        <f>IF(AX888=0," ",(AZ888-AX888)/AX888)</f>
        <v>-5.061690645995686E-2</v>
      </c>
      <c r="BC888" s="2467">
        <v>114882</v>
      </c>
      <c r="BD888" s="2467">
        <v>114882</v>
      </c>
      <c r="BF888" s="2575"/>
      <c r="BH888" s="2467">
        <v>114882</v>
      </c>
      <c r="BI888" s="2466">
        <v>114881.5</v>
      </c>
      <c r="BM888" s="2466">
        <v>114882</v>
      </c>
      <c r="BN888" s="2470">
        <v>-6375</v>
      </c>
      <c r="BO888" s="2472">
        <f>BM888+BN888</f>
        <v>108507</v>
      </c>
      <c r="BP888" s="2473">
        <f>IF(BM888=0," ",(BO888-BM888)/BM888)</f>
        <v>-5.5491721940774015E-2</v>
      </c>
      <c r="BR888" s="2474">
        <v>108507</v>
      </c>
      <c r="BS888" s="2474">
        <v>108507</v>
      </c>
      <c r="BU888" s="2547" t="s">
        <v>2328</v>
      </c>
      <c r="BW888" s="2474">
        <v>108507</v>
      </c>
      <c r="BX888" s="2466">
        <v>55878.25</v>
      </c>
      <c r="BZ888" s="2474">
        <v>108507</v>
      </c>
      <c r="CA888" s="2470">
        <v>-108507</v>
      </c>
      <c r="CB888" s="2472">
        <f t="shared" si="487"/>
        <v>0</v>
      </c>
      <c r="CC888" s="2473">
        <f>IF(BZ888=0," ",(CB888-BZ888)/BZ888)</f>
        <v>-1</v>
      </c>
      <c r="CE888" s="2474">
        <v>0</v>
      </c>
      <c r="CF888" s="2476" t="str">
        <f t="shared" si="486"/>
        <v xml:space="preserve"> </v>
      </c>
      <c r="CG888" s="2474">
        <v>0</v>
      </c>
      <c r="CH888" s="2449" t="s">
        <v>1217</v>
      </c>
      <c r="CI888" s="2449"/>
      <c r="CJ888" s="2450"/>
      <c r="CK888" s="2450"/>
      <c r="CO888" s="2477">
        <v>-4.3522919169758367E-6</v>
      </c>
      <c r="CP888" s="2478">
        <f t="shared" si="462"/>
        <v>-0.5</v>
      </c>
      <c r="CQ888" s="2478"/>
      <c r="CR888" s="2478"/>
      <c r="CS888" s="2478"/>
      <c r="CT888" s="2478"/>
    </row>
    <row r="889" spans="1:98" hidden="1" x14ac:dyDescent="0.2">
      <c r="G889" s="2587" t="s">
        <v>2348</v>
      </c>
      <c r="I889" s="2470"/>
      <c r="M889" s="2467"/>
      <c r="N889" s="2467"/>
      <c r="P889" s="2469"/>
      <c r="V889" s="2470"/>
      <c r="Z889" s="2467"/>
      <c r="AA889" s="2467"/>
      <c r="AC889" s="2469"/>
      <c r="AI889" s="2470"/>
      <c r="AM889" s="2467"/>
      <c r="AN889" s="2467"/>
      <c r="AP889" s="2469"/>
      <c r="AS889" s="2466"/>
      <c r="AT889" s="2466"/>
      <c r="AY889" s="2470"/>
      <c r="BC889" s="2467"/>
      <c r="BD889" s="2467"/>
      <c r="BF889" s="2575"/>
      <c r="BH889" s="2467"/>
      <c r="BN889" s="2470"/>
      <c r="BR889" s="2474"/>
      <c r="BS889" s="2474"/>
      <c r="BU889" s="2547"/>
      <c r="BW889" s="2474"/>
      <c r="BZ889" s="2474"/>
      <c r="CA889" s="2470">
        <v>58644</v>
      </c>
      <c r="CB889" s="2472">
        <f t="shared" si="487"/>
        <v>58644</v>
      </c>
      <c r="CE889" s="2474">
        <v>58644</v>
      </c>
      <c r="CF889" s="2476">
        <f t="shared" si="486"/>
        <v>0</v>
      </c>
      <c r="CG889" s="2474">
        <v>58644</v>
      </c>
      <c r="CH889" s="2449" t="s">
        <v>1091</v>
      </c>
      <c r="CI889" s="2449"/>
      <c r="CJ889" s="2450"/>
      <c r="CK889" s="2450"/>
      <c r="CP889" s="2478">
        <f t="shared" si="462"/>
        <v>0</v>
      </c>
      <c r="CQ889" s="2478"/>
      <c r="CR889" s="2478"/>
      <c r="CS889" s="2478"/>
      <c r="CT889" s="2478"/>
    </row>
    <row r="890" spans="1:98" hidden="1" x14ac:dyDescent="0.2">
      <c r="G890" s="2587" t="s">
        <v>2349</v>
      </c>
      <c r="I890" s="2470"/>
      <c r="M890" s="2467"/>
      <c r="N890" s="2467"/>
      <c r="P890" s="2469"/>
      <c r="V890" s="2470"/>
      <c r="Z890" s="2467"/>
      <c r="AA890" s="2467"/>
      <c r="AC890" s="2469"/>
      <c r="AI890" s="2470"/>
      <c r="AM890" s="2467"/>
      <c r="AN890" s="2467"/>
      <c r="AP890" s="2469"/>
      <c r="AS890" s="2466"/>
      <c r="AT890" s="2466"/>
      <c r="AY890" s="2470"/>
      <c r="BC890" s="2467"/>
      <c r="BD890" s="2467"/>
      <c r="BF890" s="2575"/>
      <c r="BH890" s="2467"/>
      <c r="BN890" s="2470"/>
      <c r="BR890" s="2474"/>
      <c r="BS890" s="2474"/>
      <c r="BU890" s="2547"/>
      <c r="BW890" s="2474"/>
      <c r="BZ890" s="2474"/>
      <c r="CA890" s="2470">
        <v>43113</v>
      </c>
      <c r="CB890" s="2472">
        <f t="shared" si="487"/>
        <v>43113</v>
      </c>
      <c r="CE890" s="2474">
        <v>43113</v>
      </c>
      <c r="CF890" s="2476">
        <f t="shared" si="486"/>
        <v>0</v>
      </c>
      <c r="CG890" s="2474">
        <v>43113</v>
      </c>
      <c r="CH890" s="2449" t="s">
        <v>1091</v>
      </c>
      <c r="CI890" s="2449"/>
      <c r="CJ890" s="2450"/>
      <c r="CK890" s="2450"/>
      <c r="CP890" s="2478">
        <f t="shared" si="462"/>
        <v>0</v>
      </c>
      <c r="CQ890" s="2478"/>
      <c r="CR890" s="2478"/>
      <c r="CS890" s="2478"/>
      <c r="CT890" s="2478"/>
    </row>
    <row r="891" spans="1:98" hidden="1" x14ac:dyDescent="0.2">
      <c r="AS891" s="2466"/>
      <c r="AT891" s="2466"/>
      <c r="BZ891" s="2472"/>
      <c r="CH891" s="2449" t="s">
        <v>1091</v>
      </c>
      <c r="CI891" s="2449"/>
      <c r="CJ891" s="2450"/>
      <c r="CK891" s="2450"/>
      <c r="CP891" s="2478">
        <f t="shared" si="462"/>
        <v>0</v>
      </c>
      <c r="CQ891" s="2478"/>
      <c r="CR891" s="2478"/>
      <c r="CS891" s="2478"/>
      <c r="CT891" s="2478"/>
    </row>
    <row r="892" spans="1:98" hidden="1" x14ac:dyDescent="0.2">
      <c r="A892" s="2395">
        <v>751</v>
      </c>
      <c r="B892" s="2440" t="s">
        <v>1214</v>
      </c>
      <c r="C892" s="2396">
        <v>75105</v>
      </c>
      <c r="D892" s="2396">
        <v>59500</v>
      </c>
      <c r="F892" s="2440" t="s">
        <v>1214</v>
      </c>
      <c r="G892" s="2440" t="s">
        <v>2350</v>
      </c>
      <c r="H892" s="2466">
        <v>18047</v>
      </c>
      <c r="I892" s="2470">
        <v>436328.54</v>
      </c>
      <c r="J892" s="2466">
        <f>H892+I892</f>
        <v>454375.54</v>
      </c>
      <c r="K892" s="2468">
        <f>IF(H892=0," ",(J892-H892)/H892)</f>
        <v>24.177344711032305</v>
      </c>
      <c r="M892" s="2467">
        <f>54375.54+275000+100000+0.46</f>
        <v>429376</v>
      </c>
      <c r="N892" s="2467">
        <f>54375.54+275000+100000+0.46</f>
        <v>429376</v>
      </c>
      <c r="P892" s="2469" t="s">
        <v>2351</v>
      </c>
      <c r="R892" s="2466">
        <f>54375.54+275000+100000+0.46</f>
        <v>429376</v>
      </c>
      <c r="S892" s="2466">
        <v>192700.02</v>
      </c>
      <c r="U892" s="2466">
        <f>54375.54+275000+100000+0.46</f>
        <v>429376</v>
      </c>
      <c r="V892" s="2470">
        <v>47257</v>
      </c>
      <c r="W892" s="2466">
        <f>U892+V892</f>
        <v>476633</v>
      </c>
      <c r="X892" s="2468">
        <f>IF(U892=0," ",(W892-U892)/U892)</f>
        <v>0.11005971456252794</v>
      </c>
      <c r="Z892" s="2467">
        <v>476633</v>
      </c>
      <c r="AA892" s="2467">
        <v>447000</v>
      </c>
      <c r="AC892" s="2469" t="s">
        <v>2352</v>
      </c>
      <c r="AE892" s="2466">
        <v>447000</v>
      </c>
      <c r="AF892" s="2471">
        <v>404495.56</v>
      </c>
      <c r="AH892" s="2466">
        <v>447000</v>
      </c>
      <c r="AI892" s="2470">
        <v>-47000</v>
      </c>
      <c r="AJ892" s="2466">
        <f>AH892+AI892</f>
        <v>400000</v>
      </c>
      <c r="AK892" s="2468">
        <f>IF(AH892=0," ",(AJ892-AH892)/AH892)</f>
        <v>-0.10514541387024609</v>
      </c>
      <c r="AM892" s="2467">
        <v>200000</v>
      </c>
      <c r="AN892" s="2467">
        <v>200000</v>
      </c>
      <c r="AP892" s="2469"/>
      <c r="AR892" s="2466">
        <v>200000</v>
      </c>
      <c r="AS892" s="2466">
        <v>0</v>
      </c>
      <c r="AT892" s="2466"/>
      <c r="AU892" s="2466">
        <v>10000</v>
      </c>
      <c r="AX892" s="2466">
        <v>10000</v>
      </c>
      <c r="AY892" s="2470">
        <v>-10000</v>
      </c>
      <c r="AZ892" s="2466">
        <f>AX892+AY892</f>
        <v>0</v>
      </c>
      <c r="BA892" s="2468">
        <f>IF(AX892=0," ",(AZ892-AX892)/AX892)</f>
        <v>-1</v>
      </c>
      <c r="BC892" s="2467">
        <v>0</v>
      </c>
      <c r="BD892" s="2467"/>
      <c r="BF892" s="2575"/>
      <c r="BH892" s="2467"/>
      <c r="BN892" s="2470"/>
      <c r="BO892" s="2472">
        <f>BM892+BN892</f>
        <v>0</v>
      </c>
      <c r="BP892" s="2473" t="str">
        <f>IF(BM892=0," ",(BO892-BM892)/BM892)</f>
        <v xml:space="preserve"> </v>
      </c>
      <c r="BR892" s="2474">
        <v>0</v>
      </c>
      <c r="BS892" s="2474">
        <v>0</v>
      </c>
      <c r="BU892" s="2475"/>
      <c r="BW892" s="2474">
        <v>0</v>
      </c>
      <c r="BZ892" s="2474">
        <v>0</v>
      </c>
      <c r="CA892" s="2470"/>
      <c r="CB892" s="2472">
        <f>BZ892+CA892</f>
        <v>0</v>
      </c>
      <c r="CC892" s="2473" t="str">
        <f>IF(BZ892=0," ",(CB892-BZ892)/BZ892)</f>
        <v xml:space="preserve"> </v>
      </c>
      <c r="CE892" s="2474">
        <v>0</v>
      </c>
      <c r="CF892" s="2476" t="str">
        <f t="shared" si="486"/>
        <v xml:space="preserve"> </v>
      </c>
      <c r="CG892" s="2474">
        <v>0</v>
      </c>
      <c r="CH892" s="2449" t="s">
        <v>1217</v>
      </c>
      <c r="CI892" s="2449"/>
      <c r="CJ892" s="2450"/>
      <c r="CK892" s="2450"/>
      <c r="CP892" s="2478">
        <f t="shared" si="462"/>
        <v>0</v>
      </c>
      <c r="CQ892" s="2478"/>
      <c r="CR892" s="2478"/>
      <c r="CS892" s="2478"/>
      <c r="CT892" s="2478"/>
    </row>
    <row r="893" spans="1:98" hidden="1" x14ac:dyDescent="0.2">
      <c r="AS893" s="2466"/>
      <c r="AT893" s="2466"/>
      <c r="BZ893" s="2472"/>
      <c r="CH893" s="2449" t="s">
        <v>1091</v>
      </c>
      <c r="CI893" s="2449"/>
      <c r="CJ893" s="2450"/>
      <c r="CK893" s="2450"/>
      <c r="CP893" s="2478">
        <f t="shared" si="462"/>
        <v>0</v>
      </c>
      <c r="CQ893" s="2478"/>
      <c r="CR893" s="2478"/>
      <c r="CS893" s="2478"/>
      <c r="CT893" s="2478"/>
    </row>
    <row r="894" spans="1:98" hidden="1" x14ac:dyDescent="0.2">
      <c r="A894" s="2395">
        <v>752</v>
      </c>
      <c r="B894" s="2440" t="s">
        <v>1214</v>
      </c>
      <c r="C894" s="2396">
        <v>75205</v>
      </c>
      <c r="F894" s="2440" t="s">
        <v>1214</v>
      </c>
      <c r="G894" s="2440" t="s">
        <v>2353</v>
      </c>
      <c r="H894" s="2466">
        <v>74000</v>
      </c>
      <c r="I894" s="2470">
        <v>-74000</v>
      </c>
      <c r="J894" s="2466">
        <f>H894+I894</f>
        <v>0</v>
      </c>
      <c r="K894" s="2468">
        <f>IF(H894=0," ",(J894-H894)/H894)</f>
        <v>-1</v>
      </c>
      <c r="M894" s="2467">
        <v>0</v>
      </c>
      <c r="N894" s="2467">
        <v>0</v>
      </c>
      <c r="P894" s="2469"/>
      <c r="R894" s="2466">
        <v>0</v>
      </c>
      <c r="S894" s="2466">
        <v>0</v>
      </c>
      <c r="U894" s="2466">
        <v>0</v>
      </c>
      <c r="V894" s="2470"/>
      <c r="W894" s="2466">
        <f>U894+V894</f>
        <v>0</v>
      </c>
      <c r="X894" s="2468" t="str">
        <f>IF(U894=0," ",(W894-U894)/U894)</f>
        <v xml:space="preserve"> </v>
      </c>
      <c r="Z894" s="2467">
        <v>0</v>
      </c>
      <c r="AA894" s="2467">
        <v>0</v>
      </c>
      <c r="AC894" s="2469"/>
      <c r="AE894" s="2466">
        <v>0</v>
      </c>
      <c r="AF894" s="2471">
        <v>0</v>
      </c>
      <c r="AH894" s="2466">
        <v>0</v>
      </c>
      <c r="AI894" s="2470"/>
      <c r="AJ894" s="2466">
        <f>AH894+AI894</f>
        <v>0</v>
      </c>
      <c r="AK894" s="2468" t="str">
        <f>IF(AH894=0," ",(AJ894-AH894)/AH894)</f>
        <v xml:space="preserve"> </v>
      </c>
      <c r="AM894" s="2467"/>
      <c r="AN894" s="2467"/>
      <c r="AP894" s="2469"/>
      <c r="AS894" s="2466"/>
      <c r="AT894" s="2466"/>
      <c r="AY894" s="2470"/>
      <c r="AZ894" s="2466">
        <f>AX894+AY894</f>
        <v>0</v>
      </c>
      <c r="BA894" s="2468" t="str">
        <f>IF(AX894=0," ",(AZ894-AX894)/AX894)</f>
        <v xml:space="preserve"> </v>
      </c>
      <c r="BC894" s="2467">
        <v>0</v>
      </c>
      <c r="BD894" s="2467"/>
      <c r="BF894" s="2469"/>
      <c r="BH894" s="2467"/>
      <c r="BN894" s="2470"/>
      <c r="BO894" s="2472">
        <f>BM894+BN894</f>
        <v>0</v>
      </c>
      <c r="BP894" s="2473" t="str">
        <f>IF(BM894=0," ",(BO894-BM894)/BM894)</f>
        <v xml:space="preserve"> </v>
      </c>
      <c r="BR894" s="2474">
        <v>0</v>
      </c>
      <c r="BS894" s="2474">
        <v>0</v>
      </c>
      <c r="BU894" s="2475"/>
      <c r="BW894" s="2474">
        <v>0</v>
      </c>
      <c r="BZ894" s="2474">
        <v>0</v>
      </c>
      <c r="CA894" s="2470"/>
      <c r="CB894" s="2472">
        <f>BZ894+CA894</f>
        <v>0</v>
      </c>
      <c r="CC894" s="2473" t="str">
        <f>IF(BZ894=0," ",(CB894-BZ894)/BZ894)</f>
        <v xml:space="preserve"> </v>
      </c>
      <c r="CE894" s="2474">
        <v>0</v>
      </c>
      <c r="CF894" s="2476" t="str">
        <f t="shared" si="486"/>
        <v xml:space="preserve"> </v>
      </c>
      <c r="CG894" s="2474">
        <v>0</v>
      </c>
      <c r="CH894" s="2449" t="s">
        <v>1091</v>
      </c>
      <c r="CI894" s="2449"/>
      <c r="CJ894" s="2450"/>
      <c r="CK894" s="2450"/>
      <c r="CP894" s="2478">
        <f t="shared" si="462"/>
        <v>0</v>
      </c>
      <c r="CQ894" s="2478"/>
      <c r="CR894" s="2478"/>
      <c r="CS894" s="2478"/>
      <c r="CT894" s="2478"/>
    </row>
    <row r="895" spans="1:98" hidden="1" x14ac:dyDescent="0.2">
      <c r="A895" s="2395">
        <v>752</v>
      </c>
      <c r="C895" s="2396">
        <v>75205</v>
      </c>
      <c r="G895" s="2440" t="s">
        <v>2354</v>
      </c>
      <c r="I895" s="2470">
        <v>19000</v>
      </c>
      <c r="J895" s="2466">
        <f>H895+I895</f>
        <v>19000</v>
      </c>
      <c r="M895" s="2467">
        <v>19000</v>
      </c>
      <c r="N895" s="2467">
        <v>19000</v>
      </c>
      <c r="P895" s="2469"/>
      <c r="R895" s="2466">
        <v>19000</v>
      </c>
      <c r="S895" s="2466">
        <v>19000</v>
      </c>
      <c r="U895" s="2466">
        <v>19000</v>
      </c>
      <c r="V895" s="2470">
        <v>-19000</v>
      </c>
      <c r="W895" s="2466">
        <f>U895+V895</f>
        <v>0</v>
      </c>
      <c r="Z895" s="2467">
        <v>0</v>
      </c>
      <c r="AA895" s="2467">
        <v>0</v>
      </c>
      <c r="AC895" s="2469"/>
      <c r="AE895" s="2466">
        <v>0</v>
      </c>
      <c r="AF895" s="2471">
        <v>0</v>
      </c>
      <c r="AH895" s="2466">
        <v>0</v>
      </c>
      <c r="AI895" s="2470"/>
      <c r="AJ895" s="2466">
        <f>AH895+AI895</f>
        <v>0</v>
      </c>
      <c r="AM895" s="2467"/>
      <c r="AN895" s="2467"/>
      <c r="AP895" s="2469"/>
      <c r="AS895" s="2466"/>
      <c r="AT895" s="2466"/>
      <c r="AY895" s="2470"/>
      <c r="AZ895" s="2466">
        <f>AX895+AY895</f>
        <v>0</v>
      </c>
      <c r="BC895" s="2467">
        <v>0</v>
      </c>
      <c r="BD895" s="2467"/>
      <c r="BF895" s="2469"/>
      <c r="BH895" s="2467"/>
      <c r="BN895" s="2470"/>
      <c r="BO895" s="2472">
        <f>BM895+BN895</f>
        <v>0</v>
      </c>
      <c r="BR895" s="2474">
        <v>0</v>
      </c>
      <c r="BS895" s="2474">
        <v>0</v>
      </c>
      <c r="BU895" s="2475"/>
      <c r="BW895" s="2474">
        <v>0</v>
      </c>
      <c r="BZ895" s="2474">
        <v>0</v>
      </c>
      <c r="CA895" s="2470"/>
      <c r="CB895" s="2472">
        <f>BZ895+CA895</f>
        <v>0</v>
      </c>
      <c r="CE895" s="2474">
        <v>0</v>
      </c>
      <c r="CF895" s="2476" t="str">
        <f t="shared" si="486"/>
        <v xml:space="preserve"> </v>
      </c>
      <c r="CG895" s="2474">
        <v>0</v>
      </c>
      <c r="CH895" s="2449" t="s">
        <v>1091</v>
      </c>
      <c r="CI895" s="2449"/>
      <c r="CJ895" s="2450"/>
      <c r="CK895" s="2450"/>
      <c r="CP895" s="2478">
        <f t="shared" si="462"/>
        <v>0</v>
      </c>
      <c r="CQ895" s="2478"/>
      <c r="CR895" s="2478"/>
      <c r="CS895" s="2478"/>
      <c r="CT895" s="2478"/>
    </row>
    <row r="896" spans="1:98" hidden="1" x14ac:dyDescent="0.2">
      <c r="A896" s="2395">
        <v>752</v>
      </c>
      <c r="B896" s="2440" t="s">
        <v>1214</v>
      </c>
      <c r="C896" s="2396">
        <v>75205</v>
      </c>
      <c r="F896" s="2440" t="s">
        <v>1214</v>
      </c>
      <c r="G896" s="2440" t="s">
        <v>2355</v>
      </c>
      <c r="H896" s="2466">
        <v>0</v>
      </c>
      <c r="I896" s="2470">
        <v>27000</v>
      </c>
      <c r="J896" s="2466">
        <f>H896+I896</f>
        <v>27000</v>
      </c>
      <c r="K896" s="2468" t="str">
        <f>IF(H896=0," ",(J896-H896)/H896)</f>
        <v xml:space="preserve"> </v>
      </c>
      <c r="M896" s="2467">
        <v>27000</v>
      </c>
      <c r="N896" s="2467">
        <v>27000</v>
      </c>
      <c r="P896" s="2469"/>
      <c r="R896" s="2466">
        <v>27000</v>
      </c>
      <c r="S896" s="2466">
        <v>27000</v>
      </c>
      <c r="U896" s="2466">
        <v>27000</v>
      </c>
      <c r="V896" s="2470">
        <v>-27000</v>
      </c>
      <c r="W896" s="2466">
        <f>U896+V896</f>
        <v>0</v>
      </c>
      <c r="X896" s="2468">
        <f>IF(U896=0," ",(W896-U896)/U896)</f>
        <v>-1</v>
      </c>
      <c r="Z896" s="2467">
        <v>0</v>
      </c>
      <c r="AA896" s="2467">
        <v>0</v>
      </c>
      <c r="AC896" s="2469"/>
      <c r="AE896" s="2466">
        <v>0</v>
      </c>
      <c r="AF896" s="2471">
        <v>0</v>
      </c>
      <c r="AH896" s="2466">
        <v>0</v>
      </c>
      <c r="AI896" s="2470"/>
      <c r="AJ896" s="2466">
        <f>AH896+AI896</f>
        <v>0</v>
      </c>
      <c r="AK896" s="2468" t="str">
        <f>IF(AH896=0," ",(AJ896-AH896)/AH896)</f>
        <v xml:space="preserve"> </v>
      </c>
      <c r="AM896" s="2467"/>
      <c r="AN896" s="2467"/>
      <c r="AP896" s="2469"/>
      <c r="AS896" s="2466"/>
      <c r="AT896" s="2466"/>
      <c r="AY896" s="2470"/>
      <c r="AZ896" s="2466">
        <f>AX896+AY896</f>
        <v>0</v>
      </c>
      <c r="BA896" s="2468" t="str">
        <f>IF(AX896=0," ",(AZ896-AX896)/AX896)</f>
        <v xml:space="preserve"> </v>
      </c>
      <c r="BC896" s="2467">
        <v>0</v>
      </c>
      <c r="BD896" s="2467"/>
      <c r="BF896" s="2469"/>
      <c r="BH896" s="2467"/>
      <c r="BN896" s="2470"/>
      <c r="BO896" s="2472">
        <f>BM896+BN896</f>
        <v>0</v>
      </c>
      <c r="BP896" s="2473" t="str">
        <f>IF(BM896=0," ",(BO896-BM896)/BM896)</f>
        <v xml:space="preserve"> </v>
      </c>
      <c r="BR896" s="2474">
        <v>0</v>
      </c>
      <c r="BS896" s="2474">
        <v>0</v>
      </c>
      <c r="BU896" s="2475"/>
      <c r="BW896" s="2474">
        <v>0</v>
      </c>
      <c r="BZ896" s="2474">
        <v>0</v>
      </c>
      <c r="CA896" s="2470"/>
      <c r="CB896" s="2472">
        <f>BZ896+CA896</f>
        <v>0</v>
      </c>
      <c r="CC896" s="2473" t="str">
        <f>IF(BZ896=0," ",(CB896-BZ896)/BZ896)</f>
        <v xml:space="preserve"> </v>
      </c>
      <c r="CE896" s="2474">
        <v>0</v>
      </c>
      <c r="CF896" s="2476" t="str">
        <f t="shared" si="486"/>
        <v xml:space="preserve"> </v>
      </c>
      <c r="CG896" s="2474">
        <v>0</v>
      </c>
      <c r="CH896" s="2449" t="s">
        <v>1091</v>
      </c>
      <c r="CI896" s="2449"/>
      <c r="CJ896" s="2450"/>
      <c r="CK896" s="2450"/>
      <c r="CP896" s="2478">
        <f t="shared" si="462"/>
        <v>0</v>
      </c>
      <c r="CQ896" s="2478"/>
      <c r="CR896" s="2478"/>
      <c r="CS896" s="2478"/>
      <c r="CT896" s="2478"/>
    </row>
    <row r="897" spans="1:98" hidden="1" x14ac:dyDescent="0.2">
      <c r="A897" s="2395">
        <v>752</v>
      </c>
      <c r="C897" s="2396">
        <v>75205</v>
      </c>
      <c r="G897" s="2440" t="s">
        <v>2356</v>
      </c>
      <c r="I897" s="2470"/>
      <c r="M897" s="2467"/>
      <c r="N897" s="2573">
        <v>50000</v>
      </c>
      <c r="P897" s="2469"/>
      <c r="R897" s="2549">
        <v>50000</v>
      </c>
      <c r="S897" s="2549">
        <v>50000</v>
      </c>
      <c r="U897" s="2549">
        <v>50000</v>
      </c>
      <c r="V897" s="2470">
        <v>-50000</v>
      </c>
      <c r="W897" s="2466">
        <f>U897+V897</f>
        <v>0</v>
      </c>
      <c r="Z897" s="2467">
        <v>0</v>
      </c>
      <c r="AA897" s="2467">
        <v>0</v>
      </c>
      <c r="AC897" s="2469"/>
      <c r="AE897" s="2466">
        <v>0</v>
      </c>
      <c r="AF897" s="2471">
        <v>0</v>
      </c>
      <c r="AH897" s="2466">
        <v>0</v>
      </c>
      <c r="AI897" s="2470"/>
      <c r="AJ897" s="2466">
        <f>AH897+AI897</f>
        <v>0</v>
      </c>
      <c r="AM897" s="2467"/>
      <c r="AN897" s="2467"/>
      <c r="AP897" s="2469"/>
      <c r="AS897" s="2466"/>
      <c r="AT897" s="2466"/>
      <c r="AY897" s="2470"/>
      <c r="AZ897" s="2466">
        <f>AX897+AY897</f>
        <v>0</v>
      </c>
      <c r="BC897" s="2467">
        <v>0</v>
      </c>
      <c r="BD897" s="2467"/>
      <c r="BF897" s="2469"/>
      <c r="BH897" s="2467"/>
      <c r="BN897" s="2470"/>
      <c r="BO897" s="2472">
        <f>BM897+BN897</f>
        <v>0</v>
      </c>
      <c r="BR897" s="2474">
        <v>0</v>
      </c>
      <c r="BS897" s="2474">
        <v>0</v>
      </c>
      <c r="BU897" s="2475"/>
      <c r="BW897" s="2474">
        <v>0</v>
      </c>
      <c r="BZ897" s="2474">
        <v>0</v>
      </c>
      <c r="CA897" s="2470"/>
      <c r="CB897" s="2472">
        <f>BZ897+CA897</f>
        <v>0</v>
      </c>
      <c r="CE897" s="2474">
        <v>0</v>
      </c>
      <c r="CF897" s="2476" t="str">
        <f t="shared" si="486"/>
        <v xml:space="preserve"> </v>
      </c>
      <c r="CG897" s="2474">
        <v>0</v>
      </c>
      <c r="CH897" s="2449" t="s">
        <v>1091</v>
      </c>
      <c r="CI897" s="2449"/>
      <c r="CJ897" s="2450"/>
      <c r="CK897" s="2450"/>
      <c r="CP897" s="2478">
        <f t="shared" si="462"/>
        <v>0</v>
      </c>
      <c r="CQ897" s="2478"/>
      <c r="CR897" s="2478"/>
      <c r="CS897" s="2478"/>
      <c r="CT897" s="2478"/>
    </row>
    <row r="898" spans="1:98" hidden="1" x14ac:dyDescent="0.2">
      <c r="AS898" s="2466"/>
      <c r="AT898" s="2466"/>
      <c r="BZ898" s="2472"/>
      <c r="CH898" s="2449" t="s">
        <v>1091</v>
      </c>
      <c r="CI898" s="2449"/>
      <c r="CJ898" s="2450"/>
      <c r="CK898" s="2450"/>
      <c r="CP898" s="2478">
        <f t="shared" si="462"/>
        <v>0</v>
      </c>
      <c r="CQ898" s="2478"/>
      <c r="CR898" s="2478"/>
      <c r="CS898" s="2478"/>
      <c r="CT898" s="2478"/>
    </row>
    <row r="899" spans="1:98" s="2485" customFormat="1" hidden="1" x14ac:dyDescent="0.2">
      <c r="A899" s="2532"/>
      <c r="B899" s="2533"/>
      <c r="C899" s="2534"/>
      <c r="D899" s="2534"/>
      <c r="E899" s="2535"/>
      <c r="F899" s="2533"/>
      <c r="G899" s="2654" t="s">
        <v>2357</v>
      </c>
      <c r="H899" s="2536">
        <f>SUM(H867:H898)</f>
        <v>653486</v>
      </c>
      <c r="I899" s="2536">
        <f>SUM(I867:I898)</f>
        <v>405717.04</v>
      </c>
      <c r="J899" s="2536">
        <f>SUM(J867:J898)</f>
        <v>1059203.04</v>
      </c>
      <c r="K899" s="2484">
        <f>IF(H899=0," ",(J899-H899)/H899)</f>
        <v>0.62085039312242352</v>
      </c>
      <c r="M899" s="2536">
        <f>SUM(M867:M898)</f>
        <v>1034204</v>
      </c>
      <c r="N899" s="2536">
        <f>SUM(N867:N898)</f>
        <v>1084204</v>
      </c>
      <c r="P899" s="2537">
        <f>SUM(P880:P898)</f>
        <v>0</v>
      </c>
      <c r="R899" s="2536">
        <f>SUM(R867:R898)</f>
        <v>1084204</v>
      </c>
      <c r="S899" s="2536">
        <f>SUM(S867:S898)</f>
        <v>845277.52</v>
      </c>
      <c r="U899" s="2536">
        <f>SUM(U867:U898)</f>
        <v>1084204</v>
      </c>
      <c r="V899" s="2536">
        <f>SUM(V867:V898)</f>
        <v>84996</v>
      </c>
      <c r="W899" s="2536">
        <f>SUM(W867:W898)</f>
        <v>1169200</v>
      </c>
      <c r="X899" s="2484">
        <f>IF(U899=0," ",(W899-U899)/U899)</f>
        <v>7.8394840823313688E-2</v>
      </c>
      <c r="Z899" s="2536">
        <f>SUM(Z867:Z898)</f>
        <v>1169200</v>
      </c>
      <c r="AA899" s="2536">
        <f>SUM(AA867:AA898)</f>
        <v>1139567</v>
      </c>
      <c r="AC899" s="2537"/>
      <c r="AE899" s="2536">
        <f>SUM(AE867:AE898)</f>
        <v>1139567</v>
      </c>
      <c r="AF899" s="2536">
        <f>SUM(AF867:AF898)</f>
        <v>1095061.83</v>
      </c>
      <c r="AH899" s="2536">
        <f>SUM(AH867:AH898)</f>
        <v>1139567</v>
      </c>
      <c r="AI899" s="2536">
        <f>SUM(AI867:AI898)</f>
        <v>333517</v>
      </c>
      <c r="AJ899" s="2536">
        <f>SUM(AJ867:AJ898)</f>
        <v>1473084</v>
      </c>
      <c r="AK899" s="2484">
        <f>IF(AH899=0," ",(AJ899-AH899)/AH899)</f>
        <v>0.29266993515958256</v>
      </c>
      <c r="AM899" s="2536">
        <f>SUM(AM867:AM898)</f>
        <v>1435597</v>
      </c>
      <c r="AN899" s="2536">
        <f>SUM(AN867:AN898)</f>
        <v>1435597</v>
      </c>
      <c r="AP899" s="2537"/>
      <c r="AR899" s="2536">
        <f>SUM(AR867:AR898)</f>
        <v>1435597</v>
      </c>
      <c r="AS899" s="2536">
        <f>SUM(AS867:AS898)</f>
        <v>1347142.65</v>
      </c>
      <c r="AT899" s="2536"/>
      <c r="AU899" s="2536">
        <f>SUM(AU867:AU898)</f>
        <v>1370828</v>
      </c>
      <c r="AV899" s="2536">
        <f>SUM(AV867:AV898)</f>
        <v>1360327.76</v>
      </c>
      <c r="AX899" s="2536">
        <f>SUM(AX867:AX898)</f>
        <v>1370828</v>
      </c>
      <c r="AY899" s="2536">
        <f>SUM(AY867:AY898)</f>
        <v>-58764</v>
      </c>
      <c r="AZ899" s="2536">
        <f>SUM(AZ867:AZ898)</f>
        <v>1312064</v>
      </c>
      <c r="BA899" s="2484">
        <f>IF(AX899=0," ",(AZ899-AX899)/AX899)</f>
        <v>-4.2867522402518767E-2</v>
      </c>
      <c r="BC899" s="2536">
        <f>SUM(BC867:BC898)</f>
        <v>1312064</v>
      </c>
      <c r="BD899" s="2536">
        <f>SUM(BD867:BD898)</f>
        <v>1312064</v>
      </c>
      <c r="BF899" s="2537"/>
      <c r="BH899" s="2536">
        <f>SUM(BH867:BH898)</f>
        <v>1312064</v>
      </c>
      <c r="BI899" s="2536">
        <f>SUM(BI867:BI898)</f>
        <v>1311562.76</v>
      </c>
      <c r="BJ899" s="2536"/>
      <c r="BK899" s="2536"/>
      <c r="BM899" s="2536">
        <f>SUM(BM867:BM898)</f>
        <v>1312064</v>
      </c>
      <c r="BN899" s="2539">
        <f>SUM(BN867:BN898)</f>
        <v>-215200</v>
      </c>
      <c r="BO899" s="2540">
        <f>SUM(BO867:BO898)</f>
        <v>1096864</v>
      </c>
      <c r="BP899" s="2490">
        <f>IF(BM899=0," ",(BO899-BM899)/BM899)</f>
        <v>-0.16401638944441735</v>
      </c>
      <c r="BQ899" s="2491"/>
      <c r="BR899" s="2540">
        <f>SUM(BR867:BR898)</f>
        <v>1096864</v>
      </c>
      <c r="BS899" s="2540">
        <f>SUM(BS867:BS898)</f>
        <v>1096864</v>
      </c>
      <c r="BT899" s="2491"/>
      <c r="BU899" s="2541"/>
      <c r="BV899" s="2491"/>
      <c r="BW899" s="2540">
        <f>SUM(BW867:BW898)</f>
        <v>1096864</v>
      </c>
      <c r="BX899" s="2536">
        <f>SUM(BX867:BX898)</f>
        <v>540356.38</v>
      </c>
      <c r="BZ899" s="2540">
        <f>SUM(BZ867:BZ898)</f>
        <v>1096864</v>
      </c>
      <c r="CA899" s="2540">
        <f>SUM(CA867:CA898)</f>
        <v>1700</v>
      </c>
      <c r="CB899" s="2540">
        <f>SUM(CB867:CB898)</f>
        <v>1098564</v>
      </c>
      <c r="CC899" s="2490">
        <f>IF(BZ899=0," ",(CB899-BZ899)/BZ899)</f>
        <v>1.5498730927444059E-3</v>
      </c>
      <c r="CD899" s="2491"/>
      <c r="CE899" s="2540">
        <f>SUM(CE867:CE898)</f>
        <v>1098564</v>
      </c>
      <c r="CF899" s="2490">
        <f>IF(CB899=0," ",(CE899-CB899)/CB899)</f>
        <v>0</v>
      </c>
      <c r="CG899" s="2540">
        <f>SUM(CG867:CG898)</f>
        <v>1098564</v>
      </c>
      <c r="CH899" s="2449" t="s">
        <v>1220</v>
      </c>
      <c r="CI899" s="2449"/>
      <c r="CJ899" s="2450"/>
      <c r="CK899" s="2450"/>
      <c r="CL899" s="2451"/>
      <c r="CM899" s="2451"/>
      <c r="CN899" s="2451"/>
      <c r="CO899" s="2477">
        <v>-3.8202404760745434E-4</v>
      </c>
      <c r="CP899" s="2478">
        <f t="shared" si="462"/>
        <v>-501.23999999999069</v>
      </c>
      <c r="CQ899" s="2478"/>
      <c r="CR899" s="2478"/>
      <c r="CS899" s="2478"/>
      <c r="CT899" s="2478"/>
    </row>
    <row r="900" spans="1:98" ht="9.9499999999999993" hidden="1" customHeight="1" x14ac:dyDescent="0.2">
      <c r="F900" s="2440" t="s">
        <v>164</v>
      </c>
      <c r="AS900" s="2466"/>
      <c r="AT900" s="2466"/>
      <c r="BZ900" s="2472"/>
      <c r="CA900" s="2472"/>
      <c r="CH900" s="2449" t="s">
        <v>1091</v>
      </c>
      <c r="CI900" s="2449"/>
      <c r="CJ900" s="2450"/>
      <c r="CK900" s="2450"/>
      <c r="CP900" s="2478">
        <f t="shared" si="462"/>
        <v>0</v>
      </c>
      <c r="CQ900" s="2478"/>
      <c r="CR900" s="2478"/>
      <c r="CS900" s="2478"/>
      <c r="CT900" s="2478"/>
    </row>
    <row r="901" spans="1:98" hidden="1" x14ac:dyDescent="0.2">
      <c r="A901" s="2495"/>
      <c r="B901" s="2496"/>
      <c r="C901" s="2497"/>
      <c r="D901" s="2497"/>
      <c r="E901" s="2498"/>
      <c r="F901" s="2496"/>
      <c r="G901" s="2499" t="s">
        <v>2358</v>
      </c>
      <c r="H901" s="2500">
        <f t="shared" ref="H901" si="488">H899</f>
        <v>653486</v>
      </c>
      <c r="I901" s="2500">
        <f>I899</f>
        <v>405717.04</v>
      </c>
      <c r="J901" s="2500">
        <f>J899</f>
        <v>1059203.04</v>
      </c>
      <c r="K901" s="2501">
        <f>IF(H901=0," ",(J901-H901)/H901)</f>
        <v>0.62085039312242352</v>
      </c>
      <c r="M901" s="2500">
        <f>M899</f>
        <v>1034204</v>
      </c>
      <c r="N901" s="2500">
        <f>N899</f>
        <v>1084204</v>
      </c>
      <c r="P901" s="2502">
        <f>P899</f>
        <v>0</v>
      </c>
      <c r="R901" s="2500">
        <f>R899</f>
        <v>1084204</v>
      </c>
      <c r="S901" s="2500">
        <f>S899</f>
        <v>845277.52</v>
      </c>
      <c r="U901" s="2500">
        <f>U899</f>
        <v>1084204</v>
      </c>
      <c r="V901" s="2500">
        <f>V899</f>
        <v>84996</v>
      </c>
      <c r="W901" s="2500">
        <f>W899</f>
        <v>1169200</v>
      </c>
      <c r="X901" s="2501">
        <f>IF(U901=0," ",(W901-U901)/U901)</f>
        <v>7.8394840823313688E-2</v>
      </c>
      <c r="Z901" s="2500">
        <f>Z899</f>
        <v>1169200</v>
      </c>
      <c r="AA901" s="2500">
        <f>AA899</f>
        <v>1139567</v>
      </c>
      <c r="AC901" s="2502"/>
      <c r="AE901" s="2500">
        <f>AE899</f>
        <v>1139567</v>
      </c>
      <c r="AF901" s="2503">
        <f>AF899</f>
        <v>1095061.83</v>
      </c>
      <c r="AH901" s="2500">
        <f>AH899</f>
        <v>1139567</v>
      </c>
      <c r="AI901" s="2500">
        <f>AI899</f>
        <v>333517</v>
      </c>
      <c r="AJ901" s="2500">
        <f>AJ899</f>
        <v>1473084</v>
      </c>
      <c r="AK901" s="2501">
        <f>IF(AH901=0," ",(AJ901-AH901)/AH901)</f>
        <v>0.29266993515958256</v>
      </c>
      <c r="AM901" s="2500">
        <f>AM899</f>
        <v>1435597</v>
      </c>
      <c r="AN901" s="2500">
        <f>AN899</f>
        <v>1435597</v>
      </c>
      <c r="AP901" s="2502"/>
      <c r="AR901" s="2500">
        <f>AR899</f>
        <v>1435597</v>
      </c>
      <c r="AS901" s="2500">
        <f>AS899</f>
        <v>1347142.65</v>
      </c>
      <c r="AT901" s="2500"/>
      <c r="AU901" s="2500">
        <f>AU899</f>
        <v>1370828</v>
      </c>
      <c r="AV901" s="2500">
        <f>AV899</f>
        <v>1360327.76</v>
      </c>
      <c r="AX901" s="2500">
        <f>AX899</f>
        <v>1370828</v>
      </c>
      <c r="AY901" s="2500">
        <f>AY899</f>
        <v>-58764</v>
      </c>
      <c r="AZ901" s="2500">
        <f>AZ899</f>
        <v>1312064</v>
      </c>
      <c r="BA901" s="2501">
        <f>IF(AX901=0," ",(AZ901-AX901)/AX901)</f>
        <v>-4.2867522402518767E-2</v>
      </c>
      <c r="BC901" s="2500">
        <f>BC899</f>
        <v>1312064</v>
      </c>
      <c r="BD901" s="2500">
        <f>BD899</f>
        <v>1312064</v>
      </c>
      <c r="BF901" s="2502"/>
      <c r="BH901" s="2500">
        <f>BH899</f>
        <v>1312064</v>
      </c>
      <c r="BI901" s="2500">
        <f>BI899</f>
        <v>1311562.76</v>
      </c>
      <c r="BJ901" s="2500"/>
      <c r="BK901" s="2500"/>
      <c r="BM901" s="2500">
        <f>BM899</f>
        <v>1312064</v>
      </c>
      <c r="BN901" s="2504">
        <f>BN899</f>
        <v>-215200</v>
      </c>
      <c r="BO901" s="2505">
        <f>BO899</f>
        <v>1096864</v>
      </c>
      <c r="BP901" s="2506">
        <f>IF(BM901=0," ",(BO901-BM901)/BM901)</f>
        <v>-0.16401638944441735</v>
      </c>
      <c r="BR901" s="2505">
        <f>BR899</f>
        <v>1096864</v>
      </c>
      <c r="BS901" s="2505">
        <f>BS899</f>
        <v>1096864</v>
      </c>
      <c r="BU901" s="2507"/>
      <c r="BW901" s="2505">
        <f>BW899</f>
        <v>1096864</v>
      </c>
      <c r="BX901" s="2500">
        <f>BX899</f>
        <v>540356.38</v>
      </c>
      <c r="BZ901" s="2505">
        <f>BZ899</f>
        <v>1096864</v>
      </c>
      <c r="CA901" s="2505">
        <f>CA899</f>
        <v>1700</v>
      </c>
      <c r="CB901" s="2505">
        <f>CB899</f>
        <v>1098564</v>
      </c>
      <c r="CC901" s="2506">
        <f>IF(BZ901=0," ",(CB901-BZ901)/BZ901)</f>
        <v>1.5498730927444059E-3</v>
      </c>
      <c r="CE901" s="2505">
        <f>CE899</f>
        <v>1098564</v>
      </c>
      <c r="CF901" s="2506">
        <f>IF(CB901=0," ",(CE901-CB901)/CB901)</f>
        <v>0</v>
      </c>
      <c r="CG901" s="2505">
        <f>CG899</f>
        <v>1098564</v>
      </c>
      <c r="CH901" s="2449" t="s">
        <v>2359</v>
      </c>
      <c r="CI901" s="2449"/>
      <c r="CJ901" s="2450"/>
      <c r="CK901" s="2450"/>
      <c r="CO901" s="2477">
        <v>-3.8202404760745434E-4</v>
      </c>
      <c r="CP901" s="2510">
        <f t="shared" si="462"/>
        <v>-501.23999999999069</v>
      </c>
      <c r="CQ901" s="2510">
        <f>AV901-AU901</f>
        <v>-10500.239999999991</v>
      </c>
      <c r="CR901" s="2510">
        <f>AS901-AR901</f>
        <v>-88454.350000000093</v>
      </c>
      <c r="CS901" s="2510">
        <f>AF901-AE901</f>
        <v>-44505.169999999925</v>
      </c>
    </row>
    <row r="902" spans="1:98" ht="20.100000000000001" hidden="1" customHeight="1" x14ac:dyDescent="0.2">
      <c r="A902" s="2604" t="s">
        <v>2360</v>
      </c>
      <c r="B902" s="2435"/>
      <c r="C902" s="2436"/>
      <c r="D902" s="2436"/>
      <c r="E902" s="2437"/>
      <c r="F902" s="2435"/>
      <c r="G902" s="2435"/>
      <c r="H902" s="2438">
        <f>SUM(H901)</f>
        <v>653486</v>
      </c>
      <c r="I902" s="2438">
        <f>SUM(I901)</f>
        <v>405717.04</v>
      </c>
      <c r="J902" s="2438">
        <f>SUM(J901)</f>
        <v>1059203.04</v>
      </c>
      <c r="K902" s="2439">
        <f>IF(H902=0," ",(J902-H902)/H902)</f>
        <v>0.62085039312242352</v>
      </c>
      <c r="M902" s="2438">
        <f>SUM(M901)</f>
        <v>1034204</v>
      </c>
      <c r="N902" s="2438">
        <f>SUM(N901)</f>
        <v>1084204</v>
      </c>
      <c r="P902" s="2441">
        <f>SUM(P901)</f>
        <v>0</v>
      </c>
      <c r="R902" s="2438">
        <f>SUM(R901)</f>
        <v>1084204</v>
      </c>
      <c r="S902" s="2438">
        <f>SUM(S901)</f>
        <v>845277.52</v>
      </c>
      <c r="U902" s="2438">
        <f>SUM(U901)</f>
        <v>1084204</v>
      </c>
      <c r="V902" s="2438">
        <f>SUM(V901)</f>
        <v>84996</v>
      </c>
      <c r="W902" s="2438">
        <f>SUM(W901)</f>
        <v>1169200</v>
      </c>
      <c r="X902" s="2439">
        <f>IF(U902=0," ",(W902-U902)/U902)</f>
        <v>7.8394840823313688E-2</v>
      </c>
      <c r="Z902" s="2438">
        <f>SUM(Z901)</f>
        <v>1169200</v>
      </c>
      <c r="AA902" s="2438">
        <f>SUM(AA901)</f>
        <v>1139567</v>
      </c>
      <c r="AC902" s="2441"/>
      <c r="AE902" s="2438">
        <f>SUM(AE901)</f>
        <v>1139567</v>
      </c>
      <c r="AF902" s="2442">
        <f>SUM(AF901)</f>
        <v>1095061.83</v>
      </c>
      <c r="AH902" s="2438">
        <f>SUM(AH901)</f>
        <v>1139567</v>
      </c>
      <c r="AI902" s="2438">
        <f>SUM(AI901)</f>
        <v>333517</v>
      </c>
      <c r="AJ902" s="2438">
        <f>SUM(AJ901)</f>
        <v>1473084</v>
      </c>
      <c r="AK902" s="2439">
        <f>IF(AH902=0," ",(AJ902-AH902)/AH902)</f>
        <v>0.29266993515958256</v>
      </c>
      <c r="AM902" s="2438">
        <f>SUM(AM901)</f>
        <v>1435597</v>
      </c>
      <c r="AN902" s="2438">
        <f>SUM(AN901)</f>
        <v>1435597</v>
      </c>
      <c r="AP902" s="2441"/>
      <c r="AR902" s="2438">
        <f>SUM(AR901)</f>
        <v>1435597</v>
      </c>
      <c r="AS902" s="2438">
        <f>SUM(AS901)</f>
        <v>1347142.65</v>
      </c>
      <c r="AT902" s="2438"/>
      <c r="AU902" s="2438">
        <f>SUM(AU901)</f>
        <v>1370828</v>
      </c>
      <c r="AV902" s="2438">
        <f>SUM(AV901)</f>
        <v>1360327.76</v>
      </c>
      <c r="AX902" s="2438">
        <f>SUM(AX901)</f>
        <v>1370828</v>
      </c>
      <c r="AY902" s="2438">
        <f>SUM(AY901)</f>
        <v>-58764</v>
      </c>
      <c r="AZ902" s="2438">
        <f>SUM(AZ901)</f>
        <v>1312064</v>
      </c>
      <c r="BA902" s="2439">
        <f>IF(AX902=0," ",(AZ902-AX902)/AX902)</f>
        <v>-4.2867522402518767E-2</v>
      </c>
      <c r="BC902" s="2438">
        <f>SUM(BC901)</f>
        <v>1312064</v>
      </c>
      <c r="BD902" s="2438">
        <f>SUM(BD901)</f>
        <v>1312064</v>
      </c>
      <c r="BF902" s="2443"/>
      <c r="BH902" s="2438">
        <f>SUM(BH901)</f>
        <v>1312064</v>
      </c>
      <c r="BI902" s="2438">
        <f>SUM(BI901)</f>
        <v>1311562.76</v>
      </c>
      <c r="BJ902" s="2438"/>
      <c r="BK902" s="2438"/>
      <c r="BM902" s="2438">
        <f>SUM(BM901)</f>
        <v>1312064</v>
      </c>
      <c r="BN902" s="2438">
        <f>SUM(BN901)</f>
        <v>-215200</v>
      </c>
      <c r="BO902" s="2438">
        <f>SUM(BO901)</f>
        <v>1096864</v>
      </c>
      <c r="BP902" s="2439">
        <f>IF(BM902=0," ",(BO902-BM902)/BM902)</f>
        <v>-0.16401638944441735</v>
      </c>
      <c r="BR902" s="2438">
        <f>SUM(BR901)</f>
        <v>1096864</v>
      </c>
      <c r="BS902" s="2438">
        <f>SUM(BS901)</f>
        <v>1096864</v>
      </c>
      <c r="BU902" s="2448"/>
      <c r="BW902" s="2438">
        <f>SUM(BW901)</f>
        <v>1096864</v>
      </c>
      <c r="BX902" s="2438">
        <f>SUM(BX901)</f>
        <v>540356.38</v>
      </c>
      <c r="BZ902" s="2438">
        <f>SUM(BZ901)</f>
        <v>1096864</v>
      </c>
      <c r="CA902" s="2438">
        <f>SUM(CA901)</f>
        <v>1700</v>
      </c>
      <c r="CB902" s="2438">
        <f>SUM(CB901)</f>
        <v>1098564</v>
      </c>
      <c r="CC902" s="2439">
        <f>IF(BZ902=0," ",(CB902-BZ902)/BZ902)</f>
        <v>1.5498730927444059E-3</v>
      </c>
      <c r="CE902" s="2438">
        <f>SUM(CE901)</f>
        <v>1098564</v>
      </c>
      <c r="CF902" s="2439">
        <f>IF(CB902=0," ",(CE902-CB902)/CB902)</f>
        <v>0</v>
      </c>
      <c r="CG902" s="2438">
        <f>SUM(CG901)</f>
        <v>1098564</v>
      </c>
      <c r="CH902" s="2449" t="s">
        <v>1602</v>
      </c>
      <c r="CI902" s="2449"/>
      <c r="CJ902" s="2450"/>
      <c r="CK902" s="2450"/>
      <c r="CO902" s="2477">
        <v>-3.8202404760745434E-4</v>
      </c>
      <c r="CP902" s="2478">
        <f t="shared" ref="CP902:CP965" si="489">IFERROR(BI902-BH902,"")</f>
        <v>-501.23999999999069</v>
      </c>
      <c r="CQ902" s="2478"/>
      <c r="CR902" s="2478"/>
      <c r="CS902" s="2478"/>
      <c r="CT902" s="2478"/>
    </row>
    <row r="903" spans="1:98" ht="20.100000000000001" hidden="1" customHeight="1" x14ac:dyDescent="0.2">
      <c r="A903" s="2605"/>
      <c r="B903" s="2606"/>
      <c r="C903" s="2607"/>
      <c r="D903" s="2607"/>
      <c r="E903" s="2608"/>
      <c r="F903" s="2606"/>
      <c r="G903" s="2606"/>
      <c r="H903" s="2609"/>
      <c r="I903" s="2609"/>
      <c r="J903" s="2609"/>
      <c r="K903" s="2610"/>
      <c r="M903" s="2609">
        <v>1</v>
      </c>
      <c r="N903" s="2611"/>
      <c r="P903" s="2612"/>
      <c r="R903" s="2611"/>
      <c r="S903" s="2611"/>
      <c r="U903" s="2611"/>
      <c r="V903" s="2609"/>
      <c r="W903" s="2609"/>
      <c r="X903" s="2610"/>
      <c r="Z903" s="2609">
        <v>1</v>
      </c>
      <c r="AA903" s="2611"/>
      <c r="AC903" s="2612"/>
      <c r="AE903" s="2611"/>
      <c r="AF903" s="2613"/>
      <c r="AH903" s="2611"/>
      <c r="AI903" s="2609"/>
      <c r="AJ903" s="2609">
        <f>AN902-AH901</f>
        <v>296030</v>
      </c>
      <c r="AK903" s="2610"/>
      <c r="AM903" s="2609">
        <f>AQ902-AK901</f>
        <v>-0.29266993515958256</v>
      </c>
      <c r="AN903" s="2611"/>
      <c r="AP903" s="2612"/>
      <c r="AR903" s="2611"/>
      <c r="AS903" s="2683"/>
      <c r="AT903" s="2683"/>
      <c r="AU903" s="2683"/>
      <c r="AV903" s="2683"/>
      <c r="AX903" s="2683"/>
      <c r="AY903" s="2609"/>
      <c r="AZ903" s="2609" t="e">
        <f>#REF!-AX901</f>
        <v>#REF!</v>
      </c>
      <c r="BA903" s="2610"/>
      <c r="BC903" s="2683"/>
      <c r="BD903" s="2683"/>
      <c r="BF903" s="2551"/>
      <c r="BH903" s="2683"/>
      <c r="BI903" s="2611"/>
      <c r="BJ903" s="2611"/>
      <c r="BK903" s="2611"/>
      <c r="BM903" s="2683"/>
      <c r="BN903" s="2614"/>
      <c r="BO903" s="2553"/>
      <c r="BP903" s="2554"/>
      <c r="BR903" s="2684"/>
      <c r="BS903" s="2684"/>
      <c r="BU903" s="2555"/>
      <c r="BW903" s="2684"/>
      <c r="BX903" s="2611"/>
      <c r="BZ903" s="2684"/>
      <c r="CA903" s="2614"/>
      <c r="CB903" s="2553"/>
      <c r="CC903" s="2554"/>
      <c r="CE903" s="2553"/>
      <c r="CF903" s="2554"/>
      <c r="CG903" s="2684"/>
      <c r="CH903" s="2449" t="s">
        <v>1091</v>
      </c>
      <c r="CI903" s="2449"/>
      <c r="CJ903" s="2450"/>
      <c r="CK903" s="2450"/>
      <c r="CP903" s="2478">
        <f t="shared" si="489"/>
        <v>0</v>
      </c>
      <c r="CQ903" s="2478"/>
      <c r="CR903" s="2478"/>
      <c r="CS903" s="2478"/>
      <c r="CT903" s="2478"/>
    </row>
    <row r="904" spans="1:98" ht="20.100000000000001" hidden="1" customHeight="1" x14ac:dyDescent="0.2">
      <c r="A904" s="2605"/>
      <c r="B904" s="2606"/>
      <c r="C904" s="2607"/>
      <c r="D904" s="2607"/>
      <c r="E904" s="2608"/>
      <c r="F904" s="2606"/>
      <c r="G904" s="2606"/>
      <c r="H904" s="2609"/>
      <c r="I904" s="2609"/>
      <c r="J904" s="2609"/>
      <c r="K904" s="2610"/>
      <c r="M904" s="2609"/>
      <c r="N904" s="2609"/>
      <c r="P904" s="2612"/>
      <c r="R904" s="2609"/>
      <c r="S904" s="2609"/>
      <c r="U904" s="2609"/>
      <c r="V904" s="2609"/>
      <c r="W904" s="2609"/>
      <c r="X904" s="2610"/>
      <c r="Z904" s="2609"/>
      <c r="AA904" s="2609"/>
      <c r="AC904" s="2612"/>
      <c r="AE904" s="2609"/>
      <c r="AF904" s="2656"/>
      <c r="AH904" s="2609"/>
      <c r="AI904" s="2609"/>
      <c r="AJ904" s="2609"/>
      <c r="AK904" s="2610"/>
      <c r="AM904" s="2609"/>
      <c r="AN904" s="2609"/>
      <c r="AP904" s="2612"/>
      <c r="AR904" s="2609"/>
      <c r="AS904" s="2609"/>
      <c r="AT904" s="2609"/>
      <c r="AU904" s="2609"/>
      <c r="AV904" s="2609"/>
      <c r="AX904" s="2609"/>
      <c r="AY904" s="2609"/>
      <c r="AZ904" s="2609"/>
      <c r="BA904" s="2610"/>
      <c r="BC904" s="2609"/>
      <c r="BD904" s="2609"/>
      <c r="BF904" s="2551"/>
      <c r="BH904" s="2609"/>
      <c r="BI904" s="2609"/>
      <c r="BJ904" s="2609"/>
      <c r="BK904" s="2609"/>
      <c r="BM904" s="2609"/>
      <c r="BN904" s="2614"/>
      <c r="BO904" s="2553"/>
      <c r="BP904" s="2554"/>
      <c r="BR904" s="2553"/>
      <c r="BS904" s="2553"/>
      <c r="BU904" s="2555"/>
      <c r="BW904" s="2553"/>
      <c r="BX904" s="2609"/>
      <c r="BZ904" s="2553"/>
      <c r="CA904" s="2614"/>
      <c r="CB904" s="2553"/>
      <c r="CC904" s="2554"/>
      <c r="CE904" s="2553"/>
      <c r="CF904" s="2554"/>
      <c r="CG904" s="2553"/>
      <c r="CH904" s="2449" t="s">
        <v>1091</v>
      </c>
      <c r="CI904" s="2449"/>
      <c r="CJ904" s="2450"/>
      <c r="CK904" s="2450"/>
      <c r="CP904" s="2478">
        <f t="shared" si="489"/>
        <v>0</v>
      </c>
      <c r="CQ904" s="2478"/>
      <c r="CR904" s="2478"/>
      <c r="CS904" s="2478"/>
      <c r="CT904" s="2478"/>
    </row>
    <row r="905" spans="1:98" ht="20.100000000000001" hidden="1" customHeight="1" x14ac:dyDescent="0.2">
      <c r="A905" s="2434" t="s">
        <v>2361</v>
      </c>
      <c r="B905" s="2435"/>
      <c r="C905" s="2436"/>
      <c r="D905" s="2436"/>
      <c r="E905" s="2437"/>
      <c r="F905" s="2435"/>
      <c r="G905" s="2435"/>
      <c r="H905" s="2438"/>
      <c r="I905" s="2438"/>
      <c r="J905" s="2438"/>
      <c r="K905" s="2439"/>
      <c r="M905" s="2438"/>
      <c r="N905" s="2438"/>
      <c r="P905" s="2441"/>
      <c r="R905" s="2438"/>
      <c r="S905" s="2438"/>
      <c r="U905" s="2438"/>
      <c r="V905" s="2438"/>
      <c r="W905" s="2438"/>
      <c r="X905" s="2439"/>
      <c r="Z905" s="2438"/>
      <c r="AA905" s="2438"/>
      <c r="AC905" s="2441"/>
      <c r="AE905" s="2438"/>
      <c r="AF905" s="2442"/>
      <c r="AH905" s="2438"/>
      <c r="AI905" s="2438"/>
      <c r="AJ905" s="2438"/>
      <c r="AK905" s="2439"/>
      <c r="AM905" s="2438"/>
      <c r="AN905" s="2438"/>
      <c r="AP905" s="2441"/>
      <c r="AR905" s="2438"/>
      <c r="AS905" s="2438"/>
      <c r="AT905" s="2438"/>
      <c r="AU905" s="2438"/>
      <c r="AV905" s="2438"/>
      <c r="AX905" s="2438"/>
      <c r="AY905" s="2438"/>
      <c r="AZ905" s="2438"/>
      <c r="BA905" s="2439"/>
      <c r="BC905" s="2438"/>
      <c r="BD905" s="2438"/>
      <c r="BF905" s="2443"/>
      <c r="BH905" s="2438"/>
      <c r="BI905" s="2438"/>
      <c r="BJ905" s="2438"/>
      <c r="BK905" s="2438"/>
      <c r="BM905" s="2438"/>
      <c r="BN905" s="2444"/>
      <c r="BO905" s="2445"/>
      <c r="BP905" s="2446"/>
      <c r="BR905" s="2445"/>
      <c r="BS905" s="2445"/>
      <c r="BU905" s="2448"/>
      <c r="BW905" s="2445"/>
      <c r="BX905" s="2438"/>
      <c r="BZ905" s="2445"/>
      <c r="CA905" s="2444"/>
      <c r="CB905" s="2445"/>
      <c r="CC905" s="2446"/>
      <c r="CE905" s="2445"/>
      <c r="CF905" s="2446"/>
      <c r="CG905" s="2445"/>
      <c r="CH905" s="2449" t="s">
        <v>1212</v>
      </c>
      <c r="CI905" s="2449"/>
      <c r="CJ905" s="2450"/>
      <c r="CK905" s="2450"/>
      <c r="CP905" s="2478">
        <f t="shared" si="489"/>
        <v>0</v>
      </c>
      <c r="CQ905" s="2478"/>
      <c r="CR905" s="2478"/>
      <c r="CS905" s="2478"/>
      <c r="CT905" s="2478"/>
    </row>
    <row r="906" spans="1:98" ht="15.75" hidden="1" x14ac:dyDescent="0.2">
      <c r="A906" s="2453" t="s">
        <v>2362</v>
      </c>
      <c r="B906" s="2454"/>
      <c r="C906" s="2455"/>
      <c r="D906" s="2455"/>
      <c r="E906" s="2456"/>
      <c r="F906" s="2454"/>
      <c r="G906" s="2454"/>
      <c r="H906" s="2457"/>
      <c r="I906" s="2457"/>
      <c r="J906" s="2457"/>
      <c r="K906" s="2458"/>
      <c r="M906" s="2457"/>
      <c r="N906" s="2457"/>
      <c r="P906" s="2459"/>
      <c r="R906" s="2457"/>
      <c r="S906" s="2457"/>
      <c r="U906" s="2457"/>
      <c r="V906" s="2457"/>
      <c r="W906" s="2457"/>
      <c r="X906" s="2458"/>
      <c r="Z906" s="2457"/>
      <c r="AA906" s="2457"/>
      <c r="AC906" s="2459"/>
      <c r="AE906" s="2457"/>
      <c r="AF906" s="2460"/>
      <c r="AH906" s="2457"/>
      <c r="AI906" s="2457"/>
      <c r="AJ906" s="2457"/>
      <c r="AK906" s="2458"/>
      <c r="AM906" s="2457"/>
      <c r="AN906" s="2457"/>
      <c r="AP906" s="2459"/>
      <c r="AR906" s="2457"/>
      <c r="AS906" s="2457"/>
      <c r="AT906" s="2457"/>
      <c r="AU906" s="2457"/>
      <c r="AV906" s="2457"/>
      <c r="AX906" s="2457"/>
      <c r="AY906" s="2457"/>
      <c r="AZ906" s="2457"/>
      <c r="BA906" s="2458"/>
      <c r="BC906" s="2457"/>
      <c r="BD906" s="2457"/>
      <c r="BF906" s="2461"/>
      <c r="BH906" s="2457"/>
      <c r="BI906" s="2457"/>
      <c r="BJ906" s="2457"/>
      <c r="BK906" s="2457"/>
      <c r="BM906" s="2457"/>
      <c r="BN906" s="2462"/>
      <c r="BO906" s="2463"/>
      <c r="BP906" s="2464"/>
      <c r="BR906" s="2463"/>
      <c r="BS906" s="2463"/>
      <c r="BU906" s="2465"/>
      <c r="BW906" s="2463"/>
      <c r="BX906" s="2457"/>
      <c r="BZ906" s="2463"/>
      <c r="CA906" s="2462"/>
      <c r="CB906" s="2463"/>
      <c r="CC906" s="2464"/>
      <c r="CE906" s="2463"/>
      <c r="CF906" s="2464"/>
      <c r="CG906" s="2463"/>
      <c r="CH906" s="2449" t="s">
        <v>1212</v>
      </c>
      <c r="CI906" s="2449"/>
      <c r="CJ906" s="2450"/>
      <c r="CK906" s="2450"/>
      <c r="CP906" s="2478">
        <f t="shared" si="489"/>
        <v>0</v>
      </c>
      <c r="CQ906" s="2478"/>
      <c r="CR906" s="2478"/>
      <c r="CS906" s="2478"/>
      <c r="CT906" s="2478"/>
    </row>
    <row r="907" spans="1:98" ht="12.75" hidden="1" customHeight="1" x14ac:dyDescent="0.2">
      <c r="A907" s="2395">
        <v>820</v>
      </c>
      <c r="B907" s="2440" t="s">
        <v>1214</v>
      </c>
      <c r="C907" s="2396">
        <v>82084</v>
      </c>
      <c r="D907" s="2396">
        <v>56310</v>
      </c>
      <c r="F907" s="2440" t="s">
        <v>1214</v>
      </c>
      <c r="G907" s="2440" t="s">
        <v>2363</v>
      </c>
      <c r="H907" s="2466">
        <v>0</v>
      </c>
      <c r="I907" s="2470"/>
      <c r="J907" s="2466">
        <f>H907+I907</f>
        <v>0</v>
      </c>
      <c r="K907" s="2468" t="str">
        <f>IF(H907=0," ",(J907-H907)/H907)</f>
        <v xml:space="preserve"> </v>
      </c>
      <c r="M907" s="2467"/>
      <c r="N907" s="2467"/>
      <c r="P907" s="2469"/>
      <c r="V907" s="2470"/>
      <c r="W907" s="2466">
        <f>U907+V907</f>
        <v>0</v>
      </c>
      <c r="X907" s="2468" t="str">
        <f>IF(U907=0," ",(W907-U907)/U907)</f>
        <v xml:space="preserve"> </v>
      </c>
      <c r="Z907" s="2467"/>
      <c r="AA907" s="2467"/>
      <c r="AC907" s="2469"/>
      <c r="AF907" s="2471">
        <v>6563</v>
      </c>
      <c r="AI907" s="2470"/>
      <c r="AJ907" s="2466">
        <f>AH907+AI907</f>
        <v>0</v>
      </c>
      <c r="AK907" s="2468" t="str">
        <f>IF(AH907=0," ",(AJ907-AH907)/AH907)</f>
        <v xml:space="preserve"> </v>
      </c>
      <c r="AM907" s="2467"/>
      <c r="AN907" s="2467"/>
      <c r="AP907" s="2469"/>
      <c r="AS907" s="2466"/>
      <c r="AT907" s="2466"/>
      <c r="AY907" s="2470"/>
      <c r="AZ907" s="2466">
        <f>AX907+AY907</f>
        <v>0</v>
      </c>
      <c r="BA907" s="2468" t="str">
        <f>IF(AX907=0," ",(AZ907-AX907)/AX907)</f>
        <v xml:space="preserve"> </v>
      </c>
      <c r="BC907" s="2467"/>
      <c r="BD907" s="2467"/>
      <c r="BF907" s="2469"/>
      <c r="BH907" s="2467"/>
      <c r="BN907" s="2470"/>
      <c r="BO907" s="2472">
        <f>BM907+BN907</f>
        <v>0</v>
      </c>
      <c r="BP907" s="2473" t="str">
        <f>IF(BM907=0," ",(BO907-BM907)/BM907)</f>
        <v xml:space="preserve"> </v>
      </c>
      <c r="BR907" s="2474"/>
      <c r="BS907" s="2474"/>
      <c r="BU907" s="2967" t="s">
        <v>2364</v>
      </c>
      <c r="BW907" s="2474"/>
      <c r="BZ907" s="2474"/>
      <c r="CA907" s="2470"/>
      <c r="CB907" s="2472">
        <f>BZ907+CA907</f>
        <v>0</v>
      </c>
      <c r="CC907" s="2473" t="str">
        <f>IF(BZ907=0," ",(CB907-BZ907)/BZ907)</f>
        <v xml:space="preserve"> </v>
      </c>
      <c r="CE907" s="2474">
        <v>0</v>
      </c>
      <c r="CF907" s="2476" t="str">
        <f t="shared" ref="CF907:CF915" si="490">IF(CB907=0," ",(CE907-CB907)/CB907)</f>
        <v xml:space="preserve"> </v>
      </c>
      <c r="CG907" s="2474">
        <v>0</v>
      </c>
      <c r="CH907" s="2449" t="s">
        <v>1217</v>
      </c>
      <c r="CI907" s="2449"/>
      <c r="CJ907" s="2450"/>
      <c r="CK907" s="2450"/>
      <c r="CP907" s="2478">
        <f t="shared" si="489"/>
        <v>0</v>
      </c>
      <c r="CQ907" s="2478"/>
      <c r="CR907" s="2478"/>
      <c r="CS907" s="2478"/>
      <c r="CT907" s="2478"/>
    </row>
    <row r="908" spans="1:98" hidden="1" x14ac:dyDescent="0.2">
      <c r="A908" s="2395">
        <v>820</v>
      </c>
      <c r="B908" s="2440" t="s">
        <v>1214</v>
      </c>
      <c r="C908" s="2396">
        <v>82084</v>
      </c>
      <c r="D908" s="2396">
        <v>56390</v>
      </c>
      <c r="F908" s="2440" t="s">
        <v>1214</v>
      </c>
      <c r="G908" s="2440" t="s">
        <v>2365</v>
      </c>
      <c r="H908" s="2466">
        <v>0</v>
      </c>
      <c r="I908" s="2470"/>
      <c r="J908" s="2466">
        <f t="shared" ref="J908:J914" si="491">H908+I908</f>
        <v>0</v>
      </c>
      <c r="K908" s="2468" t="str">
        <f t="shared" ref="K908:K914" si="492">IF(H908=0," ",(J908-H908)/H908)</f>
        <v xml:space="preserve"> </v>
      </c>
      <c r="M908" s="2467"/>
      <c r="N908" s="2467"/>
      <c r="P908" s="2469"/>
      <c r="S908" s="2466">
        <v>41430</v>
      </c>
      <c r="V908" s="2470"/>
      <c r="W908" s="2466">
        <f t="shared" ref="W908:W914" si="493">U908+V908</f>
        <v>0</v>
      </c>
      <c r="X908" s="2468" t="str">
        <f t="shared" ref="X908:X914" si="494">IF(U908=0," ",(W908-U908)/U908)</f>
        <v xml:space="preserve"> </v>
      </c>
      <c r="Z908" s="2467"/>
      <c r="AA908" s="2467"/>
      <c r="AC908" s="2469"/>
      <c r="AF908" s="2471">
        <v>44328</v>
      </c>
      <c r="AI908" s="2470"/>
      <c r="AJ908" s="2466">
        <f t="shared" ref="AJ908:AJ914" si="495">AH908+AI908</f>
        <v>0</v>
      </c>
      <c r="AK908" s="2468" t="str">
        <f t="shared" ref="AK908:AK914" si="496">IF(AH908=0," ",(AJ908-AH908)/AH908)</f>
        <v xml:space="preserve"> </v>
      </c>
      <c r="AM908" s="2467"/>
      <c r="AN908" s="2467"/>
      <c r="AP908" s="2469"/>
      <c r="AS908" s="2466">
        <v>44756</v>
      </c>
      <c r="AT908" s="2466"/>
      <c r="AV908" s="2466">
        <v>47435</v>
      </c>
      <c r="AY908" s="2470"/>
      <c r="AZ908" s="2466">
        <f t="shared" ref="AZ908:AZ914" si="497">AX908+AY908</f>
        <v>0</v>
      </c>
      <c r="BA908" s="2468" t="str">
        <f t="shared" ref="BA908:BA914" si="498">IF(AX908=0," ",(AZ908-AX908)/AX908)</f>
        <v xml:space="preserve"> </v>
      </c>
      <c r="BC908" s="2467"/>
      <c r="BD908" s="2467"/>
      <c r="BF908" s="2469"/>
      <c r="BH908" s="2467"/>
      <c r="BI908" s="2466">
        <v>48386</v>
      </c>
      <c r="BN908" s="2470"/>
      <c r="BO908" s="2472">
        <f t="shared" ref="BO908:BO914" si="499">BM908+BN908</f>
        <v>0</v>
      </c>
      <c r="BP908" s="2473" t="str">
        <f t="shared" ref="BP908:BP914" si="500">IF(BM908=0," ",(BO908-BM908)/BM908)</f>
        <v xml:space="preserve"> </v>
      </c>
      <c r="BR908" s="2474"/>
      <c r="BS908" s="2474"/>
      <c r="BU908" s="2967"/>
      <c r="BW908" s="2474"/>
      <c r="BX908" s="2466">
        <v>20775</v>
      </c>
      <c r="BZ908" s="2474"/>
      <c r="CA908" s="2470"/>
      <c r="CB908" s="2472">
        <f t="shared" ref="CB908:CB914" si="501">BZ908+CA908</f>
        <v>0</v>
      </c>
      <c r="CC908" s="2473" t="str">
        <f t="shared" ref="CC908:CC914" si="502">IF(BZ908=0," ",(CB908-BZ908)/BZ908)</f>
        <v xml:space="preserve"> </v>
      </c>
      <c r="CE908" s="2474">
        <v>0</v>
      </c>
      <c r="CF908" s="2476" t="str">
        <f t="shared" si="490"/>
        <v xml:space="preserve"> </v>
      </c>
      <c r="CG908" s="2474">
        <v>0</v>
      </c>
      <c r="CH908" s="2449" t="s">
        <v>1217</v>
      </c>
      <c r="CI908" s="2449"/>
      <c r="CJ908" s="2450"/>
      <c r="CK908" s="2450"/>
      <c r="CO908" s="2477" t="s">
        <v>1257</v>
      </c>
      <c r="CP908" s="2478">
        <f t="shared" si="489"/>
        <v>48386</v>
      </c>
      <c r="CQ908" s="2478"/>
      <c r="CR908" s="2478"/>
      <c r="CS908" s="2478"/>
      <c r="CT908" s="2478"/>
    </row>
    <row r="909" spans="1:98" hidden="1" x14ac:dyDescent="0.2">
      <c r="A909" s="2395">
        <v>820</v>
      </c>
      <c r="B909" s="2440" t="s">
        <v>1214</v>
      </c>
      <c r="C909" s="2396">
        <v>82084</v>
      </c>
      <c r="D909" s="2396">
        <v>56400</v>
      </c>
      <c r="F909" s="2440" t="s">
        <v>1214</v>
      </c>
      <c r="G909" s="2440" t="s">
        <v>2366</v>
      </c>
      <c r="H909" s="2466">
        <v>0</v>
      </c>
      <c r="I909" s="2470"/>
      <c r="J909" s="2466">
        <f t="shared" si="491"/>
        <v>0</v>
      </c>
      <c r="K909" s="2468" t="str">
        <f t="shared" si="492"/>
        <v xml:space="preserve"> </v>
      </c>
      <c r="M909" s="2467"/>
      <c r="N909" s="2467"/>
      <c r="P909" s="2469"/>
      <c r="S909" s="2466">
        <v>2442</v>
      </c>
      <c r="V909" s="2470"/>
      <c r="W909" s="2466">
        <f t="shared" si="493"/>
        <v>0</v>
      </c>
      <c r="X909" s="2468" t="str">
        <f t="shared" si="494"/>
        <v xml:space="preserve"> </v>
      </c>
      <c r="Z909" s="2467"/>
      <c r="AA909" s="2467"/>
      <c r="AC909" s="2469"/>
      <c r="AF909" s="2471">
        <v>2502</v>
      </c>
      <c r="AI909" s="2470"/>
      <c r="AJ909" s="2466">
        <f t="shared" si="495"/>
        <v>0</v>
      </c>
      <c r="AK909" s="2468" t="str">
        <f t="shared" si="496"/>
        <v xml:space="preserve"> </v>
      </c>
      <c r="AM909" s="2467"/>
      <c r="AN909" s="2467"/>
      <c r="AP909" s="2469"/>
      <c r="AS909" s="2466">
        <v>2479</v>
      </c>
      <c r="AT909" s="2466"/>
      <c r="AV909" s="2466">
        <v>2540</v>
      </c>
      <c r="AY909" s="2470"/>
      <c r="AZ909" s="2466">
        <f t="shared" si="497"/>
        <v>0</v>
      </c>
      <c r="BA909" s="2468" t="str">
        <f t="shared" si="498"/>
        <v xml:space="preserve"> </v>
      </c>
      <c r="BC909" s="2467"/>
      <c r="BD909" s="2467"/>
      <c r="BF909" s="2469"/>
      <c r="BH909" s="2467"/>
      <c r="BI909" s="2466">
        <v>2510</v>
      </c>
      <c r="BN909" s="2470"/>
      <c r="BO909" s="2472">
        <f t="shared" si="499"/>
        <v>0</v>
      </c>
      <c r="BP909" s="2473" t="str">
        <f t="shared" si="500"/>
        <v xml:space="preserve"> </v>
      </c>
      <c r="BR909" s="2474"/>
      <c r="BS909" s="2474"/>
      <c r="BU909" s="2967"/>
      <c r="BW909" s="2474"/>
      <c r="BX909" s="2466">
        <v>1060</v>
      </c>
      <c r="BZ909" s="2474"/>
      <c r="CA909" s="2470"/>
      <c r="CB909" s="2472">
        <f t="shared" si="501"/>
        <v>0</v>
      </c>
      <c r="CC909" s="2473" t="str">
        <f t="shared" si="502"/>
        <v xml:space="preserve"> </v>
      </c>
      <c r="CE909" s="2474">
        <v>0</v>
      </c>
      <c r="CF909" s="2476" t="str">
        <f t="shared" si="490"/>
        <v xml:space="preserve"> </v>
      </c>
      <c r="CG909" s="2474">
        <v>0</v>
      </c>
      <c r="CH909" s="2449" t="s">
        <v>1217</v>
      </c>
      <c r="CI909" s="2449"/>
      <c r="CJ909" s="2450"/>
      <c r="CK909" s="2450"/>
      <c r="CO909" s="2477" t="s">
        <v>1257</v>
      </c>
      <c r="CP909" s="2478">
        <f t="shared" si="489"/>
        <v>2510</v>
      </c>
      <c r="CQ909" s="2478"/>
      <c r="CR909" s="2478"/>
      <c r="CS909" s="2478"/>
      <c r="CT909" s="2478"/>
    </row>
    <row r="910" spans="1:98" hidden="1" x14ac:dyDescent="0.2">
      <c r="A910" s="2395">
        <v>820</v>
      </c>
      <c r="B910" s="2440" t="s">
        <v>1214</v>
      </c>
      <c r="C910" s="2396">
        <v>82084</v>
      </c>
      <c r="D910" s="2396">
        <v>56410</v>
      </c>
      <c r="F910" s="2440" t="s">
        <v>1214</v>
      </c>
      <c r="G910" s="2440" t="s">
        <v>2367</v>
      </c>
      <c r="H910" s="2466">
        <v>0</v>
      </c>
      <c r="I910" s="2470"/>
      <c r="J910" s="2466">
        <f t="shared" si="491"/>
        <v>0</v>
      </c>
      <c r="K910" s="2468" t="str">
        <f t="shared" si="492"/>
        <v xml:space="preserve"> </v>
      </c>
      <c r="M910" s="2467"/>
      <c r="N910" s="2467"/>
      <c r="P910" s="2469"/>
      <c r="S910" s="2466">
        <v>3335</v>
      </c>
      <c r="V910" s="2470"/>
      <c r="W910" s="2466">
        <f t="shared" si="493"/>
        <v>0</v>
      </c>
      <c r="X910" s="2468" t="str">
        <f t="shared" si="494"/>
        <v xml:space="preserve"> </v>
      </c>
      <c r="Z910" s="2467"/>
      <c r="AA910" s="2467"/>
      <c r="AC910" s="2469"/>
      <c r="AF910" s="2471">
        <v>3402</v>
      </c>
      <c r="AI910" s="2470"/>
      <c r="AJ910" s="2466">
        <f t="shared" si="495"/>
        <v>0</v>
      </c>
      <c r="AK910" s="2468" t="str">
        <f t="shared" si="496"/>
        <v xml:space="preserve"> </v>
      </c>
      <c r="AM910" s="2467"/>
      <c r="AN910" s="2467"/>
      <c r="AP910" s="2469"/>
      <c r="AS910" s="2466">
        <v>3496</v>
      </c>
      <c r="AT910" s="2466"/>
      <c r="AV910" s="2466">
        <v>3557</v>
      </c>
      <c r="AY910" s="2470"/>
      <c r="AZ910" s="2466">
        <f t="shared" si="497"/>
        <v>0</v>
      </c>
      <c r="BA910" s="2468" t="str">
        <f t="shared" si="498"/>
        <v xml:space="preserve"> </v>
      </c>
      <c r="BC910" s="2467"/>
      <c r="BD910" s="2467"/>
      <c r="BF910" s="2469"/>
      <c r="BH910" s="2467"/>
      <c r="BI910" s="2466">
        <v>3659</v>
      </c>
      <c r="BN910" s="2470"/>
      <c r="BO910" s="2472">
        <f t="shared" si="499"/>
        <v>0</v>
      </c>
      <c r="BP910" s="2473" t="str">
        <f t="shared" si="500"/>
        <v xml:space="preserve"> </v>
      </c>
      <c r="BR910" s="2474"/>
      <c r="BS910" s="2474"/>
      <c r="BU910" s="2967"/>
      <c r="BW910" s="2474"/>
      <c r="BX910" s="2466">
        <v>1530</v>
      </c>
      <c r="BZ910" s="2474"/>
      <c r="CA910" s="2470"/>
      <c r="CB910" s="2472">
        <f t="shared" si="501"/>
        <v>0</v>
      </c>
      <c r="CC910" s="2473" t="str">
        <f t="shared" si="502"/>
        <v xml:space="preserve"> </v>
      </c>
      <c r="CE910" s="2474">
        <v>0</v>
      </c>
      <c r="CF910" s="2476" t="str">
        <f t="shared" si="490"/>
        <v xml:space="preserve"> </v>
      </c>
      <c r="CG910" s="2474">
        <v>0</v>
      </c>
      <c r="CH910" s="2449" t="s">
        <v>1217</v>
      </c>
      <c r="CI910" s="2449"/>
      <c r="CJ910" s="2450"/>
      <c r="CK910" s="2450"/>
      <c r="CO910" s="2477" t="s">
        <v>1257</v>
      </c>
      <c r="CP910" s="2478">
        <f t="shared" si="489"/>
        <v>3659</v>
      </c>
      <c r="CQ910" s="2478"/>
      <c r="CR910" s="2478"/>
      <c r="CS910" s="2478"/>
      <c r="CT910" s="2478"/>
    </row>
    <row r="911" spans="1:98" hidden="1" x14ac:dyDescent="0.2">
      <c r="A911" s="2395">
        <v>820</v>
      </c>
      <c r="B911" s="2440" t="s">
        <v>1214</v>
      </c>
      <c r="C911" s="2396">
        <v>82084</v>
      </c>
      <c r="D911" s="2396">
        <v>56610</v>
      </c>
      <c r="F911" s="2440" t="s">
        <v>1214</v>
      </c>
      <c r="G911" s="2440" t="s">
        <v>2368</v>
      </c>
      <c r="H911" s="2466">
        <v>0</v>
      </c>
      <c r="I911" s="2470"/>
      <c r="J911" s="2466">
        <f t="shared" si="491"/>
        <v>0</v>
      </c>
      <c r="K911" s="2468" t="str">
        <f t="shared" si="492"/>
        <v xml:space="preserve"> </v>
      </c>
      <c r="M911" s="2467"/>
      <c r="N911" s="2467"/>
      <c r="P911" s="2469"/>
      <c r="S911" s="2466">
        <v>140654</v>
      </c>
      <c r="V911" s="2470"/>
      <c r="W911" s="2466">
        <f t="shared" si="493"/>
        <v>0</v>
      </c>
      <c r="X911" s="2468" t="str">
        <f t="shared" si="494"/>
        <v xml:space="preserve"> </v>
      </c>
      <c r="Z911" s="2467"/>
      <c r="AA911" s="2467"/>
      <c r="AC911" s="2469"/>
      <c r="AF911" s="2471">
        <v>143878</v>
      </c>
      <c r="AI911" s="2470"/>
      <c r="AJ911" s="2466">
        <f t="shared" si="495"/>
        <v>0</v>
      </c>
      <c r="AK911" s="2468" t="str">
        <f t="shared" si="496"/>
        <v xml:space="preserve"> </v>
      </c>
      <c r="AM911" s="2467"/>
      <c r="AN911" s="2467"/>
      <c r="AP911" s="2469"/>
      <c r="AS911" s="2466">
        <v>147885</v>
      </c>
      <c r="AT911" s="2466"/>
      <c r="AV911" s="2466">
        <v>148434</v>
      </c>
      <c r="AY911" s="2470"/>
      <c r="AZ911" s="2466">
        <f t="shared" si="497"/>
        <v>0</v>
      </c>
      <c r="BA911" s="2468" t="str">
        <f t="shared" si="498"/>
        <v xml:space="preserve"> </v>
      </c>
      <c r="BC911" s="2467"/>
      <c r="BD911" s="2467"/>
      <c r="BF911" s="2469"/>
      <c r="BH911" s="2467"/>
      <c r="BI911" s="2466">
        <v>150407</v>
      </c>
      <c r="BN911" s="2470"/>
      <c r="BO911" s="2472">
        <f t="shared" si="499"/>
        <v>0</v>
      </c>
      <c r="BP911" s="2473" t="str">
        <f t="shared" si="500"/>
        <v xml:space="preserve"> </v>
      </c>
      <c r="BR911" s="2474"/>
      <c r="BS911" s="2474"/>
      <c r="BU911" s="2475"/>
      <c r="BW911" s="2474"/>
      <c r="BX911" s="2466">
        <v>63210</v>
      </c>
      <c r="BZ911" s="2474"/>
      <c r="CA911" s="2470"/>
      <c r="CB911" s="2472">
        <f t="shared" si="501"/>
        <v>0</v>
      </c>
      <c r="CC911" s="2473" t="str">
        <f t="shared" si="502"/>
        <v xml:space="preserve"> </v>
      </c>
      <c r="CE911" s="2474">
        <v>0</v>
      </c>
      <c r="CF911" s="2476" t="str">
        <f t="shared" si="490"/>
        <v xml:space="preserve"> </v>
      </c>
      <c r="CG911" s="2474">
        <v>0</v>
      </c>
      <c r="CH911" s="2449" t="s">
        <v>1217</v>
      </c>
      <c r="CI911" s="2449"/>
      <c r="CJ911" s="2450"/>
      <c r="CK911" s="2450"/>
      <c r="CO911" s="2477" t="s">
        <v>1257</v>
      </c>
      <c r="CP911" s="2478">
        <f t="shared" si="489"/>
        <v>150407</v>
      </c>
      <c r="CQ911" s="2478"/>
      <c r="CR911" s="2478"/>
      <c r="CS911" s="2478"/>
      <c r="CT911" s="2478"/>
    </row>
    <row r="912" spans="1:98" hidden="1" x14ac:dyDescent="0.2">
      <c r="A912" s="2395">
        <v>820</v>
      </c>
      <c r="B912" s="2440" t="s">
        <v>1214</v>
      </c>
      <c r="C912" s="2396">
        <v>82084</v>
      </c>
      <c r="D912" s="2396">
        <v>56700</v>
      </c>
      <c r="F912" s="2440" t="s">
        <v>1214</v>
      </c>
      <c r="G912" s="2440" t="s">
        <v>2369</v>
      </c>
      <c r="H912" s="2466">
        <v>0</v>
      </c>
      <c r="I912" s="2470"/>
      <c r="J912" s="2466">
        <f t="shared" si="491"/>
        <v>0</v>
      </c>
      <c r="K912" s="2468" t="str">
        <f t="shared" si="492"/>
        <v xml:space="preserve"> </v>
      </c>
      <c r="M912" s="2467"/>
      <c r="N912" s="2467"/>
      <c r="P912" s="2469"/>
      <c r="S912" s="2466">
        <v>5000</v>
      </c>
      <c r="V912" s="2470"/>
      <c r="W912" s="2466">
        <f t="shared" si="493"/>
        <v>0</v>
      </c>
      <c r="X912" s="2468" t="str">
        <f t="shared" si="494"/>
        <v xml:space="preserve"> </v>
      </c>
      <c r="Z912" s="2467"/>
      <c r="AA912" s="2467"/>
      <c r="AC912" s="2469"/>
      <c r="AF912" s="2471">
        <v>5000</v>
      </c>
      <c r="AI912" s="2470"/>
      <c r="AJ912" s="2466">
        <f t="shared" si="495"/>
        <v>0</v>
      </c>
      <c r="AK912" s="2468" t="str">
        <f t="shared" si="496"/>
        <v xml:space="preserve"> </v>
      </c>
      <c r="AM912" s="2467"/>
      <c r="AN912" s="2467"/>
      <c r="AP912" s="2469"/>
      <c r="AS912" s="2466">
        <v>5000</v>
      </c>
      <c r="AT912" s="2466"/>
      <c r="AV912" s="2466">
        <v>5000</v>
      </c>
      <c r="AY912" s="2470"/>
      <c r="AZ912" s="2466">
        <f t="shared" si="497"/>
        <v>0</v>
      </c>
      <c r="BA912" s="2468" t="str">
        <f t="shared" si="498"/>
        <v xml:space="preserve"> </v>
      </c>
      <c r="BC912" s="2467"/>
      <c r="BD912" s="2467"/>
      <c r="BF912" s="2469"/>
      <c r="BH912" s="2467"/>
      <c r="BI912" s="2466">
        <v>38275</v>
      </c>
      <c r="BN912" s="2470"/>
      <c r="BO912" s="2472">
        <f t="shared" si="499"/>
        <v>0</v>
      </c>
      <c r="BP912" s="2473" t="str">
        <f t="shared" si="500"/>
        <v xml:space="preserve"> </v>
      </c>
      <c r="BR912" s="2474"/>
      <c r="BS912" s="2474"/>
      <c r="BU912" s="2475"/>
      <c r="BW912" s="2474"/>
      <c r="BX912" s="2466">
        <v>18311</v>
      </c>
      <c r="BZ912" s="2474"/>
      <c r="CA912" s="2470"/>
      <c r="CB912" s="2472">
        <f t="shared" si="501"/>
        <v>0</v>
      </c>
      <c r="CC912" s="2473" t="str">
        <f t="shared" si="502"/>
        <v xml:space="preserve"> </v>
      </c>
      <c r="CE912" s="2474">
        <v>0</v>
      </c>
      <c r="CF912" s="2476" t="str">
        <f t="shared" si="490"/>
        <v xml:space="preserve"> </v>
      </c>
      <c r="CG912" s="2474">
        <v>0</v>
      </c>
      <c r="CH912" s="2449" t="s">
        <v>1217</v>
      </c>
      <c r="CI912" s="2449"/>
      <c r="CJ912" s="2450"/>
      <c r="CK912" s="2450"/>
      <c r="CO912" s="2477" t="s">
        <v>1257</v>
      </c>
      <c r="CP912" s="2478">
        <f t="shared" si="489"/>
        <v>38275</v>
      </c>
      <c r="CQ912" s="2478"/>
      <c r="CR912" s="2478"/>
      <c r="CS912" s="2478"/>
      <c r="CT912" s="2478"/>
    </row>
    <row r="913" spans="1:98" hidden="1" x14ac:dyDescent="0.2">
      <c r="A913" s="2395">
        <v>820</v>
      </c>
      <c r="B913" s="2440" t="s">
        <v>1214</v>
      </c>
      <c r="C913" s="2396">
        <v>82084</v>
      </c>
      <c r="D913" s="2396">
        <v>56710</v>
      </c>
      <c r="F913" s="2440" t="s">
        <v>1214</v>
      </c>
      <c r="G913" s="2440" t="s">
        <v>2370</v>
      </c>
      <c r="H913" s="2466">
        <v>0</v>
      </c>
      <c r="I913" s="2470"/>
      <c r="J913" s="2466">
        <f t="shared" si="491"/>
        <v>0</v>
      </c>
      <c r="K913" s="2468" t="str">
        <f t="shared" si="492"/>
        <v xml:space="preserve"> </v>
      </c>
      <c r="M913" s="2467"/>
      <c r="N913" s="2467"/>
      <c r="P913" s="2469"/>
      <c r="S913" s="2466">
        <v>3800</v>
      </c>
      <c r="V913" s="2470"/>
      <c r="W913" s="2466">
        <f t="shared" si="493"/>
        <v>0</v>
      </c>
      <c r="X913" s="2468" t="str">
        <f t="shared" si="494"/>
        <v xml:space="preserve"> </v>
      </c>
      <c r="Z913" s="2467"/>
      <c r="AA913" s="2467"/>
      <c r="AC913" s="2469"/>
      <c r="AF913" s="2471">
        <v>3800</v>
      </c>
      <c r="AI913" s="2470"/>
      <c r="AJ913" s="2466">
        <f t="shared" si="495"/>
        <v>0</v>
      </c>
      <c r="AK913" s="2468" t="str">
        <f t="shared" si="496"/>
        <v xml:space="preserve"> </v>
      </c>
      <c r="AM913" s="2467"/>
      <c r="AN913" s="2467"/>
      <c r="AP913" s="2469"/>
      <c r="AS913" s="2466">
        <v>3800</v>
      </c>
      <c r="AT913" s="2466"/>
      <c r="AV913" s="2466">
        <v>2340</v>
      </c>
      <c r="AY913" s="2470"/>
      <c r="AZ913" s="2466">
        <f t="shared" si="497"/>
        <v>0</v>
      </c>
      <c r="BA913" s="2468" t="str">
        <f t="shared" si="498"/>
        <v xml:space="preserve"> </v>
      </c>
      <c r="BC913" s="2467"/>
      <c r="BD913" s="2467"/>
      <c r="BF913" s="2469"/>
      <c r="BH913" s="2467"/>
      <c r="BI913" s="2466">
        <v>1480</v>
      </c>
      <c r="BN913" s="2470"/>
      <c r="BO913" s="2472">
        <f t="shared" si="499"/>
        <v>0</v>
      </c>
      <c r="BP913" s="2473" t="str">
        <f t="shared" si="500"/>
        <v xml:space="preserve"> </v>
      </c>
      <c r="BR913" s="2474"/>
      <c r="BS913" s="2474"/>
      <c r="BU913" s="2475"/>
      <c r="BW913" s="2474"/>
      <c r="BX913" s="2466">
        <v>620</v>
      </c>
      <c r="BZ913" s="2474"/>
      <c r="CA913" s="2470"/>
      <c r="CB913" s="2472">
        <f t="shared" si="501"/>
        <v>0</v>
      </c>
      <c r="CC913" s="2473" t="str">
        <f t="shared" si="502"/>
        <v xml:space="preserve"> </v>
      </c>
      <c r="CE913" s="2474">
        <v>0</v>
      </c>
      <c r="CF913" s="2476" t="str">
        <f t="shared" si="490"/>
        <v xml:space="preserve"> </v>
      </c>
      <c r="CG913" s="2474">
        <v>0</v>
      </c>
      <c r="CH913" s="2449" t="s">
        <v>1217</v>
      </c>
      <c r="CI913" s="2449"/>
      <c r="CJ913" s="2450"/>
      <c r="CK913" s="2450"/>
      <c r="CO913" s="2477" t="s">
        <v>1257</v>
      </c>
      <c r="CP913" s="2478">
        <f t="shared" si="489"/>
        <v>1480</v>
      </c>
      <c r="CQ913" s="2478"/>
      <c r="CR913" s="2478"/>
      <c r="CS913" s="2478"/>
      <c r="CT913" s="2478"/>
    </row>
    <row r="914" spans="1:98" hidden="1" x14ac:dyDescent="0.2">
      <c r="A914" s="2395">
        <v>820</v>
      </c>
      <c r="B914" s="2440" t="s">
        <v>1214</v>
      </c>
      <c r="C914" s="2396">
        <v>82084</v>
      </c>
      <c r="D914" s="2396">
        <v>56992</v>
      </c>
      <c r="F914" s="2440" t="s">
        <v>1214</v>
      </c>
      <c r="G914" s="2440" t="s">
        <v>2371</v>
      </c>
      <c r="H914" s="2466">
        <v>0</v>
      </c>
      <c r="I914" s="2470"/>
      <c r="J914" s="2466">
        <f t="shared" si="491"/>
        <v>0</v>
      </c>
      <c r="K914" s="2468" t="str">
        <f t="shared" si="492"/>
        <v xml:space="preserve"> </v>
      </c>
      <c r="M914" s="2467"/>
      <c r="N914" s="2467"/>
      <c r="P914" s="2469"/>
      <c r="S914" s="2466">
        <v>103869</v>
      </c>
      <c r="V914" s="2470"/>
      <c r="W914" s="2466">
        <f t="shared" si="493"/>
        <v>0</v>
      </c>
      <c r="X914" s="2468" t="str">
        <f t="shared" si="494"/>
        <v xml:space="preserve"> </v>
      </c>
      <c r="Z914" s="2467"/>
      <c r="AA914" s="2467"/>
      <c r="AC914" s="2469"/>
      <c r="AF914" s="2471">
        <v>87179</v>
      </c>
      <c r="AI914" s="2470"/>
      <c r="AJ914" s="2466">
        <f t="shared" si="495"/>
        <v>0</v>
      </c>
      <c r="AK914" s="2468" t="str">
        <f t="shared" si="496"/>
        <v xml:space="preserve"> </v>
      </c>
      <c r="AM914" s="2467"/>
      <c r="AN914" s="2467"/>
      <c r="AP914" s="2469"/>
      <c r="AS914" s="2466"/>
      <c r="AT914" s="2466"/>
      <c r="AY914" s="2470"/>
      <c r="AZ914" s="2466">
        <f t="shared" si="497"/>
        <v>0</v>
      </c>
      <c r="BA914" s="2468" t="str">
        <f t="shared" si="498"/>
        <v xml:space="preserve"> </v>
      </c>
      <c r="BC914" s="2467"/>
      <c r="BD914" s="2467"/>
      <c r="BF914" s="2469"/>
      <c r="BH914" s="2467"/>
      <c r="BN914" s="2470"/>
      <c r="BO914" s="2472">
        <f t="shared" si="499"/>
        <v>0</v>
      </c>
      <c r="BP914" s="2473" t="str">
        <f t="shared" si="500"/>
        <v xml:space="preserve"> </v>
      </c>
      <c r="BR914" s="2474"/>
      <c r="BS914" s="2474"/>
      <c r="BU914" s="2475"/>
      <c r="BW914" s="2474"/>
      <c r="BZ914" s="2474"/>
      <c r="CA914" s="2470"/>
      <c r="CB914" s="2472">
        <f t="shared" si="501"/>
        <v>0</v>
      </c>
      <c r="CC914" s="2473" t="str">
        <f t="shared" si="502"/>
        <v xml:space="preserve"> </v>
      </c>
      <c r="CE914" s="2474">
        <v>0</v>
      </c>
      <c r="CF914" s="2476" t="str">
        <f t="shared" si="490"/>
        <v xml:space="preserve"> </v>
      </c>
      <c r="CG914" s="2474">
        <v>0</v>
      </c>
      <c r="CH914" s="2449" t="s">
        <v>1217</v>
      </c>
      <c r="CI914" s="2449"/>
      <c r="CJ914" s="2450"/>
      <c r="CK914" s="2450"/>
      <c r="CP914" s="2478">
        <f t="shared" si="489"/>
        <v>0</v>
      </c>
      <c r="CQ914" s="2478"/>
      <c r="CR914" s="2478"/>
      <c r="CS914" s="2478"/>
      <c r="CT914" s="2478"/>
    </row>
    <row r="915" spans="1:98" s="2485" customFormat="1" hidden="1" x14ac:dyDescent="0.2">
      <c r="A915" s="2532"/>
      <c r="B915" s="2533"/>
      <c r="C915" s="2534"/>
      <c r="D915" s="2534"/>
      <c r="E915" s="2535"/>
      <c r="F915" s="2533"/>
      <c r="G915" s="2654" t="str">
        <f>A906</f>
        <v>LOCAL AID ASSESSMENTS</v>
      </c>
      <c r="H915" s="2536">
        <f>SUM(H907:H914)</f>
        <v>0</v>
      </c>
      <c r="I915" s="2536">
        <f>SUM(I907:I914)</f>
        <v>0</v>
      </c>
      <c r="J915" s="2536">
        <f>SUM(J907:J914)</f>
        <v>0</v>
      </c>
      <c r="K915" s="2484" t="str">
        <f>IF(H915=0," ",(J915-H915)/H915)</f>
        <v xml:space="preserve"> </v>
      </c>
      <c r="M915" s="2536">
        <f>SUM(M907:M914)</f>
        <v>0</v>
      </c>
      <c r="N915" s="2536">
        <f>SUM(N907:N914)</f>
        <v>0</v>
      </c>
      <c r="P915" s="2537">
        <f>SUM(P908:P914)</f>
        <v>0</v>
      </c>
      <c r="R915" s="2536">
        <f>SUM(R907:R914)</f>
        <v>0</v>
      </c>
      <c r="S915" s="2536">
        <f>SUM(S907:S914)</f>
        <v>300530</v>
      </c>
      <c r="U915" s="2536">
        <f>SUM(U907:U914)</f>
        <v>0</v>
      </c>
      <c r="V915" s="2536">
        <f>SUM(V907:V914)</f>
        <v>0</v>
      </c>
      <c r="W915" s="2536">
        <f>SUM(W907:W914)</f>
        <v>0</v>
      </c>
      <c r="X915" s="2484" t="str">
        <f>IF(U915=0," ",(W915-U915)/U915)</f>
        <v xml:space="preserve"> </v>
      </c>
      <c r="Z915" s="2536">
        <f>SUM(Z907:Z914)</f>
        <v>0</v>
      </c>
      <c r="AA915" s="2536">
        <f>SUM(AA907:AA914)</f>
        <v>0</v>
      </c>
      <c r="AC915" s="2537"/>
      <c r="AE915" s="2536">
        <f>SUM(AE907:AE914)</f>
        <v>0</v>
      </c>
      <c r="AF915" s="2538">
        <f>SUM(AF907:AF914)</f>
        <v>296652</v>
      </c>
      <c r="AH915" s="2536">
        <f>SUM(AH907:AH914)</f>
        <v>0</v>
      </c>
      <c r="AI915" s="2536">
        <f>SUM(AI907:AI914)</f>
        <v>0</v>
      </c>
      <c r="AJ915" s="2536">
        <f>SUM(AJ907:AJ914)</f>
        <v>0</v>
      </c>
      <c r="AK915" s="2484" t="str">
        <f>IF(AH915=0," ",(AJ915-AH915)/AH915)</f>
        <v xml:space="preserve"> </v>
      </c>
      <c r="AM915" s="2536">
        <f>SUM(AM907:AM914)</f>
        <v>0</v>
      </c>
      <c r="AN915" s="2536">
        <f>SUM(AN907:AN914)</f>
        <v>0</v>
      </c>
      <c r="AP915" s="2537"/>
      <c r="AR915" s="2536">
        <f>SUM(AR907:AR914)</f>
        <v>0</v>
      </c>
      <c r="AS915" s="2536">
        <f>SUM(AS907:AS914)</f>
        <v>207416</v>
      </c>
      <c r="AT915" s="2536"/>
      <c r="AU915" s="2536">
        <f>SUM(AU907:AU914)</f>
        <v>0</v>
      </c>
      <c r="AV915" s="2536">
        <f>SUM(AV907:AV914)</f>
        <v>209306</v>
      </c>
      <c r="AX915" s="2536">
        <f>SUM(AX907:AX914)</f>
        <v>0</v>
      </c>
      <c r="AY915" s="2536">
        <f>SUM(AY907:AY914)</f>
        <v>0</v>
      </c>
      <c r="AZ915" s="2536">
        <f>SUM(AZ907:AZ914)</f>
        <v>0</v>
      </c>
      <c r="BA915" s="2484" t="str">
        <f>IF(AX915=0," ",(AZ915-AX915)/AX915)</f>
        <v xml:space="preserve"> </v>
      </c>
      <c r="BC915" s="2536">
        <f>SUM(BC907:BC914)</f>
        <v>0</v>
      </c>
      <c r="BD915" s="2536">
        <f>SUM(BD907:BD914)</f>
        <v>0</v>
      </c>
      <c r="BF915" s="2537"/>
      <c r="BH915" s="2536">
        <f>SUM(BH907:BH914)</f>
        <v>0</v>
      </c>
      <c r="BI915" s="2536">
        <f>SUM(BI907:BI914)</f>
        <v>244717</v>
      </c>
      <c r="BJ915" s="2536"/>
      <c r="BK915" s="2536"/>
      <c r="BM915" s="2536">
        <f>SUM(BM907:BM914)</f>
        <v>0</v>
      </c>
      <c r="BN915" s="2539">
        <f>SUM(BN907:BN914)</f>
        <v>0</v>
      </c>
      <c r="BO915" s="2540">
        <f>SUM(BO907:BO914)</f>
        <v>0</v>
      </c>
      <c r="BP915" s="2490" t="str">
        <f>IF(BM915=0," ",(BO915-BM915)/BM915)</f>
        <v xml:space="preserve"> </v>
      </c>
      <c r="BQ915" s="2491"/>
      <c r="BR915" s="2540">
        <f>SUM(BR907:BR914)</f>
        <v>0</v>
      </c>
      <c r="BS915" s="2540">
        <f>SUM(BS907:BS914)</f>
        <v>0</v>
      </c>
      <c r="BT915" s="2491"/>
      <c r="BU915" s="2541"/>
      <c r="BV915" s="2491"/>
      <c r="BW915" s="2540">
        <f>SUM(BW907:BW914)</f>
        <v>0</v>
      </c>
      <c r="BX915" s="2536">
        <f>SUM(BX907:BX914)</f>
        <v>105506</v>
      </c>
      <c r="BZ915" s="2540">
        <f>SUM(BZ907:BZ914)</f>
        <v>0</v>
      </c>
      <c r="CA915" s="2540">
        <f>SUM(CA907:CA914)</f>
        <v>0</v>
      </c>
      <c r="CB915" s="2540">
        <f>SUM(CB907:CB914)</f>
        <v>0</v>
      </c>
      <c r="CC915" s="2490" t="str">
        <f>IF(BZ915=0," ",(CB915-BZ915)/BZ915)</f>
        <v xml:space="preserve"> </v>
      </c>
      <c r="CD915" s="2491"/>
      <c r="CE915" s="2540">
        <f>SUM(CE907:CE914)</f>
        <v>0</v>
      </c>
      <c r="CF915" s="2490" t="str">
        <f t="shared" si="490"/>
        <v xml:space="preserve"> </v>
      </c>
      <c r="CG915" s="2540">
        <f>SUM(CG907:CG914)</f>
        <v>0</v>
      </c>
      <c r="CH915" s="2449" t="s">
        <v>1220</v>
      </c>
      <c r="CI915" s="2449"/>
      <c r="CJ915" s="2450"/>
      <c r="CK915" s="2450"/>
      <c r="CL915" s="2451"/>
      <c r="CM915" s="2451"/>
      <c r="CN915" s="2451"/>
      <c r="CO915" s="2477" t="s">
        <v>1257</v>
      </c>
      <c r="CP915" s="2478">
        <f t="shared" si="489"/>
        <v>244717</v>
      </c>
      <c r="CQ915" s="2478"/>
      <c r="CR915" s="2478"/>
      <c r="CS915" s="2478"/>
      <c r="CT915" s="2478"/>
    </row>
    <row r="916" spans="1:98" ht="9.9499999999999993" hidden="1" customHeight="1" x14ac:dyDescent="0.2">
      <c r="AS916" s="2466"/>
      <c r="AT916" s="2466"/>
      <c r="BZ916" s="2472"/>
      <c r="CA916" s="2472"/>
      <c r="CH916" s="2449" t="s">
        <v>1091</v>
      </c>
      <c r="CI916" s="2449"/>
      <c r="CJ916" s="2450"/>
      <c r="CK916" s="2450"/>
      <c r="CP916" s="2478">
        <f t="shared" si="489"/>
        <v>0</v>
      </c>
      <c r="CQ916" s="2478"/>
      <c r="CR916" s="2478"/>
      <c r="CS916" s="2478"/>
      <c r="CT916" s="2478"/>
    </row>
    <row r="917" spans="1:98" hidden="1" x14ac:dyDescent="0.2">
      <c r="A917" s="2495"/>
      <c r="B917" s="2496"/>
      <c r="C917" s="2497"/>
      <c r="D917" s="2497"/>
      <c r="E917" s="2498"/>
      <c r="F917" s="2496"/>
      <c r="G917" s="2499" t="str">
        <f>A906</f>
        <v>LOCAL AID ASSESSMENTS</v>
      </c>
      <c r="H917" s="2500">
        <f t="shared" ref="H917" si="503">H915</f>
        <v>0</v>
      </c>
      <c r="I917" s="2500">
        <f>I915</f>
        <v>0</v>
      </c>
      <c r="J917" s="2500">
        <f>J915</f>
        <v>0</v>
      </c>
      <c r="K917" s="2501" t="str">
        <f>IF(H917=0," ",(J917-H917)/H917)</f>
        <v xml:space="preserve"> </v>
      </c>
      <c r="M917" s="2500">
        <f>M915</f>
        <v>0</v>
      </c>
      <c r="N917" s="2500">
        <f>N915</f>
        <v>0</v>
      </c>
      <c r="P917" s="2502">
        <f>P915</f>
        <v>0</v>
      </c>
      <c r="R917" s="2500">
        <f>R915</f>
        <v>0</v>
      </c>
      <c r="S917" s="2500">
        <f>S915</f>
        <v>300530</v>
      </c>
      <c r="U917" s="2500">
        <f>U915</f>
        <v>0</v>
      </c>
      <c r="V917" s="2500">
        <f>V915</f>
        <v>0</v>
      </c>
      <c r="W917" s="2500">
        <f>W915</f>
        <v>0</v>
      </c>
      <c r="X917" s="2501" t="str">
        <f>IF(U917=0," ",(W917-U917)/U917)</f>
        <v xml:space="preserve"> </v>
      </c>
      <c r="Z917" s="2500">
        <f>Z915</f>
        <v>0</v>
      </c>
      <c r="AA917" s="2500">
        <f>AA915</f>
        <v>0</v>
      </c>
      <c r="AC917" s="2502"/>
      <c r="AE917" s="2500">
        <f>AE915</f>
        <v>0</v>
      </c>
      <c r="AF917" s="2503">
        <f>AF915</f>
        <v>296652</v>
      </c>
      <c r="AH917" s="2500">
        <v>0</v>
      </c>
      <c r="AI917" s="2500">
        <f>AI915</f>
        <v>0</v>
      </c>
      <c r="AJ917" s="2500">
        <f>AJ915</f>
        <v>0</v>
      </c>
      <c r="AK917" s="2501" t="str">
        <f>IF(AH917=0," ",(AJ917-AH917)/AH917)</f>
        <v xml:space="preserve"> </v>
      </c>
      <c r="AM917" s="2500">
        <f>AM915</f>
        <v>0</v>
      </c>
      <c r="AN917" s="2500">
        <f>AN915</f>
        <v>0</v>
      </c>
      <c r="AP917" s="2502"/>
      <c r="AR917" s="2500">
        <f>AR915</f>
        <v>0</v>
      </c>
      <c r="AS917" s="2500">
        <f>AS915</f>
        <v>207416</v>
      </c>
      <c r="AT917" s="2500"/>
      <c r="AU917" s="2500">
        <f>AU915</f>
        <v>0</v>
      </c>
      <c r="AV917" s="2500">
        <f>AV915</f>
        <v>209306</v>
      </c>
      <c r="AX917" s="2500">
        <f>AX915</f>
        <v>0</v>
      </c>
      <c r="AY917" s="2500">
        <f>AY915</f>
        <v>0</v>
      </c>
      <c r="AZ917" s="2500">
        <f>AZ915</f>
        <v>0</v>
      </c>
      <c r="BA917" s="2501" t="str">
        <f>IF(AX917=0," ",(AZ917-AX917)/AX917)</f>
        <v xml:space="preserve"> </v>
      </c>
      <c r="BC917" s="2500">
        <f>BC915</f>
        <v>0</v>
      </c>
      <c r="BD917" s="2500">
        <f>BD915</f>
        <v>0</v>
      </c>
      <c r="BF917" s="2502"/>
      <c r="BH917" s="2500">
        <f>BH915</f>
        <v>0</v>
      </c>
      <c r="BI917" s="2500">
        <f>BI915</f>
        <v>244717</v>
      </c>
      <c r="BJ917" s="2500"/>
      <c r="BK917" s="2500"/>
      <c r="BM917" s="2500">
        <f>BM915</f>
        <v>0</v>
      </c>
      <c r="BN917" s="2504">
        <f>BN915</f>
        <v>0</v>
      </c>
      <c r="BO917" s="2505">
        <f>BO915</f>
        <v>0</v>
      </c>
      <c r="BP917" s="2506" t="str">
        <f>IF(BM917=0," ",(BO917-BM917)/BM917)</f>
        <v xml:space="preserve"> </v>
      </c>
      <c r="BR917" s="2505">
        <f>BR915</f>
        <v>0</v>
      </c>
      <c r="BS917" s="2505">
        <f>BS915</f>
        <v>0</v>
      </c>
      <c r="BU917" s="2507"/>
      <c r="BW917" s="2505">
        <f>BW915</f>
        <v>0</v>
      </c>
      <c r="BX917" s="2500">
        <f>BX915</f>
        <v>105506</v>
      </c>
      <c r="BZ917" s="2505">
        <f>BZ915</f>
        <v>0</v>
      </c>
      <c r="CA917" s="2505">
        <f>CA915</f>
        <v>0</v>
      </c>
      <c r="CB917" s="2505">
        <f>CB915</f>
        <v>0</v>
      </c>
      <c r="CC917" s="2506" t="str">
        <f>IF(BZ917=0," ",(CB917-BZ917)/BZ917)</f>
        <v xml:space="preserve"> </v>
      </c>
      <c r="CE917" s="2505">
        <f>CE915</f>
        <v>0</v>
      </c>
      <c r="CF917" s="2506" t="str">
        <f>IF(CB917=0," ",(CE917-CB917)/CB917)</f>
        <v xml:space="preserve"> </v>
      </c>
      <c r="CG917" s="2505">
        <f>CG915</f>
        <v>0</v>
      </c>
      <c r="CH917" s="2449" t="s">
        <v>1220</v>
      </c>
      <c r="CI917" s="2449"/>
      <c r="CJ917" s="2450"/>
      <c r="CK917" s="2450"/>
      <c r="CO917" s="2477" t="s">
        <v>1257</v>
      </c>
      <c r="CP917" s="2478">
        <f t="shared" si="489"/>
        <v>244717</v>
      </c>
      <c r="CQ917" s="2478"/>
      <c r="CR917" s="2478"/>
      <c r="CS917" s="2478"/>
      <c r="CT917" s="2478"/>
    </row>
    <row r="918" spans="1:98" ht="20.100000000000001" hidden="1" customHeight="1" x14ac:dyDescent="0.2">
      <c r="AS918" s="2466"/>
      <c r="AT918" s="2466"/>
      <c r="BZ918" s="2472"/>
      <c r="CH918" s="2449" t="s">
        <v>1091</v>
      </c>
      <c r="CI918" s="2449"/>
      <c r="CJ918" s="2450"/>
      <c r="CK918" s="2450"/>
      <c r="CP918" s="2478">
        <f t="shared" si="489"/>
        <v>0</v>
      </c>
      <c r="CQ918" s="2478"/>
      <c r="CR918" s="2478"/>
      <c r="CS918" s="2478"/>
      <c r="CT918" s="2478"/>
    </row>
    <row r="919" spans="1:98" ht="15.75" hidden="1" x14ac:dyDescent="0.2">
      <c r="A919" s="2453" t="s">
        <v>2372</v>
      </c>
      <c r="B919" s="2454"/>
      <c r="C919" s="2455"/>
      <c r="D919" s="2455"/>
      <c r="E919" s="2456"/>
      <c r="F919" s="2454"/>
      <c r="G919" s="2454"/>
      <c r="H919" s="2457"/>
      <c r="I919" s="2457"/>
      <c r="J919" s="2457"/>
      <c r="K919" s="2458"/>
      <c r="M919" s="2457"/>
      <c r="N919" s="2457"/>
      <c r="P919" s="2459"/>
      <c r="R919" s="2457"/>
      <c r="S919" s="2457"/>
      <c r="U919" s="2457"/>
      <c r="V919" s="2457"/>
      <c r="W919" s="2457"/>
      <c r="X919" s="2458"/>
      <c r="Z919" s="2457"/>
      <c r="AA919" s="2457"/>
      <c r="AC919" s="2459"/>
      <c r="AE919" s="2457"/>
      <c r="AF919" s="2460"/>
      <c r="AH919" s="2457"/>
      <c r="AI919" s="2457"/>
      <c r="AJ919" s="2457"/>
      <c r="AK919" s="2458"/>
      <c r="AM919" s="2457"/>
      <c r="AN919" s="2457"/>
      <c r="AP919" s="2459"/>
      <c r="AR919" s="2457"/>
      <c r="AS919" s="2457"/>
      <c r="AT919" s="2457"/>
      <c r="AU919" s="2457"/>
      <c r="AV919" s="2457"/>
      <c r="AX919" s="2457"/>
      <c r="AY919" s="2457"/>
      <c r="AZ919" s="2457"/>
      <c r="BA919" s="2458"/>
      <c r="BC919" s="2457"/>
      <c r="BD919" s="2457"/>
      <c r="BF919" s="2461"/>
      <c r="BH919" s="2457"/>
      <c r="BI919" s="2457"/>
      <c r="BJ919" s="2457"/>
      <c r="BK919" s="2457"/>
      <c r="BM919" s="2457"/>
      <c r="BN919" s="2462"/>
      <c r="BO919" s="2463"/>
      <c r="BP919" s="2464"/>
      <c r="BR919" s="2463"/>
      <c r="BS919" s="2463"/>
      <c r="BU919" s="2465"/>
      <c r="BW919" s="2463"/>
      <c r="BX919" s="2457"/>
      <c r="BZ919" s="2463"/>
      <c r="CA919" s="2462"/>
      <c r="CB919" s="2463"/>
      <c r="CC919" s="2464"/>
      <c r="CE919" s="2463"/>
      <c r="CF919" s="2464"/>
      <c r="CG919" s="2463"/>
      <c r="CH919" s="2449" t="s">
        <v>1212</v>
      </c>
      <c r="CI919" s="2449"/>
      <c r="CJ919" s="2450"/>
      <c r="CK919" s="2450"/>
      <c r="CP919" s="2478">
        <f t="shared" si="489"/>
        <v>0</v>
      </c>
      <c r="CQ919" s="2478"/>
      <c r="CR919" s="2478"/>
      <c r="CS919" s="2478"/>
      <c r="CT919" s="2478"/>
    </row>
    <row r="920" spans="1:98" hidden="1" x14ac:dyDescent="0.2">
      <c r="A920" s="2395">
        <v>910</v>
      </c>
      <c r="B920" s="2440" t="s">
        <v>1214</v>
      </c>
      <c r="C920" s="2396">
        <v>91005</v>
      </c>
      <c r="D920" s="2396">
        <v>51700</v>
      </c>
      <c r="F920" s="2440" t="s">
        <v>1214</v>
      </c>
      <c r="G920" s="2440" t="s">
        <v>2373</v>
      </c>
      <c r="H920" s="2466">
        <v>1057155</v>
      </c>
      <c r="I920" s="2470">
        <v>34812</v>
      </c>
      <c r="J920" s="2466">
        <f t="shared" ref="J920" si="504">H920+I920</f>
        <v>1091967</v>
      </c>
      <c r="K920" s="2468">
        <f t="shared" ref="K920" si="505">IF(H920=0," ",(J920-H920)/H920)</f>
        <v>3.2929892021510566E-2</v>
      </c>
      <c r="M920" s="2467">
        <v>1076261</v>
      </c>
      <c r="N920" s="2467">
        <v>1076261</v>
      </c>
      <c r="P920" s="2469" t="s">
        <v>2374</v>
      </c>
      <c r="R920" s="2466">
        <v>1076261</v>
      </c>
      <c r="S920" s="2466">
        <v>1056547</v>
      </c>
      <c r="U920" s="2466">
        <v>1076261</v>
      </c>
      <c r="V920" s="2470">
        <v>64080</v>
      </c>
      <c r="W920" s="2466">
        <f t="shared" ref="W920" si="506">U920+V920</f>
        <v>1140341</v>
      </c>
      <c r="X920" s="2468">
        <f t="shared" ref="X920" si="507">IF(U920=0," ",(W920-U920)/U920)</f>
        <v>5.953946115301028E-2</v>
      </c>
      <c r="Z920" s="2467">
        <v>1140341</v>
      </c>
      <c r="AA920" s="2467">
        <v>1140341</v>
      </c>
      <c r="AC920" s="2469" t="s">
        <v>2375</v>
      </c>
      <c r="AE920" s="2466">
        <v>1140341</v>
      </c>
      <c r="AF920" s="2471">
        <v>1118667</v>
      </c>
      <c r="AH920" s="2466">
        <v>1140341</v>
      </c>
      <c r="AI920" s="2470"/>
      <c r="AJ920" s="2466">
        <f t="shared" ref="AJ920" si="508">AH920+AI920</f>
        <v>1140341</v>
      </c>
      <c r="AK920" s="2468">
        <f t="shared" ref="AK920" si="509">IF(AH920=0," ",(AJ920-AH920)/AH920)</f>
        <v>0</v>
      </c>
      <c r="AM920" s="2467">
        <v>1224339</v>
      </c>
      <c r="AN920" s="2467">
        <v>1224339</v>
      </c>
      <c r="AP920" s="2530" t="s">
        <v>2376</v>
      </c>
      <c r="AR920" s="2466">
        <v>1224339</v>
      </c>
      <c r="AS920" s="2466">
        <v>1224339</v>
      </c>
      <c r="AT920" s="2466"/>
      <c r="AU920" s="2466">
        <v>1365197</v>
      </c>
      <c r="AV920" s="2466">
        <v>1365197</v>
      </c>
      <c r="AX920" s="2466">
        <v>1365197</v>
      </c>
      <c r="AY920" s="2470">
        <v>66836</v>
      </c>
      <c r="AZ920" s="2466">
        <f t="shared" ref="AZ920" si="510">AX920+AY920</f>
        <v>1432033</v>
      </c>
      <c r="BA920" s="2468">
        <f t="shared" ref="BA920" si="511">IF(AX920=0," ",(AZ920-AX920)/AX920)</f>
        <v>4.8957036969756014E-2</v>
      </c>
      <c r="BC920" s="2467">
        <v>1432033</v>
      </c>
      <c r="BD920" s="2467">
        <v>1432033</v>
      </c>
      <c r="BF920" s="2469" t="s">
        <v>2377</v>
      </c>
      <c r="BH920" s="2467">
        <v>1432033</v>
      </c>
      <c r="BI920" s="2466">
        <v>1432033</v>
      </c>
      <c r="BM920" s="2466">
        <v>1432033</v>
      </c>
      <c r="BN920" s="2470">
        <v>115113</v>
      </c>
      <c r="BO920" s="2472">
        <f t="shared" ref="BO920" si="512">BM920+BN920</f>
        <v>1547146</v>
      </c>
      <c r="BP920" s="2473">
        <f t="shared" ref="BP920" si="513">IF(BM920=0," ",(BO920-BM920)/BM920)</f>
        <v>8.03843207523849E-2</v>
      </c>
      <c r="BR920" s="2474">
        <v>1547146</v>
      </c>
      <c r="BS920" s="2474">
        <v>1547146</v>
      </c>
      <c r="BU920" s="2547" t="s">
        <v>2378</v>
      </c>
      <c r="BW920" s="2474">
        <v>1547146</v>
      </c>
      <c r="BX920" s="2466">
        <v>1547146</v>
      </c>
      <c r="BZ920" s="2474">
        <v>1547146</v>
      </c>
      <c r="CA920" s="2470">
        <v>-1547146</v>
      </c>
      <c r="CB920" s="2472">
        <f t="shared" ref="CB920:CB922" si="514">BZ920+CA920</f>
        <v>0</v>
      </c>
      <c r="CC920" s="2473">
        <f t="shared" ref="CC920" si="515">IF(BZ920=0," ",(CB920-BZ920)/BZ920)</f>
        <v>-1</v>
      </c>
      <c r="CE920" s="2474">
        <v>0</v>
      </c>
      <c r="CF920" s="2476" t="str">
        <f>IF(CB920=0," ",(CE920-CB920)/CB920)</f>
        <v xml:space="preserve"> </v>
      </c>
      <c r="CG920" s="2474">
        <v>0</v>
      </c>
      <c r="CH920" s="2449" t="s">
        <v>1217</v>
      </c>
      <c r="CI920" s="2449"/>
      <c r="CJ920" s="2450"/>
      <c r="CK920" s="2450"/>
      <c r="CO920" s="2477">
        <v>0</v>
      </c>
      <c r="CP920" s="2478">
        <f t="shared" si="489"/>
        <v>0</v>
      </c>
      <c r="CQ920" s="2478"/>
      <c r="CR920" s="2478"/>
      <c r="CS920" s="2478"/>
      <c r="CT920" s="2478"/>
    </row>
    <row r="921" spans="1:98" hidden="1" x14ac:dyDescent="0.2">
      <c r="A921" s="2395">
        <v>910</v>
      </c>
      <c r="C921" s="2396">
        <v>91005</v>
      </c>
      <c r="D921" s="2396">
        <v>51702</v>
      </c>
      <c r="G921" s="2685" t="s">
        <v>2379</v>
      </c>
      <c r="I921" s="2470"/>
      <c r="M921" s="2467"/>
      <c r="N921" s="2467"/>
      <c r="P921" s="2469"/>
      <c r="V921" s="2470"/>
      <c r="Z921" s="2467"/>
      <c r="AA921" s="2467"/>
      <c r="AC921" s="2469"/>
      <c r="AI921" s="2470"/>
      <c r="AM921" s="2467"/>
      <c r="AN921" s="2467"/>
      <c r="AP921" s="2530"/>
      <c r="AS921" s="2466"/>
      <c r="AT921" s="2466"/>
      <c r="AY921" s="2470"/>
      <c r="BC921" s="2467"/>
      <c r="BD921" s="2467"/>
      <c r="BF921" s="2469"/>
      <c r="BH921" s="2467"/>
      <c r="BN921" s="2470"/>
      <c r="BR921" s="2474"/>
      <c r="BS921" s="2474"/>
      <c r="BU921" s="2547"/>
      <c r="BW921" s="2474"/>
      <c r="BZ921" s="2474"/>
      <c r="CA921" s="2470">
        <f>1547146+176444</f>
        <v>1723590</v>
      </c>
      <c r="CB921" s="2472">
        <f t="shared" si="514"/>
        <v>1723590</v>
      </c>
      <c r="CE921" s="2474">
        <v>827323</v>
      </c>
      <c r="CF921" s="2476"/>
      <c r="CG921" s="2474">
        <v>827323</v>
      </c>
      <c r="CH921" s="2449" t="s">
        <v>1217</v>
      </c>
      <c r="CI921" s="2449"/>
      <c r="CJ921" s="2450"/>
      <c r="CK921" s="2450"/>
      <c r="CP921" s="2478">
        <f t="shared" si="489"/>
        <v>0</v>
      </c>
      <c r="CQ921" s="2478"/>
      <c r="CR921" s="2478"/>
      <c r="CS921" s="2478"/>
      <c r="CT921" s="2478"/>
    </row>
    <row r="922" spans="1:98" hidden="1" x14ac:dyDescent="0.2">
      <c r="A922" s="2395">
        <v>910</v>
      </c>
      <c r="C922" s="2396">
        <v>91005</v>
      </c>
      <c r="D922" s="2396">
        <v>51704</v>
      </c>
      <c r="G922" s="2685" t="s">
        <v>2380</v>
      </c>
      <c r="I922" s="2470"/>
      <c r="M922" s="2467"/>
      <c r="N922" s="2467"/>
      <c r="P922" s="2469"/>
      <c r="V922" s="2470"/>
      <c r="Z922" s="2467"/>
      <c r="AA922" s="2467"/>
      <c r="AC922" s="2469"/>
      <c r="AI922" s="2470"/>
      <c r="AM922" s="2467"/>
      <c r="AN922" s="2467"/>
      <c r="AP922" s="2530"/>
      <c r="AS922" s="2466"/>
      <c r="AT922" s="2466"/>
      <c r="AY922" s="2470"/>
      <c r="BC922" s="2467"/>
      <c r="BD922" s="2467"/>
      <c r="BF922" s="2469"/>
      <c r="BH922" s="2467"/>
      <c r="BN922" s="2470"/>
      <c r="BR922" s="2474"/>
      <c r="BS922" s="2474"/>
      <c r="BU922" s="2547"/>
      <c r="BW922" s="2474"/>
      <c r="BZ922" s="2474"/>
      <c r="CA922" s="2470"/>
      <c r="CB922" s="2472">
        <f t="shared" si="514"/>
        <v>0</v>
      </c>
      <c r="CE922" s="2474">
        <v>896267</v>
      </c>
      <c r="CF922" s="2476"/>
      <c r="CG922" s="2474">
        <v>896267</v>
      </c>
      <c r="CH922" s="2449" t="s">
        <v>1217</v>
      </c>
      <c r="CI922" s="2449"/>
      <c r="CJ922" s="2450"/>
      <c r="CK922" s="2450"/>
      <c r="CP922" s="2478">
        <f t="shared" si="489"/>
        <v>0</v>
      </c>
      <c r="CQ922" s="2478"/>
      <c r="CR922" s="2478"/>
      <c r="CS922" s="2478"/>
      <c r="CT922" s="2478"/>
    </row>
    <row r="923" spans="1:98" s="2485" customFormat="1" hidden="1" x14ac:dyDescent="0.2">
      <c r="A923" s="2532"/>
      <c r="B923" s="2533"/>
      <c r="C923" s="2534"/>
      <c r="D923" s="2534"/>
      <c r="E923" s="2535"/>
      <c r="F923" s="2533"/>
      <c r="G923" s="2654" t="s">
        <v>2381</v>
      </c>
      <c r="H923" s="2536">
        <f>SUM(H920)</f>
        <v>1057155</v>
      </c>
      <c r="I923" s="2536">
        <f>SUM(I920)</f>
        <v>34812</v>
      </c>
      <c r="J923" s="2536">
        <f>SUM(J920)</f>
        <v>1091967</v>
      </c>
      <c r="K923" s="2484">
        <f>IF(H923=0," ",(J923-H923)/H923)</f>
        <v>3.2929892021510566E-2</v>
      </c>
      <c r="M923" s="2536">
        <f>SUM(M920)</f>
        <v>1076261</v>
      </c>
      <c r="N923" s="2536">
        <f>SUM(N920)</f>
        <v>1076261</v>
      </c>
      <c r="P923" s="2537">
        <f>SUM(P920:P920)</f>
        <v>0</v>
      </c>
      <c r="R923" s="2536">
        <f>SUM(R920)</f>
        <v>1076261</v>
      </c>
      <c r="S923" s="2536">
        <f>SUM(S920)</f>
        <v>1056547</v>
      </c>
      <c r="U923" s="2536">
        <f>SUM(U920)</f>
        <v>1076261</v>
      </c>
      <c r="V923" s="2536">
        <f>SUM(V920)</f>
        <v>64080</v>
      </c>
      <c r="W923" s="2536">
        <f>SUM(W920)</f>
        <v>1140341</v>
      </c>
      <c r="X923" s="2484">
        <f>IF(U923=0," ",(W923-U923)/U923)</f>
        <v>5.953946115301028E-2</v>
      </c>
      <c r="Z923" s="2536">
        <f>SUM(Z920)</f>
        <v>1140341</v>
      </c>
      <c r="AA923" s="2536">
        <f>SUM(AA920)</f>
        <v>1140341</v>
      </c>
      <c r="AC923" s="2537"/>
      <c r="AE923" s="2536">
        <f>SUM(AE920)</f>
        <v>1140341</v>
      </c>
      <c r="AF923" s="2536">
        <f>SUM(AF920)</f>
        <v>1118667</v>
      </c>
      <c r="AH923" s="2536">
        <f>SUM(AH920)</f>
        <v>1140341</v>
      </c>
      <c r="AI923" s="2536">
        <f>SUM(AI920)</f>
        <v>0</v>
      </c>
      <c r="AJ923" s="2536">
        <f>SUM(AJ920)</f>
        <v>1140341</v>
      </c>
      <c r="AK923" s="2484">
        <f>IF(AH923=0," ",(AJ923-AH923)/AH923)</f>
        <v>0</v>
      </c>
      <c r="AM923" s="2536">
        <f>SUM(AM920)</f>
        <v>1224339</v>
      </c>
      <c r="AN923" s="2536">
        <f>SUM(AN920)</f>
        <v>1224339</v>
      </c>
      <c r="AP923" s="2537"/>
      <c r="AR923" s="2536">
        <f>SUM(AR920)</f>
        <v>1224339</v>
      </c>
      <c r="AS923" s="2536">
        <f>SUM(AS920)</f>
        <v>1224339</v>
      </c>
      <c r="AT923" s="2536"/>
      <c r="AU923" s="2536">
        <f>SUM(AU920)</f>
        <v>1365197</v>
      </c>
      <c r="AV923" s="2536">
        <f>SUM(AV920)</f>
        <v>1365197</v>
      </c>
      <c r="AX923" s="2536">
        <f>SUM(AX920)</f>
        <v>1365197</v>
      </c>
      <c r="AY923" s="2536">
        <f>SUM(AY920)</f>
        <v>66836</v>
      </c>
      <c r="AZ923" s="2536">
        <f>SUM(AZ920)</f>
        <v>1432033</v>
      </c>
      <c r="BA923" s="2484">
        <f>IF(AX923=0," ",(AZ923-AX923)/AX923)</f>
        <v>4.8957036969756014E-2</v>
      </c>
      <c r="BC923" s="2536">
        <f>SUM(BC920)</f>
        <v>1432033</v>
      </c>
      <c r="BD923" s="2536">
        <f>SUM(BD920)</f>
        <v>1432033</v>
      </c>
      <c r="BF923" s="2537"/>
      <c r="BH923" s="2536">
        <f>SUM(BH920)</f>
        <v>1432033</v>
      </c>
      <c r="BI923" s="2536">
        <f>SUM(BI920)</f>
        <v>1432033</v>
      </c>
      <c r="BJ923" s="2536"/>
      <c r="BK923" s="2536"/>
      <c r="BM923" s="2536">
        <f>SUM(BM920)</f>
        <v>1432033</v>
      </c>
      <c r="BN923" s="2536">
        <f>SUM(BN920)</f>
        <v>115113</v>
      </c>
      <c r="BO923" s="2536">
        <f>SUM(BO920)</f>
        <v>1547146</v>
      </c>
      <c r="BP923" s="2490">
        <f>IF(BM923=0," ",(BO923-BM923)/BM923)</f>
        <v>8.03843207523849E-2</v>
      </c>
      <c r="BQ923" s="2491"/>
      <c r="BR923" s="2536">
        <f>SUM(BR920)</f>
        <v>1547146</v>
      </c>
      <c r="BS923" s="2536">
        <f>SUM(BS920)</f>
        <v>1547146</v>
      </c>
      <c r="BT923" s="2491"/>
      <c r="BU923" s="2541"/>
      <c r="BV923" s="2491"/>
      <c r="BW923" s="2536">
        <f>SUM(BW920)</f>
        <v>1547146</v>
      </c>
      <c r="BX923" s="2536">
        <f>SUM(BX920)</f>
        <v>1547146</v>
      </c>
      <c r="BZ923" s="2536">
        <f>SUM(BZ920:BZ922)</f>
        <v>1547146</v>
      </c>
      <c r="CA923" s="2536">
        <f>SUM(CA920:CA922)</f>
        <v>176444</v>
      </c>
      <c r="CB923" s="2536">
        <f>SUM(CB920:CB922)</f>
        <v>1723590</v>
      </c>
      <c r="CC923" s="2490">
        <f>IF(BZ923=0," ",(CB923-BZ923)/BZ923)</f>
        <v>0.11404482834845581</v>
      </c>
      <c r="CD923" s="2491"/>
      <c r="CE923" s="2536">
        <f>SUM(CE920:CE922)</f>
        <v>1723590</v>
      </c>
      <c r="CF923" s="2490">
        <f>IF(CB923=0," ",(CE923-CB923)/CB923)</f>
        <v>0</v>
      </c>
      <c r="CG923" s="2536">
        <f>SUM(CG920:CG922)</f>
        <v>1723590</v>
      </c>
      <c r="CH923" s="2449" t="s">
        <v>1220</v>
      </c>
      <c r="CI923" s="2449"/>
      <c r="CJ923" s="2450"/>
      <c r="CK923" s="2450"/>
      <c r="CL923" s="2451"/>
      <c r="CM923" s="2451"/>
      <c r="CN923" s="2451"/>
      <c r="CO923" s="2477">
        <v>0</v>
      </c>
      <c r="CP923" s="2478">
        <f t="shared" si="489"/>
        <v>0</v>
      </c>
      <c r="CQ923" s="2478"/>
      <c r="CR923" s="2478"/>
      <c r="CS923" s="2478"/>
      <c r="CT923" s="2478"/>
    </row>
    <row r="924" spans="1:98" ht="9.9499999999999993" hidden="1" customHeight="1" x14ac:dyDescent="0.2">
      <c r="AS924" s="2466"/>
      <c r="AT924" s="2466"/>
      <c r="BZ924" s="2472"/>
      <c r="CH924" s="2449" t="s">
        <v>1091</v>
      </c>
      <c r="CI924" s="2449"/>
      <c r="CJ924" s="2450"/>
      <c r="CK924" s="2450"/>
      <c r="CP924" s="2478">
        <f t="shared" si="489"/>
        <v>0</v>
      </c>
      <c r="CQ924" s="2478"/>
      <c r="CR924" s="2478"/>
      <c r="CS924" s="2478"/>
      <c r="CT924" s="2478"/>
    </row>
    <row r="925" spans="1:98" x14ac:dyDescent="0.2">
      <c r="A925" s="2495"/>
      <c r="B925" s="2496"/>
      <c r="C925" s="2497"/>
      <c r="D925" s="2497"/>
      <c r="E925" s="2498"/>
      <c r="F925" s="2496"/>
      <c r="G925" s="2499" t="s">
        <v>2382</v>
      </c>
      <c r="H925" s="2500">
        <f t="shared" ref="H925:J925" si="516">H923</f>
        <v>1057155</v>
      </c>
      <c r="I925" s="2500">
        <f t="shared" si="516"/>
        <v>34812</v>
      </c>
      <c r="J925" s="2500">
        <f t="shared" si="516"/>
        <v>1091967</v>
      </c>
      <c r="K925" s="2501">
        <f>IF(H925=0," ",(J925-H925)/H925)</f>
        <v>3.2929892021510566E-2</v>
      </c>
      <c r="M925" s="2500">
        <f>M923</f>
        <v>1076261</v>
      </c>
      <c r="N925" s="2500">
        <f>N923</f>
        <v>1076261</v>
      </c>
      <c r="P925" s="2502">
        <f>P923</f>
        <v>0</v>
      </c>
      <c r="R925" s="2500">
        <f>R923</f>
        <v>1076261</v>
      </c>
      <c r="S925" s="2500">
        <f>S923</f>
        <v>1056547</v>
      </c>
      <c r="U925" s="2500">
        <f>U923</f>
        <v>1076261</v>
      </c>
      <c r="V925" s="2500">
        <f>V923</f>
        <v>64080</v>
      </c>
      <c r="W925" s="2500">
        <f>W923</f>
        <v>1140341</v>
      </c>
      <c r="X925" s="2501">
        <f>IF(U925=0," ",(W925-U925)/U925)</f>
        <v>5.953946115301028E-2</v>
      </c>
      <c r="Z925" s="2500">
        <f>Z923</f>
        <v>1140341</v>
      </c>
      <c r="AA925" s="2500">
        <f>AA923</f>
        <v>1140341</v>
      </c>
      <c r="AC925" s="2502"/>
      <c r="AE925" s="2500">
        <f>AE923</f>
        <v>1140341</v>
      </c>
      <c r="AF925" s="2503">
        <f>AF923</f>
        <v>1118667</v>
      </c>
      <c r="AH925" s="2500">
        <v>3453074</v>
      </c>
      <c r="AI925" s="2500">
        <f>AI923</f>
        <v>0</v>
      </c>
      <c r="AJ925" s="2500">
        <f>AJ923</f>
        <v>1140341</v>
      </c>
      <c r="AK925" s="2501">
        <f>IF(AH925=0," ",(AJ925-AH925)/AH925)</f>
        <v>-0.66976062488090327</v>
      </c>
      <c r="AM925" s="2500">
        <f>AM923</f>
        <v>1224339</v>
      </c>
      <c r="AN925" s="2500">
        <f>AN923</f>
        <v>1224339</v>
      </c>
      <c r="AP925" s="2502"/>
      <c r="AR925" s="2500">
        <f>AR923</f>
        <v>1224339</v>
      </c>
      <c r="AS925" s="2500">
        <f>AS923</f>
        <v>1224339</v>
      </c>
      <c r="AT925" s="2500"/>
      <c r="AU925" s="2500">
        <f>AU923</f>
        <v>1365197</v>
      </c>
      <c r="AV925" s="2500">
        <f>AV923</f>
        <v>1365197</v>
      </c>
      <c r="AX925" s="2500">
        <f>AX923</f>
        <v>1365197</v>
      </c>
      <c r="AY925" s="2500">
        <f>AY923</f>
        <v>66836</v>
      </c>
      <c r="AZ925" s="2500">
        <f>AZ923</f>
        <v>1432033</v>
      </c>
      <c r="BA925" s="2501">
        <f>IF(AX925=0," ",(AZ925-AX925)/AX925)</f>
        <v>4.8957036969756014E-2</v>
      </c>
      <c r="BC925" s="2500">
        <f>BC923</f>
        <v>1432033</v>
      </c>
      <c r="BD925" s="2500">
        <f>BD923</f>
        <v>1432033</v>
      </c>
      <c r="BF925" s="2502"/>
      <c r="BH925" s="2500">
        <f>BH923</f>
        <v>1432033</v>
      </c>
      <c r="BI925" s="2500">
        <f>BI923</f>
        <v>1432033</v>
      </c>
      <c r="BJ925" s="2500"/>
      <c r="BK925" s="2500"/>
      <c r="BM925" s="2500">
        <f>BM923</f>
        <v>1432033</v>
      </c>
      <c r="BN925" s="2504">
        <f>BN923</f>
        <v>115113</v>
      </c>
      <c r="BO925" s="2505">
        <f>BO923</f>
        <v>1547146</v>
      </c>
      <c r="BP925" s="2506">
        <f>IF(BM925=0," ",(BO925-BM925)/BM925)</f>
        <v>8.03843207523849E-2</v>
      </c>
      <c r="BR925" s="2505">
        <f>BR923</f>
        <v>1547146</v>
      </c>
      <c r="BS925" s="2505">
        <f>BS923</f>
        <v>1547146</v>
      </c>
      <c r="BU925" s="2507"/>
      <c r="BW925" s="2505">
        <f>BW923</f>
        <v>1547146</v>
      </c>
      <c r="BX925" s="2500">
        <f>BX923</f>
        <v>1547146</v>
      </c>
      <c r="BZ925" s="2505">
        <f>BZ923</f>
        <v>1547146</v>
      </c>
      <c r="CA925" s="2504">
        <f>CA923</f>
        <v>176444</v>
      </c>
      <c r="CB925" s="2505">
        <f>CB923</f>
        <v>1723590</v>
      </c>
      <c r="CC925" s="2506">
        <f>IF(BZ925=0," ",(CB925-BZ925)/BZ925)</f>
        <v>0.11404482834845581</v>
      </c>
      <c r="CE925" s="2505">
        <v>1723590</v>
      </c>
      <c r="CF925" s="2506">
        <f>IF(CB925=0," ",(CE925-CB925)/CB925)</f>
        <v>0</v>
      </c>
      <c r="CG925" s="2505">
        <f>CG923</f>
        <v>1723590</v>
      </c>
      <c r="CH925" s="2449" t="s">
        <v>1222</v>
      </c>
      <c r="CI925" s="2508" t="str">
        <f>IF(CG925-CE925=0,"",CG925-CE925)</f>
        <v/>
      </c>
      <c r="CJ925" s="2509"/>
      <c r="CK925" s="2509"/>
      <c r="CL925" s="2451" t="str">
        <f>IF(CO925&lt;-1*CM$2,"examine","ignore")</f>
        <v>ignore</v>
      </c>
      <c r="CM925" s="2545" t="str">
        <f>IF(CL925="examine",CP925+CM$2*CP925/CO925,"")</f>
        <v/>
      </c>
      <c r="CN925" s="2545"/>
      <c r="CO925" s="2477">
        <v>0</v>
      </c>
      <c r="CP925" s="2510">
        <f t="shared" si="489"/>
        <v>0</v>
      </c>
      <c r="CQ925" s="2510">
        <f>AV925-AU925</f>
        <v>0</v>
      </c>
      <c r="CR925" s="2510">
        <f>AS925-AR925</f>
        <v>0</v>
      </c>
      <c r="CS925" s="2510">
        <f>AF925-AE925</f>
        <v>-21674</v>
      </c>
    </row>
    <row r="926" spans="1:98" ht="20.100000000000001" hidden="1" customHeight="1" x14ac:dyDescent="0.2">
      <c r="AP926" s="2493">
        <f>SUM(AM926:AO926)</f>
        <v>0</v>
      </c>
      <c r="AS926" s="2466"/>
      <c r="AT926" s="2466"/>
      <c r="BF926" s="2493">
        <f>SUM(BC926:BE926)</f>
        <v>0</v>
      </c>
      <c r="BZ926" s="2472"/>
      <c r="CH926" s="2449" t="s">
        <v>1091</v>
      </c>
      <c r="CI926" s="2449"/>
      <c r="CJ926" s="2450"/>
      <c r="CK926" s="2450"/>
      <c r="CP926" s="2478">
        <f t="shared" si="489"/>
        <v>0</v>
      </c>
      <c r="CQ926" s="2478"/>
      <c r="CR926" s="2478"/>
      <c r="CS926" s="2478"/>
      <c r="CT926" s="2478"/>
    </row>
    <row r="927" spans="1:98" ht="15.75" hidden="1" x14ac:dyDescent="0.2">
      <c r="A927" s="2453" t="s">
        <v>2383</v>
      </c>
      <c r="B927" s="2454"/>
      <c r="C927" s="2455"/>
      <c r="D927" s="2455"/>
      <c r="E927" s="2456"/>
      <c r="F927" s="2454"/>
      <c r="G927" s="2454"/>
      <c r="H927" s="2457"/>
      <c r="I927" s="2457"/>
      <c r="J927" s="2457"/>
      <c r="K927" s="2458"/>
      <c r="M927" s="2457"/>
      <c r="N927" s="2457"/>
      <c r="P927" s="2459"/>
      <c r="R927" s="2457"/>
      <c r="S927" s="2457"/>
      <c r="U927" s="2457"/>
      <c r="V927" s="2457"/>
      <c r="W927" s="2457"/>
      <c r="X927" s="2458"/>
      <c r="Z927" s="2457"/>
      <c r="AA927" s="2457"/>
      <c r="AC927" s="2459"/>
      <c r="AE927" s="2457"/>
      <c r="AF927" s="2460"/>
      <c r="AH927" s="2457"/>
      <c r="AI927" s="2457"/>
      <c r="AJ927" s="2457"/>
      <c r="AK927" s="2458"/>
      <c r="AM927" s="2457"/>
      <c r="AN927" s="2457"/>
      <c r="AP927" s="2459"/>
      <c r="AR927" s="2457"/>
      <c r="AS927" s="2457"/>
      <c r="AT927" s="2457"/>
      <c r="AU927" s="2457"/>
      <c r="AV927" s="2457"/>
      <c r="AX927" s="2457"/>
      <c r="AY927" s="2457"/>
      <c r="AZ927" s="2457"/>
      <c r="BA927" s="2458"/>
      <c r="BC927" s="2457"/>
      <c r="BD927" s="2457"/>
      <c r="BF927" s="2461"/>
      <c r="BH927" s="2457"/>
      <c r="BI927" s="2457"/>
      <c r="BJ927" s="2457"/>
      <c r="BK927" s="2457"/>
      <c r="BM927" s="2457"/>
      <c r="BN927" s="2462"/>
      <c r="BO927" s="2463"/>
      <c r="BP927" s="2464"/>
      <c r="BR927" s="2463"/>
      <c r="BS927" s="2463"/>
      <c r="BU927" s="2465"/>
      <c r="BW927" s="2463"/>
      <c r="BX927" s="2457"/>
      <c r="BZ927" s="2463"/>
      <c r="CA927" s="2462"/>
      <c r="CB927" s="2463"/>
      <c r="CC927" s="2464"/>
      <c r="CE927" s="2463"/>
      <c r="CF927" s="2464"/>
      <c r="CG927" s="2463"/>
      <c r="CH927" s="2449" t="s">
        <v>1212</v>
      </c>
      <c r="CI927" s="2449"/>
      <c r="CJ927" s="2450"/>
      <c r="CK927" s="2450"/>
      <c r="CP927" s="2478">
        <f t="shared" si="489"/>
        <v>0</v>
      </c>
      <c r="CQ927" s="2478"/>
      <c r="CR927" s="2478"/>
      <c r="CS927" s="2478"/>
      <c r="CT927" s="2478"/>
    </row>
    <row r="928" spans="1:98" hidden="1" x14ac:dyDescent="0.2">
      <c r="A928" s="2395">
        <v>913</v>
      </c>
      <c r="B928" s="2440" t="s">
        <v>1214</v>
      </c>
      <c r="C928" s="2396">
        <v>91305</v>
      </c>
      <c r="D928" s="2396">
        <v>51720</v>
      </c>
      <c r="F928" s="2440" t="s">
        <v>1214</v>
      </c>
      <c r="G928" s="2440" t="s">
        <v>2384</v>
      </c>
      <c r="H928" s="2466">
        <v>60000</v>
      </c>
      <c r="I928" s="2470"/>
      <c r="J928" s="2466">
        <f t="shared" ref="J928:J939" si="517">H928+I928</f>
        <v>60000</v>
      </c>
      <c r="K928" s="2468">
        <f t="shared" ref="K928:K939" si="518">IF(H928=0," ",(J928-H928)/H928)</f>
        <v>0</v>
      </c>
      <c r="M928" s="2467">
        <v>60000</v>
      </c>
      <c r="N928" s="2467">
        <v>60000</v>
      </c>
      <c r="P928" s="2469"/>
      <c r="R928" s="2466">
        <v>60000</v>
      </c>
      <c r="S928" s="2466">
        <v>0</v>
      </c>
      <c r="U928" s="2466">
        <v>60000</v>
      </c>
      <c r="V928" s="2470">
        <v>-60000</v>
      </c>
      <c r="W928" s="2466">
        <f t="shared" ref="W928:W939" si="519">U928+V928</f>
        <v>0</v>
      </c>
      <c r="X928" s="2468">
        <f t="shared" ref="X928:X939" si="520">IF(U928=0," ",(W928-U928)/U928)</f>
        <v>-1</v>
      </c>
      <c r="Z928" s="2467">
        <v>0</v>
      </c>
      <c r="AA928" s="2467">
        <v>0</v>
      </c>
      <c r="AC928" s="2596" t="s">
        <v>2385</v>
      </c>
      <c r="AE928" s="2466">
        <v>0</v>
      </c>
      <c r="AF928" s="2471">
        <v>0</v>
      </c>
      <c r="AH928" s="2466">
        <v>0</v>
      </c>
      <c r="AI928" s="2470"/>
      <c r="AJ928" s="2466">
        <f t="shared" ref="AJ928:AJ939" si="521">AH928+AI928</f>
        <v>0</v>
      </c>
      <c r="AK928" s="2468" t="str">
        <f t="shared" ref="AK928:AK939" si="522">IF(AH928=0," ",(AJ928-AH928)/AH928)</f>
        <v xml:space="preserve"> </v>
      </c>
      <c r="AM928" s="2467"/>
      <c r="AN928" s="2467"/>
      <c r="AP928" s="2596"/>
      <c r="AS928" s="2466">
        <v>0</v>
      </c>
      <c r="AT928" s="2466"/>
      <c r="AU928" s="2466">
        <v>0</v>
      </c>
      <c r="AX928" s="2466">
        <v>0</v>
      </c>
      <c r="AY928" s="2470"/>
      <c r="AZ928" s="2466">
        <f t="shared" ref="AZ928:AZ939" si="523">AX928+AY928</f>
        <v>0</v>
      </c>
      <c r="BA928" s="2468" t="str">
        <f t="shared" ref="BA928:BA939" si="524">IF(AX928=0," ",(AZ928-AX928)/AX928)</f>
        <v xml:space="preserve"> </v>
      </c>
      <c r="BC928" s="2467">
        <v>0</v>
      </c>
      <c r="BD928" s="2467"/>
      <c r="BF928" s="2596"/>
      <c r="BH928" s="2467"/>
      <c r="BN928" s="2470"/>
      <c r="BO928" s="2472">
        <f t="shared" ref="BO928:BO939" si="525">BM928+BN928</f>
        <v>0</v>
      </c>
      <c r="BP928" s="2473" t="str">
        <f t="shared" ref="BP928:BP939" si="526">IF(BM928=0," ",(BO928-BM928)/BM928)</f>
        <v xml:space="preserve"> </v>
      </c>
      <c r="BR928" s="2474">
        <v>0</v>
      </c>
      <c r="BS928" s="2474">
        <v>0</v>
      </c>
      <c r="BU928" s="2597"/>
      <c r="BW928" s="2474">
        <v>0</v>
      </c>
      <c r="BZ928" s="2474">
        <v>0</v>
      </c>
      <c r="CA928" s="2470"/>
      <c r="CB928" s="2472">
        <f t="shared" ref="CB928:CB939" si="527">BZ928+CA928</f>
        <v>0</v>
      </c>
      <c r="CC928" s="2473" t="str">
        <f t="shared" ref="CC928:CC939" si="528">IF(BZ928=0," ",(CB928-BZ928)/BZ928)</f>
        <v xml:space="preserve"> </v>
      </c>
      <c r="CE928" s="2474">
        <v>0</v>
      </c>
      <c r="CF928" s="2476" t="str">
        <f>IF(CB928=0," ",(CE928-CB928)/CB928)</f>
        <v xml:space="preserve"> </v>
      </c>
      <c r="CG928" s="2474">
        <v>0</v>
      </c>
      <c r="CH928" s="2449" t="s">
        <v>1217</v>
      </c>
      <c r="CI928" s="2449"/>
      <c r="CJ928" s="2450"/>
      <c r="CK928" s="2450"/>
      <c r="CP928" s="2478">
        <f t="shared" si="489"/>
        <v>0</v>
      </c>
      <c r="CQ928" s="2478"/>
      <c r="CR928" s="2478"/>
      <c r="CS928" s="2478"/>
      <c r="CT928" s="2478"/>
    </row>
    <row r="929" spans="1:98" ht="15" hidden="1" x14ac:dyDescent="0.2">
      <c r="A929" s="2395">
        <v>915</v>
      </c>
      <c r="B929" s="2440" t="s">
        <v>1214</v>
      </c>
      <c r="C929" s="2396">
        <v>91505</v>
      </c>
      <c r="D929" s="2396">
        <v>51730</v>
      </c>
      <c r="F929" s="2440" t="s">
        <v>1214</v>
      </c>
      <c r="G929" s="2440" t="s">
        <v>2386</v>
      </c>
      <c r="H929" s="2466">
        <v>2038793</v>
      </c>
      <c r="I929" s="2470">
        <v>86207</v>
      </c>
      <c r="J929" s="2466">
        <f t="shared" si="517"/>
        <v>2125000</v>
      </c>
      <c r="K929" s="2468">
        <f t="shared" si="518"/>
        <v>4.2283350982664746E-2</v>
      </c>
      <c r="M929" s="2467">
        <v>2125000</v>
      </c>
      <c r="N929" s="2467">
        <v>2100000</v>
      </c>
      <c r="P929" s="2469" t="s">
        <v>2387</v>
      </c>
      <c r="R929" s="2549">
        <f>2125000-25000</f>
        <v>2100000</v>
      </c>
      <c r="S929" s="2549">
        <v>1820418.12</v>
      </c>
      <c r="U929" s="2549">
        <f>2125000-25000</f>
        <v>2100000</v>
      </c>
      <c r="V929" s="2470"/>
      <c r="W929" s="2466">
        <f t="shared" si="519"/>
        <v>2100000</v>
      </c>
      <c r="X929" s="2468">
        <f t="shared" si="520"/>
        <v>0</v>
      </c>
      <c r="Z929" s="2467">
        <v>2100000</v>
      </c>
      <c r="AA929" s="2467">
        <v>2100000</v>
      </c>
      <c r="AC929" s="2469" t="s">
        <v>2388</v>
      </c>
      <c r="AE929" s="2466">
        <v>2100000</v>
      </c>
      <c r="AF929" s="2471">
        <v>1942446.06</v>
      </c>
      <c r="AH929" s="2466">
        <v>2100000</v>
      </c>
      <c r="AI929" s="2470"/>
      <c r="AJ929" s="2466">
        <f t="shared" si="521"/>
        <v>2100000</v>
      </c>
      <c r="AK929" s="2468">
        <f t="shared" si="522"/>
        <v>0</v>
      </c>
      <c r="AM929" s="2467">
        <v>2100000</v>
      </c>
      <c r="AN929" s="2467">
        <v>2100000</v>
      </c>
      <c r="AP929" s="2655" t="s">
        <v>2389</v>
      </c>
      <c r="AR929" s="2466">
        <v>2100000</v>
      </c>
      <c r="AS929" s="2466">
        <v>1996182.28</v>
      </c>
      <c r="AT929" s="2466"/>
      <c r="AU929" s="2466">
        <v>2100000</v>
      </c>
      <c r="AV929" s="2466">
        <v>1776656.14</v>
      </c>
      <c r="AX929" s="2466">
        <v>2100000</v>
      </c>
      <c r="AY929" s="2470">
        <v>160000</v>
      </c>
      <c r="AZ929" s="2466">
        <f t="shared" si="523"/>
        <v>2260000</v>
      </c>
      <c r="BA929" s="2468">
        <f t="shared" si="524"/>
        <v>7.6190476190476197E-2</v>
      </c>
      <c r="BC929" s="2467">
        <v>2100000</v>
      </c>
      <c r="BD929" s="2648">
        <v>2050000</v>
      </c>
      <c r="BF929" s="2575"/>
      <c r="BH929" s="2467">
        <v>2050000</v>
      </c>
      <c r="BI929" s="2466">
        <v>1828157.63</v>
      </c>
      <c r="BM929" s="2466">
        <v>2050000</v>
      </c>
      <c r="BN929" s="2470">
        <v>176000</v>
      </c>
      <c r="BO929" s="2472">
        <f t="shared" si="525"/>
        <v>2226000</v>
      </c>
      <c r="BP929" s="2473">
        <f t="shared" si="526"/>
        <v>8.5853658536585373E-2</v>
      </c>
      <c r="BR929" s="2474">
        <v>2226000</v>
      </c>
      <c r="BS929" s="2686">
        <v>2130000</v>
      </c>
      <c r="BU929" s="2547" t="s">
        <v>2390</v>
      </c>
      <c r="BW929" s="2686">
        <v>2130000</v>
      </c>
      <c r="BX929" s="2466">
        <v>967348.35</v>
      </c>
      <c r="BZ929" s="2687">
        <v>2130000</v>
      </c>
      <c r="CA929" s="2470">
        <v>-2130000</v>
      </c>
      <c r="CB929" s="2472">
        <f t="shared" si="527"/>
        <v>0</v>
      </c>
      <c r="CC929" s="2473">
        <f t="shared" si="528"/>
        <v>-1</v>
      </c>
      <c r="CE929" s="2474">
        <v>0</v>
      </c>
      <c r="CF929" s="2476" t="str">
        <f>IF(CB929=0," ",(CE929-CB929)/CB929)</f>
        <v xml:space="preserve"> </v>
      </c>
      <c r="CG929" s="2474">
        <v>0</v>
      </c>
      <c r="CH929" s="2449" t="s">
        <v>1217</v>
      </c>
      <c r="CI929" s="2449"/>
      <c r="CJ929" s="2450"/>
      <c r="CK929" s="2450"/>
      <c r="CO929" s="2477">
        <v>-0.10821579024390249</v>
      </c>
      <c r="CP929" s="2478">
        <f t="shared" si="489"/>
        <v>-221842.37000000011</v>
      </c>
      <c r="CQ929" s="2478"/>
      <c r="CR929" s="2478"/>
      <c r="CS929" s="2478"/>
      <c r="CT929" s="2478"/>
    </row>
    <row r="930" spans="1:98" ht="15" hidden="1" x14ac:dyDescent="0.2">
      <c r="A930" s="2395">
        <v>915</v>
      </c>
      <c r="C930" s="2396">
        <v>91505</v>
      </c>
      <c r="D930" s="2396">
        <v>51732</v>
      </c>
      <c r="G930" s="2685" t="s">
        <v>2391</v>
      </c>
      <c r="I930" s="2470"/>
      <c r="M930" s="2467"/>
      <c r="N930" s="2467"/>
      <c r="P930" s="2469"/>
      <c r="R930" s="2549"/>
      <c r="S930" s="2549"/>
      <c r="U930" s="2549"/>
      <c r="V930" s="2470"/>
      <c r="Z930" s="2467"/>
      <c r="AA930" s="2467"/>
      <c r="AC930" s="2469"/>
      <c r="AI930" s="2470"/>
      <c r="AM930" s="2467"/>
      <c r="AN930" s="2467"/>
      <c r="AP930" s="2655"/>
      <c r="AS930" s="2466"/>
      <c r="AT930" s="2466"/>
      <c r="AY930" s="2470"/>
      <c r="BC930" s="2467"/>
      <c r="BD930" s="2648"/>
      <c r="BF930" s="2575"/>
      <c r="BH930" s="2467"/>
      <c r="BN930" s="2470"/>
      <c r="BR930" s="2474"/>
      <c r="BS930" s="2686"/>
      <c r="BU930" s="2547"/>
      <c r="BW930" s="2686"/>
      <c r="BZ930" s="2687"/>
      <c r="CA930" s="2470">
        <v>673999</v>
      </c>
      <c r="CB930" s="2472">
        <f t="shared" si="527"/>
        <v>673999</v>
      </c>
      <c r="CE930" s="2474">
        <v>673999</v>
      </c>
      <c r="CF930" s="2476"/>
      <c r="CG930" s="2474">
        <v>673999</v>
      </c>
      <c r="CH930" s="2449" t="s">
        <v>1217</v>
      </c>
      <c r="CI930" s="2449"/>
      <c r="CJ930" s="2450"/>
      <c r="CK930" s="2450"/>
      <c r="CP930" s="2478">
        <f t="shared" si="489"/>
        <v>0</v>
      </c>
      <c r="CQ930" s="2478"/>
      <c r="CR930" s="2478"/>
      <c r="CS930" s="2478"/>
      <c r="CT930" s="2478"/>
    </row>
    <row r="931" spans="1:98" ht="15" hidden="1" x14ac:dyDescent="0.2">
      <c r="A931" s="2395">
        <v>915</v>
      </c>
      <c r="C931" s="2396">
        <v>91505</v>
      </c>
      <c r="D931" s="2396">
        <v>51734</v>
      </c>
      <c r="G931" s="2685" t="s">
        <v>2392</v>
      </c>
      <c r="I931" s="2470"/>
      <c r="M931" s="2467"/>
      <c r="N931" s="2467"/>
      <c r="P931" s="2469"/>
      <c r="R931" s="2549"/>
      <c r="S931" s="2549"/>
      <c r="U931" s="2549"/>
      <c r="V931" s="2470"/>
      <c r="Z931" s="2467"/>
      <c r="AA931" s="2467"/>
      <c r="AC931" s="2469"/>
      <c r="AI931" s="2470"/>
      <c r="AM931" s="2467"/>
      <c r="AN931" s="2467"/>
      <c r="AP931" s="2655"/>
      <c r="AS931" s="2466"/>
      <c r="AT931" s="2466"/>
      <c r="AY931" s="2470"/>
      <c r="BC931" s="2467"/>
      <c r="BD931" s="2648"/>
      <c r="BF931" s="2575"/>
      <c r="BH931" s="2467"/>
      <c r="BN931" s="2470"/>
      <c r="BR931" s="2474"/>
      <c r="BS931" s="2686"/>
      <c r="BU931" s="2547"/>
      <c r="BW931" s="2686"/>
      <c r="BZ931" s="2687"/>
      <c r="CA931" s="2470">
        <v>1596313</v>
      </c>
      <c r="CB931" s="2472">
        <f t="shared" si="527"/>
        <v>1596313</v>
      </c>
      <c r="CE931" s="2474">
        <v>1596313</v>
      </c>
      <c r="CF931" s="2476"/>
      <c r="CG931" s="2572">
        <f>1596313-35000</f>
        <v>1561313</v>
      </c>
      <c r="CH931" s="2449" t="s">
        <v>1217</v>
      </c>
      <c r="CI931" s="2449"/>
      <c r="CJ931" s="2450"/>
      <c r="CK931" s="2450"/>
      <c r="CP931" s="2478">
        <f t="shared" si="489"/>
        <v>0</v>
      </c>
      <c r="CQ931" s="2478"/>
      <c r="CR931" s="2478"/>
      <c r="CS931" s="2478"/>
      <c r="CT931" s="2478"/>
    </row>
    <row r="932" spans="1:98" hidden="1" x14ac:dyDescent="0.2">
      <c r="A932" s="2395">
        <v>915</v>
      </c>
      <c r="B932" s="2440" t="s">
        <v>1214</v>
      </c>
      <c r="C932" s="2396">
        <v>91505</v>
      </c>
      <c r="D932" s="2396">
        <v>51740</v>
      </c>
      <c r="F932" s="2440" t="s">
        <v>1214</v>
      </c>
      <c r="G932" s="2440" t="s">
        <v>2393</v>
      </c>
      <c r="H932" s="2466">
        <v>6855</v>
      </c>
      <c r="I932" s="2470"/>
      <c r="J932" s="2466">
        <f t="shared" si="517"/>
        <v>6855</v>
      </c>
      <c r="K932" s="2468">
        <f t="shared" si="518"/>
        <v>0</v>
      </c>
      <c r="M932" s="2467">
        <v>6855</v>
      </c>
      <c r="N932" s="2467">
        <v>6855</v>
      </c>
      <c r="P932" s="2469"/>
      <c r="R932" s="2466">
        <v>6855</v>
      </c>
      <c r="S932" s="2466">
        <v>4333.92</v>
      </c>
      <c r="U932" s="2466">
        <v>6855</v>
      </c>
      <c r="V932" s="2470"/>
      <c r="W932" s="2466">
        <f t="shared" si="519"/>
        <v>6855</v>
      </c>
      <c r="X932" s="2468">
        <f t="shared" si="520"/>
        <v>0</v>
      </c>
      <c r="Z932" s="2467">
        <v>6855</v>
      </c>
      <c r="AA932" s="2467">
        <v>6855</v>
      </c>
      <c r="AC932" s="2469"/>
      <c r="AE932" s="2466">
        <v>6855</v>
      </c>
      <c r="AF932" s="2471">
        <v>4833.22</v>
      </c>
      <c r="AH932" s="2466">
        <v>6855</v>
      </c>
      <c r="AI932" s="2470"/>
      <c r="AJ932" s="2466">
        <f t="shared" si="521"/>
        <v>6855</v>
      </c>
      <c r="AK932" s="2468">
        <f t="shared" si="522"/>
        <v>0</v>
      </c>
      <c r="AM932" s="2467">
        <v>6855</v>
      </c>
      <c r="AN932" s="2467">
        <v>6855</v>
      </c>
      <c r="AP932" s="2469"/>
      <c r="AR932" s="2466">
        <v>6855</v>
      </c>
      <c r="AS932" s="2466">
        <v>5103.74</v>
      </c>
      <c r="AT932" s="2466"/>
      <c r="AU932" s="2466">
        <v>6855</v>
      </c>
      <c r="AV932" s="2466">
        <v>4474.37</v>
      </c>
      <c r="AX932" s="2466">
        <v>6855</v>
      </c>
      <c r="AY932" s="2470"/>
      <c r="AZ932" s="2466">
        <f t="shared" si="523"/>
        <v>6855</v>
      </c>
      <c r="BA932" s="2468">
        <f t="shared" si="524"/>
        <v>0</v>
      </c>
      <c r="BC932" s="2467">
        <v>6855</v>
      </c>
      <c r="BD932" s="2467">
        <v>6855</v>
      </c>
      <c r="BF932" s="2469"/>
      <c r="BH932" s="2467">
        <v>6855</v>
      </c>
      <c r="BI932" s="2466">
        <v>4516.12</v>
      </c>
      <c r="BM932" s="2466">
        <v>6855</v>
      </c>
      <c r="BN932" s="2470">
        <v>-350</v>
      </c>
      <c r="BO932" s="2472">
        <f t="shared" si="525"/>
        <v>6505</v>
      </c>
      <c r="BP932" s="2473">
        <f t="shared" si="526"/>
        <v>-5.1057622173595912E-2</v>
      </c>
      <c r="BR932" s="2474">
        <v>6505</v>
      </c>
      <c r="BS932" s="2474">
        <v>6505</v>
      </c>
      <c r="BU932" s="2475"/>
      <c r="BW932" s="2474">
        <v>6505</v>
      </c>
      <c r="BX932" s="2466">
        <v>2275.67</v>
      </c>
      <c r="BZ932" s="2474">
        <v>6505</v>
      </c>
      <c r="CA932" s="2470">
        <v>-6505</v>
      </c>
      <c r="CB932" s="2472">
        <f t="shared" si="527"/>
        <v>0</v>
      </c>
      <c r="CC932" s="2473">
        <f t="shared" si="528"/>
        <v>-1</v>
      </c>
      <c r="CE932" s="2474">
        <v>0</v>
      </c>
      <c r="CF932" s="2476" t="str">
        <f>IF(CB932=0," ",(CE932-CB932)/CB932)</f>
        <v xml:space="preserve"> </v>
      </c>
      <c r="CG932" s="2474">
        <v>0</v>
      </c>
      <c r="CH932" s="2449" t="s">
        <v>1217</v>
      </c>
      <c r="CI932" s="2449"/>
      <c r="CJ932" s="2450"/>
      <c r="CK932" s="2450"/>
      <c r="CO932" s="2477">
        <v>-0.34119328956965722</v>
      </c>
      <c r="CP932" s="2478">
        <f t="shared" si="489"/>
        <v>-2338.88</v>
      </c>
      <c r="CQ932" s="2478"/>
      <c r="CR932" s="2478"/>
      <c r="CS932" s="2478"/>
      <c r="CT932" s="2478"/>
    </row>
    <row r="933" spans="1:98" hidden="1" x14ac:dyDescent="0.2">
      <c r="A933" s="2395">
        <v>915</v>
      </c>
      <c r="C933" s="2396">
        <v>91505</v>
      </c>
      <c r="D933" s="2396">
        <v>51742</v>
      </c>
      <c r="G933" s="2685" t="s">
        <v>2394</v>
      </c>
      <c r="I933" s="2470"/>
      <c r="M933" s="2467"/>
      <c r="N933" s="2467"/>
      <c r="P933" s="2469"/>
      <c r="V933" s="2470"/>
      <c r="Z933" s="2467"/>
      <c r="AA933" s="2467"/>
      <c r="AC933" s="2469"/>
      <c r="AI933" s="2470"/>
      <c r="AM933" s="2467"/>
      <c r="AN933" s="2467"/>
      <c r="AP933" s="2469"/>
      <c r="AS933" s="2466"/>
      <c r="AT933" s="2466"/>
      <c r="AY933" s="2470"/>
      <c r="BC933" s="2467"/>
      <c r="BD933" s="2467"/>
      <c r="BF933" s="2469"/>
      <c r="BH933" s="2467"/>
      <c r="BN933" s="2470"/>
      <c r="BR933" s="2474"/>
      <c r="BS933" s="2474"/>
      <c r="BU933" s="2475"/>
      <c r="BW933" s="2474"/>
      <c r="BZ933" s="2474"/>
      <c r="CA933" s="2470">
        <v>2593</v>
      </c>
      <c r="CB933" s="2472">
        <f t="shared" si="527"/>
        <v>2593</v>
      </c>
      <c r="CE933" s="2474">
        <v>2593</v>
      </c>
      <c r="CF933" s="2476"/>
      <c r="CG933" s="2474">
        <v>2593</v>
      </c>
      <c r="CH933" s="2449" t="s">
        <v>1217</v>
      </c>
      <c r="CI933" s="2449"/>
      <c r="CJ933" s="2450"/>
      <c r="CK933" s="2450"/>
      <c r="CP933" s="2478">
        <f t="shared" si="489"/>
        <v>0</v>
      </c>
      <c r="CQ933" s="2478"/>
      <c r="CR933" s="2478"/>
      <c r="CS933" s="2478"/>
      <c r="CT933" s="2478"/>
    </row>
    <row r="934" spans="1:98" hidden="1" x14ac:dyDescent="0.2">
      <c r="A934" s="2395">
        <v>915</v>
      </c>
      <c r="C934" s="2396">
        <v>91505</v>
      </c>
      <c r="D934" s="2396">
        <v>51744</v>
      </c>
      <c r="G934" s="2685" t="s">
        <v>2395</v>
      </c>
      <c r="I934" s="2470"/>
      <c r="M934" s="2467"/>
      <c r="N934" s="2467"/>
      <c r="P934" s="2469"/>
      <c r="V934" s="2470"/>
      <c r="Z934" s="2467"/>
      <c r="AA934" s="2467"/>
      <c r="AC934" s="2469"/>
      <c r="AI934" s="2470"/>
      <c r="AM934" s="2467"/>
      <c r="AN934" s="2467"/>
      <c r="AP934" s="2469"/>
      <c r="AS934" s="2466"/>
      <c r="AT934" s="2466"/>
      <c r="AY934" s="2470"/>
      <c r="BC934" s="2467"/>
      <c r="BD934" s="2467"/>
      <c r="BF934" s="2469"/>
      <c r="BH934" s="2467"/>
      <c r="BN934" s="2470"/>
      <c r="BR934" s="2474"/>
      <c r="BS934" s="2474"/>
      <c r="BU934" s="2475"/>
      <c r="BW934" s="2474"/>
      <c r="BZ934" s="2474"/>
      <c r="CA934" s="2470">
        <v>3912</v>
      </c>
      <c r="CB934" s="2472">
        <f t="shared" si="527"/>
        <v>3912</v>
      </c>
      <c r="CE934" s="2474">
        <v>3912</v>
      </c>
      <c r="CF934" s="2476"/>
      <c r="CG934" s="2474">
        <v>3912</v>
      </c>
      <c r="CH934" s="2449" t="s">
        <v>1217</v>
      </c>
      <c r="CI934" s="2449"/>
      <c r="CJ934" s="2450"/>
      <c r="CK934" s="2450"/>
      <c r="CP934" s="2478">
        <f t="shared" si="489"/>
        <v>0</v>
      </c>
      <c r="CQ934" s="2478"/>
      <c r="CR934" s="2478"/>
      <c r="CS934" s="2478"/>
      <c r="CT934" s="2478"/>
    </row>
    <row r="935" spans="1:98" hidden="1" x14ac:dyDescent="0.2">
      <c r="A935" s="2395">
        <v>915</v>
      </c>
      <c r="B935" s="2440" t="s">
        <v>1214</v>
      </c>
      <c r="C935" s="2396">
        <v>91505</v>
      </c>
      <c r="D935" s="2396">
        <v>51750</v>
      </c>
      <c r="F935" s="2440" t="s">
        <v>1214</v>
      </c>
      <c r="G935" s="2440" t="s">
        <v>2396</v>
      </c>
      <c r="H935" s="2466">
        <v>175266</v>
      </c>
      <c r="I935" s="2470">
        <v>8763</v>
      </c>
      <c r="J935" s="2466">
        <f t="shared" si="517"/>
        <v>184029</v>
      </c>
      <c r="K935" s="2468">
        <f t="shared" si="518"/>
        <v>4.9998288316045324E-2</v>
      </c>
      <c r="M935" s="2467">
        <v>184029</v>
      </c>
      <c r="N935" s="2467">
        <v>184029</v>
      </c>
      <c r="P935" s="2469"/>
      <c r="R935" s="2466">
        <v>184029</v>
      </c>
      <c r="S935" s="2466">
        <v>162167</v>
      </c>
      <c r="U935" s="2466">
        <v>184029</v>
      </c>
      <c r="V935" s="2470"/>
      <c r="W935" s="2466">
        <f t="shared" si="519"/>
        <v>184029</v>
      </c>
      <c r="X935" s="2468">
        <f t="shared" si="520"/>
        <v>0</v>
      </c>
      <c r="Z935" s="2467">
        <v>184029</v>
      </c>
      <c r="AA935" s="2467">
        <f>184029+8649</f>
        <v>192678</v>
      </c>
      <c r="AC935" s="2469" t="s">
        <v>2397</v>
      </c>
      <c r="AE935" s="2466">
        <f>184029+8649</f>
        <v>192678</v>
      </c>
      <c r="AF935" s="2471">
        <v>164627.76999999999</v>
      </c>
      <c r="AH935" s="2466">
        <v>192678</v>
      </c>
      <c r="AI935" s="2470"/>
      <c r="AJ935" s="2466">
        <f t="shared" si="521"/>
        <v>192678</v>
      </c>
      <c r="AK935" s="2468">
        <f t="shared" si="522"/>
        <v>0</v>
      </c>
      <c r="AM935" s="2467">
        <f>192678+3854</f>
        <v>196532</v>
      </c>
      <c r="AN935" s="2467">
        <f>192678+3854</f>
        <v>196532</v>
      </c>
      <c r="AP935" s="2530" t="s">
        <v>2398</v>
      </c>
      <c r="AR935" s="2466">
        <f>192678+3854</f>
        <v>196532</v>
      </c>
      <c r="AS935" s="2466">
        <v>174212.33</v>
      </c>
      <c r="AT935" s="2466"/>
      <c r="AU935" s="2466">
        <v>205932</v>
      </c>
      <c r="AV935" s="2466">
        <v>177821.33</v>
      </c>
      <c r="AX935" s="2466">
        <v>205932</v>
      </c>
      <c r="AY935" s="2470">
        <v>4200</v>
      </c>
      <c r="AZ935" s="2466">
        <f t="shared" si="523"/>
        <v>210132</v>
      </c>
      <c r="BA935" s="2468">
        <f t="shared" si="524"/>
        <v>2.0395081871685799E-2</v>
      </c>
      <c r="BC935" s="2467">
        <v>210132</v>
      </c>
      <c r="BD935" s="2467">
        <v>210132</v>
      </c>
      <c r="BF935" s="2575"/>
      <c r="BH935" s="2467">
        <v>210132</v>
      </c>
      <c r="BI935" s="2466">
        <v>190588.59</v>
      </c>
      <c r="BM935" s="2466">
        <v>210132</v>
      </c>
      <c r="BN935" s="2470"/>
      <c r="BO935" s="2472">
        <f t="shared" si="525"/>
        <v>210132</v>
      </c>
      <c r="BP935" s="2473">
        <f t="shared" si="526"/>
        <v>0</v>
      </c>
      <c r="BR935" s="2474">
        <v>210132</v>
      </c>
      <c r="BS935" s="2474">
        <v>210132</v>
      </c>
      <c r="BU935" s="2475"/>
      <c r="BW935" s="2474">
        <v>210132</v>
      </c>
      <c r="BX935" s="2466">
        <v>96144.18</v>
      </c>
      <c r="BZ935" s="2474">
        <v>210132</v>
      </c>
      <c r="CA935" s="2470">
        <v>-210132</v>
      </c>
      <c r="CB935" s="2472">
        <f t="shared" si="527"/>
        <v>0</v>
      </c>
      <c r="CC935" s="2473">
        <f t="shared" si="528"/>
        <v>-1</v>
      </c>
      <c r="CE935" s="2474">
        <v>0</v>
      </c>
      <c r="CF935" s="2476" t="str">
        <f>IF(CB935=0," ",(CE935-CB935)/CB935)</f>
        <v xml:space="preserve"> </v>
      </c>
      <c r="CG935" s="2474">
        <v>0</v>
      </c>
      <c r="CH935" s="2449" t="s">
        <v>1217</v>
      </c>
      <c r="CI935" s="2449"/>
      <c r="CJ935" s="2450"/>
      <c r="CK935" s="2450"/>
      <c r="CO935" s="2477">
        <v>-9.3005396607846458E-2</v>
      </c>
      <c r="CP935" s="2478">
        <f t="shared" si="489"/>
        <v>-19543.410000000003</v>
      </c>
      <c r="CQ935" s="2478"/>
      <c r="CR935" s="2478"/>
      <c r="CS935" s="2478"/>
      <c r="CT935" s="2478"/>
    </row>
    <row r="936" spans="1:98" hidden="1" x14ac:dyDescent="0.2">
      <c r="A936" s="2395">
        <v>915</v>
      </c>
      <c r="C936" s="2396">
        <v>91505</v>
      </c>
      <c r="D936" s="2396">
        <v>51752</v>
      </c>
      <c r="G936" s="2685" t="s">
        <v>2399</v>
      </c>
      <c r="I936" s="2470"/>
      <c r="M936" s="2467"/>
      <c r="N936" s="2467"/>
      <c r="P936" s="2469"/>
      <c r="V936" s="2470"/>
      <c r="Z936" s="2467"/>
      <c r="AA936" s="2467"/>
      <c r="AC936" s="2469"/>
      <c r="AI936" s="2470"/>
      <c r="AM936" s="2467"/>
      <c r="AN936" s="2467"/>
      <c r="AP936" s="2530"/>
      <c r="AS936" s="2466"/>
      <c r="AT936" s="2466"/>
      <c r="AY936" s="2470"/>
      <c r="BC936" s="2467"/>
      <c r="BD936" s="2467"/>
      <c r="BF936" s="2575"/>
      <c r="BH936" s="2467"/>
      <c r="BN936" s="2470"/>
      <c r="BR936" s="2474"/>
      <c r="BS936" s="2474"/>
      <c r="BU936" s="2475"/>
      <c r="BW936" s="2474"/>
      <c r="BZ936" s="2474"/>
      <c r="CA936" s="2470">
        <v>210132</v>
      </c>
      <c r="CB936" s="2472">
        <f t="shared" si="527"/>
        <v>210132</v>
      </c>
      <c r="CE936" s="2474">
        <v>84000</v>
      </c>
      <c r="CF936" s="2476"/>
      <c r="CG936" s="2572">
        <v>82000</v>
      </c>
      <c r="CH936" s="2449" t="s">
        <v>1217</v>
      </c>
      <c r="CI936" s="2449"/>
      <c r="CJ936" s="2450"/>
      <c r="CK936" s="2450"/>
      <c r="CP936" s="2478">
        <f t="shared" si="489"/>
        <v>0</v>
      </c>
      <c r="CQ936" s="2478"/>
      <c r="CR936" s="2478"/>
      <c r="CS936" s="2478"/>
      <c r="CT936" s="2478"/>
    </row>
    <row r="937" spans="1:98" hidden="1" x14ac:dyDescent="0.2">
      <c r="A937" s="2395">
        <v>915</v>
      </c>
      <c r="C937" s="2396">
        <v>91505</v>
      </c>
      <c r="D937" s="2396">
        <v>51754</v>
      </c>
      <c r="G937" s="2685" t="s">
        <v>2400</v>
      </c>
      <c r="I937" s="2470"/>
      <c r="M937" s="2467"/>
      <c r="N937" s="2467"/>
      <c r="P937" s="2469"/>
      <c r="V937" s="2470"/>
      <c r="Z937" s="2467"/>
      <c r="AA937" s="2467"/>
      <c r="AC937" s="2469"/>
      <c r="AI937" s="2470"/>
      <c r="AM937" s="2467"/>
      <c r="AN937" s="2467"/>
      <c r="AP937" s="2530"/>
      <c r="AS937" s="2466"/>
      <c r="AT937" s="2466"/>
      <c r="AY937" s="2470"/>
      <c r="BC937" s="2467"/>
      <c r="BD937" s="2467"/>
      <c r="BF937" s="2575"/>
      <c r="BH937" s="2467"/>
      <c r="BN937" s="2470"/>
      <c r="BR937" s="2474"/>
      <c r="BS937" s="2474"/>
      <c r="BU937" s="2475"/>
      <c r="BW937" s="2474"/>
      <c r="BZ937" s="2474"/>
      <c r="CA937" s="2470">
        <v>6304</v>
      </c>
      <c r="CB937" s="2472">
        <f t="shared" si="527"/>
        <v>6304</v>
      </c>
      <c r="CE937" s="2474">
        <v>126000</v>
      </c>
      <c r="CF937" s="2476"/>
      <c r="CG937" s="2474">
        <v>126000</v>
      </c>
      <c r="CH937" s="2449" t="s">
        <v>1217</v>
      </c>
      <c r="CI937" s="2449"/>
      <c r="CJ937" s="2450"/>
      <c r="CK937" s="2450"/>
      <c r="CP937" s="2478">
        <f t="shared" si="489"/>
        <v>0</v>
      </c>
      <c r="CQ937" s="2478"/>
      <c r="CR937" s="2478"/>
      <c r="CS937" s="2478"/>
      <c r="CT937" s="2478"/>
    </row>
    <row r="938" spans="1:98" hidden="1" x14ac:dyDescent="0.2">
      <c r="A938" s="2395">
        <v>915</v>
      </c>
      <c r="B938" s="2440" t="s">
        <v>1214</v>
      </c>
      <c r="C938" s="2396">
        <v>91505</v>
      </c>
      <c r="D938" s="2396">
        <v>51770</v>
      </c>
      <c r="F938" s="2440" t="s">
        <v>1214</v>
      </c>
      <c r="G938" s="2440" t="s">
        <v>2401</v>
      </c>
      <c r="H938" s="2466">
        <v>7200</v>
      </c>
      <c r="I938" s="2470"/>
      <c r="J938" s="2466">
        <f t="shared" si="517"/>
        <v>7200</v>
      </c>
      <c r="K938" s="2468">
        <f t="shared" si="518"/>
        <v>0</v>
      </c>
      <c r="M938" s="2467">
        <v>7200</v>
      </c>
      <c r="N938" s="2467">
        <v>7200</v>
      </c>
      <c r="P938" s="2469"/>
      <c r="R938" s="2466">
        <v>7200</v>
      </c>
      <c r="S938" s="2466">
        <v>3451</v>
      </c>
      <c r="U938" s="2466">
        <v>7200</v>
      </c>
      <c r="V938" s="2470"/>
      <c r="W938" s="2466">
        <f t="shared" si="519"/>
        <v>7200</v>
      </c>
      <c r="X938" s="2468">
        <f t="shared" si="520"/>
        <v>0</v>
      </c>
      <c r="Z938" s="2467">
        <v>7200</v>
      </c>
      <c r="AA938" s="2467">
        <v>7200</v>
      </c>
      <c r="AC938" s="2469"/>
      <c r="AE938" s="2466">
        <v>7200</v>
      </c>
      <c r="AF938" s="2471">
        <v>4210</v>
      </c>
      <c r="AH938" s="2466">
        <v>7200</v>
      </c>
      <c r="AI938" s="2470">
        <v>-3000</v>
      </c>
      <c r="AJ938" s="2466">
        <f t="shared" si="521"/>
        <v>4200</v>
      </c>
      <c r="AK938" s="2468">
        <f t="shared" si="522"/>
        <v>-0.41666666666666669</v>
      </c>
      <c r="AM938" s="2467">
        <v>4200</v>
      </c>
      <c r="AN938" s="2467">
        <v>4200</v>
      </c>
      <c r="AP938" s="2469"/>
      <c r="AR938" s="2466">
        <v>4200</v>
      </c>
      <c r="AS938" s="2466">
        <v>4086</v>
      </c>
      <c r="AT938" s="2466"/>
      <c r="AU938" s="2466">
        <v>4200</v>
      </c>
      <c r="AV938" s="2466">
        <v>4583</v>
      </c>
      <c r="AX938" s="2466">
        <v>4200</v>
      </c>
      <c r="AY938" s="2470"/>
      <c r="AZ938" s="2466">
        <f t="shared" si="523"/>
        <v>4200</v>
      </c>
      <c r="BA938" s="2468">
        <f t="shared" si="524"/>
        <v>0</v>
      </c>
      <c r="BC938" s="2467">
        <v>4200</v>
      </c>
      <c r="BD938" s="2467">
        <v>4200</v>
      </c>
      <c r="BF938" s="2575"/>
      <c r="BH938" s="2467">
        <v>4200</v>
      </c>
      <c r="BI938" s="2466">
        <v>4306</v>
      </c>
      <c r="BM938" s="2466">
        <v>4200</v>
      </c>
      <c r="BN938" s="2470">
        <v>350</v>
      </c>
      <c r="BO938" s="2472">
        <f t="shared" si="525"/>
        <v>4550</v>
      </c>
      <c r="BP938" s="2473">
        <f t="shared" si="526"/>
        <v>8.3333333333333329E-2</v>
      </c>
      <c r="BR938" s="2474">
        <v>4550</v>
      </c>
      <c r="BS938" s="2474">
        <v>4550</v>
      </c>
      <c r="BU938" s="2475"/>
      <c r="BW938" s="2474">
        <v>4550</v>
      </c>
      <c r="BX938" s="2466">
        <v>1121</v>
      </c>
      <c r="BZ938" s="2474">
        <v>4550</v>
      </c>
      <c r="CA938" s="2470"/>
      <c r="CB938" s="2472">
        <f t="shared" si="527"/>
        <v>4550</v>
      </c>
      <c r="CC938" s="2473">
        <f t="shared" si="528"/>
        <v>0</v>
      </c>
      <c r="CE938" s="2474">
        <v>4550</v>
      </c>
      <c r="CF938" s="2476">
        <f>IF(CB938=0," ",(CE938-CB938)/CB938)</f>
        <v>0</v>
      </c>
      <c r="CG938" s="2474">
        <v>4550</v>
      </c>
      <c r="CH938" s="2449" t="s">
        <v>1217</v>
      </c>
      <c r="CI938" s="2449"/>
      <c r="CJ938" s="2450"/>
      <c r="CK938" s="2450"/>
      <c r="CO938" s="2477">
        <v>2.5238095238095282E-2</v>
      </c>
      <c r="CP938" s="2478">
        <f t="shared" si="489"/>
        <v>106</v>
      </c>
      <c r="CQ938" s="2478"/>
      <c r="CR938" s="2478"/>
      <c r="CS938" s="2478"/>
      <c r="CT938" s="2478"/>
    </row>
    <row r="939" spans="1:98" hidden="1" x14ac:dyDescent="0.2">
      <c r="A939" s="2395">
        <v>915</v>
      </c>
      <c r="B939" s="2440" t="s">
        <v>1214</v>
      </c>
      <c r="C939" s="2396">
        <v>91505</v>
      </c>
      <c r="D939" s="2396">
        <v>51771</v>
      </c>
      <c r="F939" s="2440" t="s">
        <v>1214</v>
      </c>
      <c r="G939" s="2440" t="s">
        <v>2402</v>
      </c>
      <c r="H939" s="2466">
        <v>6000</v>
      </c>
      <c r="I939" s="2470"/>
      <c r="J939" s="2466">
        <f t="shared" si="517"/>
        <v>6000</v>
      </c>
      <c r="K939" s="2468">
        <f t="shared" si="518"/>
        <v>0</v>
      </c>
      <c r="M939" s="2467">
        <v>6000</v>
      </c>
      <c r="N939" s="2467">
        <v>6000</v>
      </c>
      <c r="P939" s="2469"/>
      <c r="R939" s="2466">
        <v>6000</v>
      </c>
      <c r="S939" s="2466">
        <v>0</v>
      </c>
      <c r="U939" s="2466">
        <v>6000</v>
      </c>
      <c r="V939" s="2470"/>
      <c r="W939" s="2466">
        <f t="shared" si="519"/>
        <v>6000</v>
      </c>
      <c r="X939" s="2468">
        <f t="shared" si="520"/>
        <v>0</v>
      </c>
      <c r="Z939" s="2467">
        <v>6000</v>
      </c>
      <c r="AA939" s="2467">
        <v>6000</v>
      </c>
      <c r="AC939" s="2469"/>
      <c r="AE939" s="2466">
        <v>6000</v>
      </c>
      <c r="AF939" s="2471">
        <v>0</v>
      </c>
      <c r="AH939" s="2466">
        <v>6000</v>
      </c>
      <c r="AI939" s="2470">
        <v>-5000</v>
      </c>
      <c r="AJ939" s="2466">
        <f t="shared" si="521"/>
        <v>1000</v>
      </c>
      <c r="AK939" s="2468">
        <f t="shared" si="522"/>
        <v>-0.83333333333333337</v>
      </c>
      <c r="AM939" s="2467">
        <v>2000</v>
      </c>
      <c r="AN939" s="2467">
        <v>2000</v>
      </c>
      <c r="AP939" s="2469"/>
      <c r="AR939" s="2466">
        <v>2000</v>
      </c>
      <c r="AS939" s="2466">
        <v>0</v>
      </c>
      <c r="AT939" s="2466"/>
      <c r="AU939" s="2466">
        <v>2000</v>
      </c>
      <c r="AV939" s="2466">
        <v>0</v>
      </c>
      <c r="AX939" s="2466">
        <v>2000</v>
      </c>
      <c r="AY939" s="2470"/>
      <c r="AZ939" s="2466">
        <f t="shared" si="523"/>
        <v>2000</v>
      </c>
      <c r="BA939" s="2468">
        <f t="shared" si="524"/>
        <v>0</v>
      </c>
      <c r="BC939" s="2467">
        <v>2000</v>
      </c>
      <c r="BD939" s="2467">
        <v>2000</v>
      </c>
      <c r="BF939" s="2469"/>
      <c r="BH939" s="2467">
        <v>2000</v>
      </c>
      <c r="BI939" s="2466">
        <v>0</v>
      </c>
      <c r="BM939" s="2466">
        <v>2000</v>
      </c>
      <c r="BN939" s="2470"/>
      <c r="BO939" s="2472">
        <f t="shared" si="525"/>
        <v>2000</v>
      </c>
      <c r="BP939" s="2473">
        <f t="shared" si="526"/>
        <v>0</v>
      </c>
      <c r="BR939" s="2474">
        <v>0</v>
      </c>
      <c r="BS939" s="2688">
        <v>0</v>
      </c>
      <c r="BU939" s="2475"/>
      <c r="BW939" s="2688">
        <v>0</v>
      </c>
      <c r="BZ939" s="2688">
        <v>0</v>
      </c>
      <c r="CA939" s="2470"/>
      <c r="CB939" s="2472">
        <f t="shared" si="527"/>
        <v>0</v>
      </c>
      <c r="CC939" s="2473" t="str">
        <f t="shared" si="528"/>
        <v xml:space="preserve"> </v>
      </c>
      <c r="CE939" s="2474">
        <v>0</v>
      </c>
      <c r="CF939" s="2476" t="str">
        <f>IF(CB939=0," ",(CE939-CB939)/CB939)</f>
        <v xml:space="preserve"> </v>
      </c>
      <c r="CG939" s="2474">
        <v>0</v>
      </c>
      <c r="CH939" s="2449" t="s">
        <v>1217</v>
      </c>
      <c r="CI939" s="2449"/>
      <c r="CJ939" s="2450"/>
      <c r="CK939" s="2450"/>
      <c r="CO939" s="2477" t="s">
        <v>1218</v>
      </c>
      <c r="CP939" s="2478">
        <f t="shared" si="489"/>
        <v>-2000</v>
      </c>
      <c r="CQ939" s="2478"/>
      <c r="CR939" s="2478"/>
      <c r="CS939" s="2478"/>
      <c r="CT939" s="2478"/>
    </row>
    <row r="940" spans="1:98" s="2485" customFormat="1" hidden="1" x14ac:dyDescent="0.2">
      <c r="A940" s="2532"/>
      <c r="B940" s="2533"/>
      <c r="C940" s="2534"/>
      <c r="D940" s="2534"/>
      <c r="E940" s="2535"/>
      <c r="F940" s="2533"/>
      <c r="G940" s="2654" t="s">
        <v>2403</v>
      </c>
      <c r="H940" s="2536">
        <f>SUM(H928:H939)</f>
        <v>2294114</v>
      </c>
      <c r="I940" s="2536">
        <f>SUM(I928:I939)</f>
        <v>94970</v>
      </c>
      <c r="J940" s="2536">
        <f>SUM(J928:J939)</f>
        <v>2389084</v>
      </c>
      <c r="K940" s="2484">
        <f>IF(H940=0," ",(J940-H940)/H940)</f>
        <v>4.139724529818483E-2</v>
      </c>
      <c r="M940" s="2536">
        <f>SUM(M928:M939)</f>
        <v>2389084</v>
      </c>
      <c r="N940" s="2536">
        <f>SUM(N928:N939)</f>
        <v>2364084</v>
      </c>
      <c r="P940" s="2537">
        <f>SUM(P928:P939)</f>
        <v>0</v>
      </c>
      <c r="R940" s="2536">
        <f>SUM(R928:R939)</f>
        <v>2364084</v>
      </c>
      <c r="S940" s="2536">
        <f>SUM(S928:S939)</f>
        <v>1990370.04</v>
      </c>
      <c r="U940" s="2536">
        <f>SUM(U928:U939)</f>
        <v>2364084</v>
      </c>
      <c r="V940" s="2536">
        <f>SUM(V928:V939)</f>
        <v>-60000</v>
      </c>
      <c r="W940" s="2536">
        <f>SUM(W928:W939)</f>
        <v>2304084</v>
      </c>
      <c r="X940" s="2484">
        <f>IF(U940=0," ",(W940-U940)/U940)</f>
        <v>-2.5379808839279823E-2</v>
      </c>
      <c r="Z940" s="2536">
        <f>SUM(Z928:Z939)</f>
        <v>2304084</v>
      </c>
      <c r="AA940" s="2536">
        <f>SUM(AA928:AA939)</f>
        <v>2312733</v>
      </c>
      <c r="AC940" s="2537"/>
      <c r="AE940" s="2536">
        <f>SUM(AE928:AE939)</f>
        <v>2312733</v>
      </c>
      <c r="AF940" s="2536">
        <f>SUM(AF928:AF939)</f>
        <v>2116117.0499999998</v>
      </c>
      <c r="AH940" s="2536">
        <f>SUM(AH928:AH939)</f>
        <v>2312733</v>
      </c>
      <c r="AI940" s="2536">
        <f>SUM(AI928:AI939)</f>
        <v>-8000</v>
      </c>
      <c r="AJ940" s="2536">
        <f>SUM(AJ928:AJ939)</f>
        <v>2304733</v>
      </c>
      <c r="AK940" s="2484">
        <f>IF(AH940=0," ",(AJ940-AH940)/AH940)</f>
        <v>-3.4591109306608241E-3</v>
      </c>
      <c r="AM940" s="2536">
        <f>SUM(AM928:AM939)</f>
        <v>2309587</v>
      </c>
      <c r="AN940" s="2536">
        <f>SUM(AN928:AN939)</f>
        <v>2309587</v>
      </c>
      <c r="AP940" s="2537"/>
      <c r="AR940" s="2536">
        <f>SUM(AR928:AR939)</f>
        <v>2309587</v>
      </c>
      <c r="AS940" s="2536">
        <f>SUM(AS928:AS939)</f>
        <v>2179584.35</v>
      </c>
      <c r="AT940" s="2536"/>
      <c r="AU940" s="2536">
        <f>SUM(AU928:AU939)</f>
        <v>2318987</v>
      </c>
      <c r="AV940" s="2536">
        <f>SUM(AV928:AV939)</f>
        <v>1963534.84</v>
      </c>
      <c r="AX940" s="2536">
        <f>SUM(AX928:AX939)</f>
        <v>2318987</v>
      </c>
      <c r="AY940" s="2536">
        <f>SUM(AY928:AY939)</f>
        <v>164200</v>
      </c>
      <c r="AZ940" s="2536">
        <f>SUM(AZ928:AZ939)</f>
        <v>2483187</v>
      </c>
      <c r="BA940" s="2484">
        <f>IF(AX940=0," ",(AZ940-AX940)/AX940)</f>
        <v>7.0806778994448871E-2</v>
      </c>
      <c r="BC940" s="2536">
        <f>SUM(BC928:BC939)</f>
        <v>2323187</v>
      </c>
      <c r="BD940" s="2536">
        <f>SUM(BD928:BD939)</f>
        <v>2273187</v>
      </c>
      <c r="BF940" s="2537"/>
      <c r="BH940" s="2536">
        <f>SUM(BH928:BH939)</f>
        <v>2273187</v>
      </c>
      <c r="BI940" s="2536">
        <f>SUM(BI928:BI939)</f>
        <v>2027568.34</v>
      </c>
      <c r="BJ940" s="2536"/>
      <c r="BK940" s="2536"/>
      <c r="BM940" s="2536">
        <f>SUM(BM928:BM939)</f>
        <v>2273187</v>
      </c>
      <c r="BN940" s="2536">
        <f>SUM(BN928:BN939)</f>
        <v>176000</v>
      </c>
      <c r="BO940" s="2536">
        <f>SUM(BO928:BO939)</f>
        <v>2449187</v>
      </c>
      <c r="BP940" s="2490">
        <f>IF(BM940=0," ",(BO940-BM940)/BM940)</f>
        <v>7.7424338604787021E-2</v>
      </c>
      <c r="BQ940" s="2491"/>
      <c r="BR940" s="2536">
        <f>SUM(BR928:BR939)</f>
        <v>2447187</v>
      </c>
      <c r="BS940" s="2536">
        <f>SUM(BS928:BS939)</f>
        <v>2351187</v>
      </c>
      <c r="BT940" s="2491"/>
      <c r="BU940" s="2541"/>
      <c r="BV940" s="2491"/>
      <c r="BW940" s="2536">
        <f>SUM(BW928:BW939)</f>
        <v>2351187</v>
      </c>
      <c r="BX940" s="2536">
        <f>SUM(BX928:BX939)</f>
        <v>1066889.2</v>
      </c>
      <c r="BZ940" s="2536">
        <f>SUM(BZ928:BZ939)</f>
        <v>2351187</v>
      </c>
      <c r="CA940" s="2536">
        <f>SUM(CA928:CA939)</f>
        <v>146616</v>
      </c>
      <c r="CB940" s="2536">
        <f>SUM(CB928:CB939)</f>
        <v>2497803</v>
      </c>
      <c r="CC940" s="2490">
        <f>IF(BZ940=0," ",(CB940-BZ940)/BZ940)</f>
        <v>6.2358289663901681E-2</v>
      </c>
      <c r="CD940" s="2491"/>
      <c r="CE940" s="2536">
        <f>SUM(CE928:CE939)</f>
        <v>2491367</v>
      </c>
      <c r="CF940" s="2490">
        <f>IF(CB940=0," ",(CE940-CB940)/CB940)</f>
        <v>-2.5766643726506853E-3</v>
      </c>
      <c r="CG940" s="2536">
        <f>SUM(CG928:CG939)</f>
        <v>2454367</v>
      </c>
      <c r="CH940" s="2449" t="s">
        <v>1220</v>
      </c>
      <c r="CI940" s="2449"/>
      <c r="CJ940" s="2450"/>
      <c r="CK940" s="2450"/>
      <c r="CL940" s="2451"/>
      <c r="CM940" s="2451"/>
      <c r="CN940" s="2451"/>
      <c r="CO940" s="2477">
        <v>-0.10805035397439799</v>
      </c>
      <c r="CP940" s="2478">
        <f t="shared" si="489"/>
        <v>-245618.65999999992</v>
      </c>
      <c r="CQ940" s="2478"/>
      <c r="CR940" s="2478"/>
      <c r="CS940" s="2478"/>
      <c r="CT940" s="2478"/>
    </row>
    <row r="941" spans="1:98" ht="9.9499999999999993" hidden="1" customHeight="1" x14ac:dyDescent="0.2">
      <c r="AS941" s="2466"/>
      <c r="AT941" s="2466"/>
      <c r="BZ941" s="2472"/>
      <c r="CA941" s="2472"/>
      <c r="CH941" s="2449" t="s">
        <v>1091</v>
      </c>
      <c r="CI941" s="2449"/>
      <c r="CJ941" s="2450"/>
      <c r="CK941" s="2450"/>
      <c r="CP941" s="2478">
        <f t="shared" si="489"/>
        <v>0</v>
      </c>
      <c r="CQ941" s="2478"/>
      <c r="CR941" s="2478"/>
      <c r="CS941" s="2478"/>
      <c r="CT941" s="2478"/>
    </row>
    <row r="942" spans="1:98" x14ac:dyDescent="0.2">
      <c r="A942" s="2495"/>
      <c r="B942" s="2496"/>
      <c r="C942" s="2497"/>
      <c r="D942" s="2497"/>
      <c r="E942" s="2498"/>
      <c r="F942" s="2496"/>
      <c r="G942" s="2499" t="s">
        <v>2404</v>
      </c>
      <c r="H942" s="2500">
        <f t="shared" ref="H942:J942" si="529">H940</f>
        <v>2294114</v>
      </c>
      <c r="I942" s="2500">
        <f t="shared" si="529"/>
        <v>94970</v>
      </c>
      <c r="J942" s="2500">
        <f t="shared" si="529"/>
        <v>2389084</v>
      </c>
      <c r="K942" s="2501">
        <f>IF(H942=0," ",(J942-H942)/H942)</f>
        <v>4.139724529818483E-2</v>
      </c>
      <c r="M942" s="2500">
        <f>M940</f>
        <v>2389084</v>
      </c>
      <c r="N942" s="2500">
        <f>N940</f>
        <v>2364084</v>
      </c>
      <c r="P942" s="2502">
        <f>P940</f>
        <v>0</v>
      </c>
      <c r="R942" s="2500">
        <f>R940</f>
        <v>2364084</v>
      </c>
      <c r="S942" s="2500">
        <f>S940</f>
        <v>1990370.04</v>
      </c>
      <c r="U942" s="2500">
        <f>U940</f>
        <v>2364084</v>
      </c>
      <c r="V942" s="2500">
        <f>V940</f>
        <v>-60000</v>
      </c>
      <c r="W942" s="2500">
        <f>W940</f>
        <v>2304084</v>
      </c>
      <c r="X942" s="2501">
        <f>IF(U942=0," ",(W942-U942)/U942)</f>
        <v>-2.5379808839279823E-2</v>
      </c>
      <c r="Z942" s="2500">
        <f>Z940</f>
        <v>2304084</v>
      </c>
      <c r="AA942" s="2500">
        <f>AA940</f>
        <v>2312733</v>
      </c>
      <c r="AC942" s="2502"/>
      <c r="AE942" s="2500">
        <f>AE940</f>
        <v>2312733</v>
      </c>
      <c r="AF942" s="2503">
        <f>AF940</f>
        <v>2116117.0499999998</v>
      </c>
      <c r="AH942" s="2500">
        <v>3453074</v>
      </c>
      <c r="AI942" s="2500">
        <f>AI940</f>
        <v>-8000</v>
      </c>
      <c r="AJ942" s="2500">
        <f>AJ940</f>
        <v>2304733</v>
      </c>
      <c r="AK942" s="2501">
        <f>IF(AH942=0," ",(AJ942-AH942)/AH942)</f>
        <v>-0.33255615141754852</v>
      </c>
      <c r="AM942" s="2500">
        <f>AM940</f>
        <v>2309587</v>
      </c>
      <c r="AN942" s="2500">
        <f>AN940</f>
        <v>2309587</v>
      </c>
      <c r="AP942" s="2502"/>
      <c r="AR942" s="2500">
        <f>AR940</f>
        <v>2309587</v>
      </c>
      <c r="AS942" s="2500">
        <f>AS940</f>
        <v>2179584.35</v>
      </c>
      <c r="AT942" s="2500"/>
      <c r="AU942" s="2500">
        <f>AU940</f>
        <v>2318987</v>
      </c>
      <c r="AV942" s="2500">
        <f>AV940</f>
        <v>1963534.84</v>
      </c>
      <c r="AX942" s="2500">
        <f>AX940</f>
        <v>2318987</v>
      </c>
      <c r="AY942" s="2500">
        <f>AY940</f>
        <v>164200</v>
      </c>
      <c r="AZ942" s="2500">
        <f>AZ940</f>
        <v>2483187</v>
      </c>
      <c r="BA942" s="2501">
        <f>IF(AX942=0," ",(AZ942-AX942)/AX942)</f>
        <v>7.0806778994448871E-2</v>
      </c>
      <c r="BC942" s="2500">
        <f>BC940</f>
        <v>2323187</v>
      </c>
      <c r="BD942" s="2500">
        <f>BD940</f>
        <v>2273187</v>
      </c>
      <c r="BF942" s="2502"/>
      <c r="BH942" s="2500">
        <f>BH940</f>
        <v>2273187</v>
      </c>
      <c r="BI942" s="2500">
        <f>BI940</f>
        <v>2027568.34</v>
      </c>
      <c r="BJ942" s="2500"/>
      <c r="BK942" s="2500"/>
      <c r="BM942" s="2500">
        <f>BM940</f>
        <v>2273187</v>
      </c>
      <c r="BN942" s="2504">
        <f>BN940</f>
        <v>176000</v>
      </c>
      <c r="BO942" s="2505">
        <f>BO940</f>
        <v>2449187</v>
      </c>
      <c r="BP942" s="2506">
        <f>IF(BM942=0," ",(BO942-BM942)/BM942)</f>
        <v>7.7424338604787021E-2</v>
      </c>
      <c r="BR942" s="2505">
        <f>BR940</f>
        <v>2447187</v>
      </c>
      <c r="BS942" s="2505">
        <f>BS940</f>
        <v>2351187</v>
      </c>
      <c r="BU942" s="2507"/>
      <c r="BW942" s="2505">
        <f>BW940</f>
        <v>2351187</v>
      </c>
      <c r="BX942" s="2500">
        <f>BX940</f>
        <v>1066889.2</v>
      </c>
      <c r="BZ942" s="2505">
        <f>BZ940</f>
        <v>2351187</v>
      </c>
      <c r="CA942" s="2505">
        <f>CA940</f>
        <v>146616</v>
      </c>
      <c r="CB942" s="2505">
        <f>CB940</f>
        <v>2497803</v>
      </c>
      <c r="CC942" s="2506">
        <f>IF(BZ942=0," ",(CB942-BZ942)/BZ942)</f>
        <v>6.2358289663901681E-2</v>
      </c>
      <c r="CE942" s="2505">
        <f>CE940</f>
        <v>2491367</v>
      </c>
      <c r="CF942" s="2506">
        <f>IF(CB942=0," ",(CE942-CB942)/CB942)</f>
        <v>-2.5766643726506853E-3</v>
      </c>
      <c r="CG942" s="2505">
        <f>CG940</f>
        <v>2454367</v>
      </c>
      <c r="CH942" s="2449" t="s">
        <v>1222</v>
      </c>
      <c r="CI942" s="2508">
        <f>IF(CG942-CE942=0,"",CG942-CE942)</f>
        <v>-37000</v>
      </c>
      <c r="CJ942" s="2509"/>
      <c r="CK942" s="2509"/>
      <c r="CL942" s="2451" t="str">
        <f>IF(CO942&lt;-1*CM$2,"examine","ignore")</f>
        <v>examine</v>
      </c>
      <c r="CM942" s="2545">
        <f>IF(CL942="examine",CP942+CM$2*CP942/CO942,"")</f>
        <v>-154691.17999999988</v>
      </c>
      <c r="CN942" s="2545">
        <f>IF(CI942="",CM942,CM942-CI942)</f>
        <v>-117691.17999999988</v>
      </c>
      <c r="CO942" s="2477">
        <v>-0.10805035397439799</v>
      </c>
      <c r="CP942" s="2510">
        <f t="shared" si="489"/>
        <v>-245618.65999999992</v>
      </c>
      <c r="CQ942" s="2510">
        <f>AV942-AU942</f>
        <v>-355452.15999999992</v>
      </c>
      <c r="CR942" s="2510">
        <f>AS942-AR942</f>
        <v>-130002.64999999991</v>
      </c>
      <c r="CS942" s="2510">
        <f>AF942-AE942</f>
        <v>-196615.95000000019</v>
      </c>
    </row>
    <row r="943" spans="1:98" ht="20.100000000000001" hidden="1" customHeight="1" x14ac:dyDescent="0.2">
      <c r="AS943" s="2466"/>
      <c r="AT943" s="2466"/>
      <c r="BZ943" s="2472"/>
      <c r="CH943" s="2449" t="s">
        <v>1091</v>
      </c>
      <c r="CI943" s="2449"/>
      <c r="CJ943" s="2450"/>
      <c r="CK943" s="2450"/>
      <c r="CP943" s="2478">
        <f t="shared" si="489"/>
        <v>0</v>
      </c>
      <c r="CQ943" s="2478"/>
      <c r="CR943" s="2478"/>
      <c r="CS943" s="2478"/>
      <c r="CT943" s="2478"/>
    </row>
    <row r="944" spans="1:98" ht="15.75" hidden="1" x14ac:dyDescent="0.2">
      <c r="A944" s="2453" t="s">
        <v>2405</v>
      </c>
      <c r="B944" s="2454"/>
      <c r="C944" s="2455"/>
      <c r="D944" s="2455"/>
      <c r="E944" s="2456"/>
      <c r="F944" s="2454"/>
      <c r="G944" s="2454"/>
      <c r="H944" s="2457"/>
      <c r="I944" s="2457"/>
      <c r="J944" s="2457"/>
      <c r="K944" s="2458"/>
      <c r="M944" s="2457"/>
      <c r="N944" s="2457"/>
      <c r="P944" s="2459"/>
      <c r="R944" s="2457"/>
      <c r="S944" s="2457"/>
      <c r="U944" s="2457"/>
      <c r="V944" s="2457"/>
      <c r="W944" s="2457"/>
      <c r="X944" s="2458"/>
      <c r="Z944" s="2457"/>
      <c r="AA944" s="2457"/>
      <c r="AC944" s="2459"/>
      <c r="AE944" s="2457"/>
      <c r="AF944" s="2460"/>
      <c r="AH944" s="2457"/>
      <c r="AI944" s="2457"/>
      <c r="AJ944" s="2457"/>
      <c r="AK944" s="2458"/>
      <c r="AM944" s="2457"/>
      <c r="AN944" s="2457"/>
      <c r="AP944" s="2459"/>
      <c r="AR944" s="2457"/>
      <c r="AS944" s="2457"/>
      <c r="AT944" s="2457"/>
      <c r="AU944" s="2457"/>
      <c r="AV944" s="2457"/>
      <c r="AX944" s="2457"/>
      <c r="AY944" s="2457"/>
      <c r="AZ944" s="2457"/>
      <c r="BA944" s="2458"/>
      <c r="BC944" s="2457"/>
      <c r="BD944" s="2457"/>
      <c r="BF944" s="2461"/>
      <c r="BH944" s="2457"/>
      <c r="BI944" s="2457"/>
      <c r="BJ944" s="2457"/>
      <c r="BK944" s="2457"/>
      <c r="BM944" s="2457"/>
      <c r="BN944" s="2462"/>
      <c r="BO944" s="2463"/>
      <c r="BP944" s="2464"/>
      <c r="BR944" s="2463"/>
      <c r="BS944" s="2463"/>
      <c r="BU944" s="2465"/>
      <c r="BW944" s="2463"/>
      <c r="BX944" s="2457"/>
      <c r="BZ944" s="2463"/>
      <c r="CA944" s="2462"/>
      <c r="CB944" s="2463"/>
      <c r="CC944" s="2464"/>
      <c r="CE944" s="2463"/>
      <c r="CF944" s="2464"/>
      <c r="CG944" s="2463"/>
      <c r="CH944" s="2449" t="s">
        <v>1212</v>
      </c>
      <c r="CI944" s="2449"/>
      <c r="CJ944" s="2450"/>
      <c r="CK944" s="2450"/>
      <c r="CP944" s="2478">
        <f t="shared" si="489"/>
        <v>0</v>
      </c>
      <c r="CQ944" s="2478"/>
      <c r="CR944" s="2478"/>
      <c r="CS944" s="2478"/>
      <c r="CT944" s="2478"/>
    </row>
    <row r="945" spans="1:98" hidden="1" x14ac:dyDescent="0.2">
      <c r="A945" s="2395">
        <v>916</v>
      </c>
      <c r="B945" s="2440" t="s">
        <v>1214</v>
      </c>
      <c r="C945" s="2396">
        <v>91605</v>
      </c>
      <c r="D945" s="2396">
        <v>51720</v>
      </c>
      <c r="F945" s="2440" t="s">
        <v>1214</v>
      </c>
      <c r="G945" s="2440" t="s">
        <v>2406</v>
      </c>
      <c r="H945" s="2466">
        <v>64923</v>
      </c>
      <c r="I945" s="2470">
        <v>6492</v>
      </c>
      <c r="J945" s="2466">
        <f t="shared" ref="J945:J950" si="530">H945+I945</f>
        <v>71415</v>
      </c>
      <c r="K945" s="2468">
        <f t="shared" ref="K945:K951" si="531">IF(H945=0," ",(J945-H945)/H945)</f>
        <v>9.9995379141444476E-2</v>
      </c>
      <c r="M945" s="2467">
        <v>68169</v>
      </c>
      <c r="N945" s="2467">
        <v>68169</v>
      </c>
      <c r="P945" s="2469" t="s">
        <v>2407</v>
      </c>
      <c r="R945" s="2466">
        <v>68169</v>
      </c>
      <c r="S945" s="2466">
        <v>68211</v>
      </c>
      <c r="U945" s="2466">
        <v>68169</v>
      </c>
      <c r="V945" s="2470"/>
      <c r="W945" s="2466">
        <f t="shared" ref="W945:W950" si="532">U945+V945</f>
        <v>68169</v>
      </c>
      <c r="X945" s="2468">
        <f t="shared" ref="X945:X951" si="533">IF(U945=0," ",(W945-U945)/U945)</f>
        <v>0</v>
      </c>
      <c r="Z945" s="2467">
        <v>68169</v>
      </c>
      <c r="AA945" s="2467">
        <f>68169+13634</f>
        <v>81803</v>
      </c>
      <c r="AC945" s="2469" t="s">
        <v>2408</v>
      </c>
      <c r="AE945" s="2466">
        <f>68169+13634</f>
        <v>81803</v>
      </c>
      <c r="AF945" s="2471">
        <v>82468</v>
      </c>
      <c r="AH945" s="2466">
        <v>81803</v>
      </c>
      <c r="AI945" s="2470"/>
      <c r="AJ945" s="2466">
        <f t="shared" ref="AJ945:AJ950" si="534">AH945+AI945</f>
        <v>81803</v>
      </c>
      <c r="AK945" s="2468">
        <f t="shared" ref="AK945:AK950" si="535">IF(AH945=0," ",(AJ945-AH945)/AH945)</f>
        <v>0</v>
      </c>
      <c r="AM945" s="2467">
        <f>81803+5727</f>
        <v>87530</v>
      </c>
      <c r="AN945" s="2467">
        <f>81803+5727</f>
        <v>87530</v>
      </c>
      <c r="AO945" s="2546"/>
      <c r="AP945" s="2530" t="s">
        <v>2409</v>
      </c>
      <c r="AR945" s="2466">
        <f>81803+5727</f>
        <v>87530</v>
      </c>
      <c r="AS945" s="2466">
        <v>77101.710000000006</v>
      </c>
      <c r="AT945" s="2466"/>
      <c r="AU945" s="2466">
        <v>91000</v>
      </c>
      <c r="AV945" s="2466">
        <v>79649.13</v>
      </c>
      <c r="AX945" s="2466">
        <v>91000</v>
      </c>
      <c r="AY945" s="2470">
        <v>0</v>
      </c>
      <c r="AZ945" s="2466">
        <f t="shared" ref="AZ945:AZ950" si="536">AX945+AY945</f>
        <v>91000</v>
      </c>
      <c r="BA945" s="2468">
        <f t="shared" ref="BA945:BA950" si="537">IF(AX945=0," ",(AZ945-AX945)/AX945)</f>
        <v>0</v>
      </c>
      <c r="BC945" s="2467">
        <v>91000</v>
      </c>
      <c r="BD945" s="2467">
        <v>91000</v>
      </c>
      <c r="BE945" s="2546"/>
      <c r="BF945" s="2469"/>
      <c r="BH945" s="2467">
        <v>91000</v>
      </c>
      <c r="BI945" s="2466">
        <v>74697.95</v>
      </c>
      <c r="BM945" s="2466">
        <v>91000</v>
      </c>
      <c r="BN945" s="2470">
        <v>4000</v>
      </c>
      <c r="BO945" s="2472">
        <f t="shared" ref="BO945:BO950" si="538">BM945+BN945</f>
        <v>95000</v>
      </c>
      <c r="BP945" s="2473">
        <f t="shared" ref="BP945:BP950" si="539">IF(BM945=0," ",(BO945-BM945)/BM945)</f>
        <v>4.3956043956043959E-2</v>
      </c>
      <c r="BR945" s="2474">
        <v>95000</v>
      </c>
      <c r="BS945" s="2474">
        <v>95000</v>
      </c>
      <c r="BU945" s="2578" t="s">
        <v>2410</v>
      </c>
      <c r="BW945" s="2474">
        <v>95000</v>
      </c>
      <c r="BX945" s="2466">
        <v>76838</v>
      </c>
      <c r="BZ945" s="2474">
        <v>95000</v>
      </c>
      <c r="CA945" s="2470">
        <v>4750</v>
      </c>
      <c r="CB945" s="2472">
        <f t="shared" ref="CB945:CB950" si="540">BZ945+CA945</f>
        <v>99750</v>
      </c>
      <c r="CC945" s="2473">
        <f t="shared" ref="CC945:CC950" si="541">IF(BZ945=0," ",(CB945-BZ945)/BZ945)</f>
        <v>0.05</v>
      </c>
      <c r="CE945" s="2474">
        <v>99750</v>
      </c>
      <c r="CF945" s="2476">
        <f>IF(CB945=0," ",(CE945-CB945)/CB945)</f>
        <v>0</v>
      </c>
      <c r="CG945" s="2572">
        <f>99750-17790</f>
        <v>81960</v>
      </c>
      <c r="CH945" s="2449" t="s">
        <v>1217</v>
      </c>
      <c r="CI945" s="2449"/>
      <c r="CJ945" s="2450"/>
      <c r="CK945" s="2450"/>
      <c r="CO945" s="2477">
        <v>-0.17914340659340666</v>
      </c>
      <c r="CP945" s="2478">
        <f t="shared" si="489"/>
        <v>-16302.050000000003</v>
      </c>
      <c r="CQ945" s="2478"/>
      <c r="CR945" s="2478"/>
      <c r="CS945" s="2478"/>
      <c r="CT945" s="2478"/>
    </row>
    <row r="946" spans="1:98" hidden="1" x14ac:dyDescent="0.2">
      <c r="A946" s="2395">
        <v>916</v>
      </c>
      <c r="B946" s="2440" t="s">
        <v>1214</v>
      </c>
      <c r="C946" s="2396">
        <v>91605</v>
      </c>
      <c r="D946" s="2396">
        <v>57400</v>
      </c>
      <c r="F946" s="2440" t="s">
        <v>1214</v>
      </c>
      <c r="G946" s="2440" t="s">
        <v>2411</v>
      </c>
      <c r="H946" s="2466">
        <v>196113</v>
      </c>
      <c r="I946" s="2470">
        <v>19611</v>
      </c>
      <c r="J946" s="2466">
        <f t="shared" si="530"/>
        <v>215724</v>
      </c>
      <c r="K946" s="2468">
        <f t="shared" si="531"/>
        <v>9.9998470269691456E-2</v>
      </c>
      <c r="M946" s="2467">
        <v>205920</v>
      </c>
      <c r="N946" s="2467">
        <v>205920</v>
      </c>
      <c r="P946" s="2469" t="s">
        <v>2407</v>
      </c>
      <c r="R946" s="2466">
        <v>205920</v>
      </c>
      <c r="S946" s="2466">
        <v>164980</v>
      </c>
      <c r="U946" s="2466">
        <v>205920</v>
      </c>
      <c r="V946" s="2470"/>
      <c r="W946" s="2466">
        <f t="shared" si="532"/>
        <v>205920</v>
      </c>
      <c r="X946" s="2468">
        <f t="shared" si="533"/>
        <v>0</v>
      </c>
      <c r="Z946" s="2467">
        <v>205920</v>
      </c>
      <c r="AA946" s="2467">
        <f>205920+20592</f>
        <v>226512</v>
      </c>
      <c r="AC946" s="2469" t="s">
        <v>2412</v>
      </c>
      <c r="AE946" s="2466">
        <f>205920+20592</f>
        <v>226512</v>
      </c>
      <c r="AF946" s="2471">
        <v>146488.92000000001</v>
      </c>
      <c r="AH946" s="2466">
        <v>226512</v>
      </c>
      <c r="AI946" s="2470"/>
      <c r="AJ946" s="2466">
        <f t="shared" si="534"/>
        <v>226512</v>
      </c>
      <c r="AK946" s="2468">
        <f t="shared" si="535"/>
        <v>0</v>
      </c>
      <c r="AM946" s="2467">
        <f>226512+65000</f>
        <v>291512</v>
      </c>
      <c r="AN946" s="2467">
        <f>226512+65000</f>
        <v>291512</v>
      </c>
      <c r="AO946" s="2546"/>
      <c r="AP946" s="2530" t="s">
        <v>2413</v>
      </c>
      <c r="AR946" s="2466">
        <f>226512+65000</f>
        <v>291512</v>
      </c>
      <c r="AS946" s="2466">
        <v>156660.07999999999</v>
      </c>
      <c r="AT946" s="2466"/>
      <c r="AU946" s="2466">
        <v>291512</v>
      </c>
      <c r="AV946" s="2466">
        <v>160704.17000000001</v>
      </c>
      <c r="AX946" s="2466">
        <v>291512</v>
      </c>
      <c r="AY946" s="2470">
        <v>0</v>
      </c>
      <c r="AZ946" s="2466">
        <f t="shared" si="536"/>
        <v>291512</v>
      </c>
      <c r="BA946" s="2468">
        <f t="shared" si="537"/>
        <v>0</v>
      </c>
      <c r="BC946" s="2467">
        <v>291512</v>
      </c>
      <c r="BD946" s="2467">
        <v>291512</v>
      </c>
      <c r="BE946" s="2546"/>
      <c r="BF946" s="2469"/>
      <c r="BH946" s="2467">
        <v>291512</v>
      </c>
      <c r="BI946" s="2466">
        <v>193582.05</v>
      </c>
      <c r="BM946" s="2466">
        <v>291512</v>
      </c>
      <c r="BN946" s="2470">
        <v>-76512</v>
      </c>
      <c r="BO946" s="2472">
        <f t="shared" si="538"/>
        <v>215000</v>
      </c>
      <c r="BP946" s="2473">
        <f t="shared" si="539"/>
        <v>-0.26246603913389499</v>
      </c>
      <c r="BR946" s="2474">
        <v>215000</v>
      </c>
      <c r="BS946" s="2474">
        <v>215000</v>
      </c>
      <c r="BU946" s="2578" t="s">
        <v>2410</v>
      </c>
      <c r="BW946" s="2474">
        <v>215000</v>
      </c>
      <c r="BX946" s="2466">
        <v>177367</v>
      </c>
      <c r="BZ946" s="2474">
        <v>215000</v>
      </c>
      <c r="CA946" s="2470">
        <v>10750</v>
      </c>
      <c r="CB946" s="2472">
        <f t="shared" si="540"/>
        <v>225750</v>
      </c>
      <c r="CC946" s="2473">
        <f t="shared" si="541"/>
        <v>0.05</v>
      </c>
      <c r="CE946" s="2474">
        <v>225750</v>
      </c>
      <c r="CF946" s="2476">
        <f>IF(CB946=0," ",(CE946-CB946)/CB946)</f>
        <v>0</v>
      </c>
      <c r="CG946" s="2572">
        <f>225750-22375</f>
        <v>203375</v>
      </c>
      <c r="CH946" s="2449" t="s">
        <v>1217</v>
      </c>
      <c r="CI946" s="2449"/>
      <c r="CJ946" s="2450"/>
      <c r="CK946" s="2450"/>
      <c r="CO946" s="2477">
        <v>-0.33593797167869599</v>
      </c>
      <c r="CP946" s="2478">
        <f t="shared" si="489"/>
        <v>-97929.950000000012</v>
      </c>
      <c r="CQ946" s="2478"/>
      <c r="CR946" s="2478"/>
      <c r="CS946" s="2478"/>
      <c r="CT946" s="2478"/>
    </row>
    <row r="947" spans="1:98" hidden="1" x14ac:dyDescent="0.2">
      <c r="A947" s="2395">
        <v>916</v>
      </c>
      <c r="B947" s="2440" t="s">
        <v>1214</v>
      </c>
      <c r="C947" s="2396">
        <v>91605</v>
      </c>
      <c r="D947" s="2396">
        <v>57402</v>
      </c>
      <c r="G947" s="2440" t="s">
        <v>2414</v>
      </c>
      <c r="I947" s="2470"/>
      <c r="M947" s="2467"/>
      <c r="N947" s="2467"/>
      <c r="P947" s="2469"/>
      <c r="V947" s="2470"/>
      <c r="Z947" s="2467"/>
      <c r="AA947" s="2467"/>
      <c r="AC947" s="2469"/>
      <c r="AI947" s="2470"/>
      <c r="AM947" s="2467"/>
      <c r="AN947" s="2467"/>
      <c r="AO947" s="2546"/>
      <c r="AP947" s="2530"/>
      <c r="AS947" s="2466"/>
      <c r="AT947" s="2466"/>
      <c r="AY947" s="2470"/>
      <c r="BC947" s="2467"/>
      <c r="BD947" s="2467"/>
      <c r="BE947" s="2546"/>
      <c r="BF947" s="2469"/>
      <c r="BH947" s="2467"/>
      <c r="BN947" s="2470"/>
      <c r="BR947" s="2474"/>
      <c r="BS947" s="2474"/>
      <c r="BU947" s="2578"/>
      <c r="BW947" s="2474"/>
      <c r="BZ947" s="2474"/>
      <c r="CA947" s="2470"/>
      <c r="CE947" s="2474"/>
      <c r="CF947" s="2476"/>
      <c r="CG947" s="2474"/>
      <c r="CH947" s="2449" t="s">
        <v>1217</v>
      </c>
      <c r="CI947" s="2449"/>
      <c r="CJ947" s="2450"/>
      <c r="CK947" s="2450"/>
      <c r="CP947" s="2478">
        <f t="shared" si="489"/>
        <v>0</v>
      </c>
      <c r="CQ947" s="2478"/>
      <c r="CR947" s="2478"/>
      <c r="CS947" s="2478"/>
      <c r="CT947" s="2478"/>
    </row>
    <row r="948" spans="1:98" hidden="1" x14ac:dyDescent="0.2">
      <c r="A948" s="2395">
        <v>916</v>
      </c>
      <c r="B948" s="2440" t="s">
        <v>1214</v>
      </c>
      <c r="C948" s="2396">
        <v>91605</v>
      </c>
      <c r="D948" s="2396">
        <v>57404</v>
      </c>
      <c r="G948" s="2440" t="s">
        <v>2415</v>
      </c>
      <c r="I948" s="2470"/>
      <c r="M948" s="2467"/>
      <c r="N948" s="2467"/>
      <c r="P948" s="2469"/>
      <c r="V948" s="2470"/>
      <c r="Z948" s="2467"/>
      <c r="AA948" s="2467"/>
      <c r="AC948" s="2469"/>
      <c r="AI948" s="2470"/>
      <c r="AM948" s="2467"/>
      <c r="AN948" s="2467"/>
      <c r="AO948" s="2546"/>
      <c r="AP948" s="2530"/>
      <c r="AS948" s="2466"/>
      <c r="AT948" s="2466"/>
      <c r="AY948" s="2470"/>
      <c r="BC948" s="2467"/>
      <c r="BD948" s="2467"/>
      <c r="BE948" s="2546"/>
      <c r="BF948" s="2469"/>
      <c r="BH948" s="2467"/>
      <c r="BN948" s="2470"/>
      <c r="BR948" s="2474"/>
      <c r="BS948" s="2474"/>
      <c r="BU948" s="2578"/>
      <c r="BW948" s="2474"/>
      <c r="BZ948" s="2474"/>
      <c r="CA948" s="2470"/>
      <c r="CE948" s="2474"/>
      <c r="CF948" s="2476"/>
      <c r="CG948" s="2474"/>
      <c r="CH948" s="2449" t="s">
        <v>1217</v>
      </c>
      <c r="CI948" s="2449"/>
      <c r="CJ948" s="2450"/>
      <c r="CK948" s="2450"/>
      <c r="CP948" s="2478">
        <f t="shared" si="489"/>
        <v>0</v>
      </c>
      <c r="CQ948" s="2478"/>
      <c r="CR948" s="2478"/>
      <c r="CS948" s="2478"/>
      <c r="CT948" s="2478"/>
    </row>
    <row r="949" spans="1:98" hidden="1" x14ac:dyDescent="0.2">
      <c r="A949" s="2395">
        <v>916</v>
      </c>
      <c r="B949" s="2440" t="s">
        <v>1214</v>
      </c>
      <c r="C949" s="2396">
        <v>91605</v>
      </c>
      <c r="D949" s="2396">
        <v>57430</v>
      </c>
      <c r="F949" s="2440" t="s">
        <v>1214</v>
      </c>
      <c r="G949" s="2440" t="s">
        <v>2416</v>
      </c>
      <c r="H949" s="2466">
        <v>136979</v>
      </c>
      <c r="I949" s="2470">
        <v>13697</v>
      </c>
      <c r="J949" s="2466">
        <f t="shared" si="530"/>
        <v>150676</v>
      </c>
      <c r="K949" s="2468">
        <f t="shared" si="531"/>
        <v>9.9993429649800333E-2</v>
      </c>
      <c r="M949" s="2467">
        <v>146373</v>
      </c>
      <c r="N949" s="2467">
        <v>146373</v>
      </c>
      <c r="P949" s="2469" t="s">
        <v>2417</v>
      </c>
      <c r="R949" s="2466">
        <v>146373</v>
      </c>
      <c r="S949" s="2466">
        <v>78387</v>
      </c>
      <c r="U949" s="2466">
        <v>146373</v>
      </c>
      <c r="V949" s="2470"/>
      <c r="W949" s="2466">
        <f t="shared" si="532"/>
        <v>146373</v>
      </c>
      <c r="X949" s="2468">
        <f t="shared" si="533"/>
        <v>0</v>
      </c>
      <c r="Z949" s="2467">
        <v>146373</v>
      </c>
      <c r="AA949" s="2467">
        <v>146373</v>
      </c>
      <c r="AC949" s="2469"/>
      <c r="AE949" s="2466">
        <v>146373</v>
      </c>
      <c r="AF949" s="2471">
        <v>80968.5</v>
      </c>
      <c r="AH949" s="2466">
        <v>146373</v>
      </c>
      <c r="AI949" s="2470">
        <v>-65386</v>
      </c>
      <c r="AJ949" s="2466">
        <f t="shared" si="534"/>
        <v>80987</v>
      </c>
      <c r="AK949" s="2468">
        <f t="shared" si="535"/>
        <v>-0.44670806774473432</v>
      </c>
      <c r="AM949" s="2467">
        <v>80987</v>
      </c>
      <c r="AN949" s="2467">
        <v>80987</v>
      </c>
      <c r="AP949" s="2469"/>
      <c r="AR949" s="2466">
        <v>80987</v>
      </c>
      <c r="AS949" s="2466">
        <v>76428</v>
      </c>
      <c r="AT949" s="2466"/>
      <c r="AU949" s="2466">
        <v>80987</v>
      </c>
      <c r="AV949" s="2466">
        <v>79542</v>
      </c>
      <c r="AX949" s="2466">
        <v>80987</v>
      </c>
      <c r="AY949" s="2470">
        <v>8113</v>
      </c>
      <c r="AZ949" s="2466">
        <f t="shared" si="536"/>
        <v>89100</v>
      </c>
      <c r="BA949" s="2468">
        <f t="shared" si="537"/>
        <v>0.10017657154852014</v>
      </c>
      <c r="BC949" s="2467">
        <v>89100</v>
      </c>
      <c r="BD949" s="2467">
        <v>89100</v>
      </c>
      <c r="BF949" s="2575"/>
      <c r="BH949" s="2467">
        <v>89100</v>
      </c>
      <c r="BI949" s="2466">
        <v>90802</v>
      </c>
      <c r="BM949" s="2466">
        <v>89100</v>
      </c>
      <c r="BN949" s="2470">
        <v>10900</v>
      </c>
      <c r="BO949" s="2472">
        <f t="shared" si="538"/>
        <v>100000</v>
      </c>
      <c r="BP949" s="2473">
        <f t="shared" si="539"/>
        <v>0.122334455667789</v>
      </c>
      <c r="BR949" s="2474">
        <v>100000</v>
      </c>
      <c r="BS949" s="2474">
        <v>100000</v>
      </c>
      <c r="BU949" s="2578" t="s">
        <v>2410</v>
      </c>
      <c r="BW949" s="2474">
        <v>100000</v>
      </c>
      <c r="BX949" s="2466">
        <v>103157</v>
      </c>
      <c r="BZ949" s="2474">
        <v>100000</v>
      </c>
      <c r="CA949" s="2470">
        <v>10000</v>
      </c>
      <c r="CB949" s="2472">
        <f t="shared" si="540"/>
        <v>110000</v>
      </c>
      <c r="CC949" s="2473">
        <f t="shared" si="541"/>
        <v>0.1</v>
      </c>
      <c r="CE949" s="2474">
        <v>110000</v>
      </c>
      <c r="CF949" s="2476">
        <f>IF(CB949=0," ",(CE949-CB949)/CB949)</f>
        <v>0</v>
      </c>
      <c r="CG949" s="2474">
        <v>110000</v>
      </c>
      <c r="CH949" s="2449" t="s">
        <v>1217</v>
      </c>
      <c r="CI949" s="2449"/>
      <c r="CJ949" s="2450"/>
      <c r="CK949" s="2450"/>
      <c r="CO949" s="2477">
        <v>1.9102132435465879E-2</v>
      </c>
      <c r="CP949" s="2478">
        <f t="shared" si="489"/>
        <v>1702</v>
      </c>
      <c r="CQ949" s="2478"/>
      <c r="CR949" s="2478"/>
      <c r="CS949" s="2478"/>
      <c r="CT949" s="2478"/>
    </row>
    <row r="950" spans="1:98" hidden="1" x14ac:dyDescent="0.2">
      <c r="A950" s="2395">
        <v>916</v>
      </c>
      <c r="B950" s="2440" t="s">
        <v>1214</v>
      </c>
      <c r="C950" s="2396">
        <v>91605</v>
      </c>
      <c r="D950" s="2396">
        <v>57440</v>
      </c>
      <c r="F950" s="2440" t="s">
        <v>1214</v>
      </c>
      <c r="G950" s="2440" t="s">
        <v>2418</v>
      </c>
      <c r="H950" s="2466">
        <v>1650</v>
      </c>
      <c r="I950" s="2470">
        <v>165</v>
      </c>
      <c r="J950" s="2466">
        <f t="shared" si="530"/>
        <v>1815</v>
      </c>
      <c r="K950" s="2468">
        <f t="shared" si="531"/>
        <v>0.1</v>
      </c>
      <c r="M950" s="2467">
        <v>1815</v>
      </c>
      <c r="N950" s="2467">
        <v>1815</v>
      </c>
      <c r="P950" s="2469"/>
      <c r="R950" s="2466">
        <v>1815</v>
      </c>
      <c r="S950" s="2466">
        <v>1093</v>
      </c>
      <c r="U950" s="2466">
        <v>1815</v>
      </c>
      <c r="V950" s="2470"/>
      <c r="W950" s="2466">
        <f t="shared" si="532"/>
        <v>1815</v>
      </c>
      <c r="X950" s="2468">
        <f t="shared" si="533"/>
        <v>0</v>
      </c>
      <c r="Z950" s="2467">
        <v>1815</v>
      </c>
      <c r="AA950" s="2467">
        <v>1815</v>
      </c>
      <c r="AC950" s="2469"/>
      <c r="AE950" s="2466">
        <v>1815</v>
      </c>
      <c r="AF950" s="2471">
        <v>1844</v>
      </c>
      <c r="AH950" s="2466">
        <v>1815</v>
      </c>
      <c r="AI950" s="2470"/>
      <c r="AJ950" s="2466">
        <f t="shared" si="534"/>
        <v>1815</v>
      </c>
      <c r="AK950" s="2468">
        <f t="shared" si="535"/>
        <v>0</v>
      </c>
      <c r="AM950" s="2467">
        <v>1815</v>
      </c>
      <c r="AN950" s="2467">
        <v>1815</v>
      </c>
      <c r="AP950" s="2469"/>
      <c r="AR950" s="2466">
        <v>1815</v>
      </c>
      <c r="AS950" s="2466">
        <v>2416</v>
      </c>
      <c r="AT950" s="2466"/>
      <c r="AU950" s="2466">
        <v>2000</v>
      </c>
      <c r="AV950" s="2466">
        <v>1443</v>
      </c>
      <c r="AX950" s="2466">
        <v>2000</v>
      </c>
      <c r="AY950" s="2470"/>
      <c r="AZ950" s="2466">
        <f t="shared" si="536"/>
        <v>2000</v>
      </c>
      <c r="BA950" s="2468">
        <f t="shared" si="537"/>
        <v>0</v>
      </c>
      <c r="BC950" s="2467">
        <v>2000</v>
      </c>
      <c r="BD950" s="2467">
        <v>2000</v>
      </c>
      <c r="BF950" s="2469"/>
      <c r="BH950" s="2467">
        <v>2000</v>
      </c>
      <c r="BI950" s="2466">
        <v>1443</v>
      </c>
      <c r="BM950" s="2466">
        <v>2000</v>
      </c>
      <c r="BN950" s="2470">
        <v>500</v>
      </c>
      <c r="BO950" s="2472">
        <f t="shared" si="538"/>
        <v>2500</v>
      </c>
      <c r="BP950" s="2473">
        <f t="shared" si="539"/>
        <v>0.25</v>
      </c>
      <c r="BR950" s="2474">
        <v>2500</v>
      </c>
      <c r="BS950" s="2474">
        <v>2500</v>
      </c>
      <c r="BU950" s="2578" t="s">
        <v>2410</v>
      </c>
      <c r="BW950" s="2474">
        <v>2500</v>
      </c>
      <c r="BX950" s="2466">
        <v>871</v>
      </c>
      <c r="BZ950" s="2474">
        <v>2500</v>
      </c>
      <c r="CA950" s="2470">
        <v>125</v>
      </c>
      <c r="CB950" s="2472">
        <f t="shared" si="540"/>
        <v>2625</v>
      </c>
      <c r="CC950" s="2473">
        <f t="shared" si="541"/>
        <v>0.05</v>
      </c>
      <c r="CE950" s="2474">
        <v>2625</v>
      </c>
      <c r="CF950" s="2476">
        <f>IF(CB950=0," ",(CE950-CB950)/CB950)</f>
        <v>0</v>
      </c>
      <c r="CG950" s="2474">
        <v>2625</v>
      </c>
      <c r="CH950" s="2449" t="s">
        <v>1217</v>
      </c>
      <c r="CI950" s="2449"/>
      <c r="CJ950" s="2450"/>
      <c r="CK950" s="2450"/>
      <c r="CO950" s="2477">
        <v>-0.27849999999999997</v>
      </c>
      <c r="CP950" s="2478">
        <f t="shared" si="489"/>
        <v>-557</v>
      </c>
      <c r="CQ950" s="2478"/>
      <c r="CR950" s="2478"/>
      <c r="CS950" s="2478"/>
      <c r="CT950" s="2478"/>
    </row>
    <row r="951" spans="1:98" s="2485" customFormat="1" hidden="1" x14ac:dyDescent="0.2">
      <c r="A951" s="2532"/>
      <c r="B951" s="2533"/>
      <c r="C951" s="2534"/>
      <c r="D951" s="2534"/>
      <c r="E951" s="2535"/>
      <c r="F951" s="2533"/>
      <c r="G951" s="2654" t="s">
        <v>2419</v>
      </c>
      <c r="H951" s="2536">
        <f>SUM(H945:H950)</f>
        <v>399665</v>
      </c>
      <c r="I951" s="2536">
        <f>SUM(I945:I950)</f>
        <v>39965</v>
      </c>
      <c r="J951" s="2536">
        <f>SUM(J945:J950)</f>
        <v>439630</v>
      </c>
      <c r="K951" s="2484">
        <f t="shared" si="531"/>
        <v>9.9996246856742521E-2</v>
      </c>
      <c r="M951" s="2536">
        <f>SUM(M945:M950)</f>
        <v>422277</v>
      </c>
      <c r="N951" s="2536">
        <f>SUM(N945:N950)</f>
        <v>422277</v>
      </c>
      <c r="P951" s="2537">
        <f>SUM(P945:P950)</f>
        <v>0</v>
      </c>
      <c r="R951" s="2536">
        <f>SUM(R945:R950)</f>
        <v>422277</v>
      </c>
      <c r="S951" s="2536">
        <f>SUM(S945:S950)</f>
        <v>312671</v>
      </c>
      <c r="U951" s="2536">
        <f>SUM(U945:U950)</f>
        <v>422277</v>
      </c>
      <c r="V951" s="2536">
        <f>SUM(V945:V950)</f>
        <v>0</v>
      </c>
      <c r="W951" s="2536">
        <f>SUM(W945:W950)</f>
        <v>422277</v>
      </c>
      <c r="X951" s="2484">
        <f t="shared" si="533"/>
        <v>0</v>
      </c>
      <c r="Z951" s="2536">
        <f>SUM(Z945:Z950)</f>
        <v>422277</v>
      </c>
      <c r="AA951" s="2536">
        <f>SUM(AA945:AA950)</f>
        <v>456503</v>
      </c>
      <c r="AC951" s="2537"/>
      <c r="AE951" s="2536">
        <f>SUM(AE945:AE950)</f>
        <v>456503</v>
      </c>
      <c r="AF951" s="2538">
        <f>SUM(AF945:AF950)</f>
        <v>311769.42000000004</v>
      </c>
      <c r="AH951" s="2536">
        <v>456503</v>
      </c>
      <c r="AI951" s="2536">
        <f>SUM(AI945:AI950)</f>
        <v>-65386</v>
      </c>
      <c r="AJ951" s="2536">
        <f>SUM(AJ945:AJ950)</f>
        <v>391117</v>
      </c>
      <c r="AK951" s="2484">
        <f>IF(AH951=0," ",(AJ951-AH951)/AH951)</f>
        <v>-0.1432323555376416</v>
      </c>
      <c r="AM951" s="2536">
        <f>SUM(AM945:AM950)</f>
        <v>461844</v>
      </c>
      <c r="AN951" s="2536">
        <f>SUM(AN945:AN950)</f>
        <v>461844</v>
      </c>
      <c r="AP951" s="2537"/>
      <c r="AR951" s="2536">
        <f>SUM(AR945:AR950)</f>
        <v>461844</v>
      </c>
      <c r="AS951" s="2536">
        <f>SUM(AS945:AS950)</f>
        <v>312605.78999999998</v>
      </c>
      <c r="AT951" s="2536"/>
      <c r="AU951" s="2536">
        <f>SUM(AU945:AU950)</f>
        <v>465499</v>
      </c>
      <c r="AV951" s="2536">
        <f>SUM(AV945:AV950)</f>
        <v>321338.30000000005</v>
      </c>
      <c r="AX951" s="2536">
        <f>SUM(AX945:AX950)</f>
        <v>465499</v>
      </c>
      <c r="AY951" s="2536">
        <f>SUM(AY945:AY950)</f>
        <v>8113</v>
      </c>
      <c r="AZ951" s="2536">
        <f>SUM(AZ945:AZ950)</f>
        <v>473612</v>
      </c>
      <c r="BA951" s="2484">
        <f>IF(AX951=0," ",(AZ951-AX951)/AX951)</f>
        <v>1.7428608869191984E-2</v>
      </c>
      <c r="BC951" s="2536">
        <f>SUM(BC945:BC950)</f>
        <v>473612</v>
      </c>
      <c r="BD951" s="2536">
        <f>SUM(BD945:BD950)</f>
        <v>473612</v>
      </c>
      <c r="BF951" s="2537"/>
      <c r="BH951" s="2536">
        <f>SUM(BH945:BH950)</f>
        <v>473612</v>
      </c>
      <c r="BI951" s="2536">
        <f>SUM(BI945:BI950)</f>
        <v>360525</v>
      </c>
      <c r="BJ951" s="2536"/>
      <c r="BK951" s="2536"/>
      <c r="BM951" s="2536">
        <f>SUM(BM945:BM950)</f>
        <v>473612</v>
      </c>
      <c r="BN951" s="2539">
        <f>SUM(BN945:BN950)</f>
        <v>-61112</v>
      </c>
      <c r="BO951" s="2540">
        <f>SUM(BO945:BO950)</f>
        <v>412500</v>
      </c>
      <c r="BP951" s="2490">
        <f>IF(BM951=0," ",(BO951-BM951)/BM951)</f>
        <v>-0.12903389272231278</v>
      </c>
      <c r="BQ951" s="2491"/>
      <c r="BR951" s="2540">
        <f>SUM(BR945:BR950)</f>
        <v>412500</v>
      </c>
      <c r="BS951" s="2540">
        <f>SUM(BS945:BS950)</f>
        <v>412500</v>
      </c>
      <c r="BT951" s="2491"/>
      <c r="BU951" s="2541"/>
      <c r="BV951" s="2491"/>
      <c r="BW951" s="2540">
        <f>SUM(BW945:BW950)</f>
        <v>412500</v>
      </c>
      <c r="BX951" s="2536">
        <f>SUM(BX945:BX950)</f>
        <v>358233</v>
      </c>
      <c r="BZ951" s="2540">
        <f>SUM(BZ945:BZ950)</f>
        <v>412500</v>
      </c>
      <c r="CA951" s="2540">
        <f>SUM(CA945:CA950)</f>
        <v>25625</v>
      </c>
      <c r="CB951" s="2540">
        <f>SUM(CB945:CB950)</f>
        <v>438125</v>
      </c>
      <c r="CC951" s="2490">
        <f>IF(BZ951=0," ",(CB951-BZ951)/BZ951)</f>
        <v>6.2121212121212119E-2</v>
      </c>
      <c r="CD951" s="2491"/>
      <c r="CE951" s="2540">
        <f>SUM(CE945:CE950)</f>
        <v>438125</v>
      </c>
      <c r="CF951" s="2490">
        <f>IF(CB951=0," ",(CE951-CB951)/CB951)</f>
        <v>0</v>
      </c>
      <c r="CG951" s="2540">
        <f>SUM(CG945:CG950)</f>
        <v>397960</v>
      </c>
      <c r="CH951" s="2449" t="s">
        <v>1220</v>
      </c>
      <c r="CI951" s="2449"/>
      <c r="CJ951" s="2450"/>
      <c r="CK951" s="2450"/>
      <c r="CL951" s="2451"/>
      <c r="CM951" s="2451"/>
      <c r="CN951" s="2451"/>
      <c r="CO951" s="2477">
        <v>-0.23877562223930138</v>
      </c>
      <c r="CP951" s="2478">
        <f t="shared" si="489"/>
        <v>-113087</v>
      </c>
      <c r="CQ951" s="2478"/>
      <c r="CR951" s="2478"/>
      <c r="CS951" s="2478"/>
      <c r="CT951" s="2478"/>
    </row>
    <row r="952" spans="1:98" ht="9.9499999999999993" hidden="1" customHeight="1" x14ac:dyDescent="0.2">
      <c r="AS952" s="2466"/>
      <c r="AT952" s="2466"/>
      <c r="BZ952" s="2472"/>
      <c r="CA952" s="2472"/>
      <c r="CH952" s="2449" t="s">
        <v>1091</v>
      </c>
      <c r="CI952" s="2449"/>
      <c r="CJ952" s="2450"/>
      <c r="CK952" s="2450"/>
      <c r="CP952" s="2478">
        <f t="shared" si="489"/>
        <v>0</v>
      </c>
      <c r="CQ952" s="2478"/>
      <c r="CR952" s="2478"/>
      <c r="CS952" s="2478"/>
      <c r="CT952" s="2478"/>
    </row>
    <row r="953" spans="1:98" x14ac:dyDescent="0.2">
      <c r="A953" s="2495"/>
      <c r="B953" s="2496"/>
      <c r="C953" s="2497"/>
      <c r="D953" s="2497"/>
      <c r="E953" s="2498"/>
      <c r="F953" s="2496"/>
      <c r="G953" s="2499" t="s">
        <v>2420</v>
      </c>
      <c r="H953" s="2500">
        <f t="shared" ref="H953" si="542">H951</f>
        <v>399665</v>
      </c>
      <c r="I953" s="2500">
        <f>I951</f>
        <v>39965</v>
      </c>
      <c r="J953" s="2500">
        <f>J951</f>
        <v>439630</v>
      </c>
      <c r="K953" s="2501">
        <f>IF(H953=0," ",(J953-H953)/H953)</f>
        <v>9.9996246856742521E-2</v>
      </c>
      <c r="M953" s="2500">
        <f>M951</f>
        <v>422277</v>
      </c>
      <c r="N953" s="2500">
        <f>N951</f>
        <v>422277</v>
      </c>
      <c r="P953" s="2502">
        <f>P951</f>
        <v>0</v>
      </c>
      <c r="R953" s="2500">
        <f>R951</f>
        <v>422277</v>
      </c>
      <c r="S953" s="2500">
        <f>S951</f>
        <v>312671</v>
      </c>
      <c r="U953" s="2500">
        <f>U951</f>
        <v>422277</v>
      </c>
      <c r="V953" s="2500">
        <f>V951</f>
        <v>0</v>
      </c>
      <c r="W953" s="2500">
        <f>W951</f>
        <v>422277</v>
      </c>
      <c r="X953" s="2501">
        <f>IF(U953=0," ",(W953-U953)/U953)</f>
        <v>0</v>
      </c>
      <c r="Z953" s="2500">
        <f>Z951</f>
        <v>422277</v>
      </c>
      <c r="AA953" s="2500">
        <f>AA951</f>
        <v>456503</v>
      </c>
      <c r="AC953" s="2502"/>
      <c r="AE953" s="2500">
        <f>AE951</f>
        <v>456503</v>
      </c>
      <c r="AF953" s="2503">
        <f>AF951</f>
        <v>311769.42000000004</v>
      </c>
      <c r="AH953" s="2500">
        <v>456503</v>
      </c>
      <c r="AI953" s="2500">
        <f>AI951</f>
        <v>-65386</v>
      </c>
      <c r="AJ953" s="2500">
        <f>AJ951</f>
        <v>391117</v>
      </c>
      <c r="AK953" s="2501">
        <f>IF(AH953=0," ",(AJ953-AH953)/AH953)</f>
        <v>-0.1432323555376416</v>
      </c>
      <c r="AM953" s="2500">
        <f>AM951</f>
        <v>461844</v>
      </c>
      <c r="AN953" s="2500">
        <f>AN951</f>
        <v>461844</v>
      </c>
      <c r="AP953" s="2502"/>
      <c r="AR953" s="2500">
        <f>AR951</f>
        <v>461844</v>
      </c>
      <c r="AS953" s="2500">
        <f>AS951</f>
        <v>312605.78999999998</v>
      </c>
      <c r="AT953" s="2500"/>
      <c r="AU953" s="2500">
        <f>AU951</f>
        <v>465499</v>
      </c>
      <c r="AV953" s="2500">
        <f>AV951</f>
        <v>321338.30000000005</v>
      </c>
      <c r="AX953" s="2500">
        <f>AX951</f>
        <v>465499</v>
      </c>
      <c r="AY953" s="2500">
        <f>AY951</f>
        <v>8113</v>
      </c>
      <c r="AZ953" s="2500">
        <f>AZ951</f>
        <v>473612</v>
      </c>
      <c r="BA953" s="2501">
        <f>IF(AX953=0," ",(AZ953-AX953)/AX953)</f>
        <v>1.7428608869191984E-2</v>
      </c>
      <c r="BC953" s="2500">
        <f>BC951</f>
        <v>473612</v>
      </c>
      <c r="BD953" s="2500">
        <f>BD951</f>
        <v>473612</v>
      </c>
      <c r="BF953" s="2502"/>
      <c r="BH953" s="2500">
        <f>BH951</f>
        <v>473612</v>
      </c>
      <c r="BI953" s="2500">
        <f>BI951</f>
        <v>360525</v>
      </c>
      <c r="BJ953" s="2500"/>
      <c r="BK953" s="2500"/>
      <c r="BM953" s="2500">
        <f>BM951</f>
        <v>473612</v>
      </c>
      <c r="BN953" s="2504">
        <f>BN951</f>
        <v>-61112</v>
      </c>
      <c r="BO953" s="2505">
        <f>BO951</f>
        <v>412500</v>
      </c>
      <c r="BP953" s="2506">
        <f>IF(BM953=0," ",(BO953-BM953)/BM953)</f>
        <v>-0.12903389272231278</v>
      </c>
      <c r="BR953" s="2505">
        <f>BR951</f>
        <v>412500</v>
      </c>
      <c r="BS953" s="2505">
        <f>BS951</f>
        <v>412500</v>
      </c>
      <c r="BU953" s="2507"/>
      <c r="BW953" s="2505">
        <f>BW951</f>
        <v>412500</v>
      </c>
      <c r="BX953" s="2500">
        <f>BX951</f>
        <v>358233</v>
      </c>
      <c r="BZ953" s="2505">
        <f>BZ951</f>
        <v>412500</v>
      </c>
      <c r="CA953" s="2505">
        <f>CA951</f>
        <v>25625</v>
      </c>
      <c r="CB953" s="2505">
        <f>CB951</f>
        <v>438125</v>
      </c>
      <c r="CC953" s="2506">
        <f>IF(BZ953=0," ",(CB953-BZ953)/BZ953)</f>
        <v>6.2121212121212119E-2</v>
      </c>
      <c r="CE953" s="2505">
        <f>CE951</f>
        <v>438125</v>
      </c>
      <c r="CF953" s="2506">
        <f>IF(CB953=0," ",(CE953-CB953)/CB953)</f>
        <v>0</v>
      </c>
      <c r="CG953" s="2505">
        <f>CG951</f>
        <v>397960</v>
      </c>
      <c r="CH953" s="2449" t="s">
        <v>1222</v>
      </c>
      <c r="CI953" s="2508">
        <f>IF(CG953-CE953=0,"",CG953-CE953)</f>
        <v>-40165</v>
      </c>
      <c r="CJ953" s="2509"/>
      <c r="CK953" s="2509"/>
      <c r="CL953" s="2451" t="str">
        <f>IF(CO953&lt;-1*CM$2,"examine","ignore")</f>
        <v>examine</v>
      </c>
      <c r="CM953" s="2545">
        <f>IF(CL953="examine",CP953+CM$2*CP953/CO953,"")</f>
        <v>-94142.52</v>
      </c>
      <c r="CN953" s="2545">
        <f>IF(CI953="",CM953,CM953-CI953)</f>
        <v>-53977.520000000004</v>
      </c>
      <c r="CO953" s="2477">
        <v>-0.23877562223930138</v>
      </c>
      <c r="CP953" s="2510">
        <f t="shared" si="489"/>
        <v>-113087</v>
      </c>
      <c r="CQ953" s="2510">
        <f>AV953-AU953</f>
        <v>-144160.69999999995</v>
      </c>
      <c r="CR953" s="2510">
        <f>AS953-AR953</f>
        <v>-149238.21000000002</v>
      </c>
      <c r="CS953" s="2510">
        <f>AF953-AE953</f>
        <v>-144733.57999999996</v>
      </c>
    </row>
    <row r="954" spans="1:98" ht="20.100000000000001" hidden="1" customHeight="1" x14ac:dyDescent="0.2">
      <c r="AS954" s="2466"/>
      <c r="AT954" s="2466"/>
      <c r="BZ954" s="2472"/>
      <c r="CH954" s="2449" t="s">
        <v>1091</v>
      </c>
      <c r="CI954" s="2449"/>
      <c r="CJ954" s="2450"/>
      <c r="CK954" s="2450"/>
      <c r="CP954" s="2478">
        <f t="shared" si="489"/>
        <v>0</v>
      </c>
      <c r="CQ954" s="2478"/>
      <c r="CR954" s="2478"/>
      <c r="CS954" s="2478"/>
      <c r="CT954" s="2478"/>
    </row>
    <row r="955" spans="1:98" ht="15.75" hidden="1" x14ac:dyDescent="0.2">
      <c r="A955" s="2453" t="s">
        <v>2421</v>
      </c>
      <c r="B955" s="2454"/>
      <c r="C955" s="2455"/>
      <c r="D955" s="2455"/>
      <c r="E955" s="2456"/>
      <c r="F955" s="2454"/>
      <c r="G955" s="2454"/>
      <c r="H955" s="2457"/>
      <c r="I955" s="2457"/>
      <c r="J955" s="2457"/>
      <c r="K955" s="2458"/>
      <c r="M955" s="2457"/>
      <c r="N955" s="2457"/>
      <c r="P955" s="2459"/>
      <c r="R955" s="2457"/>
      <c r="S955" s="2457"/>
      <c r="U955" s="2457"/>
      <c r="V955" s="2457"/>
      <c r="W955" s="2457"/>
      <c r="X955" s="2458"/>
      <c r="Z955" s="2457"/>
      <c r="AA955" s="2457"/>
      <c r="AC955" s="2459"/>
      <c r="AE955" s="2457"/>
      <c r="AF955" s="2460"/>
      <c r="AH955" s="2457"/>
      <c r="AI955" s="2457"/>
      <c r="AJ955" s="2457"/>
      <c r="AK955" s="2458"/>
      <c r="AM955" s="2457"/>
      <c r="AN955" s="2457"/>
      <c r="AP955" s="2459"/>
      <c r="AR955" s="2457"/>
      <c r="AS955" s="2457"/>
      <c r="AT955" s="2457"/>
      <c r="AU955" s="2457"/>
      <c r="AV955" s="2457"/>
      <c r="AX955" s="2457"/>
      <c r="AY955" s="2457"/>
      <c r="AZ955" s="2457"/>
      <c r="BA955" s="2458"/>
      <c r="BC955" s="2457"/>
      <c r="BD955" s="2457"/>
      <c r="BF955" s="2461"/>
      <c r="BH955" s="2457"/>
      <c r="BI955" s="2457"/>
      <c r="BJ955" s="2457"/>
      <c r="BK955" s="2457"/>
      <c r="BM955" s="2457"/>
      <c r="BN955" s="2462"/>
      <c r="BO955" s="2463"/>
      <c r="BP955" s="2464"/>
      <c r="BR955" s="2463"/>
      <c r="BS955" s="2463"/>
      <c r="BU955" s="2465"/>
      <c r="BW955" s="2463"/>
      <c r="BX955" s="2457"/>
      <c r="BZ955" s="2463"/>
      <c r="CA955" s="2462"/>
      <c r="CB955" s="2463"/>
      <c r="CC955" s="2464"/>
      <c r="CE955" s="2463"/>
      <c r="CF955" s="2464"/>
      <c r="CG955" s="2463"/>
      <c r="CH955" s="2449" t="s">
        <v>2422</v>
      </c>
      <c r="CI955" s="2449"/>
      <c r="CJ955" s="2450"/>
      <c r="CK955" s="2450"/>
      <c r="CP955" s="2478">
        <f t="shared" si="489"/>
        <v>0</v>
      </c>
      <c r="CQ955" s="2478"/>
      <c r="CR955" s="2478"/>
      <c r="CS955" s="2478"/>
      <c r="CT955" s="2478"/>
    </row>
    <row r="956" spans="1:98" s="2556" customFormat="1" hidden="1" x14ac:dyDescent="0.2">
      <c r="A956" s="2689">
        <v>918</v>
      </c>
      <c r="B956" s="2556" t="s">
        <v>1214</v>
      </c>
      <c r="C956" s="2329"/>
      <c r="D956" s="2329">
        <v>51992</v>
      </c>
      <c r="E956" s="2329"/>
      <c r="F956" s="2556" t="s">
        <v>1214</v>
      </c>
      <c r="G956" s="2556" t="s">
        <v>2423</v>
      </c>
      <c r="H956" s="2552"/>
      <c r="I956" s="2628"/>
      <c r="J956" s="2552"/>
      <c r="K956" s="2550" t="str">
        <f>IF(H956=0," ",(J956-H956)/H956)</f>
        <v xml:space="preserve"> </v>
      </c>
      <c r="M956" s="2690">
        <v>75000</v>
      </c>
      <c r="N956" s="2690">
        <v>100000</v>
      </c>
      <c r="P956" s="2691"/>
      <c r="R956" s="2552">
        <f>75000+25000</f>
        <v>100000</v>
      </c>
      <c r="S956" s="2552">
        <v>0</v>
      </c>
      <c r="U956" s="2552"/>
      <c r="V956" s="2628">
        <v>25000</v>
      </c>
      <c r="W956" s="2466">
        <f>U956+V956</f>
        <v>25000</v>
      </c>
      <c r="X956" s="2550" t="str">
        <f>IF(U956=0," ",(W956-U956)/U956)</f>
        <v xml:space="preserve"> </v>
      </c>
      <c r="Z956" s="2690">
        <v>25000</v>
      </c>
      <c r="AA956" s="2690">
        <v>25000</v>
      </c>
      <c r="AC956" s="2691" t="s">
        <v>2424</v>
      </c>
      <c r="AE956" s="2552">
        <v>25000</v>
      </c>
      <c r="AF956" s="2552">
        <v>0</v>
      </c>
      <c r="AH956" s="2552">
        <v>25000</v>
      </c>
      <c r="AI956" s="2628"/>
      <c r="AJ956" s="2466">
        <f>AH956+AI956</f>
        <v>25000</v>
      </c>
      <c r="AK956" s="2550">
        <f>IF(AH956=0," ",(AJ956-AH956)/AH956)</f>
        <v>0</v>
      </c>
      <c r="AM956" s="2690">
        <v>25000</v>
      </c>
      <c r="AN956" s="2690">
        <v>25000</v>
      </c>
      <c r="AP956" s="2691"/>
      <c r="AR956" s="2549">
        <f>25000+66000</f>
        <v>91000</v>
      </c>
      <c r="AS956" s="2466">
        <v>0</v>
      </c>
      <c r="AT956" s="2466"/>
      <c r="AU956" s="2466">
        <v>85000</v>
      </c>
      <c r="AV956" s="2466"/>
      <c r="AX956" s="2466">
        <v>85000</v>
      </c>
      <c r="AY956" s="2470"/>
      <c r="AZ956" s="2466">
        <f>AX956+AY956</f>
        <v>85000</v>
      </c>
      <c r="BA956" s="2550">
        <f>IF(AX956=0," ",(AZ956-AX956)/AX956)</f>
        <v>0</v>
      </c>
      <c r="BC956" s="2467">
        <v>85000</v>
      </c>
      <c r="BD956" s="2467">
        <v>75000</v>
      </c>
      <c r="BF956" s="2692"/>
      <c r="BH956" s="2467">
        <v>75000</v>
      </c>
      <c r="BI956" s="2552"/>
      <c r="BJ956" s="2552"/>
      <c r="BK956" s="2552"/>
      <c r="BM956" s="2466">
        <v>75000</v>
      </c>
      <c r="BN956" s="2470">
        <v>-50000</v>
      </c>
      <c r="BO956" s="2472">
        <f>BM956+BN956</f>
        <v>25000</v>
      </c>
      <c r="BP956" s="2554">
        <f>IF(BM956=0," ",(BO956-BM956)/BM956)</f>
        <v>-0.66666666666666663</v>
      </c>
      <c r="BQ956" s="2693"/>
      <c r="BR956" s="2474">
        <v>25000</v>
      </c>
      <c r="BS956" s="2474">
        <v>10000</v>
      </c>
      <c r="BT956" s="2693"/>
      <c r="BU956" s="2475" t="s">
        <v>2425</v>
      </c>
      <c r="BV956" s="2693"/>
      <c r="BW956" s="2474">
        <v>10000</v>
      </c>
      <c r="BX956" s="2552"/>
      <c r="BZ956" s="2474">
        <v>10000</v>
      </c>
      <c r="CA956" s="2470">
        <v>-10000</v>
      </c>
      <c r="CB956" s="2472">
        <f>BZ956+CA956</f>
        <v>0</v>
      </c>
      <c r="CC956" s="2554">
        <f>IF(BZ956=0," ",(CB956-BZ956)/BZ956)</f>
        <v>-1</v>
      </c>
      <c r="CD956" s="2693"/>
      <c r="CE956" s="2474">
        <v>0</v>
      </c>
      <c r="CF956" s="2694" t="str">
        <f>IF(CB956=0," ",(CE956-CB956)/CB956)</f>
        <v xml:space="preserve"> </v>
      </c>
      <c r="CG956" s="2474">
        <v>0</v>
      </c>
      <c r="CH956" s="2449" t="s">
        <v>2426</v>
      </c>
      <c r="CI956" s="2449"/>
      <c r="CJ956" s="2450"/>
      <c r="CK956" s="2450"/>
      <c r="CL956" s="2451"/>
      <c r="CM956" s="2451"/>
      <c r="CN956" s="2451"/>
      <c r="CO956" s="2477" t="s">
        <v>1218</v>
      </c>
      <c r="CP956" s="2478">
        <f t="shared" si="489"/>
        <v>-75000</v>
      </c>
      <c r="CQ956" s="2478"/>
      <c r="CR956" s="2478"/>
      <c r="CS956" s="2478"/>
      <c r="CT956" s="2478"/>
    </row>
    <row r="957" spans="1:98" s="2485" customFormat="1" hidden="1" x14ac:dyDescent="0.2">
      <c r="A957" s="2532"/>
      <c r="B957" s="2533"/>
      <c r="C957" s="2534"/>
      <c r="D957" s="2534"/>
      <c r="E957" s="2535"/>
      <c r="F957" s="2533"/>
      <c r="G957" s="2654" t="s">
        <v>2421</v>
      </c>
      <c r="H957" s="2536">
        <f>SUM(H956)</f>
        <v>0</v>
      </c>
      <c r="I957" s="2536">
        <f>SUM(I956)</f>
        <v>0</v>
      </c>
      <c r="J957" s="2536">
        <f>SUM(J956)</f>
        <v>0</v>
      </c>
      <c r="K957" s="2484" t="str">
        <f>IF(H957=0," ",(J957-H957)/H957)</f>
        <v xml:space="preserve"> </v>
      </c>
      <c r="M957" s="2536">
        <f>SUM(M956:M956)</f>
        <v>75000</v>
      </c>
      <c r="N957" s="2536">
        <f>SUM(N956:N956)</f>
        <v>100000</v>
      </c>
      <c r="P957" s="2537" t="e">
        <f>SUM(#REF!)</f>
        <v>#REF!</v>
      </c>
      <c r="R957" s="2536">
        <f>SUM(R956:R956)</f>
        <v>100000</v>
      </c>
      <c r="S957" s="2536">
        <f>SUM(S956:S956)</f>
        <v>0</v>
      </c>
      <c r="U957" s="2536">
        <f>SUM(U956:U956)</f>
        <v>0</v>
      </c>
      <c r="V957" s="2536">
        <f>SUM(V956:V956)</f>
        <v>25000</v>
      </c>
      <c r="W957" s="2536">
        <f>SUM(W956:W956)</f>
        <v>25000</v>
      </c>
      <c r="X957" s="2484" t="str">
        <f>IF(U957=0," ",(W957-U957)/U957)</f>
        <v xml:space="preserve"> </v>
      </c>
      <c r="Z957" s="2536">
        <f>SUM(Z956:Z956)</f>
        <v>25000</v>
      </c>
      <c r="AA957" s="2536">
        <f>SUM(AA956:AA956)</f>
        <v>25000</v>
      </c>
      <c r="AC957" s="2537" t="s">
        <v>2427</v>
      </c>
      <c r="AE957" s="2536">
        <f>SUM(AE956:AE956)</f>
        <v>25000</v>
      </c>
      <c r="AF957" s="2538">
        <f>SUM(AF956:AF956)</f>
        <v>0</v>
      </c>
      <c r="AH957" s="2536">
        <v>25000</v>
      </c>
      <c r="AI957" s="2536">
        <f>SUM(AI956:AI956)</f>
        <v>0</v>
      </c>
      <c r="AJ957" s="2536">
        <f>SUM(AJ956:AJ956)</f>
        <v>25000</v>
      </c>
      <c r="AK957" s="2484">
        <f>IF(AH957=0," ",(AJ957-AH957)/AH957)</f>
        <v>0</v>
      </c>
      <c r="AM957" s="2536">
        <f>SUM(AM956:AM956)</f>
        <v>25000</v>
      </c>
      <c r="AN957" s="2536">
        <f>SUM(AN956:AN956)</f>
        <v>25000</v>
      </c>
      <c r="AP957" s="2537" t="s">
        <v>2427</v>
      </c>
      <c r="AR957" s="2536">
        <f>SUM(AR956:AR956)</f>
        <v>91000</v>
      </c>
      <c r="AS957" s="2536">
        <f>SUM(AS956:AS956)</f>
        <v>0</v>
      </c>
      <c r="AT957" s="2536"/>
      <c r="AU957" s="2536">
        <f>SUM(AU956:AU956)</f>
        <v>85000</v>
      </c>
      <c r="AV957" s="2536">
        <f>SUM(AV956:AV956)</f>
        <v>0</v>
      </c>
      <c r="AX957" s="2536">
        <f>SUM(AX956:AX956)</f>
        <v>85000</v>
      </c>
      <c r="AY957" s="2536">
        <f>SUM(AY956:AY956)</f>
        <v>0</v>
      </c>
      <c r="AZ957" s="2536">
        <f>SUM(AZ956:AZ956)</f>
        <v>85000</v>
      </c>
      <c r="BA957" s="2484">
        <f>IF(AX957=0," ",(AZ957-AX957)/AX957)</f>
        <v>0</v>
      </c>
      <c r="BC957" s="2536">
        <f>SUM(BC956:BC956)</f>
        <v>85000</v>
      </c>
      <c r="BD957" s="2536">
        <f>SUM(BD956:BD956)</f>
        <v>75000</v>
      </c>
      <c r="BF957" s="2537"/>
      <c r="BH957" s="2536">
        <f>SUM(BH956:BH956)</f>
        <v>75000</v>
      </c>
      <c r="BI957" s="2536">
        <f>SUM(BI956:BI956)</f>
        <v>0</v>
      </c>
      <c r="BJ957" s="2536"/>
      <c r="BK957" s="2536"/>
      <c r="BM957" s="2536">
        <f>SUM(BM956:BM956)</f>
        <v>75000</v>
      </c>
      <c r="BN957" s="2539">
        <f>SUM(BN956:BN956)</f>
        <v>-50000</v>
      </c>
      <c r="BO957" s="2540">
        <f>SUM(BO956:BO956)</f>
        <v>25000</v>
      </c>
      <c r="BP957" s="2490">
        <f>IF(BM957=0," ",(BO957-BM957)/BM957)</f>
        <v>-0.66666666666666663</v>
      </c>
      <c r="BQ957" s="2491"/>
      <c r="BR957" s="2540">
        <f>SUM(BR956:BR956)</f>
        <v>25000</v>
      </c>
      <c r="BS957" s="2540">
        <f>SUM(BS956:BS956)</f>
        <v>10000</v>
      </c>
      <c r="BT957" s="2491"/>
      <c r="BU957" s="2541"/>
      <c r="BV957" s="2491"/>
      <c r="BW957" s="2540">
        <f>SUM(BW956:BW956)</f>
        <v>10000</v>
      </c>
      <c r="BX957" s="2536">
        <f>SUM(BX956:BX956)</f>
        <v>0</v>
      </c>
      <c r="BZ957" s="2540">
        <f>SUM(BZ956:BZ956)</f>
        <v>10000</v>
      </c>
      <c r="CA957" s="2540">
        <f>SUM(CA956:CA956)</f>
        <v>-10000</v>
      </c>
      <c r="CB957" s="2540">
        <f>SUM(CB956:CB956)</f>
        <v>0</v>
      </c>
      <c r="CC957" s="2490">
        <f>IF(BZ957=0," ",(CB957-BZ957)/BZ957)</f>
        <v>-1</v>
      </c>
      <c r="CD957" s="2491"/>
      <c r="CE957" s="2540">
        <f>SUM(CE956:CE956)</f>
        <v>0</v>
      </c>
      <c r="CF957" s="2490" t="str">
        <f>IF(CB957=0," ",(CE957-CB957)/CB957)</f>
        <v xml:space="preserve"> </v>
      </c>
      <c r="CG957" s="2540">
        <f>SUM(CG956:CG956)</f>
        <v>0</v>
      </c>
      <c r="CH957" s="2449" t="s">
        <v>2428</v>
      </c>
      <c r="CI957" s="2449"/>
      <c r="CJ957" s="2450"/>
      <c r="CK957" s="2450"/>
      <c r="CL957" s="2451"/>
      <c r="CM957" s="2451"/>
      <c r="CN957" s="2451"/>
      <c r="CO957" s="2477" t="s">
        <v>1218</v>
      </c>
      <c r="CP957" s="2478">
        <f t="shared" si="489"/>
        <v>-75000</v>
      </c>
      <c r="CQ957" s="2478"/>
      <c r="CR957" s="2478"/>
      <c r="CS957" s="2478"/>
      <c r="CT957" s="2478"/>
    </row>
    <row r="958" spans="1:98" ht="9.9499999999999993" hidden="1" customHeight="1" x14ac:dyDescent="0.2">
      <c r="AS958" s="2466"/>
      <c r="AT958" s="2466"/>
      <c r="BZ958" s="2472"/>
      <c r="CH958" s="2449" t="s">
        <v>1091</v>
      </c>
      <c r="CI958" s="2449"/>
      <c r="CJ958" s="2450"/>
      <c r="CK958" s="2450"/>
      <c r="CP958" s="2478">
        <f t="shared" si="489"/>
        <v>0</v>
      </c>
      <c r="CQ958" s="2478"/>
      <c r="CR958" s="2478"/>
      <c r="CS958" s="2478"/>
      <c r="CT958" s="2478"/>
    </row>
    <row r="959" spans="1:98" hidden="1" x14ac:dyDescent="0.2">
      <c r="A959" s="2495"/>
      <c r="B959" s="2496"/>
      <c r="C959" s="2497"/>
      <c r="D959" s="2497"/>
      <c r="E959" s="2498"/>
      <c r="F959" s="2496"/>
      <c r="G959" s="2499" t="s">
        <v>2429</v>
      </c>
      <c r="H959" s="2500">
        <f t="shared" ref="H959" si="543">SUM(H957)</f>
        <v>0</v>
      </c>
      <c r="I959" s="2500">
        <f>SUM(I957)</f>
        <v>0</v>
      </c>
      <c r="J959" s="2500">
        <f>SUM(J957)</f>
        <v>0</v>
      </c>
      <c r="K959" s="2501" t="str">
        <f>IF(H959=0," ",(J959-H959)/H959)</f>
        <v xml:space="preserve"> </v>
      </c>
      <c r="M959" s="2500">
        <f>SUM(M957)</f>
        <v>75000</v>
      </c>
      <c r="N959" s="2500">
        <f>SUM(N957)</f>
        <v>100000</v>
      </c>
      <c r="P959" s="2502" t="e">
        <f>SUM(P957)</f>
        <v>#REF!</v>
      </c>
      <c r="R959" s="2500">
        <f>SUM(R957)</f>
        <v>100000</v>
      </c>
      <c r="S959" s="2500">
        <f>SUM(S957)</f>
        <v>0</v>
      </c>
      <c r="U959" s="2500">
        <f>SUM(U957)</f>
        <v>0</v>
      </c>
      <c r="V959" s="2500">
        <f>SUM(V957)</f>
        <v>25000</v>
      </c>
      <c r="W959" s="2500">
        <f>SUM(W957)</f>
        <v>25000</v>
      </c>
      <c r="X959" s="2501" t="str">
        <f>IF(U959=0," ",(W959-U959)/U959)</f>
        <v xml:space="preserve"> </v>
      </c>
      <c r="Z959" s="2500">
        <f>SUM(Z957)</f>
        <v>25000</v>
      </c>
      <c r="AA959" s="2500">
        <f>SUM(AA957)</f>
        <v>25000</v>
      </c>
      <c r="AC959" s="2502"/>
      <c r="AE959" s="2500">
        <f>SUM(AE957)</f>
        <v>25000</v>
      </c>
      <c r="AF959" s="2503">
        <f>SUM(AF957)</f>
        <v>0</v>
      </c>
      <c r="AH959" s="2500">
        <v>25000</v>
      </c>
      <c r="AI959" s="2500">
        <f>SUM(AI957)</f>
        <v>0</v>
      </c>
      <c r="AJ959" s="2500">
        <f>SUM(AJ957)</f>
        <v>25000</v>
      </c>
      <c r="AK959" s="2501">
        <f>IF(AH959=0," ",(AJ959-AH959)/AH959)</f>
        <v>0</v>
      </c>
      <c r="AM959" s="2500">
        <f>SUM(AM957)</f>
        <v>25000</v>
      </c>
      <c r="AN959" s="2500">
        <f>SUM(AN957)</f>
        <v>25000</v>
      </c>
      <c r="AP959" s="2502"/>
      <c r="AR959" s="2500">
        <f>SUM(AR957)</f>
        <v>91000</v>
      </c>
      <c r="AS959" s="2500">
        <f>SUM(AS957)</f>
        <v>0</v>
      </c>
      <c r="AT959" s="2500"/>
      <c r="AU959" s="2500">
        <f>SUM(AU957)</f>
        <v>85000</v>
      </c>
      <c r="AV959" s="2500">
        <f>SUM(AV957)</f>
        <v>0</v>
      </c>
      <c r="AX959" s="2500">
        <f>SUM(AX957)</f>
        <v>85000</v>
      </c>
      <c r="AY959" s="2500">
        <f>SUM(AY957)</f>
        <v>0</v>
      </c>
      <c r="AZ959" s="2500">
        <f>SUM(AZ957)</f>
        <v>85000</v>
      </c>
      <c r="BA959" s="2501">
        <f>IF(AX959=0," ",(AZ959-AX959)/AX959)</f>
        <v>0</v>
      </c>
      <c r="BC959" s="2500">
        <f>SUM(BC957)</f>
        <v>85000</v>
      </c>
      <c r="BD959" s="2500">
        <f>SUM(BD957)</f>
        <v>75000</v>
      </c>
      <c r="BF959" s="2502"/>
      <c r="BH959" s="2500">
        <f>SUM(BH957)</f>
        <v>75000</v>
      </c>
      <c r="BI959" s="2500">
        <f>SUM(BI957)</f>
        <v>0</v>
      </c>
      <c r="BJ959" s="2500"/>
      <c r="BK959" s="2500"/>
      <c r="BM959" s="2500">
        <f>SUM(BM957)</f>
        <v>75000</v>
      </c>
      <c r="BN959" s="2504">
        <f>SUM(BN957)</f>
        <v>-50000</v>
      </c>
      <c r="BO959" s="2505">
        <f>SUM(BO957)</f>
        <v>25000</v>
      </c>
      <c r="BP959" s="2506">
        <f>IF(BM959=0," ",(BO959-BM959)/BM959)</f>
        <v>-0.66666666666666663</v>
      </c>
      <c r="BR959" s="2505">
        <f>SUM(BR957)</f>
        <v>25000</v>
      </c>
      <c r="BS959" s="2505">
        <f>SUM(BS957)</f>
        <v>10000</v>
      </c>
      <c r="BU959" s="2507"/>
      <c r="BW959" s="2505">
        <f>SUM(BW957)</f>
        <v>10000</v>
      </c>
      <c r="BX959" s="2500">
        <f>SUM(BX957)</f>
        <v>0</v>
      </c>
      <c r="BZ959" s="2505">
        <f>SUM(BZ957)</f>
        <v>10000</v>
      </c>
      <c r="CA959" s="2505">
        <f>SUM(CA957)</f>
        <v>-10000</v>
      </c>
      <c r="CB959" s="2505">
        <f>SUM(CB957)</f>
        <v>0</v>
      </c>
      <c r="CC959" s="2506">
        <f>IF(BZ959=0," ",(CB959-BZ959)/BZ959)</f>
        <v>-1</v>
      </c>
      <c r="CE959" s="2505">
        <f>SUM(CE957)</f>
        <v>0</v>
      </c>
      <c r="CF959" s="2506" t="str">
        <f>IF(CB959=0," ",(CE959-CB959)/CB959)</f>
        <v xml:space="preserve"> </v>
      </c>
      <c r="CG959" s="2505">
        <f>SUM(CG957)</f>
        <v>0</v>
      </c>
      <c r="CH959" s="2449" t="s">
        <v>2430</v>
      </c>
      <c r="CI959" s="2449"/>
      <c r="CJ959" s="2450"/>
      <c r="CK959" s="2450"/>
      <c r="CO959" s="2477" t="s">
        <v>1218</v>
      </c>
      <c r="CP959" s="2478">
        <f t="shared" si="489"/>
        <v>-75000</v>
      </c>
      <c r="CQ959" s="2478"/>
      <c r="CR959" s="2478"/>
      <c r="CS959" s="2478"/>
      <c r="CT959" s="2478"/>
    </row>
    <row r="960" spans="1:98" ht="20.100000000000001" hidden="1" customHeight="1" x14ac:dyDescent="0.2">
      <c r="A960" s="2695"/>
      <c r="B960" s="2491"/>
      <c r="C960" s="2696"/>
      <c r="D960" s="2696"/>
      <c r="E960" s="2697"/>
      <c r="F960" s="2491"/>
      <c r="G960" s="2491"/>
      <c r="H960" s="2553"/>
      <c r="I960" s="2553"/>
      <c r="J960" s="2553"/>
      <c r="K960" s="2554"/>
      <c r="M960" s="2553"/>
      <c r="N960" s="2553"/>
      <c r="P960" s="2698"/>
      <c r="R960" s="2553"/>
      <c r="S960" s="2553"/>
      <c r="U960" s="2553"/>
      <c r="V960" s="2553"/>
      <c r="W960" s="2553"/>
      <c r="X960" s="2699"/>
      <c r="Z960" s="2553"/>
      <c r="AA960" s="2553"/>
      <c r="AC960" s="2698"/>
      <c r="AE960" s="2553"/>
      <c r="AF960" s="2700"/>
      <c r="AH960" s="2553"/>
      <c r="AI960" s="2553"/>
      <c r="AJ960" s="2553"/>
      <c r="AK960" s="2699"/>
      <c r="AM960" s="2553"/>
      <c r="AN960" s="2553"/>
      <c r="AP960" s="2698"/>
      <c r="AR960" s="2553"/>
      <c r="AS960" s="2553"/>
      <c r="AT960" s="2553"/>
      <c r="AU960" s="2553"/>
      <c r="AV960" s="2553"/>
      <c r="AX960" s="2553"/>
      <c r="AY960" s="2553"/>
      <c r="AZ960" s="2553"/>
      <c r="BA960" s="2699"/>
      <c r="BC960" s="2553"/>
      <c r="BD960" s="2553"/>
      <c r="BF960" s="2551"/>
      <c r="BH960" s="2553"/>
      <c r="BI960" s="2553"/>
      <c r="BJ960" s="2553"/>
      <c r="BK960" s="2553"/>
      <c r="BM960" s="2553"/>
      <c r="BN960" s="2472"/>
      <c r="BO960" s="2553"/>
      <c r="BP960" s="2701"/>
      <c r="BR960" s="2553"/>
      <c r="BS960" s="2553"/>
      <c r="BU960" s="2555"/>
      <c r="BW960" s="2553"/>
      <c r="BX960" s="2553"/>
      <c r="BZ960" s="2553"/>
      <c r="CA960" s="2472"/>
      <c r="CB960" s="2553"/>
      <c r="CC960" s="2701"/>
      <c r="CE960" s="2553"/>
      <c r="CF960" s="2701"/>
      <c r="CG960" s="2553"/>
      <c r="CH960" s="2449" t="s">
        <v>1091</v>
      </c>
      <c r="CI960" s="2449"/>
      <c r="CJ960" s="2450"/>
      <c r="CK960" s="2450"/>
      <c r="CP960" s="2478">
        <f t="shared" si="489"/>
        <v>0</v>
      </c>
      <c r="CQ960" s="2478"/>
      <c r="CR960" s="2478"/>
      <c r="CS960" s="2478"/>
      <c r="CT960" s="2478"/>
    </row>
    <row r="961" spans="1:99" ht="15.75" hidden="1" x14ac:dyDescent="0.2">
      <c r="A961" s="2453" t="s">
        <v>2431</v>
      </c>
      <c r="B961" s="2454"/>
      <c r="C961" s="2455"/>
      <c r="D961" s="2455"/>
      <c r="E961" s="2456"/>
      <c r="F961" s="2454"/>
      <c r="G961" s="2454"/>
      <c r="H961" s="2457"/>
      <c r="I961" s="2457"/>
      <c r="J961" s="2457"/>
      <c r="K961" s="2458"/>
      <c r="M961" s="2457"/>
      <c r="N961" s="2457"/>
      <c r="P961" s="2459"/>
      <c r="R961" s="2702" t="s">
        <v>168</v>
      </c>
      <c r="S961" s="2703" t="s">
        <v>2432</v>
      </c>
      <c r="U961" s="2457"/>
      <c r="V961" s="2457"/>
      <c r="W961" s="2457"/>
      <c r="X961" s="2458"/>
      <c r="Z961" s="2457"/>
      <c r="AA961" s="2457"/>
      <c r="AC961" s="2459"/>
      <c r="AE961" s="2459"/>
      <c r="AF961" s="2703" t="s">
        <v>2432</v>
      </c>
      <c r="AH961" s="2457"/>
      <c r="AI961" s="2457"/>
      <c r="AJ961" s="2457"/>
      <c r="AK961" s="2458"/>
      <c r="AM961" s="2457"/>
      <c r="AN961" s="2457"/>
      <c r="AP961" s="2459"/>
      <c r="AR961" s="2702" t="s">
        <v>168</v>
      </c>
      <c r="AS961" s="2457"/>
      <c r="AT961" s="2457"/>
      <c r="AU961" s="2457"/>
      <c r="AV961" s="2457"/>
      <c r="AX961" s="2457"/>
      <c r="AY961" s="2457"/>
      <c r="AZ961" s="2457"/>
      <c r="BA961" s="2458"/>
      <c r="BC961" s="2457"/>
      <c r="BD961" s="2457"/>
      <c r="BF961" s="2461"/>
      <c r="BH961" s="2457"/>
      <c r="BI961" s="2457"/>
      <c r="BJ961" s="2457"/>
      <c r="BK961" s="2457"/>
      <c r="BM961" s="2457"/>
      <c r="BN961" s="2462"/>
      <c r="BO961" s="2463"/>
      <c r="BP961" s="2464"/>
      <c r="BR961" s="2463"/>
      <c r="BS961" s="2463"/>
      <c r="BU961" s="2465"/>
      <c r="BW961" s="2463"/>
      <c r="BX961" s="2457"/>
      <c r="BZ961" s="2463"/>
      <c r="CA961" s="2462"/>
      <c r="CB961" s="2463"/>
      <c r="CC961" s="2464"/>
      <c r="CE961" s="2463"/>
      <c r="CF961" s="2464"/>
      <c r="CG961" s="2463"/>
      <c r="CH961" s="2449" t="s">
        <v>2422</v>
      </c>
      <c r="CI961" s="2449"/>
      <c r="CJ961" s="2450"/>
      <c r="CK961" s="2450"/>
      <c r="CP961" s="2478">
        <f t="shared" si="489"/>
        <v>0</v>
      </c>
      <c r="CQ961" s="2478"/>
      <c r="CR961" s="2478"/>
      <c r="CS961" s="2478"/>
      <c r="CT961" s="2478"/>
    </row>
    <row r="962" spans="1:99" hidden="1" x14ac:dyDescent="0.2">
      <c r="A962" s="2395">
        <v>990</v>
      </c>
      <c r="B962" s="2440" t="s">
        <v>1214</v>
      </c>
      <c r="C962" s="2396">
        <v>99200</v>
      </c>
      <c r="D962" s="2396">
        <v>59600</v>
      </c>
      <c r="F962" s="2440" t="s">
        <v>1214</v>
      </c>
      <c r="G962" s="2587" t="s">
        <v>2433</v>
      </c>
      <c r="I962" s="2470"/>
      <c r="J962" s="2466">
        <f>H962+I962</f>
        <v>0</v>
      </c>
      <c r="M962" s="2467"/>
      <c r="N962" s="2467"/>
      <c r="P962" s="2469"/>
      <c r="V962" s="2470"/>
      <c r="W962" s="2466">
        <f>U962+V962</f>
        <v>0</v>
      </c>
      <c r="X962" s="2468" t="str">
        <f>IF(U962=0," ",(W962-U962)/U962)</f>
        <v xml:space="preserve"> </v>
      </c>
      <c r="Z962" s="2467"/>
      <c r="AA962" s="2467"/>
      <c r="AC962" s="2469"/>
      <c r="AE962" s="2466">
        <v>0</v>
      </c>
      <c r="AF962" s="2471">
        <v>99000</v>
      </c>
      <c r="AI962" s="2467"/>
      <c r="AJ962" s="2466">
        <f>AH962+AI962</f>
        <v>0</v>
      </c>
      <c r="AK962" s="2468" t="str">
        <f>IF(AH962=0," ",(AJ962-AH962)/AH962)</f>
        <v xml:space="preserve"> </v>
      </c>
      <c r="AM962" s="2467"/>
      <c r="AN962" s="2467"/>
      <c r="AO962" s="2546"/>
      <c r="AP962" s="2567"/>
      <c r="AS962" s="2466"/>
      <c r="AT962" s="2466"/>
      <c r="AY962" s="2457"/>
      <c r="AZ962" s="2466">
        <f>AX962+AY962</f>
        <v>0</v>
      </c>
      <c r="BA962" s="2468" t="str">
        <f>IF(AX962=0," ",(AZ962-AX962)/AX962)</f>
        <v xml:space="preserve"> </v>
      </c>
      <c r="BC962" s="2467"/>
      <c r="BD962" s="2467"/>
      <c r="BE962" s="2546"/>
      <c r="BF962" s="2469"/>
      <c r="BH962" s="2467"/>
      <c r="BN962" s="2467"/>
      <c r="BO962" s="2472">
        <f>BM962+BN962</f>
        <v>0</v>
      </c>
      <c r="BP962" s="2473" t="str">
        <f>IF(BM962=0," ",(BO962-BM962)/BM962)</f>
        <v xml:space="preserve"> </v>
      </c>
      <c r="BR962" s="2474">
        <v>0</v>
      </c>
      <c r="BS962" s="2474">
        <v>0</v>
      </c>
      <c r="BU962" s="2475"/>
      <c r="BW962" s="2474">
        <v>0</v>
      </c>
      <c r="BZ962" s="2474">
        <v>0</v>
      </c>
      <c r="CA962" s="2467"/>
      <c r="CB962" s="2472">
        <f>BZ962+CA962</f>
        <v>0</v>
      </c>
      <c r="CC962" s="2473" t="str">
        <f>IF(BZ962=0," ",(CB962-BZ962)/BZ962)</f>
        <v xml:space="preserve"> </v>
      </c>
      <c r="CE962" s="2474">
        <v>0</v>
      </c>
      <c r="CF962" s="2476" t="str">
        <f>IF(CB962=0," ",(CE962-CB962)/CB962)</f>
        <v xml:space="preserve"> </v>
      </c>
      <c r="CG962" s="2474">
        <v>0</v>
      </c>
      <c r="CH962" s="2449" t="s">
        <v>1217</v>
      </c>
      <c r="CI962" s="2449"/>
      <c r="CJ962" s="2450"/>
      <c r="CK962" s="2450"/>
      <c r="CP962" s="2478">
        <f t="shared" si="489"/>
        <v>0</v>
      </c>
      <c r="CQ962" s="2478"/>
      <c r="CR962" s="2478"/>
      <c r="CS962" s="2478"/>
      <c r="CT962" s="2478"/>
    </row>
    <row r="963" spans="1:99" hidden="1" x14ac:dyDescent="0.2">
      <c r="A963" s="2395">
        <v>990</v>
      </c>
      <c r="B963" s="2440" t="s">
        <v>1214</v>
      </c>
      <c r="C963" s="2396">
        <v>99200</v>
      </c>
      <c r="D963" s="2396">
        <v>59601</v>
      </c>
      <c r="F963" s="2440" t="s">
        <v>1214</v>
      </c>
      <c r="G963" s="2587" t="s">
        <v>2434</v>
      </c>
      <c r="I963" s="2470">
        <v>60000</v>
      </c>
      <c r="J963" s="2466">
        <f>H963+I963</f>
        <v>60000</v>
      </c>
      <c r="M963" s="2467">
        <v>60000</v>
      </c>
      <c r="N963" s="2467">
        <v>60000</v>
      </c>
      <c r="P963" s="2469"/>
      <c r="R963" s="2466">
        <v>60000</v>
      </c>
      <c r="S963" s="2466">
        <v>60000</v>
      </c>
      <c r="V963" s="2470">
        <v>15000</v>
      </c>
      <c r="W963" s="2466">
        <f>U963+V963</f>
        <v>15000</v>
      </c>
      <c r="X963" s="2468" t="str">
        <f>IF(U963=0," ",(W963-U963)/U963)</f>
        <v xml:space="preserve"> </v>
      </c>
      <c r="Z963" s="2467">
        <v>15000</v>
      </c>
      <c r="AA963" s="2467">
        <v>15000</v>
      </c>
      <c r="AC963" s="2469" t="s">
        <v>2435</v>
      </c>
      <c r="AE963" s="2466">
        <v>0</v>
      </c>
      <c r="AF963" s="2471">
        <v>15000</v>
      </c>
      <c r="AI963" s="2467">
        <v>15000</v>
      </c>
      <c r="AJ963" s="2466">
        <f>AH963+AI963</f>
        <v>15000</v>
      </c>
      <c r="AK963" s="2468" t="str">
        <f>IF(AH963=0," ",(AJ963-AH963)/AH963)</f>
        <v xml:space="preserve"> </v>
      </c>
      <c r="AM963" s="2467">
        <v>15000</v>
      </c>
      <c r="AN963" s="2467">
        <v>15000</v>
      </c>
      <c r="AO963" s="2546"/>
      <c r="AP963" s="2567" t="s">
        <v>2436</v>
      </c>
      <c r="AR963" s="2466">
        <v>15000</v>
      </c>
      <c r="AS963" s="2466">
        <v>15000</v>
      </c>
      <c r="AT963" s="2466"/>
      <c r="AU963" s="2466">
        <v>15000</v>
      </c>
      <c r="AX963" s="2466">
        <v>15000</v>
      </c>
      <c r="AY963" s="2457"/>
      <c r="AZ963" s="2466">
        <f>AX963+AY963</f>
        <v>15000</v>
      </c>
      <c r="BC963" s="2467">
        <v>15000</v>
      </c>
      <c r="BD963" s="2467">
        <v>0</v>
      </c>
      <c r="BE963" s="2546"/>
      <c r="BF963" s="2547" t="s">
        <v>2437</v>
      </c>
      <c r="BH963" s="2467">
        <v>0</v>
      </c>
      <c r="BI963" s="2466">
        <v>80000</v>
      </c>
      <c r="BM963" s="2466">
        <v>0</v>
      </c>
      <c r="BN963" s="2467">
        <v>0</v>
      </c>
      <c r="BO963" s="2472">
        <f>BM963+BN963</f>
        <v>0</v>
      </c>
      <c r="BR963" s="2474">
        <v>0</v>
      </c>
      <c r="BS963" s="2474">
        <v>0</v>
      </c>
      <c r="BU963" s="2475"/>
      <c r="BW963" s="2474">
        <v>0</v>
      </c>
      <c r="BX963" s="2466">
        <v>80000</v>
      </c>
      <c r="BZ963" s="2474">
        <v>0</v>
      </c>
      <c r="CA963" s="2467"/>
      <c r="CB963" s="2472">
        <f>BZ963+CA963</f>
        <v>0</v>
      </c>
      <c r="CE963" s="2474">
        <v>0</v>
      </c>
      <c r="CF963" s="2476"/>
      <c r="CG963" s="2474">
        <v>0</v>
      </c>
      <c r="CH963" s="2449" t="s">
        <v>1217</v>
      </c>
      <c r="CI963" s="2449"/>
      <c r="CJ963" s="2450"/>
      <c r="CK963" s="2450"/>
      <c r="CO963" s="2477" t="s">
        <v>1257</v>
      </c>
      <c r="CP963" s="2478">
        <f t="shared" si="489"/>
        <v>80000</v>
      </c>
      <c r="CQ963" s="2478"/>
      <c r="CR963" s="2478"/>
      <c r="CS963" s="2478"/>
      <c r="CT963" s="2478"/>
    </row>
    <row r="964" spans="1:99" hidden="1" x14ac:dyDescent="0.2">
      <c r="A964" s="2395">
        <v>990</v>
      </c>
      <c r="B964" s="2440" t="s">
        <v>1214</v>
      </c>
      <c r="C964" s="2396">
        <v>99200</v>
      </c>
      <c r="D964" s="2396">
        <v>59602</v>
      </c>
      <c r="F964" s="2440" t="s">
        <v>1214</v>
      </c>
      <c r="G964" s="2587" t="s">
        <v>2438</v>
      </c>
      <c r="I964" s="2470"/>
      <c r="J964" s="2466">
        <f>H964+I964</f>
        <v>0</v>
      </c>
      <c r="M964" s="2467"/>
      <c r="N964" s="2467"/>
      <c r="P964" s="2469"/>
      <c r="S964" s="2466">
        <v>50000</v>
      </c>
      <c r="V964" s="2470">
        <v>40000</v>
      </c>
      <c r="W964" s="2466">
        <f>U964+V964</f>
        <v>40000</v>
      </c>
      <c r="X964" s="2468" t="str">
        <f>IF(U964=0," ",(W964-U964)/U964)</f>
        <v xml:space="preserve"> </v>
      </c>
      <c r="Z964" s="2467">
        <v>40000</v>
      </c>
      <c r="AA964" s="2467">
        <v>40000</v>
      </c>
      <c r="AC964" s="2469"/>
      <c r="AE964" s="2466">
        <v>0</v>
      </c>
      <c r="AI964" s="2467">
        <v>40000</v>
      </c>
      <c r="AJ964" s="2466">
        <f>AH964+AI964</f>
        <v>40000</v>
      </c>
      <c r="AK964" s="2468" t="str">
        <f>IF(AH964=0," ",(AJ964-AH964)/AH964)</f>
        <v xml:space="preserve"> </v>
      </c>
      <c r="AM964" s="2467">
        <v>40000</v>
      </c>
      <c r="AN964" s="2467">
        <v>40000</v>
      </c>
      <c r="AP964" s="2582" t="s">
        <v>2439</v>
      </c>
      <c r="AR964" s="2466">
        <v>40000</v>
      </c>
      <c r="AS964" s="2466">
        <v>45200</v>
      </c>
      <c r="AT964" s="2466"/>
      <c r="AU964" s="2466">
        <v>0</v>
      </c>
      <c r="AV964" s="2466">
        <v>100000</v>
      </c>
      <c r="AX964" s="2466">
        <v>0</v>
      </c>
      <c r="AY964" s="2457"/>
      <c r="AZ964" s="2466">
        <f>AX964+AY964</f>
        <v>0</v>
      </c>
      <c r="BC964" s="2467"/>
      <c r="BD964" s="2467"/>
      <c r="BF964" s="2547" t="s">
        <v>2440</v>
      </c>
      <c r="BH964" s="2467"/>
      <c r="BI964" s="2466">
        <v>100000</v>
      </c>
      <c r="BN964" s="2467"/>
      <c r="BO964" s="2472">
        <f>BM964+BN964</f>
        <v>0</v>
      </c>
      <c r="BR964" s="2474">
        <v>0</v>
      </c>
      <c r="BS964" s="2474">
        <v>0</v>
      </c>
      <c r="BU964" s="2475"/>
      <c r="BW964" s="2474">
        <v>0</v>
      </c>
      <c r="BX964" s="2466">
        <v>100000</v>
      </c>
      <c r="BZ964" s="2474">
        <v>0</v>
      </c>
      <c r="CA964" s="2467"/>
      <c r="CB964" s="2472">
        <f>BZ964+CA964</f>
        <v>0</v>
      </c>
      <c r="CE964" s="2474">
        <v>0</v>
      </c>
      <c r="CF964" s="2476"/>
      <c r="CG964" s="2474">
        <v>0</v>
      </c>
      <c r="CH964" s="2449" t="s">
        <v>1217</v>
      </c>
      <c r="CI964" s="2449"/>
      <c r="CJ964" s="2450"/>
      <c r="CK964" s="2450"/>
      <c r="CO964" s="2477" t="s">
        <v>1257</v>
      </c>
      <c r="CP964" s="2478">
        <f t="shared" si="489"/>
        <v>100000</v>
      </c>
      <c r="CQ964" s="2478"/>
      <c r="CR964" s="2478"/>
      <c r="CS964" s="2478"/>
      <c r="CT964" s="2478"/>
    </row>
    <row r="965" spans="1:99" hidden="1" x14ac:dyDescent="0.2">
      <c r="A965" s="2395">
        <v>990</v>
      </c>
      <c r="B965" s="2440" t="s">
        <v>1214</v>
      </c>
      <c r="C965" s="2396">
        <v>99200</v>
      </c>
      <c r="D965" s="2396">
        <v>59603</v>
      </c>
      <c r="F965" s="2440" t="s">
        <v>1214</v>
      </c>
      <c r="G965" s="2440" t="s">
        <v>2441</v>
      </c>
      <c r="I965" s="2470"/>
      <c r="J965" s="2466">
        <f>H965+I965</f>
        <v>0</v>
      </c>
      <c r="M965" s="2467"/>
      <c r="N965" s="2467"/>
      <c r="P965" s="2469"/>
      <c r="S965" s="2466">
        <v>40109</v>
      </c>
      <c r="V965" s="2470">
        <v>15000</v>
      </c>
      <c r="W965" s="2466">
        <f>U965+V965</f>
        <v>15000</v>
      </c>
      <c r="X965" s="2468" t="str">
        <f>IF(U965=0," ",(W965-U965)/U965)</f>
        <v xml:space="preserve"> </v>
      </c>
      <c r="Z965" s="2467">
        <v>15000</v>
      </c>
      <c r="AA965" s="2467">
        <v>15000</v>
      </c>
      <c r="AC965" s="2469"/>
      <c r="AE965" s="2466">
        <v>0</v>
      </c>
      <c r="AI965" s="2467">
        <v>15000</v>
      </c>
      <c r="AJ965" s="2466">
        <f>AH965+AI965</f>
        <v>15000</v>
      </c>
      <c r="AK965" s="2468" t="str">
        <f>IF(AH965=0," ",(AJ965-AH965)/AH965)</f>
        <v xml:space="preserve"> </v>
      </c>
      <c r="AM965" s="2467">
        <v>15000</v>
      </c>
      <c r="AN965" s="2467">
        <v>15000</v>
      </c>
      <c r="AO965" s="2546"/>
      <c r="AP965" s="2704" t="s">
        <v>2442</v>
      </c>
      <c r="AR965" s="2466">
        <v>15000</v>
      </c>
      <c r="AS965" s="2466">
        <v>15000</v>
      </c>
      <c r="AT965" s="2466"/>
      <c r="AV965" s="2466">
        <v>15000</v>
      </c>
      <c r="AY965" s="2457"/>
      <c r="AZ965" s="2466">
        <f>AX965+AY965</f>
        <v>0</v>
      </c>
      <c r="BC965" s="2467"/>
      <c r="BD965" s="2467">
        <v>20000</v>
      </c>
      <c r="BE965" s="2546"/>
      <c r="BF965" s="2547" t="s">
        <v>2443</v>
      </c>
      <c r="BH965" s="2467">
        <v>20000</v>
      </c>
      <c r="BI965" s="2466">
        <v>20000</v>
      </c>
      <c r="BM965" s="2466">
        <v>20000</v>
      </c>
      <c r="BN965" s="2467">
        <v>-20000</v>
      </c>
      <c r="BO965" s="2472">
        <f>BM965+BN965</f>
        <v>0</v>
      </c>
      <c r="BR965" s="2474">
        <v>0</v>
      </c>
      <c r="BS965" s="2474">
        <v>0</v>
      </c>
      <c r="BU965" s="2475"/>
      <c r="BW965" s="2474">
        <v>0</v>
      </c>
      <c r="BZ965" s="2474">
        <v>0</v>
      </c>
      <c r="CA965" s="2467"/>
      <c r="CB965" s="2472">
        <f>BZ965+CA965</f>
        <v>0</v>
      </c>
      <c r="CE965" s="2474">
        <v>0</v>
      </c>
      <c r="CF965" s="2476"/>
      <c r="CG965" s="2474">
        <v>0</v>
      </c>
      <c r="CH965" s="2449" t="s">
        <v>1217</v>
      </c>
      <c r="CI965" s="2449"/>
      <c r="CJ965" s="2450"/>
      <c r="CK965" s="2450"/>
      <c r="CO965" s="2477">
        <v>0</v>
      </c>
      <c r="CP965" s="2478">
        <f t="shared" si="489"/>
        <v>0</v>
      </c>
      <c r="CQ965" s="2478"/>
      <c r="CR965" s="2478"/>
      <c r="CS965" s="2478"/>
      <c r="CT965" s="2478"/>
    </row>
    <row r="966" spans="1:99" hidden="1" x14ac:dyDescent="0.2">
      <c r="A966" s="2395">
        <v>990</v>
      </c>
      <c r="B966" s="2440" t="s">
        <v>1214</v>
      </c>
      <c r="C966" s="2396">
        <v>99200</v>
      </c>
      <c r="D966" s="2396">
        <v>59604</v>
      </c>
      <c r="G966" s="2440" t="s">
        <v>2444</v>
      </c>
      <c r="I966" s="2470"/>
      <c r="M966" s="2467"/>
      <c r="N966" s="2467"/>
      <c r="P966" s="2469"/>
      <c r="V966" s="2470"/>
      <c r="Z966" s="2467"/>
      <c r="AA966" s="2467"/>
      <c r="AC966" s="2469"/>
      <c r="AI966" s="2467"/>
      <c r="AM966" s="2467"/>
      <c r="AN966" s="2467"/>
      <c r="AO966" s="2546"/>
      <c r="AP966" s="2704"/>
      <c r="AS966" s="2466"/>
      <c r="AT966" s="2466"/>
      <c r="AY966" s="2457"/>
      <c r="BC966" s="2467"/>
      <c r="BD966" s="2467"/>
      <c r="BE966" s="2546"/>
      <c r="BF966" s="2547"/>
      <c r="BH966" s="2467"/>
      <c r="BI966" s="2466">
        <v>25000</v>
      </c>
      <c r="BN966" s="2467"/>
      <c r="BR966" s="2474"/>
      <c r="BS966" s="2474"/>
      <c r="BU966" s="2475"/>
      <c r="BW966" s="2474"/>
      <c r="BX966" s="2466">
        <v>125000</v>
      </c>
      <c r="BZ966" s="2474"/>
      <c r="CA966" s="2467"/>
      <c r="CE966" s="2474"/>
      <c r="CF966" s="2476"/>
      <c r="CG966" s="2474"/>
      <c r="CH966" s="2449" t="s">
        <v>1217</v>
      </c>
      <c r="CI966" s="2449"/>
      <c r="CJ966" s="2450"/>
      <c r="CK966" s="2450"/>
      <c r="CO966" s="2477" t="s">
        <v>1257</v>
      </c>
      <c r="CP966" s="2478">
        <f t="shared" ref="CP966:CP975" si="544">IFERROR(BI966-BH966,"")</f>
        <v>25000</v>
      </c>
      <c r="CQ966" s="2478"/>
      <c r="CR966" s="2478"/>
      <c r="CS966" s="2478"/>
      <c r="CT966" s="2478"/>
    </row>
    <row r="967" spans="1:99" hidden="1" x14ac:dyDescent="0.2">
      <c r="A967" s="2395">
        <v>990</v>
      </c>
      <c r="B967" s="2440" t="s">
        <v>1214</v>
      </c>
      <c r="C967" s="2396">
        <v>99200</v>
      </c>
      <c r="D967" s="2396">
        <v>59605</v>
      </c>
      <c r="G967" s="2440" t="s">
        <v>2445</v>
      </c>
      <c r="I967" s="2470"/>
      <c r="M967" s="2467"/>
      <c r="N967" s="2467"/>
      <c r="P967" s="2469"/>
      <c r="V967" s="2470"/>
      <c r="Z967" s="2467"/>
      <c r="AA967" s="2467"/>
      <c r="AC967" s="2469"/>
      <c r="AI967" s="2467"/>
      <c r="AM967" s="2467"/>
      <c r="AN967" s="2467"/>
      <c r="AO967" s="2546"/>
      <c r="AP967" s="2704"/>
      <c r="AS967" s="2466"/>
      <c r="AT967" s="2466"/>
      <c r="AY967" s="2457"/>
      <c r="BC967" s="2467"/>
      <c r="BD967" s="2467"/>
      <c r="BE967" s="2546"/>
      <c r="BF967" s="2547"/>
      <c r="BH967" s="2467"/>
      <c r="BI967" s="2466">
        <v>100000</v>
      </c>
      <c r="BN967" s="2467"/>
      <c r="BR967" s="2474"/>
      <c r="BS967" s="2474"/>
      <c r="BU967" s="2475"/>
      <c r="BW967" s="2474"/>
      <c r="BX967" s="2466">
        <v>400000</v>
      </c>
      <c r="BZ967" s="2474"/>
      <c r="CA967" s="2467"/>
      <c r="CE967" s="2474"/>
      <c r="CF967" s="2476"/>
      <c r="CG967" s="2474"/>
      <c r="CH967" s="2449" t="s">
        <v>1217</v>
      </c>
      <c r="CI967" s="2449"/>
      <c r="CJ967" s="2450"/>
      <c r="CK967" s="2450"/>
      <c r="CO967" s="2477" t="s">
        <v>1257</v>
      </c>
      <c r="CP967" s="2478">
        <f t="shared" si="544"/>
        <v>100000</v>
      </c>
      <c r="CQ967" s="2478"/>
      <c r="CR967" s="2478"/>
      <c r="CS967" s="2478"/>
      <c r="CT967" s="2478"/>
    </row>
    <row r="968" spans="1:99" hidden="1" x14ac:dyDescent="0.2">
      <c r="A968" s="2395">
        <v>990</v>
      </c>
      <c r="B968" s="2440" t="s">
        <v>1214</v>
      </c>
      <c r="C968" s="2396">
        <v>99200</v>
      </c>
      <c r="D968" s="2396">
        <v>59610</v>
      </c>
      <c r="G968" s="2440" t="s">
        <v>2446</v>
      </c>
      <c r="I968" s="2470"/>
      <c r="M968" s="2467"/>
      <c r="N968" s="2467"/>
      <c r="P968" s="2469"/>
      <c r="V968" s="2470"/>
      <c r="Z968" s="2467"/>
      <c r="AA968" s="2467"/>
      <c r="AC968" s="2469"/>
      <c r="AI968" s="2467"/>
      <c r="AM968" s="2467"/>
      <c r="AN968" s="2467"/>
      <c r="AO968" s="2546"/>
      <c r="AP968" s="2704"/>
      <c r="AS968" s="2466"/>
      <c r="AT968" s="2466"/>
      <c r="AY968" s="2457"/>
      <c r="BC968" s="2467"/>
      <c r="BD968" s="2467"/>
      <c r="BE968" s="2546"/>
      <c r="BF968" s="2547"/>
      <c r="BH968" s="2467"/>
      <c r="BI968" s="2466">
        <v>340000</v>
      </c>
      <c r="BN968" s="2467"/>
      <c r="BR968" s="2474"/>
      <c r="BS968" s="2474"/>
      <c r="BU968" s="2475"/>
      <c r="BW968" s="2474"/>
      <c r="BX968" s="2466">
        <v>360000</v>
      </c>
      <c r="BZ968" s="2474"/>
      <c r="CA968" s="2467"/>
      <c r="CE968" s="2474"/>
      <c r="CF968" s="2476"/>
      <c r="CG968" s="2474"/>
      <c r="CH968" s="2449" t="s">
        <v>1217</v>
      </c>
      <c r="CI968" s="2449"/>
      <c r="CJ968" s="2450"/>
      <c r="CK968" s="2450"/>
      <c r="CO968" s="2477" t="s">
        <v>1257</v>
      </c>
      <c r="CP968" s="2478">
        <f t="shared" si="544"/>
        <v>340000</v>
      </c>
      <c r="CQ968" s="2478"/>
      <c r="CR968" s="2478"/>
      <c r="CS968" s="2478"/>
      <c r="CT968" s="2478"/>
    </row>
    <row r="969" spans="1:99" s="2485" customFormat="1" hidden="1" x14ac:dyDescent="0.2">
      <c r="A969" s="2532"/>
      <c r="B969" s="2533"/>
      <c r="C969" s="2534"/>
      <c r="D969" s="2534"/>
      <c r="E969" s="2535"/>
      <c r="F969" s="2533"/>
      <c r="G969" s="2654" t="s">
        <v>2447</v>
      </c>
      <c r="H969" s="2536">
        <f>SUM(H963:H965)</f>
        <v>0</v>
      </c>
      <c r="I969" s="2536">
        <f>SUM(I963:I965)</f>
        <v>60000</v>
      </c>
      <c r="J969" s="2536">
        <f>SUM(J963:J965)</f>
        <v>60000</v>
      </c>
      <c r="K969" s="2484" t="str">
        <f>IF(H969=0," ",(J969-H969)/H969)</f>
        <v xml:space="preserve"> </v>
      </c>
      <c r="M969" s="2536">
        <f>SUM(M963:M965)</f>
        <v>60000</v>
      </c>
      <c r="N969" s="2536">
        <f>SUM(N963:N965)</f>
        <v>60000</v>
      </c>
      <c r="P969" s="2537">
        <f>SUM(P963:P965)</f>
        <v>0</v>
      </c>
      <c r="R969" s="2536">
        <f>SUM(R963:R965)</f>
        <v>60000</v>
      </c>
      <c r="S969" s="2536">
        <f>SUM(S963:S965)</f>
        <v>150109</v>
      </c>
      <c r="U969" s="2536">
        <f>SUM(U963:U965)</f>
        <v>0</v>
      </c>
      <c r="V969" s="2536">
        <f>SUM(V963:V965)</f>
        <v>70000</v>
      </c>
      <c r="W969" s="2536">
        <f>SUM(W963:W965)</f>
        <v>70000</v>
      </c>
      <c r="X969" s="2484" t="str">
        <f>IF(U969=0," ",(W969-U969)/U969)</f>
        <v xml:space="preserve"> </v>
      </c>
      <c r="Z969" s="2536">
        <f>SUM(Z963:Z965)</f>
        <v>70000</v>
      </c>
      <c r="AA969" s="2536">
        <f>SUM(AA963:AA965)</f>
        <v>70000</v>
      </c>
      <c r="AC969" s="2537"/>
      <c r="AE969" s="2536">
        <f>SUM(AE962:AE965)</f>
        <v>0</v>
      </c>
      <c r="AF969" s="2538">
        <f>SUM(AF962:AF965)</f>
        <v>114000</v>
      </c>
      <c r="AH969" s="2536">
        <f>SUM(AH962:AH965)</f>
        <v>0</v>
      </c>
      <c r="AI969" s="2536">
        <f>SUM(AI962:AI965)</f>
        <v>70000</v>
      </c>
      <c r="AJ969" s="2536">
        <f>SUM(AJ962:AJ965)</f>
        <v>70000</v>
      </c>
      <c r="AK969" s="2484" t="str">
        <f>IF(AH969=0," ",(AJ969-AH969)/AH969)</f>
        <v xml:space="preserve"> </v>
      </c>
      <c r="AM969" s="2536">
        <f>SUM(AM962:AM965)</f>
        <v>70000</v>
      </c>
      <c r="AN969" s="2536">
        <f>SUM(AN962:AN965)</f>
        <v>70000</v>
      </c>
      <c r="AP969" s="2537"/>
      <c r="AR969" s="2536">
        <f>SUM(AR962:AR965)</f>
        <v>70000</v>
      </c>
      <c r="AS969" s="2536">
        <f>SUM(AS962:AS965)</f>
        <v>75200</v>
      </c>
      <c r="AT969" s="2536"/>
      <c r="AU969" s="2536">
        <f>SUM(AU962:AU968)</f>
        <v>15000</v>
      </c>
      <c r="AV969" s="2536">
        <f>SUM(AV962:AV968)</f>
        <v>115000</v>
      </c>
      <c r="AX969" s="2536">
        <f>SUM(AX962:AX965)</f>
        <v>15000</v>
      </c>
      <c r="AY969" s="2536">
        <f>SUM(AY962:AY965)</f>
        <v>0</v>
      </c>
      <c r="AZ969" s="2536">
        <f>SUM(AZ962:AZ965)</f>
        <v>15000</v>
      </c>
      <c r="BA969" s="2484">
        <f>IF(AX969=0," ",(AZ969-AX969)/AX969)</f>
        <v>0</v>
      </c>
      <c r="BC969" s="2536">
        <f>SUM(BC962:BC965)</f>
        <v>15000</v>
      </c>
      <c r="BD969" s="2536">
        <f>SUM(BD962:BD965)</f>
        <v>20000</v>
      </c>
      <c r="BF969" s="2537"/>
      <c r="BH969" s="2536">
        <f>SUM(BH962:BH968)</f>
        <v>20000</v>
      </c>
      <c r="BI969" s="2536">
        <f>SUM(BI962:BI968)</f>
        <v>665000</v>
      </c>
      <c r="BJ969" s="2536"/>
      <c r="BK969" s="2536"/>
      <c r="BM969" s="2536">
        <f>SUM(BM962:BM965)</f>
        <v>20000</v>
      </c>
      <c r="BN969" s="2539">
        <f>SUM(BN962:BN965)</f>
        <v>-20000</v>
      </c>
      <c r="BO969" s="2540">
        <f>SUM(BO962:BO965)</f>
        <v>0</v>
      </c>
      <c r="BP969" s="2490">
        <f>IF(BM969=0," ",(BO969-BM969)/BM969)</f>
        <v>-1</v>
      </c>
      <c r="BQ969" s="2491"/>
      <c r="BR969" s="2540">
        <f>SUM(BR962:BR965)</f>
        <v>0</v>
      </c>
      <c r="BS969" s="2540">
        <f>SUM(BS962:BS965)</f>
        <v>0</v>
      </c>
      <c r="BT969" s="2491"/>
      <c r="BU969" s="2541"/>
      <c r="BV969" s="2491"/>
      <c r="BW969" s="2536">
        <f>SUM(BW962:BW968)</f>
        <v>0</v>
      </c>
      <c r="BX969" s="2536">
        <f>SUM(BX962:BX968)</f>
        <v>1065000</v>
      </c>
      <c r="BZ969" s="2536">
        <f>SUM(BZ962:BZ968)</f>
        <v>0</v>
      </c>
      <c r="CA969" s="2536">
        <f>SUM(CA962:CA968)</f>
        <v>0</v>
      </c>
      <c r="CB969" s="2536">
        <f>SUM(CB962:CB968)</f>
        <v>0</v>
      </c>
      <c r="CC969" s="2490" t="str">
        <f>IF(BZ969=0," ",(CB969-BZ969)/BZ969)</f>
        <v xml:space="preserve"> </v>
      </c>
      <c r="CD969" s="2491"/>
      <c r="CE969" s="2536">
        <f>SUM(CE962:CE968)</f>
        <v>0</v>
      </c>
      <c r="CF969" s="2490" t="str">
        <f>IF(CB969=0," ",(CE969-CB969)/CB969)</f>
        <v xml:space="preserve"> </v>
      </c>
      <c r="CG969" s="2536">
        <f>SUM(CG962:CG968)</f>
        <v>0</v>
      </c>
      <c r="CH969" s="2449" t="s">
        <v>2428</v>
      </c>
      <c r="CI969" s="2449"/>
      <c r="CJ969" s="2450"/>
      <c r="CK969" s="2450"/>
      <c r="CL969" s="2451"/>
      <c r="CM969" s="2451"/>
      <c r="CN969" s="2451"/>
      <c r="CO969" s="2477">
        <v>32.25</v>
      </c>
      <c r="CP969" s="2478">
        <f t="shared" si="544"/>
        <v>645000</v>
      </c>
      <c r="CQ969" s="2478"/>
      <c r="CR969" s="2478"/>
      <c r="CS969" s="2478"/>
      <c r="CT969" s="2478"/>
    </row>
    <row r="970" spans="1:99" ht="9.9499999999999993" hidden="1" customHeight="1" x14ac:dyDescent="0.2">
      <c r="AS970" s="2466"/>
      <c r="AT970" s="2466"/>
      <c r="BZ970" s="2472"/>
      <c r="CA970" s="2472"/>
      <c r="CH970" s="2449" t="s">
        <v>1091</v>
      </c>
      <c r="CI970" s="2449"/>
      <c r="CJ970" s="2450"/>
      <c r="CK970" s="2450"/>
      <c r="CP970" s="2478">
        <f t="shared" si="544"/>
        <v>0</v>
      </c>
      <c r="CQ970" s="2478"/>
      <c r="CR970" s="2478"/>
      <c r="CS970" s="2478"/>
      <c r="CT970" s="2478"/>
    </row>
    <row r="971" spans="1:99" hidden="1" x14ac:dyDescent="0.2">
      <c r="A971" s="2495"/>
      <c r="B971" s="2496"/>
      <c r="C971" s="2497"/>
      <c r="D971" s="2497"/>
      <c r="E971" s="2498"/>
      <c r="F971" s="2496"/>
      <c r="G971" s="2499" t="s">
        <v>2448</v>
      </c>
      <c r="H971" s="2500">
        <f>H969</f>
        <v>0</v>
      </c>
      <c r="I971" s="2500">
        <f>I969</f>
        <v>60000</v>
      </c>
      <c r="J971" s="2500">
        <f>J969</f>
        <v>60000</v>
      </c>
      <c r="K971" s="2501" t="str">
        <f>IF(H971=0," ",(J971-H971)/H971)</f>
        <v xml:space="preserve"> </v>
      </c>
      <c r="M971" s="2500">
        <f>M969</f>
        <v>60000</v>
      </c>
      <c r="N971" s="2500">
        <f>N969</f>
        <v>60000</v>
      </c>
      <c r="P971" s="2502">
        <f>P969</f>
        <v>0</v>
      </c>
      <c r="R971" s="2500">
        <f>R969</f>
        <v>60000</v>
      </c>
      <c r="S971" s="2500">
        <f>S969</f>
        <v>150109</v>
      </c>
      <c r="U971" s="2500">
        <f>U969</f>
        <v>0</v>
      </c>
      <c r="V971" s="2500">
        <f>V969</f>
        <v>70000</v>
      </c>
      <c r="W971" s="2500">
        <f>W969</f>
        <v>70000</v>
      </c>
      <c r="X971" s="2501" t="str">
        <f>IF(U971=0," ",(W971-U971)/U971)</f>
        <v xml:space="preserve"> </v>
      </c>
      <c r="Z971" s="2500">
        <f>Z969</f>
        <v>70000</v>
      </c>
      <c r="AA971" s="2500">
        <f>AA969</f>
        <v>70000</v>
      </c>
      <c r="AC971" s="2502"/>
      <c r="AE971" s="2500">
        <f>AE969</f>
        <v>0</v>
      </c>
      <c r="AF971" s="2503">
        <f>AF969</f>
        <v>114000</v>
      </c>
      <c r="AH971" s="2500">
        <f>AH969</f>
        <v>0</v>
      </c>
      <c r="AI971" s="2500">
        <f>AI969</f>
        <v>70000</v>
      </c>
      <c r="AJ971" s="2500">
        <f>AJ969</f>
        <v>70000</v>
      </c>
      <c r="AK971" s="2501" t="str">
        <f>IF(AH971=0," ",(AJ971-AH971)/AH971)</f>
        <v xml:space="preserve"> </v>
      </c>
      <c r="AM971" s="2500">
        <f>AM969</f>
        <v>70000</v>
      </c>
      <c r="AN971" s="2500">
        <f>AN969</f>
        <v>70000</v>
      </c>
      <c r="AP971" s="2502"/>
      <c r="AR971" s="2500">
        <f>AR969</f>
        <v>70000</v>
      </c>
      <c r="AS971" s="2500">
        <f>AS969</f>
        <v>75200</v>
      </c>
      <c r="AT971" s="2500"/>
      <c r="AU971" s="2500">
        <f>AU969</f>
        <v>15000</v>
      </c>
      <c r="AV971" s="2500">
        <f>AV969</f>
        <v>115000</v>
      </c>
      <c r="AX971" s="2500">
        <f>AX969</f>
        <v>15000</v>
      </c>
      <c r="AY971" s="2500">
        <f>AY969</f>
        <v>0</v>
      </c>
      <c r="AZ971" s="2500">
        <f>AZ969</f>
        <v>15000</v>
      </c>
      <c r="BA971" s="2501">
        <f>IF(AX971=0," ",(AZ971-AX971)/AX971)</f>
        <v>0</v>
      </c>
      <c r="BC971" s="2500">
        <f>BC969</f>
        <v>15000</v>
      </c>
      <c r="BD971" s="2500">
        <f>BD969</f>
        <v>20000</v>
      </c>
      <c r="BF971" s="2502"/>
      <c r="BH971" s="2500">
        <f>BH969</f>
        <v>20000</v>
      </c>
      <c r="BI971" s="2500">
        <f>BI969</f>
        <v>665000</v>
      </c>
      <c r="BJ971" s="2500"/>
      <c r="BK971" s="2500"/>
      <c r="BM971" s="2500">
        <f>BM969</f>
        <v>20000</v>
      </c>
      <c r="BN971" s="2504">
        <f>BN969</f>
        <v>-20000</v>
      </c>
      <c r="BO971" s="2505">
        <f>BO969</f>
        <v>0</v>
      </c>
      <c r="BP971" s="2506">
        <f>IF(BM971=0," ",(BO971-BM971)/BM971)</f>
        <v>-1</v>
      </c>
      <c r="BR971" s="2505">
        <f>BR969</f>
        <v>0</v>
      </c>
      <c r="BS971" s="2505">
        <f>BS969</f>
        <v>0</v>
      </c>
      <c r="BU971" s="2507"/>
      <c r="BW971" s="2505">
        <f>BW969</f>
        <v>0</v>
      </c>
      <c r="BX971" s="2500">
        <f>BX969</f>
        <v>1065000</v>
      </c>
      <c r="BZ971" s="2505">
        <f>BZ969</f>
        <v>0</v>
      </c>
      <c r="CA971" s="2505">
        <f>CA969</f>
        <v>0</v>
      </c>
      <c r="CB971" s="2505">
        <f>CB969</f>
        <v>0</v>
      </c>
      <c r="CC971" s="2506" t="str">
        <f>IF(BZ971=0," ",(CB971-BZ971)/BZ971)</f>
        <v xml:space="preserve"> </v>
      </c>
      <c r="CE971" s="2505">
        <f>CE969</f>
        <v>0</v>
      </c>
      <c r="CF971" s="2506" t="str">
        <f>IF(CB971=0," ",(CE971-CB971)/CB971)</f>
        <v xml:space="preserve"> </v>
      </c>
      <c r="CG971" s="2505">
        <f>CG969</f>
        <v>0</v>
      </c>
      <c r="CH971" s="2449" t="s">
        <v>2430</v>
      </c>
      <c r="CI971" s="2449"/>
      <c r="CJ971" s="2450"/>
      <c r="CK971" s="2450"/>
      <c r="CO971" s="2477">
        <v>32.25</v>
      </c>
      <c r="CP971" s="2478">
        <f t="shared" si="544"/>
        <v>645000</v>
      </c>
      <c r="CQ971" s="2478"/>
      <c r="CR971" s="2478"/>
      <c r="CS971" s="2478"/>
      <c r="CT971" s="2478"/>
    </row>
    <row r="972" spans="1:99" ht="20.100000000000001" hidden="1" customHeight="1" x14ac:dyDescent="0.2">
      <c r="AS972" s="2466"/>
      <c r="AT972" s="2466"/>
      <c r="BZ972" s="2472"/>
      <c r="CA972" s="2472"/>
      <c r="CH972" s="2449" t="s">
        <v>1091</v>
      </c>
      <c r="CI972" s="2449"/>
      <c r="CJ972" s="2450"/>
      <c r="CK972" s="2450"/>
      <c r="CP972" s="2478">
        <f t="shared" si="544"/>
        <v>0</v>
      </c>
      <c r="CQ972" s="2478"/>
      <c r="CR972" s="2478"/>
      <c r="CS972" s="2478"/>
      <c r="CT972" s="2478"/>
      <c r="CU972" s="2440" t="s">
        <v>2449</v>
      </c>
    </row>
    <row r="973" spans="1:99" ht="20.100000000000001" hidden="1" customHeight="1" x14ac:dyDescent="0.2">
      <c r="A973" s="2604" t="s">
        <v>2450</v>
      </c>
      <c r="B973" s="2435"/>
      <c r="C973" s="2436"/>
      <c r="D973" s="2436"/>
      <c r="E973" s="2437"/>
      <c r="F973" s="2435"/>
      <c r="G973" s="2435"/>
      <c r="H973" s="2438">
        <f>H971+H959+H953+H942+H917+H925</f>
        <v>3750934</v>
      </c>
      <c r="I973" s="2438">
        <f>I971+I959+I953+I942+I917+I925</f>
        <v>229747</v>
      </c>
      <c r="J973" s="2438">
        <f>J971+J959+J953+J942+J917+J925</f>
        <v>3980681</v>
      </c>
      <c r="K973" s="2439">
        <f>IF(H973=0," ",(J973-H973)/H973)</f>
        <v>6.1250611181108493E-2</v>
      </c>
      <c r="M973" s="2438">
        <f>M971+M959+M953+M942+M917+M925</f>
        <v>4022622</v>
      </c>
      <c r="N973" s="2438">
        <f>N971+N959+N953+N942+N917+N925</f>
        <v>4022622</v>
      </c>
      <c r="P973" s="2441" t="e">
        <f>P959+P953+P942+P917</f>
        <v>#REF!</v>
      </c>
      <c r="R973" s="2438">
        <f>R971+R959+R953+R942+R917+R925</f>
        <v>4022622</v>
      </c>
      <c r="S973" s="2438">
        <f>S971+S959+S953+S942+S917+S925</f>
        <v>3810227.04</v>
      </c>
      <c r="U973" s="2438">
        <f>U971+U959+U953+U942+U917+U925</f>
        <v>3862622</v>
      </c>
      <c r="V973" s="2438">
        <f>V971+V959+V953+V942+V917+V925</f>
        <v>99080</v>
      </c>
      <c r="W973" s="2438">
        <f>W971+W959+W953+W942+W917+W925</f>
        <v>3961702</v>
      </c>
      <c r="X973" s="2439">
        <f>IF(U973=0," ",(W973-U973)/U973)</f>
        <v>2.5650969729888142E-2</v>
      </c>
      <c r="Z973" s="2438">
        <f>Z971+Z959+Z953+Z942+Z917+Z925</f>
        <v>3961702</v>
      </c>
      <c r="AA973" s="2438">
        <f>AA971+AA959+AA953+AA942+AA917+AA925</f>
        <v>4004577</v>
      </c>
      <c r="AC973" s="2441"/>
      <c r="AE973" s="2438">
        <f>AE971+AE959+AE953+AE942+AE917+AE925</f>
        <v>3934577</v>
      </c>
      <c r="AF973" s="2438">
        <f>AF971+AF959+AF953+AF942+AF917+AF925</f>
        <v>3957205.4699999997</v>
      </c>
      <c r="AH973" s="2438">
        <f>AH971+AH959+AH953+AH942+AH917+AH925</f>
        <v>7387651</v>
      </c>
      <c r="AI973" s="2438">
        <f>AI971+AI959+AI953+AI942+AI917+AI925</f>
        <v>-3386</v>
      </c>
      <c r="AJ973" s="2438">
        <f>AJ971+AJ959+AJ953+AJ942+AJ917+AJ925</f>
        <v>3931191</v>
      </c>
      <c r="AK973" s="2439">
        <f>IF(AH973=0," ",(AJ973-AH973)/AH973)</f>
        <v>-0.46786996299635703</v>
      </c>
      <c r="AM973" s="2438">
        <f>AM971+AM959+AM953+AM942+AM917+AM925</f>
        <v>4090770</v>
      </c>
      <c r="AN973" s="2438">
        <f>AN971+AN959+AN953+AN942+AN917+AN925</f>
        <v>4090770</v>
      </c>
      <c r="AP973" s="2441"/>
      <c r="AR973" s="2438">
        <f>AR971+AR959+AR953+AR942+AR917+AR925</f>
        <v>4156770</v>
      </c>
      <c r="AS973" s="2438">
        <f>AS971+AS959+AS953+AS942+AS917+AS925</f>
        <v>3999145.14</v>
      </c>
      <c r="AT973" s="2438"/>
      <c r="AU973" s="2438">
        <f>AU971+AU959+AU953+AU942+AU917+AU925</f>
        <v>4249683</v>
      </c>
      <c r="AV973" s="2438">
        <f>AV971+AV959+AV953+AV942+AV917+AV925</f>
        <v>3974376.14</v>
      </c>
      <c r="AX973" s="2438">
        <f>AX971+AX959+AX953+AX942+AX917+AX925</f>
        <v>4249683</v>
      </c>
      <c r="AY973" s="2438">
        <f>AY971+AY959+AY953+AY942+AY917+AY925</f>
        <v>239149</v>
      </c>
      <c r="AZ973" s="2438">
        <f>AZ971+AZ959+AZ953+AZ942+AZ917+AZ925</f>
        <v>4488832</v>
      </c>
      <c r="BA973" s="2439">
        <f>IF(AX973=0," ",(AZ973-AX973)/AX973)</f>
        <v>5.6274550360579836E-2</v>
      </c>
      <c r="BC973" s="2438">
        <f>BC971+BC959+BC953+BC942+BC917+BC925</f>
        <v>4328832</v>
      </c>
      <c r="BD973" s="2438">
        <f>BD971+BD959+BD953+BD942+BD917+BD925</f>
        <v>4273832</v>
      </c>
      <c r="BF973" s="2443"/>
      <c r="BH973" s="2438">
        <f>BH971+BH959+BH953+BH942+BH917+BH925</f>
        <v>4273832</v>
      </c>
      <c r="BI973" s="2438">
        <f>BI971+BI959+BI953+BI942+BI917+BI925</f>
        <v>4729843.34</v>
      </c>
      <c r="BJ973" s="2438"/>
      <c r="BK973" s="2438"/>
      <c r="BM973" s="2438">
        <f>BM971+BM959+BM953+BM942+BM917+BM925</f>
        <v>4273832</v>
      </c>
      <c r="BN973" s="2438">
        <f>BN971+BN959+BN953+BN942+BN917+BN925</f>
        <v>160001</v>
      </c>
      <c r="BO973" s="2438">
        <f>BO971+BO959+BO953+BO942+BO917+BO925</f>
        <v>4433833</v>
      </c>
      <c r="BP973" s="2439">
        <f>IF(BM973=0," ",(BO973-BM973)/BM973)</f>
        <v>3.7437363003505988E-2</v>
      </c>
      <c r="BR973" s="2438">
        <f>BR971+BR959+BR953+BR942+BR917+BR925</f>
        <v>4431833</v>
      </c>
      <c r="BS973" s="2438">
        <f>BS971+BS959+BS953+BS942+BS917+BS925</f>
        <v>4320833</v>
      </c>
      <c r="BU973" s="2448"/>
      <c r="BW973" s="2438">
        <f>BW971+BW959+BW953+BW942+BW917+BW925</f>
        <v>4320833</v>
      </c>
      <c r="BX973" s="2438">
        <f>BX971+BX959+BX953+BX942+BX917+BX925</f>
        <v>4142774.2</v>
      </c>
      <c r="BZ973" s="2438">
        <f>BZ971+BZ959+BZ953+BZ942+BZ917+BZ925</f>
        <v>4320833</v>
      </c>
      <c r="CA973" s="2438">
        <f>CA971+CA959+CA953+CA942+CA917+CA925</f>
        <v>338685</v>
      </c>
      <c r="CB973" s="2438">
        <f>CB971+CB959+CB953+CB942+CB917+CB925</f>
        <v>4659518</v>
      </c>
      <c r="CC973" s="2439">
        <f>IF(BZ973=0," ",(CB973-BZ973)/BZ973)</f>
        <v>7.8384191196466058E-2</v>
      </c>
      <c r="CE973" s="2438">
        <f>CE971+CE959+CE953+CE942+CE917+CE925</f>
        <v>4653082</v>
      </c>
      <c r="CF973" s="2439">
        <f>IF(CB973=0," ",(CE973-CB973)/CB973)</f>
        <v>-1.3812587482224556E-3</v>
      </c>
      <c r="CG973" s="2438">
        <f>CG971+CG959+CG953+CG942+CG917+CG925</f>
        <v>4575917</v>
      </c>
      <c r="CH973" s="2449" t="s">
        <v>2451</v>
      </c>
      <c r="CI973" s="2449"/>
      <c r="CJ973" s="2450"/>
      <c r="CK973" s="2450"/>
      <c r="CO973" s="2477">
        <v>0.10669847106765062</v>
      </c>
      <c r="CP973" s="2478">
        <f t="shared" si="544"/>
        <v>456011.33999999985</v>
      </c>
      <c r="CQ973" s="2478"/>
      <c r="CR973" s="2478"/>
      <c r="CS973" s="2478"/>
      <c r="CT973" s="2478"/>
    </row>
    <row r="974" spans="1:99" ht="20.100000000000001" hidden="1" customHeight="1" x14ac:dyDescent="0.2">
      <c r="A974" s="2605"/>
      <c r="B974" s="2606"/>
      <c r="C974" s="2607"/>
      <c r="D974" s="2607"/>
      <c r="E974" s="2608"/>
      <c r="F974" s="2606"/>
      <c r="G974" s="2606"/>
      <c r="H974" s="2609"/>
      <c r="I974" s="2609"/>
      <c r="J974" s="2609"/>
      <c r="K974" s="2610"/>
      <c r="M974" s="2609"/>
      <c r="N974" s="2611"/>
      <c r="P974" s="2612"/>
      <c r="R974" s="2611"/>
      <c r="S974" s="2611"/>
      <c r="U974" s="2611"/>
      <c r="V974" s="2609"/>
      <c r="W974" s="2609"/>
      <c r="X974" s="2610"/>
      <c r="Z974" s="2609"/>
      <c r="AA974" s="2611"/>
      <c r="AC974" s="2612"/>
      <c r="AE974" s="2611"/>
      <c r="AF974" s="2613"/>
      <c r="AH974" s="2611"/>
      <c r="AI974" s="2609"/>
      <c r="AJ974" s="2609"/>
      <c r="AK974" s="2610"/>
      <c r="AM974" s="2609"/>
      <c r="AN974" s="2611"/>
      <c r="AP974" s="2612"/>
      <c r="AR974" s="2611"/>
      <c r="AS974" s="2613"/>
      <c r="AT974" s="2613"/>
      <c r="AU974" s="2611"/>
      <c r="AV974" s="2611"/>
      <c r="AX974" s="2611"/>
      <c r="AY974" s="2609"/>
      <c r="AZ974" s="2609"/>
      <c r="BA974" s="2610"/>
      <c r="BC974" s="2611"/>
      <c r="BD974" s="2611"/>
      <c r="BF974" s="2551"/>
      <c r="BH974" s="2611"/>
      <c r="BI974" s="2611"/>
      <c r="BJ974" s="2611"/>
      <c r="BK974" s="2611"/>
      <c r="BM974" s="2611"/>
      <c r="BN974" s="2614"/>
      <c r="BO974" s="2553"/>
      <c r="BP974" s="2554"/>
      <c r="BR974" s="2553"/>
      <c r="BS974" s="2553"/>
      <c r="BU974" s="2555"/>
      <c r="BW974" s="2553"/>
      <c r="BX974" s="2611"/>
      <c r="BZ974" s="2611"/>
      <c r="CA974" s="2614"/>
      <c r="CB974" s="2553"/>
      <c r="CC974" s="2554"/>
      <c r="CE974" s="2553"/>
      <c r="CF974" s="2554"/>
      <c r="CG974" s="2553"/>
      <c r="CH974" s="2449" t="s">
        <v>1091</v>
      </c>
      <c r="CI974" s="2449"/>
      <c r="CJ974" s="2450"/>
      <c r="CK974" s="2450"/>
      <c r="CP974" s="2478">
        <f t="shared" si="544"/>
        <v>0</v>
      </c>
      <c r="CQ974" s="2478"/>
      <c r="CR974" s="2478"/>
      <c r="CS974" s="2478"/>
      <c r="CT974" s="2478"/>
    </row>
    <row r="975" spans="1:99" ht="35.1" hidden="1" customHeight="1" thickBot="1" x14ac:dyDescent="0.25">
      <c r="A975" s="2705" t="s">
        <v>2452</v>
      </c>
      <c r="B975" s="2706"/>
      <c r="C975" s="2707"/>
      <c r="D975" s="2707"/>
      <c r="E975" s="2708"/>
      <c r="F975" s="2706"/>
      <c r="G975" s="2706"/>
      <c r="H975" s="2709">
        <f>H973+H902+H862+H778+H703+H526+H509+H297</f>
        <v>25365096</v>
      </c>
      <c r="I975" s="2709">
        <f>I973+I902+I862+I778+I703+I526+I509+I297</f>
        <v>1237182.9500000002</v>
      </c>
      <c r="J975" s="2709">
        <f>J973+J902+J862+J778+J703+J526+J509+J297</f>
        <v>26602278.950000003</v>
      </c>
      <c r="K975" s="2710">
        <f>K973+K902+K862+K778+K703+K526+K509+K297</f>
        <v>0.82990052706547923</v>
      </c>
      <c r="M975" s="2709">
        <f>M973+M902+M862+M778+M703+M526+M509+M297</f>
        <v>26683687</v>
      </c>
      <c r="N975" s="2709">
        <f>N973+N902+N862+N778+N703+N526+N509+N297</f>
        <v>26756106</v>
      </c>
      <c r="P975" s="2711"/>
      <c r="Q975" s="2709"/>
      <c r="R975" s="2709">
        <f>R973+R902+R862+R778+R703+R526+R509+R297</f>
        <v>26756106</v>
      </c>
      <c r="S975" s="2709">
        <f>S973+S902+S862+S778+S703+S526+S509+S297</f>
        <v>26028492.779999997</v>
      </c>
      <c r="U975" s="2709">
        <f>U973+U902+U862+U778+U703+U526+U509+U297</f>
        <v>26600686</v>
      </c>
      <c r="V975" s="2709">
        <f>V973+V902+V862+V778+V703+V526+V509+V297</f>
        <v>720796</v>
      </c>
      <c r="W975" s="2709">
        <f>W973+W902+W862+W778+W703+W526+W509+W297</f>
        <v>27306872</v>
      </c>
      <c r="X975" s="2712">
        <f>IF(U975=0," ",(W975-U975)/U975)</f>
        <v>2.6547661214451387E-2</v>
      </c>
      <c r="Z975" s="2709">
        <f>Z973+Z902+Z862+Z778+Z703+Z526+Z509+Z297</f>
        <v>27765120</v>
      </c>
      <c r="AA975" s="2709">
        <f>AA973+AA902+AA862+AA778+AA703+AA526+AA509+AA297</f>
        <v>27744471</v>
      </c>
      <c r="AC975" s="2711"/>
      <c r="AE975" s="2709">
        <f>AE973+AE902+AE862+AE778+AE703+AE526+AE509+AE297</f>
        <v>27674471</v>
      </c>
      <c r="AF975" s="2709">
        <f>AF973+AF902+AF862+AF778+AF703+AF526+AF509+AF297</f>
        <v>27426142.809999999</v>
      </c>
      <c r="AH975" s="2709">
        <f>AH973+AH902+AH862+AH778+AH703+AH526+AH509+AH297</f>
        <v>31129279</v>
      </c>
      <c r="AI975" s="2709">
        <f>AI973+AI902+AI862+AI778+AI703+AI526+AI509+AI297</f>
        <v>718978</v>
      </c>
      <c r="AJ975" s="2709">
        <f>AJ973+AJ902+AJ862+AJ778+AJ703+AJ526+AJ509+AJ297</f>
        <v>28389468.579999998</v>
      </c>
      <c r="AK975" s="2712">
        <f>IF(AH975=0," ",(AJ975-AH975)/AH975)</f>
        <v>-8.8013937618021981E-2</v>
      </c>
      <c r="AM975" s="2709">
        <f>AM973+AM902+AM862+AM778+AM703+AM526+AM509+AM297</f>
        <v>28823190</v>
      </c>
      <c r="AN975" s="2709">
        <f>AN973+AN902+AN862+AN778+AN703+AN526+AN509+AN297</f>
        <v>28823190</v>
      </c>
      <c r="AP975" s="2711"/>
      <c r="AR975" s="2709">
        <f>AR973+AR902+AR862+AR778+AR703+AR526+AR509+AR297</f>
        <v>29492308</v>
      </c>
      <c r="AS975" s="2709">
        <f>AS973+AS902+AS862+AS778+AS703+AS526+AS509+AS297</f>
        <v>28393103.240000002</v>
      </c>
      <c r="AT975" s="2709"/>
      <c r="AU975" s="2709">
        <f>AU973+AU902+AU862+AU778+AU703+AU526+AU509+AU297</f>
        <v>30132365</v>
      </c>
      <c r="AV975" s="2709">
        <f>AV973+AV902+AV862+AV778+AV703+AV526+AV509+AV297</f>
        <v>29019443.610000003</v>
      </c>
      <c r="AX975" s="2709">
        <f>AX973+AX902+AX862+AX778+AX703+AX526+AX509+AX297</f>
        <v>30130715</v>
      </c>
      <c r="AY975" s="2709">
        <f>AY973+AY902+AY862+AY778+AY703+AY526+AY509+AY297</f>
        <v>613413</v>
      </c>
      <c r="AZ975" s="2709">
        <f>AZ973+AZ902+AZ862+AZ778+AZ703+AZ526+AZ509+AZ297</f>
        <v>30744128</v>
      </c>
      <c r="BA975" s="2712">
        <f>IF(AX975=0," ",(AZ975-AX975)/AX975)</f>
        <v>2.0358395079572458E-2</v>
      </c>
      <c r="BC975" s="2709">
        <f>BC973+BC902+BC862+BC778+BC703+BC526+BC509+BC297</f>
        <v>31071941</v>
      </c>
      <c r="BD975" s="2709">
        <f>BD973+BD902+BD862+BD778+BD703+BD526+BD509+BD297</f>
        <v>31126074</v>
      </c>
      <c r="BF975" s="2713"/>
      <c r="BH975" s="2709">
        <f>BH973+BH902+BH862+BH778+BH703+BH526+BH509+BH297</f>
        <v>31125124</v>
      </c>
      <c r="BI975" s="2711">
        <f>BI973+BI902+BI862+BI778+BI703+BI526+BI509+BI297</f>
        <v>21733642.359999996</v>
      </c>
      <c r="BJ975" s="2698"/>
      <c r="BK975" s="2698"/>
      <c r="BM975" s="2709">
        <f>BM973+BM902+BM862+BM778+BM703+BM526+BM509+BM297</f>
        <v>31123474</v>
      </c>
      <c r="BN975" s="2714">
        <f>BN973+BN902+BN862+BN778+BN703+BN526+BN509+BN297</f>
        <v>657860</v>
      </c>
      <c r="BO975" s="2709">
        <f>BO973+BO902+BO862+BO778+BO703+BO526+BO509+BO297</f>
        <v>31781334</v>
      </c>
      <c r="BP975" s="2715">
        <f>IF(BM975=0," ",(BO975-BM975)/BM975)</f>
        <v>2.1137100569171681E-2</v>
      </c>
      <c r="BR975" s="2709">
        <f>BR973+BR902+BR862+BR778+BR703+BR526+BR509+BR297</f>
        <v>31779334</v>
      </c>
      <c r="BS975" s="2709">
        <f>BS973+BS902+BS862+BS778+BS703+BS526+BS509+BS297</f>
        <v>31933185</v>
      </c>
      <c r="BU975" s="2716"/>
      <c r="BW975" s="2709">
        <f>BW973+BW902+BW862+BW778+BW703+BW526+BW509+BW297</f>
        <v>31934835</v>
      </c>
      <c r="BX975" s="2711">
        <f>BX973+BX902+BX862+BX778+BX703+BX526+BX509+BX297</f>
        <v>16537662.299999999</v>
      </c>
      <c r="BZ975" s="2709">
        <f>BZ973+BZ902+BZ862+BZ778+BZ703+BZ526+BZ509+BZ297</f>
        <v>31934835</v>
      </c>
      <c r="CA975" s="2709">
        <f>CA973+CA902+CA862+CA778+CA703+CA526+CA509+CA297</f>
        <v>837263</v>
      </c>
      <c r="CB975" s="2709">
        <f>CB973+CB902+CB862+CB778+CB703+CB526+CB509+CB297</f>
        <v>32772098</v>
      </c>
      <c r="CC975" s="2715">
        <f>IF(BZ975=0," ",(CB975-BZ975)/BZ975)</f>
        <v>2.6217858961851533E-2</v>
      </c>
      <c r="CE975" s="2709">
        <f>CE973+CE902+CE862+CE778+CE703+CE526+CE509+CE297</f>
        <v>32833445</v>
      </c>
      <c r="CF975" s="2715">
        <f>IF(CB975=0," ",(CE975-CB975)/CB975)</f>
        <v>1.8719277600109704E-3</v>
      </c>
      <c r="CG975" s="2709">
        <f>CG973+CG902+CG862+CG778+CG703+CG526+CG509+CG297</f>
        <v>32857005</v>
      </c>
      <c r="CH975" s="2449" t="s">
        <v>2453</v>
      </c>
      <c r="CI975" s="2449"/>
      <c r="CJ975" s="2450"/>
      <c r="CK975" s="2450"/>
      <c r="CO975" s="2477">
        <v>-0.30173314779404592</v>
      </c>
      <c r="CP975" s="2478">
        <f t="shared" si="544"/>
        <v>-9391481.6400000043</v>
      </c>
      <c r="CQ975" s="2478"/>
      <c r="CR975" s="2478"/>
      <c r="CS975" s="2478"/>
      <c r="CT975" s="2478"/>
    </row>
    <row r="976" spans="1:99" ht="14.1" customHeight="1" x14ac:dyDescent="0.2">
      <c r="A976" s="2695"/>
      <c r="B976" s="2491"/>
      <c r="C976" s="2696"/>
      <c r="D976" s="2696"/>
      <c r="E976" s="2697"/>
      <c r="F976" s="2491"/>
      <c r="G976" s="2491"/>
      <c r="H976" s="2553"/>
      <c r="I976" s="2553"/>
      <c r="J976" s="2553"/>
      <c r="K976" s="2554"/>
      <c r="M976" s="2553"/>
      <c r="N976" s="2553"/>
      <c r="P976" s="2698"/>
      <c r="R976" s="2553"/>
      <c r="S976" s="2553"/>
      <c r="U976" s="2553"/>
      <c r="V976" s="2553"/>
      <c r="W976" s="2553"/>
      <c r="X976" s="2466"/>
      <c r="Z976" s="2553"/>
      <c r="AA976" s="2553"/>
      <c r="AC976" s="2698"/>
      <c r="AE976" s="2553"/>
      <c r="AF976" s="2700"/>
      <c r="AH976" s="2553"/>
      <c r="AI976" s="2553"/>
      <c r="AJ976" s="2553"/>
      <c r="AK976" s="2717"/>
      <c r="AM976" s="2553"/>
      <c r="AN976" s="2553"/>
      <c r="AP976" s="2698"/>
      <c r="AR976" s="2553"/>
      <c r="AS976" s="2700"/>
      <c r="AT976" s="2700"/>
      <c r="AU976" s="2553"/>
      <c r="AV976" s="2440"/>
      <c r="AX976" s="2440"/>
      <c r="AY976" s="2440"/>
      <c r="AZ976" s="2440"/>
      <c r="BA976" s="2553"/>
      <c r="BC976" s="2718" t="s">
        <v>2454</v>
      </c>
      <c r="BD976" s="2719">
        <f>BC975-BD975</f>
        <v>-54133</v>
      </c>
      <c r="BF976" s="2551"/>
      <c r="BG976" s="2679" t="s">
        <v>2455</v>
      </c>
      <c r="BH976" s="2720"/>
      <c r="BI976" s="2440"/>
      <c r="BJ976" s="2440"/>
      <c r="BK976" s="2440"/>
      <c r="BO976" s="2466"/>
      <c r="BP976" s="2468"/>
      <c r="BQ976" s="2440"/>
      <c r="BR976" s="2466"/>
      <c r="BS976" s="2466"/>
      <c r="BU976" s="2555"/>
      <c r="BW976" s="2466"/>
      <c r="BX976" s="2440"/>
      <c r="CB976" s="2466"/>
      <c r="CC976" s="2468"/>
      <c r="CD976" s="2440"/>
      <c r="CE976" s="2466"/>
      <c r="CF976" s="2468"/>
      <c r="CG976" s="2466"/>
      <c r="CH976" s="2559"/>
      <c r="CL976" s="2723"/>
      <c r="CM976" s="2723"/>
      <c r="CN976" s="2723"/>
      <c r="CO976" s="2724"/>
      <c r="CP976" s="2725"/>
      <c r="CQ976" s="2725"/>
      <c r="CR976" s="2725"/>
      <c r="CS976" s="2725"/>
      <c r="CT976" s="2725"/>
    </row>
    <row r="977" spans="16:98" ht="14.1" customHeight="1" x14ac:dyDescent="0.2">
      <c r="R977" s="2725">
        <f>SUBTOTAL(109,R9:R953)</f>
        <v>10152460</v>
      </c>
      <c r="S977" s="2725">
        <f>SUBTOTAL(109,S9:S953)</f>
        <v>9539288.2799999993</v>
      </c>
      <c r="X977" s="2466"/>
      <c r="AE977" s="2725">
        <f>SUBTOTAL(109,AE9:AE953)</f>
        <v>10460437</v>
      </c>
      <c r="AF977" s="2725">
        <f>SUBTOTAL(109,AF9:AF953)</f>
        <v>10093533.42</v>
      </c>
      <c r="AK977" s="2717"/>
      <c r="AR977" s="2725">
        <f>SUBTOTAL(109,AR9:AR953)</f>
        <v>10884148</v>
      </c>
      <c r="AS977" s="2725">
        <f>SUBTOTAL(109,AS9:AS953)</f>
        <v>10070692.199999999</v>
      </c>
      <c r="AT977" s="2700"/>
      <c r="AU977" s="2725">
        <f>SUBTOTAL(109,AU9:AU953)</f>
        <v>11251347</v>
      </c>
      <c r="AV977" s="2725">
        <f>SUBTOTAL(109,AV9:AV953)</f>
        <v>10132918.270000001</v>
      </c>
      <c r="BH977" s="2725">
        <f>SUBTOTAL(109,BH9:BH953)</f>
        <v>11351234</v>
      </c>
      <c r="BI977" s="2725">
        <f>SUBTOTAL(109,BI9:BI953)</f>
        <v>10615979.600000001</v>
      </c>
      <c r="BO977" s="2466"/>
      <c r="BP977" s="2468"/>
      <c r="BQ977" s="2440"/>
      <c r="BR977" s="2466"/>
      <c r="BS977" s="2466"/>
      <c r="BT977" s="2440"/>
      <c r="BU977" s="2726"/>
      <c r="BV977" s="2440"/>
      <c r="BW977" s="2466"/>
      <c r="BX977" s="2440"/>
      <c r="CB977" s="2466"/>
      <c r="CC977" s="2468"/>
      <c r="CD977" s="2440"/>
      <c r="CE977" s="2466"/>
      <c r="CF977" s="2468"/>
      <c r="CG977" s="2466"/>
      <c r="CH977" s="2559"/>
      <c r="CK977" s="2727">
        <f>SUBTOTAL(109,CK9:CK953)</f>
        <v>0</v>
      </c>
      <c r="CL977" s="2723"/>
      <c r="CM977" s="2725">
        <f>SUBTOTAL(109,CM9:CM953)</f>
        <v>-475449.40999999957</v>
      </c>
      <c r="CN977" s="2725"/>
      <c r="CO977" s="2724"/>
      <c r="CP977" s="2725">
        <f>SUBTOTAL(109,CP9:CP953)</f>
        <v>-735254.39999999991</v>
      </c>
      <c r="CQ977" s="2725">
        <f t="shared" ref="CQ977:CS977" si="545">SUBTOTAL(109,CQ9:CQ953)</f>
        <v>-1118428.73</v>
      </c>
      <c r="CR977" s="2725">
        <f t="shared" si="545"/>
        <v>-813455.79999999958</v>
      </c>
      <c r="CS977" s="2725">
        <f t="shared" si="545"/>
        <v>-366903.58000000019</v>
      </c>
      <c r="CT977" s="2725"/>
    </row>
    <row r="978" spans="16:98" ht="14.1" customHeight="1" x14ac:dyDescent="0.2">
      <c r="P978" s="2401"/>
      <c r="Q978" s="2728"/>
      <c r="R978" s="2729"/>
      <c r="S978" s="2730" t="s">
        <v>2456</v>
      </c>
      <c r="AC978" s="2731"/>
      <c r="AD978" s="2732"/>
      <c r="AE978" s="2733"/>
      <c r="AF978" s="2734"/>
      <c r="AG978" s="2395"/>
      <c r="AH978" s="2403"/>
      <c r="AI978" s="2403"/>
      <c r="AJ978" s="2403"/>
      <c r="AK978" s="2717"/>
      <c r="AL978" s="2395"/>
      <c r="AM978" s="2403"/>
      <c r="AN978" s="2403"/>
      <c r="AO978" s="2395"/>
      <c r="AP978" s="2735"/>
      <c r="AQ978" s="2736"/>
      <c r="AR978" s="2737"/>
      <c r="AS978" s="2738"/>
      <c r="AT978" s="2738"/>
      <c r="AU978" s="2739"/>
      <c r="AV978" s="2739" t="s">
        <v>2457</v>
      </c>
      <c r="AX978" s="2740" t="s">
        <v>2458</v>
      </c>
      <c r="AY978" s="2741"/>
      <c r="AZ978" s="2742"/>
      <c r="BA978" s="2743"/>
      <c r="BB978" s="2744"/>
      <c r="BC978" s="2745"/>
      <c r="BD978" s="2745"/>
      <c r="BE978" s="2744"/>
      <c r="BF978" s="2746"/>
      <c r="BG978" s="2747"/>
      <c r="BH978" s="2748"/>
      <c r="BI978" s="2745"/>
      <c r="BJ978" s="2745"/>
      <c r="BK978" s="2745"/>
      <c r="BM978" s="2749" t="s">
        <v>2458</v>
      </c>
      <c r="BN978" s="2750"/>
      <c r="BO978" s="2751"/>
      <c r="BP978" s="2752"/>
      <c r="BQ978" s="2753"/>
      <c r="BR978" s="2754"/>
      <c r="BS978" s="2754"/>
      <c r="BT978" s="2753"/>
      <c r="BU978" s="2755"/>
      <c r="BV978" s="2756"/>
      <c r="BW978" s="2757"/>
      <c r="BZ978" s="2749" t="s">
        <v>2458</v>
      </c>
      <c r="CA978" s="2750"/>
      <c r="CB978" s="2751"/>
      <c r="CC978" s="2752"/>
      <c r="CD978" s="2753"/>
      <c r="CE978" s="2754"/>
      <c r="CF978" s="2752"/>
      <c r="CG978" s="2754"/>
      <c r="CH978" s="2559"/>
      <c r="CL978" s="2723"/>
      <c r="CM978" s="2723"/>
      <c r="CN978" s="2723"/>
      <c r="CO978" s="2724"/>
      <c r="CP978" s="2724"/>
      <c r="CQ978" s="2724"/>
      <c r="CR978" s="2724"/>
      <c r="CS978" s="2724"/>
      <c r="CT978" s="2724"/>
    </row>
    <row r="979" spans="16:98" ht="14.1" customHeight="1" x14ac:dyDescent="0.2">
      <c r="P979" s="2401"/>
      <c r="Q979" s="2728"/>
      <c r="R979" s="2729"/>
      <c r="S979" s="2466" t="s">
        <v>2459</v>
      </c>
      <c r="AC979" s="2731"/>
      <c r="AD979" s="2732"/>
      <c r="AE979" s="2733"/>
      <c r="AF979" s="2466" t="s">
        <v>2459</v>
      </c>
      <c r="AG979" s="2395"/>
      <c r="AH979" s="2403"/>
      <c r="AI979" s="2403"/>
      <c r="AJ979" s="2403"/>
      <c r="AK979" s="2717"/>
      <c r="AL979" s="2395"/>
      <c r="AM979" s="2403"/>
      <c r="AN979" s="2403"/>
      <c r="AO979" s="2395"/>
      <c r="AP979" s="2735"/>
      <c r="AQ979" s="2736"/>
      <c r="AR979" s="2737"/>
      <c r="AS979" s="2466" t="s">
        <v>2459</v>
      </c>
      <c r="AT979" s="2466"/>
      <c r="AU979" s="2739"/>
      <c r="AV979" s="2466" t="s">
        <v>2459</v>
      </c>
      <c r="AX979" s="2758" t="s">
        <v>2460</v>
      </c>
      <c r="AY979" s="2741"/>
      <c r="AZ979" s="2742"/>
      <c r="BA979" s="2743"/>
      <c r="BB979" s="2744"/>
      <c r="BC979" s="2745"/>
      <c r="BD979" s="2745"/>
      <c r="BE979" s="2744"/>
      <c r="BF979" s="2746"/>
      <c r="BG979" s="2747"/>
      <c r="BH979" s="2748"/>
      <c r="BI979" s="2466" t="s">
        <v>2459</v>
      </c>
      <c r="BM979" s="2759" t="s">
        <v>2460</v>
      </c>
      <c r="BN979" s="2750"/>
      <c r="BO979" s="2751"/>
      <c r="BP979" s="2752"/>
      <c r="BQ979" s="2753"/>
      <c r="BR979" s="2754"/>
      <c r="BS979" s="2754"/>
      <c r="BT979" s="2753"/>
      <c r="BU979" s="2755"/>
      <c r="BV979" s="2756"/>
      <c r="BW979" s="2757"/>
      <c r="BZ979" s="2759" t="s">
        <v>2460</v>
      </c>
      <c r="CA979" s="2750"/>
      <c r="CB979" s="2751"/>
      <c r="CC979" s="2752"/>
      <c r="CD979" s="2753"/>
      <c r="CE979" s="2754"/>
      <c r="CF979" s="2752"/>
      <c r="CG979" s="2754"/>
      <c r="CH979" s="2559"/>
      <c r="CL979" s="2723"/>
      <c r="CM979" s="2723"/>
      <c r="CN979" s="2723"/>
      <c r="CO979" s="2724"/>
      <c r="CP979" s="2725"/>
      <c r="CQ979" s="2725"/>
      <c r="CR979" s="2725"/>
      <c r="CS979" s="2725"/>
      <c r="CT979" s="2725"/>
    </row>
    <row r="980" spans="16:98" ht="14.1" customHeight="1" x14ac:dyDescent="0.2">
      <c r="P980" s="2760"/>
      <c r="Q980" s="2728" t="s">
        <v>2461</v>
      </c>
      <c r="R980" s="2729">
        <f>R975</f>
        <v>26756106</v>
      </c>
      <c r="S980" s="2462">
        <f>S975</f>
        <v>26028492.779999997</v>
      </c>
      <c r="AC980" s="2761"/>
      <c r="AD980" s="2732" t="s">
        <v>2461</v>
      </c>
      <c r="AE980" s="2733">
        <f>AE975</f>
        <v>27674471</v>
      </c>
      <c r="AF980" s="2462">
        <f>AF975</f>
        <v>27426142.809999999</v>
      </c>
      <c r="AH980" s="2440"/>
      <c r="AJ980" s="2440"/>
      <c r="AM980" s="2440"/>
      <c r="AN980" s="2440"/>
      <c r="AP980" s="2762"/>
      <c r="AQ980" s="2736" t="s">
        <v>2461</v>
      </c>
      <c r="AR980" s="2737">
        <f>AR975</f>
        <v>29492308</v>
      </c>
      <c r="AS980" s="2462">
        <f>AS975</f>
        <v>28393103.240000002</v>
      </c>
      <c r="AT980" s="2462"/>
      <c r="AU980" s="2739">
        <f>AU975</f>
        <v>30132365</v>
      </c>
      <c r="AV980" s="2462">
        <f>AV975</f>
        <v>29019443.610000003</v>
      </c>
      <c r="AX980" s="2742">
        <f>AX975</f>
        <v>30130715</v>
      </c>
      <c r="AY980" s="2763" t="s">
        <v>2461</v>
      </c>
      <c r="AZ980" s="2742">
        <f>AZ975</f>
        <v>30744128</v>
      </c>
      <c r="BA980" s="2743"/>
      <c r="BB980" s="2744"/>
      <c r="BC980" s="2764" t="s">
        <v>2461</v>
      </c>
      <c r="BD980" s="2745">
        <f>BD975</f>
        <v>31126074</v>
      </c>
      <c r="BE980" s="2744"/>
      <c r="BF980" s="2765"/>
      <c r="BG980" s="2766" t="s">
        <v>2461</v>
      </c>
      <c r="BH980" s="2748">
        <f>BH975</f>
        <v>31125124</v>
      </c>
      <c r="BI980" s="2767">
        <f>BI975</f>
        <v>21733642.359999996</v>
      </c>
      <c r="BJ980" s="2767"/>
      <c r="BK980" s="2767"/>
      <c r="BM980" s="2751">
        <f>BM975</f>
        <v>31123474</v>
      </c>
      <c r="BN980" s="2768" t="s">
        <v>2461</v>
      </c>
      <c r="BO980" s="2751">
        <f>BO975</f>
        <v>31781334</v>
      </c>
      <c r="BP980" s="2752"/>
      <c r="BQ980" s="2753"/>
      <c r="BR980" s="2769" t="s">
        <v>2461</v>
      </c>
      <c r="BS980" s="2754">
        <f>BS975</f>
        <v>31933185</v>
      </c>
      <c r="BT980" s="2753"/>
      <c r="BU980" s="2755"/>
      <c r="BV980" s="2770" t="s">
        <v>2461</v>
      </c>
      <c r="BW980" s="2757">
        <f>BW975</f>
        <v>31934835</v>
      </c>
      <c r="BZ980" s="2751">
        <f>BZ975</f>
        <v>31934835</v>
      </c>
      <c r="CA980" s="2768" t="s">
        <v>2461</v>
      </c>
      <c r="CB980" s="2751">
        <f>CB975</f>
        <v>32772098</v>
      </c>
      <c r="CC980" s="2752"/>
      <c r="CD980" s="2753"/>
      <c r="CE980" s="2769" t="s">
        <v>2461</v>
      </c>
      <c r="CF980" s="2752"/>
      <c r="CG980" s="2754">
        <f>CG975</f>
        <v>32857005</v>
      </c>
      <c r="CH980" s="2559"/>
      <c r="CL980" s="2723"/>
      <c r="CM980" s="2723"/>
      <c r="CN980" s="2723"/>
      <c r="CO980" s="2724"/>
      <c r="CP980" s="2725"/>
      <c r="CQ980" s="2725"/>
      <c r="CR980" s="2725"/>
      <c r="CS980" s="2725"/>
      <c r="CT980" s="2725"/>
    </row>
    <row r="981" spans="16:98" ht="14.1" customHeight="1" x14ac:dyDescent="0.2">
      <c r="P981" s="2760"/>
      <c r="Q981" s="2728" t="s">
        <v>2462</v>
      </c>
      <c r="R981" s="2729">
        <f>-R515</f>
        <v>-7827171</v>
      </c>
      <c r="S981" s="2467">
        <v>25000</v>
      </c>
      <c r="AC981" s="2761"/>
      <c r="AD981" s="2732" t="s">
        <v>2462</v>
      </c>
      <c r="AE981" s="2733">
        <f>-AE515</f>
        <v>-8108071</v>
      </c>
      <c r="AF981" s="2467">
        <v>25000</v>
      </c>
      <c r="AM981" s="2771"/>
      <c r="AP981" s="2762"/>
      <c r="AQ981" s="2736" t="s">
        <v>2462</v>
      </c>
      <c r="AR981" s="2737">
        <f>-AR515</f>
        <v>-8913230</v>
      </c>
      <c r="AS981" s="2467">
        <v>25000</v>
      </c>
      <c r="AT981" s="2467"/>
      <c r="AU981" s="2739">
        <f>-AU515</f>
        <v>-9117902</v>
      </c>
      <c r="AV981" s="2467">
        <v>225000</v>
      </c>
      <c r="AX981" s="2745">
        <f>-AX526</f>
        <v>-17308242</v>
      </c>
      <c r="AY981" s="2763" t="s">
        <v>2463</v>
      </c>
      <c r="AZ981" s="2745">
        <f>-AZ526</f>
        <v>-17802289</v>
      </c>
      <c r="BA981" s="2743"/>
      <c r="BB981" s="2744"/>
      <c r="BC981" s="2764" t="s">
        <v>2464</v>
      </c>
      <c r="BD981" s="2745">
        <f>-BD515</f>
        <v>-9368644</v>
      </c>
      <c r="BE981" s="2744"/>
      <c r="BF981" s="2765"/>
      <c r="BG981" s="2766" t="s">
        <v>2462</v>
      </c>
      <c r="BH981" s="2748">
        <f>-BH515</f>
        <v>-9368644</v>
      </c>
      <c r="BI981" s="2469"/>
      <c r="BJ981" s="2469"/>
      <c r="BK981" s="2469"/>
      <c r="BM981" s="2754">
        <f>-BM526</f>
        <v>-18264847</v>
      </c>
      <c r="BN981" s="2768" t="s">
        <v>2463</v>
      </c>
      <c r="BO981" s="2754">
        <f>-BO526</f>
        <v>-18928838</v>
      </c>
      <c r="BP981" s="2752"/>
      <c r="BQ981" s="2753"/>
      <c r="BR981" s="2769" t="s">
        <v>2464</v>
      </c>
      <c r="BS981" s="2754">
        <f>-BS515</f>
        <v>-9735523</v>
      </c>
      <c r="BT981" s="2753"/>
      <c r="BU981" s="2755"/>
      <c r="BV981" s="2770" t="s">
        <v>2462</v>
      </c>
      <c r="BW981" s="2757">
        <f>-BW515</f>
        <v>-9735523</v>
      </c>
      <c r="BZ981" s="2754">
        <f>-BZ526</f>
        <v>-18954938</v>
      </c>
      <c r="CA981" s="2768" t="s">
        <v>2463</v>
      </c>
      <c r="CB981" s="2754">
        <f>-CB526</f>
        <v>-19440195</v>
      </c>
      <c r="CC981" s="2752"/>
      <c r="CD981" s="2753"/>
      <c r="CE981" s="2769" t="s">
        <v>2464</v>
      </c>
      <c r="CF981" s="2752"/>
      <c r="CG981" s="2754">
        <f>-CG515</f>
        <v>-9979342</v>
      </c>
      <c r="CH981" s="2559"/>
      <c r="CL981" s="2723"/>
      <c r="CM981" s="2723"/>
      <c r="CN981" s="2723"/>
      <c r="CO981" s="2724"/>
      <c r="CP981" s="2725"/>
      <c r="CQ981" s="2725"/>
      <c r="CR981" s="2725"/>
      <c r="CS981" s="2725"/>
      <c r="CT981" s="2725"/>
    </row>
    <row r="982" spans="16:98" ht="14.1" customHeight="1" x14ac:dyDescent="0.2">
      <c r="P982" s="2760"/>
      <c r="Q982" s="2728"/>
      <c r="R982" s="2772">
        <f>SUM(R980:R981)</f>
        <v>18928935</v>
      </c>
      <c r="S982" s="2467">
        <v>100000</v>
      </c>
      <c r="AC982" s="2761"/>
      <c r="AD982" s="2732"/>
      <c r="AE982" s="2773">
        <f>SUM(AE980:AE981)</f>
        <v>19566400</v>
      </c>
      <c r="AF982" s="2467">
        <v>100000</v>
      </c>
      <c r="AM982" s="2771"/>
      <c r="AP982" s="2762"/>
      <c r="AQ982" s="2736"/>
      <c r="AR982" s="2774">
        <f>SUM(AR980:AR981)</f>
        <v>20579078</v>
      </c>
      <c r="AS982" s="2467">
        <v>100000</v>
      </c>
      <c r="AT982" s="2467"/>
      <c r="AU982" s="2775">
        <f>SUM(AU980:AU981)</f>
        <v>21014463</v>
      </c>
      <c r="AV982" s="2467">
        <v>100000</v>
      </c>
      <c r="AX982" s="2776">
        <f>SUM(AX980:AX981)</f>
        <v>12822473</v>
      </c>
      <c r="AY982" s="2763" t="s">
        <v>2465</v>
      </c>
      <c r="AZ982" s="2776">
        <f>SUM(AZ980:AZ981)</f>
        <v>12941839</v>
      </c>
      <c r="BA982" s="2743"/>
      <c r="BB982" s="2744"/>
      <c r="BC982" s="2764" t="s">
        <v>2466</v>
      </c>
      <c r="BD982" s="2776">
        <f>SUM(BD980:BD981)</f>
        <v>21757430</v>
      </c>
      <c r="BE982" s="2744"/>
      <c r="BF982" s="2765"/>
      <c r="BG982" s="2766"/>
      <c r="BH982" s="2748">
        <f>SUM(BH980:BH981)</f>
        <v>21756480</v>
      </c>
      <c r="BI982" s="2469"/>
      <c r="BJ982" s="2469"/>
      <c r="BK982" s="2469"/>
      <c r="BM982" s="2777">
        <f>SUM(BM980:BM981)</f>
        <v>12858627</v>
      </c>
      <c r="BN982" s="2768" t="s">
        <v>2465</v>
      </c>
      <c r="BO982" s="2777">
        <f>SUM(BO980:BO981)</f>
        <v>12852496</v>
      </c>
      <c r="BP982" s="2752"/>
      <c r="BQ982" s="2753"/>
      <c r="BR982" s="2769" t="s">
        <v>2466</v>
      </c>
      <c r="BS982" s="2777">
        <f>SUM(BS980:BS981)</f>
        <v>22197662</v>
      </c>
      <c r="BT982" s="2753"/>
      <c r="BU982" s="2755"/>
      <c r="BV982" s="2770"/>
      <c r="BW982" s="2757">
        <f>SUM(BW980:BW981)</f>
        <v>22199312</v>
      </c>
      <c r="BZ982" s="2777">
        <f>SUM(BZ980:BZ981)</f>
        <v>12979897</v>
      </c>
      <c r="CA982" s="2768" t="s">
        <v>2465</v>
      </c>
      <c r="CB982" s="2777">
        <f>SUM(CB980:CB981)</f>
        <v>13331903</v>
      </c>
      <c r="CC982" s="2752"/>
      <c r="CD982" s="2753"/>
      <c r="CE982" s="2769" t="s">
        <v>2466</v>
      </c>
      <c r="CF982" s="2752"/>
      <c r="CG982" s="2777">
        <f>SUM(CG980:CG981)</f>
        <v>22877663</v>
      </c>
      <c r="CH982" s="2559"/>
      <c r="CL982" s="2723"/>
      <c r="CM982" s="2723"/>
      <c r="CN982" s="2723"/>
      <c r="CO982" s="2724"/>
      <c r="CP982" s="2725"/>
      <c r="CQ982" s="2725"/>
      <c r="CR982" s="2725"/>
      <c r="CS982" s="2725"/>
      <c r="CT982" s="2725"/>
    </row>
    <row r="983" spans="16:98" ht="14.1" customHeight="1" x14ac:dyDescent="0.2">
      <c r="P983" s="2760"/>
      <c r="Q983" s="2728"/>
      <c r="R983" s="2729"/>
      <c r="S983" s="2467">
        <v>100000</v>
      </c>
      <c r="AC983" s="2761"/>
      <c r="AD983" s="2732"/>
      <c r="AE983" s="2733"/>
      <c r="AF983" s="2467">
        <v>300000</v>
      </c>
      <c r="AM983" s="2771"/>
      <c r="AP983" s="2762"/>
      <c r="AQ983" s="2736"/>
      <c r="AR983" s="2737"/>
      <c r="AS983" s="2467">
        <v>300000</v>
      </c>
      <c r="AT983" s="2467"/>
      <c r="AU983" s="2739"/>
      <c r="AV983" s="2467">
        <v>320000</v>
      </c>
      <c r="AX983" s="2745"/>
      <c r="AY983" s="2763" t="s">
        <v>2467</v>
      </c>
      <c r="AZ983" s="2742"/>
      <c r="BA983" s="2743"/>
      <c r="BB983" s="2744"/>
      <c r="BC983" s="2764"/>
      <c r="BD983" s="2745"/>
      <c r="BE983" s="2744"/>
      <c r="BF983" s="2765"/>
      <c r="BG983" s="2766"/>
      <c r="BH983" s="2748"/>
      <c r="BI983" s="2469"/>
      <c r="BJ983" s="2469"/>
      <c r="BK983" s="2469"/>
      <c r="BM983" s="2754"/>
      <c r="BN983" s="2768" t="s">
        <v>2467</v>
      </c>
      <c r="BO983" s="2751"/>
      <c r="BP983" s="2752"/>
      <c r="BQ983" s="2753"/>
      <c r="BR983" s="2769"/>
      <c r="BS983" s="2754"/>
      <c r="BT983" s="2753"/>
      <c r="BU983" s="2755"/>
      <c r="BV983" s="2770"/>
      <c r="BW983" s="2757"/>
      <c r="BZ983" s="2754"/>
      <c r="CA983" s="2768" t="s">
        <v>2467</v>
      </c>
      <c r="CB983" s="2751"/>
      <c r="CC983" s="2752"/>
      <c r="CD983" s="2753"/>
      <c r="CE983" s="2769"/>
      <c r="CF983" s="2752"/>
      <c r="CG983" s="2754"/>
      <c r="CH983" s="2559"/>
      <c r="CL983" s="2723"/>
      <c r="CM983" s="2723"/>
      <c r="CN983" s="2723"/>
      <c r="CO983" s="2724"/>
      <c r="CP983" s="2725"/>
      <c r="CQ983" s="2725"/>
      <c r="CR983" s="2725"/>
      <c r="CS983" s="2725"/>
      <c r="CT983" s="2725"/>
    </row>
    <row r="984" spans="16:98" ht="14.1" customHeight="1" x14ac:dyDescent="0.2">
      <c r="P984" s="2760"/>
      <c r="Q984" s="2728" t="s">
        <v>2461</v>
      </c>
      <c r="R984" s="2729">
        <f>R975</f>
        <v>26756106</v>
      </c>
      <c r="S984" s="2778">
        <f>SUM(S980:S983)</f>
        <v>26253492.779999997</v>
      </c>
      <c r="AC984" s="2761"/>
      <c r="AD984" s="2732" t="s">
        <v>2461</v>
      </c>
      <c r="AE984" s="2733">
        <f>AE975</f>
        <v>27674471</v>
      </c>
      <c r="AF984" s="2778">
        <f>SUM(AF980:AF983)</f>
        <v>27851142.809999999</v>
      </c>
      <c r="AM984" s="2771"/>
      <c r="AP984" s="2762"/>
      <c r="AQ984" s="2736" t="s">
        <v>2461</v>
      </c>
      <c r="AR984" s="2737">
        <f>AR975</f>
        <v>29492308</v>
      </c>
      <c r="AS984" s="2778">
        <f>SUM(AS980:AS983)</f>
        <v>28818103.240000002</v>
      </c>
      <c r="AT984" s="2462"/>
      <c r="AU984" s="2739">
        <f>AU975</f>
        <v>30132365</v>
      </c>
      <c r="AV984" s="2778">
        <f>SUM(AV980:AV983)</f>
        <v>29664443.610000003</v>
      </c>
      <c r="AX984" s="2745"/>
      <c r="AY984" s="2763" t="s">
        <v>2468</v>
      </c>
      <c r="AZ984" s="2779">
        <f>SUM(AZ982:AZ983)</f>
        <v>12941839</v>
      </c>
      <c r="BA984" s="2743"/>
      <c r="BB984" s="2744"/>
      <c r="BC984" s="2764" t="s">
        <v>2461</v>
      </c>
      <c r="BD984" s="2745">
        <f>BD975</f>
        <v>31126074</v>
      </c>
      <c r="BE984" s="2744"/>
      <c r="BF984" s="2765"/>
      <c r="BG984" s="2766" t="s">
        <v>2461</v>
      </c>
      <c r="BH984" s="2748">
        <f>BH975</f>
        <v>31125124</v>
      </c>
      <c r="BI984" s="2780">
        <f>SUM(BI980:BI983)</f>
        <v>21733642.359999996</v>
      </c>
      <c r="BJ984" s="2767"/>
      <c r="BK984" s="2767"/>
      <c r="BM984" s="2754"/>
      <c r="BN984" s="2768" t="s">
        <v>2468</v>
      </c>
      <c r="BO984" s="2781">
        <f>SUM(BO982:BO983)</f>
        <v>12852496</v>
      </c>
      <c r="BP984" s="2752"/>
      <c r="BQ984" s="2753"/>
      <c r="BR984" s="2769" t="s">
        <v>2461</v>
      </c>
      <c r="BS984" s="2754">
        <f>BS975</f>
        <v>31933185</v>
      </c>
      <c r="BT984" s="2753"/>
      <c r="BU984" s="2755"/>
      <c r="BV984" s="2770" t="s">
        <v>2461</v>
      </c>
      <c r="BW984" s="2757">
        <f>BW975</f>
        <v>31934835</v>
      </c>
      <c r="BZ984" s="2754"/>
      <c r="CA984" s="2768" t="s">
        <v>2468</v>
      </c>
      <c r="CB984" s="2781">
        <f>SUM(CB982:CB983)</f>
        <v>13331903</v>
      </c>
      <c r="CC984" s="2752"/>
      <c r="CD984" s="2753"/>
      <c r="CE984" s="2769" t="s">
        <v>2461</v>
      </c>
      <c r="CF984" s="2752"/>
      <c r="CG984" s="2754">
        <f>CG975</f>
        <v>32857005</v>
      </c>
      <c r="CH984" s="2559"/>
      <c r="CL984" s="2723"/>
      <c r="CM984" s="2723"/>
      <c r="CN984" s="2723"/>
      <c r="CO984" s="2724"/>
      <c r="CP984" s="2725"/>
      <c r="CQ984" s="2725"/>
      <c r="CR984" s="2725"/>
      <c r="CS984" s="2725"/>
      <c r="CT984" s="2725"/>
    </row>
    <row r="985" spans="16:98" ht="14.1" customHeight="1" x14ac:dyDescent="0.2">
      <c r="P985" s="2760"/>
      <c r="Q985" s="2728" t="s">
        <v>2469</v>
      </c>
      <c r="R985" s="2729">
        <f>-R519</f>
        <v>-7199513</v>
      </c>
      <c r="S985" s="2462"/>
      <c r="AC985" s="2761"/>
      <c r="AD985" s="2732" t="s">
        <v>2469</v>
      </c>
      <c r="AE985" s="2733">
        <f>-AE519</f>
        <v>-7579413</v>
      </c>
      <c r="AF985" s="2462"/>
      <c r="AM985" s="2771"/>
      <c r="AP985" s="2762"/>
      <c r="AQ985" s="2736" t="s">
        <v>2469</v>
      </c>
      <c r="AR985" s="2737">
        <f>-AR519</f>
        <v>-7693568</v>
      </c>
      <c r="AS985" s="2462"/>
      <c r="AT985" s="2462"/>
      <c r="AU985" s="2739">
        <f>-AU519</f>
        <v>-7825842</v>
      </c>
      <c r="AV985" s="2462"/>
      <c r="AX985" s="2745"/>
      <c r="AY985" s="2763"/>
      <c r="AZ985" s="2745"/>
      <c r="BA985" s="2743"/>
      <c r="BB985" s="2744"/>
      <c r="BC985" s="2764" t="s">
        <v>2469</v>
      </c>
      <c r="BD985" s="2745">
        <f>-BD519</f>
        <v>-8476833</v>
      </c>
      <c r="BE985" s="2744"/>
      <c r="BF985" s="2765"/>
      <c r="BG985" s="2766" t="s">
        <v>2469</v>
      </c>
      <c r="BH985" s="2748">
        <f>-BH519</f>
        <v>-8476833</v>
      </c>
      <c r="BI985" s="2767"/>
      <c r="BJ985" s="2767"/>
      <c r="BK985" s="2767"/>
      <c r="BM985" s="2754"/>
      <c r="BN985" s="2768"/>
      <c r="BO985" s="2754"/>
      <c r="BP985" s="2752"/>
      <c r="BQ985" s="2753"/>
      <c r="BR985" s="2769" t="s">
        <v>2469</v>
      </c>
      <c r="BS985" s="2754">
        <f>-BS519</f>
        <v>-8776844</v>
      </c>
      <c r="BT985" s="2753"/>
      <c r="BU985" s="2755"/>
      <c r="BV985" s="2770" t="s">
        <v>2469</v>
      </c>
      <c r="BW985" s="2757">
        <f>-BW519</f>
        <v>-8776844</v>
      </c>
      <c r="BZ985" s="2754"/>
      <c r="CA985" s="2768"/>
      <c r="CB985" s="2754"/>
      <c r="CC985" s="2752"/>
      <c r="CD985" s="2753"/>
      <c r="CE985" s="2769" t="s">
        <v>2469</v>
      </c>
      <c r="CF985" s="2752"/>
      <c r="CG985" s="2754">
        <f>-CG519</f>
        <v>-8974344</v>
      </c>
      <c r="CH985" s="2559"/>
      <c r="CL985" s="2723"/>
      <c r="CM985" s="2723"/>
      <c r="CN985" s="2723"/>
      <c r="CO985" s="2724"/>
      <c r="CP985" s="2725"/>
      <c r="CQ985" s="2725"/>
      <c r="CR985" s="2725"/>
      <c r="CS985" s="2725"/>
      <c r="CT985" s="2725"/>
    </row>
    <row r="986" spans="16:98" ht="14.1" customHeight="1" x14ac:dyDescent="0.2">
      <c r="P986" s="2760"/>
      <c r="Q986" s="2728" t="s">
        <v>2470</v>
      </c>
      <c r="R986" s="2729">
        <f>-R522</f>
        <v>-230942</v>
      </c>
      <c r="S986" s="2470">
        <v>26253492.780000001</v>
      </c>
      <c r="AC986" s="2761"/>
      <c r="AD986" s="2732" t="s">
        <v>2470</v>
      </c>
      <c r="AE986" s="2733">
        <f>-AE522</f>
        <v>-260101</v>
      </c>
      <c r="AF986" s="2470">
        <v>27851142.809999999</v>
      </c>
      <c r="AM986" s="2771"/>
      <c r="AP986" s="2762"/>
      <c r="AQ986" s="2736" t="s">
        <v>2470</v>
      </c>
      <c r="AR986" s="2737">
        <f>-AR522</f>
        <v>-302815</v>
      </c>
      <c r="AS986" s="2470">
        <v>28818103.239999998</v>
      </c>
      <c r="AT986" s="2470"/>
      <c r="AU986" s="2739">
        <f>-AU522</f>
        <v>-364498</v>
      </c>
      <c r="AV986" s="2470">
        <v>29664443.609999999</v>
      </c>
      <c r="AX986" s="2745"/>
      <c r="AY986" s="2763"/>
      <c r="AZ986" s="2745"/>
      <c r="BA986" s="2743"/>
      <c r="BB986" s="2744"/>
      <c r="BC986" s="2764" t="s">
        <v>2470</v>
      </c>
      <c r="BD986" s="2745">
        <f>-BD522</f>
        <v>-419370</v>
      </c>
      <c r="BE986" s="2744"/>
      <c r="BF986" s="2765"/>
      <c r="BG986" s="2766" t="s">
        <v>2470</v>
      </c>
      <c r="BH986" s="2748">
        <f>-BH522</f>
        <v>-419370</v>
      </c>
      <c r="BI986" s="2676">
        <v>21733642.359999999</v>
      </c>
      <c r="BJ986" s="2676"/>
      <c r="BK986" s="2676"/>
      <c r="BM986" s="2754"/>
      <c r="BN986" s="2768"/>
      <c r="BO986" s="2754"/>
      <c r="BP986" s="2752"/>
      <c r="BQ986" s="2753"/>
      <c r="BR986" s="2769" t="s">
        <v>2470</v>
      </c>
      <c r="BS986" s="2754">
        <f>-BS522</f>
        <v>-442571</v>
      </c>
      <c r="BT986" s="2753"/>
      <c r="BU986" s="2755"/>
      <c r="BV986" s="2770" t="s">
        <v>2470</v>
      </c>
      <c r="BW986" s="2757">
        <f>-BW522</f>
        <v>-442571</v>
      </c>
      <c r="BZ986" s="2754"/>
      <c r="CA986" s="2768"/>
      <c r="CB986" s="2754"/>
      <c r="CC986" s="2752"/>
      <c r="CD986" s="2753"/>
      <c r="CE986" s="2769" t="s">
        <v>2470</v>
      </c>
      <c r="CF986" s="2752"/>
      <c r="CG986" s="2754">
        <f>-CG522</f>
        <v>-486828</v>
      </c>
      <c r="CH986" s="2559"/>
      <c r="CL986" s="2723"/>
      <c r="CM986" s="2723"/>
      <c r="CN986" s="2723"/>
      <c r="CO986" s="2724"/>
      <c r="CP986" s="2725"/>
      <c r="CQ986" s="2725"/>
      <c r="CR986" s="2725"/>
      <c r="CS986" s="2725"/>
      <c r="CT986" s="2725"/>
    </row>
    <row r="987" spans="16:98" ht="14.1" customHeight="1" x14ac:dyDescent="0.2">
      <c r="P987" s="2760"/>
      <c r="Q987" s="2728"/>
      <c r="R987" s="2729"/>
      <c r="S987" s="2462">
        <f>S986-S984</f>
        <v>0</v>
      </c>
      <c r="AC987" s="2761"/>
      <c r="AD987" s="2732"/>
      <c r="AE987" s="2733"/>
      <c r="AF987" s="2462">
        <f>AF986-AF984</f>
        <v>0</v>
      </c>
      <c r="AM987" s="2771"/>
      <c r="AP987" s="2762"/>
      <c r="AQ987" s="2736"/>
      <c r="AR987" s="2737"/>
      <c r="AS987" s="2462">
        <f>AS986-AS984</f>
        <v>0</v>
      </c>
      <c r="AT987" s="2462"/>
      <c r="AU987" s="2739"/>
      <c r="AV987" s="2462">
        <f>AV986-AV984</f>
        <v>0</v>
      </c>
      <c r="AX987" s="2745"/>
      <c r="AY987" s="2782"/>
      <c r="AZ987" s="2783"/>
      <c r="BA987" s="2743"/>
      <c r="BB987" s="2744"/>
      <c r="BC987" s="2764"/>
      <c r="BD987" s="2745"/>
      <c r="BE987" s="2744"/>
      <c r="BF987" s="2765"/>
      <c r="BG987" s="2766"/>
      <c r="BH987" s="2748"/>
      <c r="BI987" s="2767">
        <f>BI986-BI984</f>
        <v>0</v>
      </c>
      <c r="BJ987" s="2767"/>
      <c r="BK987" s="2767"/>
      <c r="BM987" s="2754"/>
      <c r="BN987" s="2784"/>
      <c r="BO987" s="2785"/>
      <c r="BP987" s="2752"/>
      <c r="BQ987" s="2753"/>
      <c r="BR987" s="2769"/>
      <c r="BS987" s="2754"/>
      <c r="BT987" s="2753"/>
      <c r="BU987" s="2755"/>
      <c r="BV987" s="2770"/>
      <c r="BW987" s="2757"/>
      <c r="BZ987" s="2754"/>
      <c r="CA987" s="2784"/>
      <c r="CB987" s="2785"/>
      <c r="CC987" s="2752"/>
      <c r="CD987" s="2753"/>
      <c r="CE987" s="2769"/>
      <c r="CF987" s="2752"/>
      <c r="CG987" s="2754"/>
      <c r="CH987" s="2559"/>
      <c r="CL987" s="2723"/>
      <c r="CM987" s="2723"/>
      <c r="CN987" s="2723"/>
      <c r="CO987" s="2724"/>
      <c r="CP987" s="2725"/>
      <c r="CQ987" s="2725"/>
      <c r="CR987" s="2725"/>
      <c r="CS987" s="2725"/>
      <c r="CT987" s="2725"/>
    </row>
    <row r="988" spans="16:98" ht="14.1" customHeight="1" x14ac:dyDescent="0.2">
      <c r="P988" s="2760"/>
      <c r="Q988" s="2728" t="s">
        <v>2471</v>
      </c>
      <c r="R988" s="2772">
        <f>SUM(R984:R987)</f>
        <v>19325651</v>
      </c>
      <c r="S988" s="2786"/>
      <c r="AC988" s="2761"/>
      <c r="AD988" s="2732" t="s">
        <v>2471</v>
      </c>
      <c r="AE988" s="2773">
        <f>SUM(AE984:AE987)</f>
        <v>19834957</v>
      </c>
      <c r="AF988" s="2787"/>
      <c r="AM988" s="2771"/>
      <c r="AP988" s="2762"/>
      <c r="AQ988" s="2736" t="s">
        <v>2471</v>
      </c>
      <c r="AR988" s="2774">
        <f>SUM(AR984:AR987)</f>
        <v>21495925</v>
      </c>
      <c r="AS988" s="2788"/>
      <c r="AT988" s="2788"/>
      <c r="AU988" s="2775">
        <f>SUM(AU984:AU987)</f>
        <v>21942025</v>
      </c>
      <c r="AV988" s="2789"/>
      <c r="AX988" s="2745"/>
      <c r="AY988" s="2745"/>
      <c r="AZ988" s="2745"/>
      <c r="BA988" s="2743"/>
      <c r="BB988" s="2744"/>
      <c r="BC988" s="2764" t="s">
        <v>2472</v>
      </c>
      <c r="BD988" s="2776">
        <f>SUM(BD984:BD987)</f>
        <v>22229871</v>
      </c>
      <c r="BE988" s="2744"/>
      <c r="BF988" s="2765"/>
      <c r="BG988" s="2766" t="s">
        <v>2471</v>
      </c>
      <c r="BH988" s="2790">
        <f>SUM(BH984:BH987)</f>
        <v>22228921</v>
      </c>
      <c r="BI988" s="2791"/>
      <c r="BJ988" s="2791"/>
      <c r="BK988" s="2791"/>
      <c r="BM988" s="2754"/>
      <c r="BN988" s="2754"/>
      <c r="BO988" s="2754"/>
      <c r="BP988" s="2752"/>
      <c r="BQ988" s="2753"/>
      <c r="BR988" s="2769" t="s">
        <v>2472</v>
      </c>
      <c r="BS988" s="2777">
        <f>SUM(BS984:BS987)</f>
        <v>22713770</v>
      </c>
      <c r="BT988" s="2753"/>
      <c r="BU988" s="2755"/>
      <c r="BV988" s="2770" t="s">
        <v>2471</v>
      </c>
      <c r="BW988" s="2792">
        <f>SUM(BW984:BW987)</f>
        <v>22715420</v>
      </c>
      <c r="BZ988" s="2754"/>
      <c r="CA988" s="2754"/>
      <c r="CB988" s="2754"/>
      <c r="CC988" s="2752"/>
      <c r="CD988" s="2753"/>
      <c r="CE988" s="2769" t="s">
        <v>2472</v>
      </c>
      <c r="CF988" s="2752"/>
      <c r="CG988" s="2777">
        <f>SUM(CG984:CG987)</f>
        <v>23395833</v>
      </c>
      <c r="CH988" s="2559"/>
      <c r="CL988" s="2723"/>
      <c r="CM988" s="2723"/>
      <c r="CN988" s="2723"/>
      <c r="CO988" s="2724"/>
      <c r="CP988" s="2725"/>
      <c r="CQ988" s="2725"/>
      <c r="CR988" s="2725"/>
      <c r="CS988" s="2725"/>
      <c r="CT988" s="2725"/>
    </row>
    <row r="989" spans="16:98" x14ac:dyDescent="0.2">
      <c r="P989" s="2760"/>
      <c r="Q989" s="2793"/>
      <c r="R989" s="2794"/>
      <c r="S989" s="2786"/>
      <c r="AC989" s="2761"/>
      <c r="AD989" s="2795"/>
      <c r="AE989" s="2796"/>
      <c r="AF989" s="2787"/>
      <c r="AM989" s="2771"/>
      <c r="AP989" s="2762"/>
      <c r="AQ989" s="2797"/>
      <c r="AR989" s="2798"/>
      <c r="AS989" s="2788"/>
      <c r="AT989" s="2788"/>
      <c r="AU989" s="2799"/>
      <c r="AV989" s="2789"/>
      <c r="AX989" s="2745"/>
      <c r="AY989" s="2745"/>
      <c r="AZ989" s="2745"/>
      <c r="BA989" s="2743"/>
      <c r="BB989" s="2744"/>
      <c r="BC989" s="2745"/>
      <c r="BD989" s="2800"/>
      <c r="BE989" s="2744"/>
      <c r="BF989" s="2746"/>
      <c r="BG989" s="2747"/>
      <c r="BH989" s="2801"/>
      <c r="BI989" s="2791"/>
      <c r="BJ989" s="2791"/>
      <c r="BK989" s="2791"/>
      <c r="BM989" s="2754"/>
      <c r="BN989" s="2754"/>
      <c r="BO989" s="2754"/>
      <c r="BP989" s="2752"/>
      <c r="BQ989" s="2753"/>
      <c r="BR989" s="2754"/>
      <c r="BS989" s="2802"/>
      <c r="BT989" s="2753"/>
      <c r="BU989" s="2755"/>
      <c r="BV989" s="2756"/>
      <c r="BW989" s="2803"/>
      <c r="BZ989" s="2754"/>
      <c r="CA989" s="2754"/>
      <c r="CB989" s="2754"/>
      <c r="CC989" s="2752"/>
      <c r="CD989" s="2753"/>
      <c r="CE989" s="2754"/>
      <c r="CF989" s="2752"/>
      <c r="CG989" s="2802"/>
      <c r="CH989" s="2559"/>
      <c r="CL989" s="2723"/>
      <c r="CM989" s="2723"/>
      <c r="CN989" s="2723"/>
      <c r="CO989" s="2724"/>
      <c r="CP989" s="2725"/>
      <c r="CQ989" s="2725"/>
      <c r="CR989" s="2725"/>
      <c r="CS989" s="2725"/>
      <c r="CT989" s="2725"/>
    </row>
    <row r="990" spans="16:98" x14ac:dyDescent="0.2">
      <c r="AE990" s="2493"/>
      <c r="AM990" s="2771"/>
      <c r="BI990" s="2493"/>
      <c r="BJ990" s="2493"/>
      <c r="BK990" s="2493"/>
    </row>
    <row r="991" spans="16:98" x14ac:dyDescent="0.2">
      <c r="AE991" s="2493"/>
      <c r="AM991" s="2771"/>
      <c r="BI991" s="2493"/>
      <c r="BJ991" s="2493"/>
      <c r="BK991" s="2493"/>
    </row>
    <row r="992" spans="16:98" x14ac:dyDescent="0.2">
      <c r="AE992" s="2493"/>
      <c r="AM992" s="2771"/>
      <c r="BI992" s="2493">
        <v>3569058.26</v>
      </c>
      <c r="BJ992" s="2493"/>
      <c r="BK992" s="2493"/>
    </row>
    <row r="993" spans="31:76" x14ac:dyDescent="0.2">
      <c r="AE993" s="2493"/>
      <c r="AM993" s="2771"/>
      <c r="BI993" s="2493">
        <v>11377662.99</v>
      </c>
      <c r="BJ993" s="2493"/>
      <c r="BK993" s="2493"/>
    </row>
    <row r="994" spans="31:76" x14ac:dyDescent="0.2">
      <c r="AE994" s="2493"/>
      <c r="AM994" s="2771"/>
      <c r="BI994" s="2562">
        <f>SUM(BI992:BI993)</f>
        <v>14946721.25</v>
      </c>
      <c r="BJ994" s="2493"/>
      <c r="BK994" s="2493"/>
    </row>
    <row r="995" spans="31:76" x14ac:dyDescent="0.2">
      <c r="AE995" s="2493"/>
      <c r="AM995" s="2771"/>
      <c r="BI995" s="2493"/>
      <c r="BJ995" s="2493"/>
      <c r="BK995" s="2493"/>
    </row>
    <row r="996" spans="31:76" x14ac:dyDescent="0.2">
      <c r="AE996" s="2493"/>
      <c r="AM996" s="2771"/>
      <c r="BI996" s="2493">
        <f>BI994</f>
        <v>14946721.25</v>
      </c>
      <c r="BJ996" s="2493"/>
      <c r="BK996" s="2493"/>
    </row>
    <row r="997" spans="31:76" x14ac:dyDescent="0.2">
      <c r="AE997" s="2493"/>
      <c r="AM997" s="2771"/>
      <c r="BI997" s="2493">
        <f>BI987</f>
        <v>0</v>
      </c>
      <c r="BJ997" s="2493"/>
      <c r="BK997" s="2493"/>
    </row>
    <row r="998" spans="31:76" x14ac:dyDescent="0.2">
      <c r="AE998" s="2493"/>
      <c r="AM998" s="2771"/>
      <c r="BI998" s="2493">
        <v>-645000</v>
      </c>
      <c r="BJ998" s="2493"/>
      <c r="BK998" s="2493"/>
    </row>
    <row r="999" spans="31:76" x14ac:dyDescent="0.2">
      <c r="AE999" s="2493"/>
      <c r="AM999" s="2771"/>
      <c r="BI999" s="2493"/>
      <c r="BJ999" s="2493"/>
      <c r="BK999" s="2493"/>
    </row>
    <row r="1000" spans="31:76" x14ac:dyDescent="0.2">
      <c r="AE1000" s="2493"/>
      <c r="AM1000" s="2771"/>
      <c r="BI1000" s="2562">
        <f>SUM(BI996:BI999)</f>
        <v>14301721.25</v>
      </c>
      <c r="BJ1000" s="2493"/>
      <c r="BK1000" s="2493"/>
    </row>
    <row r="1001" spans="31:76" x14ac:dyDescent="0.2">
      <c r="AM1001" s="2771"/>
      <c r="BI1001" s="2493"/>
      <c r="BJ1001" s="2493"/>
      <c r="BK1001" s="2493"/>
    </row>
    <row r="1002" spans="31:76" x14ac:dyDescent="0.2">
      <c r="AM1002" s="2771"/>
      <c r="BI1002" s="2493"/>
      <c r="BJ1002" s="2493"/>
      <c r="BK1002" s="2493"/>
      <c r="BX1002" s="2493"/>
    </row>
    <row r="1003" spans="31:76" x14ac:dyDescent="0.2">
      <c r="AM1003" s="2771"/>
    </row>
    <row r="1004" spans="31:76" x14ac:dyDescent="0.2">
      <c r="AM1004" s="2771"/>
    </row>
    <row r="1005" spans="31:76" x14ac:dyDescent="0.2">
      <c r="AM1005" s="2771"/>
    </row>
    <row r="1006" spans="31:76" x14ac:dyDescent="0.2">
      <c r="AM1006" s="2771"/>
    </row>
  </sheetData>
  <autoFilter ref="A3:CW975">
    <filterColumn colId="89">
      <customFilters>
        <customFilter operator="notEqual" val=" "/>
      </customFilters>
    </filterColumn>
  </autoFilter>
  <dataConsolidate/>
  <mergeCells count="2">
    <mergeCell ref="BF311:BF314"/>
    <mergeCell ref="BU907:BU910"/>
  </mergeCells>
  <printOptions horizontalCentered="1"/>
  <pageMargins left="0.1" right="0.1" top="0.75" bottom="0.5" header="0.5" footer="0.25"/>
  <pageSetup paperSize="3" scale="70" fitToHeight="20" orientation="landscape" r:id="rId1"/>
  <headerFooter>
    <oddHeader>&amp;CFY24 BUDGET - &amp;A</oddHeader>
    <oddFooter>&amp;L&amp;12February 9, 2023&amp;C&amp;12Page &amp;P of &amp;N&amp;R&amp;12&amp;F / &amp;A</oddFooter>
  </headerFooter>
  <rowBreaks count="8" manualBreakCount="8">
    <brk id="69" max="16383" man="1"/>
    <brk id="132" max="16383" man="1"/>
    <brk id="331" max="16383" man="1"/>
    <brk id="393" max="16383" man="1"/>
    <brk id="526" max="16383" man="1"/>
    <brk id="661" max="16383" man="1"/>
    <brk id="864" max="16383" man="1"/>
    <brk id="926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63"/>
  <sheetViews>
    <sheetView workbookViewId="0"/>
  </sheetViews>
  <sheetFormatPr defaultColWidth="8.85546875" defaultRowHeight="11.25" x14ac:dyDescent="0.2"/>
  <cols>
    <col min="1" max="1" width="3.42578125" style="7" customWidth="1"/>
    <col min="2" max="2" width="35.140625" style="257" customWidth="1"/>
    <col min="3" max="3" width="10.7109375" style="7" customWidth="1"/>
    <col min="4" max="4" width="9.42578125" style="258" customWidth="1"/>
    <col min="5" max="5" width="8" style="258" customWidth="1"/>
    <col min="6" max="6" width="8.85546875" style="258"/>
    <col min="7" max="7" width="11.42578125" style="258" customWidth="1"/>
    <col min="8" max="8" width="10.28515625" style="258" customWidth="1"/>
    <col min="9" max="9" width="9.42578125" style="258" customWidth="1"/>
    <col min="10" max="10" width="26" style="1" customWidth="1"/>
    <col min="11" max="16384" width="8.85546875" style="7"/>
  </cols>
  <sheetData>
    <row r="1" spans="1:10" s="1" customFormat="1" ht="10.5" thickBot="1" x14ac:dyDescent="0.25">
      <c r="A1" s="205"/>
      <c r="B1" s="205"/>
      <c r="C1" s="206" t="s">
        <v>425</v>
      </c>
      <c r="D1" s="207"/>
      <c r="E1" s="207"/>
      <c r="F1" s="208"/>
      <c r="G1" s="207"/>
      <c r="H1" s="206" t="s">
        <v>426</v>
      </c>
      <c r="I1" s="206"/>
      <c r="J1" s="209"/>
    </row>
    <row r="2" spans="1:10" s="1" customFormat="1" ht="10.5" thickBot="1" x14ac:dyDescent="0.25">
      <c r="A2" s="210" t="s">
        <v>164</v>
      </c>
      <c r="B2" s="211" t="s">
        <v>164</v>
      </c>
      <c r="C2" s="212" t="s">
        <v>427</v>
      </c>
      <c r="D2" s="212" t="s">
        <v>428</v>
      </c>
      <c r="E2" s="213" t="s">
        <v>429</v>
      </c>
      <c r="F2" s="212" t="s">
        <v>289</v>
      </c>
      <c r="G2" s="212" t="s">
        <v>149</v>
      </c>
      <c r="H2" s="214" t="s">
        <v>279</v>
      </c>
      <c r="I2" s="214"/>
      <c r="J2" s="215"/>
    </row>
    <row r="3" spans="1:10" s="1" customFormat="1" ht="9.75" x14ac:dyDescent="0.2">
      <c r="A3" s="210" t="s">
        <v>280</v>
      </c>
      <c r="B3" s="211" t="s">
        <v>314</v>
      </c>
      <c r="C3" s="211" t="s">
        <v>315</v>
      </c>
      <c r="D3" s="213" t="s">
        <v>316</v>
      </c>
      <c r="E3" s="213" t="s">
        <v>317</v>
      </c>
      <c r="F3" s="213" t="s">
        <v>318</v>
      </c>
      <c r="G3" s="213" t="s">
        <v>568</v>
      </c>
      <c r="H3" s="212" t="s">
        <v>569</v>
      </c>
      <c r="I3" s="212" t="s">
        <v>575</v>
      </c>
      <c r="J3" s="215"/>
    </row>
    <row r="4" spans="1:10" s="1" customFormat="1" ht="9.75" x14ac:dyDescent="0.2">
      <c r="A4" s="210" t="s">
        <v>280</v>
      </c>
      <c r="B4" s="211" t="s">
        <v>313</v>
      </c>
      <c r="C4" s="211" t="s">
        <v>795</v>
      </c>
      <c r="D4" s="213" t="s">
        <v>771</v>
      </c>
      <c r="E4" s="213" t="s">
        <v>772</v>
      </c>
      <c r="F4" s="213" t="s">
        <v>773</v>
      </c>
      <c r="G4" s="213" t="s">
        <v>658</v>
      </c>
      <c r="H4" s="213" t="s">
        <v>659</v>
      </c>
      <c r="I4" s="213" t="s">
        <v>661</v>
      </c>
      <c r="J4" s="216" t="s">
        <v>164</v>
      </c>
    </row>
    <row r="5" spans="1:10" s="1" customFormat="1" ht="9.75" x14ac:dyDescent="0.2">
      <c r="A5" s="210" t="s">
        <v>839</v>
      </c>
      <c r="B5" s="217" t="s">
        <v>348</v>
      </c>
      <c r="C5" s="211" t="s">
        <v>840</v>
      </c>
      <c r="D5" s="213" t="s">
        <v>841</v>
      </c>
      <c r="E5" s="218" t="s">
        <v>438</v>
      </c>
      <c r="F5" s="213" t="s">
        <v>310</v>
      </c>
      <c r="G5" s="213" t="s">
        <v>311</v>
      </c>
      <c r="H5" s="213" t="s">
        <v>310</v>
      </c>
      <c r="I5" s="213" t="s">
        <v>570</v>
      </c>
      <c r="J5" s="216" t="s">
        <v>571</v>
      </c>
    </row>
    <row r="6" spans="1:10" s="1" customFormat="1" ht="10.5" thickBot="1" x14ac:dyDescent="0.25">
      <c r="A6" s="219" t="s">
        <v>572</v>
      </c>
      <c r="B6" s="220" t="s">
        <v>576</v>
      </c>
      <c r="C6" s="221" t="s">
        <v>675</v>
      </c>
      <c r="D6" s="222"/>
      <c r="E6" s="222"/>
      <c r="F6" s="223" t="s">
        <v>676</v>
      </c>
      <c r="G6" s="224" t="s">
        <v>677</v>
      </c>
      <c r="H6" s="223" t="s">
        <v>609</v>
      </c>
      <c r="I6" s="223"/>
      <c r="J6" s="225" t="s">
        <v>610</v>
      </c>
    </row>
    <row r="7" spans="1:10" x14ac:dyDescent="0.2">
      <c r="A7" s="226">
        <v>2</v>
      </c>
      <c r="B7" s="227" t="s">
        <v>611</v>
      </c>
      <c r="C7" s="228">
        <f t="shared" ref="C7:C32" si="0">SUM(D7:G7)</f>
        <v>0</v>
      </c>
      <c r="D7" s="226"/>
      <c r="E7" s="226"/>
      <c r="F7" s="226"/>
      <c r="G7" s="226"/>
      <c r="H7" s="226"/>
      <c r="I7" s="226"/>
      <c r="J7" s="229" t="s">
        <v>612</v>
      </c>
    </row>
    <row r="8" spans="1:10" x14ac:dyDescent="0.2">
      <c r="A8" s="228">
        <v>3</v>
      </c>
      <c r="B8" s="230" t="s">
        <v>613</v>
      </c>
      <c r="C8" s="228">
        <f t="shared" si="0"/>
        <v>0</v>
      </c>
      <c r="D8" s="228">
        <f>SUM(BUDGET!AU438)</f>
        <v>0</v>
      </c>
      <c r="E8" s="228"/>
      <c r="F8" s="228"/>
      <c r="G8" s="228"/>
      <c r="H8" s="228"/>
      <c r="I8" s="228"/>
      <c r="J8" s="229" t="s">
        <v>672</v>
      </c>
    </row>
    <row r="9" spans="1:10" x14ac:dyDescent="0.2">
      <c r="A9" s="228">
        <v>5</v>
      </c>
      <c r="B9" s="230" t="s">
        <v>721</v>
      </c>
      <c r="C9" s="228">
        <f t="shared" si="0"/>
        <v>0</v>
      </c>
      <c r="D9" s="228"/>
      <c r="E9" s="228"/>
      <c r="F9" s="228"/>
      <c r="G9" s="231">
        <f>SUM(BUDGET!AU431)</f>
        <v>0</v>
      </c>
      <c r="H9" s="228"/>
      <c r="I9" s="228"/>
      <c r="J9" s="229"/>
    </row>
    <row r="10" spans="1:10" x14ac:dyDescent="0.2">
      <c r="A10" s="228">
        <v>6</v>
      </c>
      <c r="B10" s="230" t="s">
        <v>722</v>
      </c>
      <c r="C10" s="228">
        <f t="shared" si="0"/>
        <v>0</v>
      </c>
      <c r="D10" s="228">
        <f>SUM(BUDGET!AU438)</f>
        <v>0</v>
      </c>
      <c r="E10" s="228"/>
      <c r="F10" s="228"/>
      <c r="G10" s="228"/>
      <c r="H10" s="228"/>
      <c r="I10" s="228"/>
      <c r="J10" s="229" t="s">
        <v>647</v>
      </c>
    </row>
    <row r="11" spans="1:10" x14ac:dyDescent="0.2">
      <c r="A11" s="228"/>
      <c r="B11" s="230" t="s">
        <v>803</v>
      </c>
      <c r="C11" s="228">
        <f t="shared" si="0"/>
        <v>0</v>
      </c>
      <c r="D11" s="228"/>
      <c r="E11" s="228"/>
      <c r="F11" s="228"/>
      <c r="G11" s="228"/>
      <c r="H11" s="228"/>
      <c r="I11" s="228"/>
      <c r="J11" s="229"/>
    </row>
    <row r="12" spans="1:10" x14ac:dyDescent="0.2">
      <c r="A12" s="228"/>
      <c r="B12" s="230" t="s">
        <v>594</v>
      </c>
      <c r="C12" s="228">
        <f t="shared" si="0"/>
        <v>0</v>
      </c>
      <c r="D12" s="228">
        <f>SUM(BUDGET!AU433)</f>
        <v>0</v>
      </c>
      <c r="E12" s="228"/>
      <c r="F12" s="228"/>
      <c r="G12" s="228"/>
      <c r="H12" s="228"/>
      <c r="I12" s="228"/>
      <c r="J12" s="229"/>
    </row>
    <row r="13" spans="1:10" x14ac:dyDescent="0.2">
      <c r="A13" s="228"/>
      <c r="B13" s="230" t="s">
        <v>595</v>
      </c>
      <c r="C13" s="228">
        <f t="shared" si="0"/>
        <v>0</v>
      </c>
      <c r="D13" s="228"/>
      <c r="E13" s="228"/>
      <c r="F13" s="228"/>
      <c r="G13" s="228"/>
      <c r="H13" s="228"/>
      <c r="I13" s="228"/>
      <c r="J13" s="229"/>
    </row>
    <row r="14" spans="1:10" x14ac:dyDescent="0.2">
      <c r="A14" s="228"/>
      <c r="B14" s="230" t="s">
        <v>477</v>
      </c>
      <c r="C14" s="228">
        <f t="shared" si="0"/>
        <v>0</v>
      </c>
      <c r="D14" s="228"/>
      <c r="E14" s="228"/>
      <c r="F14" s="228"/>
      <c r="G14" s="228"/>
      <c r="H14" s="231"/>
      <c r="I14" s="228"/>
      <c r="J14" s="229"/>
    </row>
    <row r="15" spans="1:10" x14ac:dyDescent="0.2">
      <c r="A15" s="228"/>
      <c r="B15" s="230" t="s">
        <v>486</v>
      </c>
      <c r="C15" s="228">
        <f t="shared" si="0"/>
        <v>0</v>
      </c>
      <c r="D15" s="228"/>
      <c r="E15" s="228" t="s">
        <v>164</v>
      </c>
      <c r="F15" s="228"/>
      <c r="G15" s="228"/>
      <c r="H15" s="231"/>
      <c r="I15" s="228"/>
      <c r="J15" s="229" t="s">
        <v>487</v>
      </c>
    </row>
    <row r="16" spans="1:10" x14ac:dyDescent="0.2">
      <c r="A16" s="228"/>
      <c r="B16" s="230" t="s">
        <v>488</v>
      </c>
      <c r="C16" s="228">
        <f t="shared" si="0"/>
        <v>0</v>
      </c>
      <c r="D16" s="228"/>
      <c r="E16" s="228"/>
      <c r="F16" s="228"/>
      <c r="G16" s="228"/>
      <c r="H16" s="231"/>
      <c r="I16" s="228"/>
      <c r="J16" s="229"/>
    </row>
    <row r="17" spans="1:10" x14ac:dyDescent="0.2">
      <c r="A17" s="228"/>
      <c r="B17" s="230" t="s">
        <v>489</v>
      </c>
      <c r="C17" s="228">
        <f t="shared" si="0"/>
        <v>0</v>
      </c>
      <c r="D17" s="228"/>
      <c r="E17" s="228"/>
      <c r="F17" s="228"/>
      <c r="G17" s="231"/>
      <c r="H17" s="228"/>
      <c r="I17" s="228"/>
      <c r="J17" s="229"/>
    </row>
    <row r="18" spans="1:10" x14ac:dyDescent="0.2">
      <c r="A18" s="228"/>
      <c r="B18" s="230"/>
      <c r="C18" s="228">
        <f t="shared" si="0"/>
        <v>0</v>
      </c>
      <c r="D18" s="228"/>
      <c r="E18" s="228"/>
      <c r="F18" s="228"/>
      <c r="G18" s="228"/>
      <c r="H18" s="228"/>
      <c r="I18" s="228"/>
      <c r="J18" s="229"/>
    </row>
    <row r="19" spans="1:10" x14ac:dyDescent="0.2">
      <c r="A19" s="228"/>
      <c r="B19" s="230"/>
      <c r="C19" s="228">
        <f t="shared" si="0"/>
        <v>0</v>
      </c>
      <c r="D19" s="228"/>
      <c r="E19" s="228"/>
      <c r="F19" s="228"/>
      <c r="G19" s="228"/>
      <c r="H19" s="228"/>
      <c r="I19" s="228"/>
      <c r="J19" s="229"/>
    </row>
    <row r="20" spans="1:10" x14ac:dyDescent="0.2">
      <c r="A20" s="228"/>
      <c r="B20" s="230"/>
      <c r="C20" s="228">
        <f t="shared" si="0"/>
        <v>0</v>
      </c>
      <c r="D20" s="228"/>
      <c r="E20" s="228"/>
      <c r="F20" s="228"/>
      <c r="G20" s="228"/>
      <c r="H20" s="228"/>
      <c r="I20" s="228"/>
      <c r="J20" s="229"/>
    </row>
    <row r="21" spans="1:10" x14ac:dyDescent="0.2">
      <c r="A21" s="228"/>
      <c r="B21" s="230"/>
      <c r="C21" s="228">
        <f t="shared" si="0"/>
        <v>0</v>
      </c>
      <c r="D21" s="228"/>
      <c r="E21" s="228"/>
      <c r="F21" s="228"/>
      <c r="G21" s="228"/>
      <c r="H21" s="228"/>
      <c r="I21" s="228"/>
      <c r="J21" s="229"/>
    </row>
    <row r="22" spans="1:10" x14ac:dyDescent="0.2">
      <c r="A22" s="228"/>
      <c r="B22" s="230"/>
      <c r="C22" s="228">
        <f t="shared" si="0"/>
        <v>0</v>
      </c>
      <c r="D22" s="228"/>
      <c r="E22" s="228"/>
      <c r="F22" s="228"/>
      <c r="G22" s="228"/>
      <c r="H22" s="228"/>
      <c r="I22" s="228"/>
      <c r="J22" s="229"/>
    </row>
    <row r="23" spans="1:10" x14ac:dyDescent="0.2">
      <c r="A23" s="228"/>
      <c r="B23" s="230"/>
      <c r="C23" s="228">
        <f t="shared" si="0"/>
        <v>0</v>
      </c>
      <c r="D23" s="228"/>
      <c r="E23" s="228"/>
      <c r="F23" s="228"/>
      <c r="G23" s="228"/>
      <c r="H23" s="228"/>
      <c r="I23" s="228"/>
      <c r="J23" s="229"/>
    </row>
    <row r="24" spans="1:10" x14ac:dyDescent="0.2">
      <c r="A24" s="228"/>
      <c r="B24" s="230"/>
      <c r="C24" s="228">
        <f t="shared" si="0"/>
        <v>0</v>
      </c>
      <c r="D24" s="228"/>
      <c r="E24" s="228"/>
      <c r="F24" s="228"/>
      <c r="G24" s="228"/>
      <c r="H24" s="228"/>
      <c r="I24" s="228"/>
      <c r="J24" s="229"/>
    </row>
    <row r="25" spans="1:10" x14ac:dyDescent="0.2">
      <c r="A25" s="228"/>
      <c r="B25" s="230"/>
      <c r="C25" s="228">
        <f t="shared" si="0"/>
        <v>0</v>
      </c>
      <c r="D25" s="228"/>
      <c r="E25" s="228"/>
      <c r="F25" s="228"/>
      <c r="G25" s="228"/>
      <c r="H25" s="228"/>
      <c r="I25" s="228"/>
      <c r="J25" s="229"/>
    </row>
    <row r="26" spans="1:10" x14ac:dyDescent="0.2">
      <c r="A26" s="228"/>
      <c r="B26" s="230"/>
      <c r="C26" s="228">
        <f t="shared" si="0"/>
        <v>0</v>
      </c>
      <c r="D26" s="228"/>
      <c r="E26" s="228"/>
      <c r="F26" s="228"/>
      <c r="G26" s="228"/>
      <c r="H26" s="228"/>
      <c r="I26" s="228"/>
      <c r="J26" s="229"/>
    </row>
    <row r="27" spans="1:10" x14ac:dyDescent="0.2">
      <c r="A27" s="228"/>
      <c r="B27" s="230"/>
      <c r="C27" s="228">
        <f t="shared" si="0"/>
        <v>0</v>
      </c>
      <c r="D27" s="228"/>
      <c r="E27" s="228"/>
      <c r="F27" s="228"/>
      <c r="G27" s="228"/>
      <c r="H27" s="228"/>
      <c r="I27" s="228"/>
      <c r="J27" s="229"/>
    </row>
    <row r="28" spans="1:10" x14ac:dyDescent="0.2">
      <c r="A28" s="228"/>
      <c r="B28" s="230"/>
      <c r="C28" s="228">
        <f t="shared" si="0"/>
        <v>0</v>
      </c>
      <c r="D28" s="228"/>
      <c r="E28" s="228"/>
      <c r="F28" s="228"/>
      <c r="G28" s="228"/>
      <c r="H28" s="228"/>
      <c r="I28" s="228"/>
      <c r="J28" s="229"/>
    </row>
    <row r="29" spans="1:10" x14ac:dyDescent="0.2">
      <c r="A29" s="228"/>
      <c r="B29" s="230"/>
      <c r="C29" s="228">
        <f t="shared" si="0"/>
        <v>0</v>
      </c>
      <c r="D29" s="228"/>
      <c r="E29" s="228"/>
      <c r="F29" s="228"/>
      <c r="G29" s="231"/>
      <c r="H29" s="228"/>
      <c r="I29" s="228"/>
      <c r="J29" s="229" t="s">
        <v>490</v>
      </c>
    </row>
    <row r="30" spans="1:10" x14ac:dyDescent="0.2">
      <c r="A30" s="228"/>
      <c r="B30" s="230"/>
      <c r="C30" s="228">
        <f t="shared" si="0"/>
        <v>0</v>
      </c>
      <c r="D30" s="228"/>
      <c r="E30" s="228"/>
      <c r="F30" s="228"/>
      <c r="G30" s="231"/>
      <c r="H30" s="228"/>
      <c r="I30" s="228"/>
      <c r="J30" s="229" t="s">
        <v>491</v>
      </c>
    </row>
    <row r="31" spans="1:10" ht="12" thickBot="1" x14ac:dyDescent="0.25">
      <c r="A31" s="232"/>
      <c r="B31" s="233" t="s">
        <v>492</v>
      </c>
      <c r="C31" s="232">
        <f t="shared" si="0"/>
        <v>0</v>
      </c>
      <c r="D31" s="232"/>
      <c r="E31" s="232">
        <v>0</v>
      </c>
      <c r="F31" s="232"/>
      <c r="G31" s="232"/>
      <c r="H31" s="232"/>
      <c r="I31" s="232"/>
      <c r="J31" s="234"/>
    </row>
    <row r="32" spans="1:10" ht="12" thickBot="1" x14ac:dyDescent="0.25">
      <c r="A32" s="228"/>
      <c r="B32" s="235" t="s">
        <v>493</v>
      </c>
      <c r="C32" s="236">
        <f t="shared" si="0"/>
        <v>0</v>
      </c>
      <c r="D32" s="236">
        <f>SUM(D7:D31)</f>
        <v>0</v>
      </c>
      <c r="E32" s="236">
        <f>SUM(E7:E31)</f>
        <v>0</v>
      </c>
      <c r="F32" s="236">
        <f>SUM(F7:F31)</f>
        <v>0</v>
      </c>
      <c r="G32" s="236">
        <f>SUM(G7:G31)</f>
        <v>0</v>
      </c>
      <c r="H32" s="237"/>
      <c r="I32" s="237"/>
      <c r="J32" s="229"/>
    </row>
    <row r="33" spans="1:11" x14ac:dyDescent="0.2">
      <c r="A33" s="228"/>
      <c r="B33" s="238" t="s">
        <v>494</v>
      </c>
      <c r="C33" s="228">
        <f>-(C8+C10)</f>
        <v>0</v>
      </c>
      <c r="D33" s="228" t="s">
        <v>164</v>
      </c>
      <c r="E33" s="228"/>
      <c r="F33" s="228"/>
      <c r="G33" s="228"/>
      <c r="H33" s="226"/>
      <c r="I33" s="226"/>
      <c r="J33" s="229"/>
    </row>
    <row r="34" spans="1:11" x14ac:dyDescent="0.2">
      <c r="A34" s="228"/>
      <c r="B34" s="239" t="s">
        <v>495</v>
      </c>
      <c r="C34" s="231">
        <f>SUM(C32:C33)</f>
        <v>0</v>
      </c>
      <c r="D34" s="228" t="s">
        <v>164</v>
      </c>
      <c r="E34" s="228"/>
      <c r="F34" s="228"/>
      <c r="G34" s="228"/>
      <c r="H34" s="240"/>
      <c r="I34" s="240"/>
      <c r="J34" s="241" t="s">
        <v>797</v>
      </c>
    </row>
    <row r="35" spans="1:11" x14ac:dyDescent="0.2">
      <c r="A35" s="228"/>
      <c r="B35" s="238" t="s">
        <v>798</v>
      </c>
      <c r="C35" s="228"/>
      <c r="D35" s="228"/>
      <c r="E35" s="228"/>
      <c r="F35" s="228"/>
      <c r="G35" s="228"/>
      <c r="H35" s="228"/>
      <c r="I35" s="228"/>
      <c r="J35" s="241"/>
    </row>
    <row r="36" spans="1:11" x14ac:dyDescent="0.2">
      <c r="A36" s="242">
        <v>2</v>
      </c>
      <c r="B36" s="230" t="s">
        <v>481</v>
      </c>
      <c r="C36" s="242">
        <f t="shared" ref="C36:C41" si="1">SUM(D36:G36)</f>
        <v>0</v>
      </c>
      <c r="D36" s="228"/>
      <c r="E36" s="228"/>
      <c r="F36" s="228"/>
      <c r="G36" s="228"/>
      <c r="H36" s="228"/>
      <c r="I36" s="228"/>
      <c r="J36" s="229"/>
    </row>
    <row r="37" spans="1:11" x14ac:dyDescent="0.2">
      <c r="A37" s="228">
        <v>3</v>
      </c>
      <c r="B37" s="230" t="s">
        <v>482</v>
      </c>
      <c r="C37" s="242">
        <f t="shared" si="1"/>
        <v>0</v>
      </c>
      <c r="D37" s="228"/>
      <c r="E37" s="228"/>
      <c r="F37" s="228"/>
      <c r="G37" s="228"/>
      <c r="H37" s="228"/>
      <c r="I37" s="228"/>
      <c r="J37" s="229"/>
    </row>
    <row r="38" spans="1:11" x14ac:dyDescent="0.2">
      <c r="A38" s="228"/>
      <c r="B38" s="230"/>
      <c r="C38" s="228">
        <f t="shared" si="1"/>
        <v>0</v>
      </c>
      <c r="D38" s="228"/>
      <c r="E38" s="228"/>
      <c r="F38" s="228"/>
      <c r="G38" s="228"/>
      <c r="H38" s="228"/>
      <c r="I38" s="228"/>
      <c r="J38" s="229" t="s">
        <v>483</v>
      </c>
    </row>
    <row r="39" spans="1:11" x14ac:dyDescent="0.2">
      <c r="A39" s="228"/>
      <c r="B39" s="230"/>
      <c r="C39" s="236">
        <f t="shared" si="1"/>
        <v>0</v>
      </c>
      <c r="D39" s="228"/>
      <c r="E39" s="228"/>
      <c r="F39" s="228"/>
      <c r="G39" s="228"/>
      <c r="H39" s="228"/>
      <c r="I39" s="228"/>
      <c r="J39" s="229" t="s">
        <v>483</v>
      </c>
    </row>
    <row r="40" spans="1:11" ht="12" thickBot="1" x14ac:dyDescent="0.25">
      <c r="A40" s="228"/>
      <c r="B40" s="243" t="s">
        <v>484</v>
      </c>
      <c r="C40" s="231">
        <f t="shared" si="1"/>
        <v>0</v>
      </c>
      <c r="D40" s="244">
        <f>SUM(D36:D37)</f>
        <v>0</v>
      </c>
      <c r="E40" s="244">
        <f>SUM(E36:E39)</f>
        <v>0</v>
      </c>
      <c r="F40" s="244">
        <f>SUM(F36:F39)</f>
        <v>0</v>
      </c>
      <c r="G40" s="244">
        <f>SUM(G36:G39)</f>
        <v>0</v>
      </c>
      <c r="H40" s="237"/>
      <c r="I40" s="237"/>
      <c r="J40" s="229"/>
    </row>
    <row r="41" spans="1:11" ht="12" thickBot="1" x14ac:dyDescent="0.25">
      <c r="A41" s="245"/>
      <c r="B41" s="246" t="s">
        <v>480</v>
      </c>
      <c r="C41" s="247">
        <f t="shared" si="1"/>
        <v>0</v>
      </c>
      <c r="D41" s="247">
        <f>SUM(D32+D40)</f>
        <v>0</v>
      </c>
      <c r="E41" s="247">
        <f>SUM(E32+E40)</f>
        <v>0</v>
      </c>
      <c r="F41" s="247">
        <f>SUM(F32+F40)</f>
        <v>0</v>
      </c>
      <c r="G41" s="247">
        <f>SUM(G32+G40)</f>
        <v>0</v>
      </c>
      <c r="H41" s="248"/>
      <c r="I41" s="248"/>
      <c r="J41" s="249" t="s">
        <v>474</v>
      </c>
    </row>
    <row r="42" spans="1:11" x14ac:dyDescent="0.2">
      <c r="A42" s="14"/>
      <c r="B42" s="1"/>
      <c r="D42" s="14"/>
      <c r="E42" s="7"/>
      <c r="F42" s="7"/>
      <c r="G42" s="7"/>
      <c r="H42" s="7"/>
      <c r="I42" s="7"/>
      <c r="J42" s="250"/>
    </row>
    <row r="43" spans="1:11" x14ac:dyDescent="0.2">
      <c r="B43" s="251" t="s">
        <v>475</v>
      </c>
      <c r="C43" s="252">
        <f>SUM(C7:C31)</f>
        <v>0</v>
      </c>
      <c r="D43" s="7"/>
      <c r="E43" s="7"/>
      <c r="F43" s="7"/>
      <c r="G43" s="14">
        <f>SUM(G9,G28:G30)</f>
        <v>0</v>
      </c>
      <c r="H43" s="253" t="s">
        <v>476</v>
      </c>
      <c r="I43" s="7"/>
    </row>
    <row r="44" spans="1:11" x14ac:dyDescent="0.2">
      <c r="B44" s="251" t="s">
        <v>472</v>
      </c>
      <c r="C44" s="254">
        <f>SUM(C40)</f>
        <v>0</v>
      </c>
      <c r="D44" s="7"/>
      <c r="E44" s="7"/>
      <c r="F44" s="7"/>
      <c r="G44" s="255">
        <f>SUM(G17)</f>
        <v>0</v>
      </c>
      <c r="H44" s="253" t="s">
        <v>473</v>
      </c>
      <c r="I44" s="253"/>
    </row>
    <row r="45" spans="1:11" x14ac:dyDescent="0.2">
      <c r="B45" s="251" t="s">
        <v>351</v>
      </c>
      <c r="C45" s="14">
        <f>SUM(C43:C44)</f>
        <v>0</v>
      </c>
      <c r="D45" s="7"/>
      <c r="E45" s="7"/>
      <c r="F45" s="7"/>
      <c r="G45" s="14">
        <f>SUM(G43:G44)</f>
        <v>0</v>
      </c>
      <c r="H45" s="7"/>
      <c r="I45" s="253"/>
      <c r="J45" s="253"/>
    </row>
    <row r="46" spans="1:11" ht="12.75" x14ac:dyDescent="0.2">
      <c r="A46" s="256"/>
      <c r="B46" s="256"/>
      <c r="C46" s="256"/>
      <c r="D46" s="256"/>
      <c r="E46" s="256"/>
      <c r="F46" s="256"/>
      <c r="G46" s="256"/>
      <c r="H46" s="256"/>
      <c r="I46" s="7"/>
      <c r="J46" s="253"/>
    </row>
    <row r="47" spans="1:11" ht="12.75" x14ac:dyDescent="0.2">
      <c r="A47" s="256"/>
      <c r="B47" s="256"/>
      <c r="C47" s="256"/>
      <c r="D47" s="256"/>
      <c r="E47" s="256"/>
      <c r="F47" s="256"/>
      <c r="G47" s="256"/>
      <c r="H47" s="256"/>
      <c r="I47" s="256"/>
      <c r="J47" s="256"/>
      <c r="K47" s="256"/>
    </row>
    <row r="48" spans="1:11" ht="12.75" x14ac:dyDescent="0.2">
      <c r="A48" s="256"/>
      <c r="B48" s="256"/>
      <c r="C48" s="256"/>
      <c r="D48" s="256"/>
      <c r="E48" s="256"/>
      <c r="F48" s="256"/>
      <c r="G48" s="256"/>
      <c r="H48" s="256"/>
      <c r="I48" s="256"/>
      <c r="J48" s="256"/>
      <c r="K48" s="256"/>
    </row>
    <row r="49" spans="1:11" ht="12.75" x14ac:dyDescent="0.2">
      <c r="A49" s="256"/>
      <c r="B49" s="256"/>
      <c r="C49" s="256"/>
      <c r="D49" s="256"/>
      <c r="E49" s="256"/>
      <c r="F49" s="256"/>
      <c r="G49" s="256"/>
      <c r="H49" s="256"/>
      <c r="I49" s="256"/>
      <c r="J49" s="256"/>
      <c r="K49" s="256"/>
    </row>
    <row r="50" spans="1:11" ht="12.75" x14ac:dyDescent="0.2">
      <c r="A50" s="256"/>
      <c r="B50" s="256"/>
      <c r="C50" s="256"/>
      <c r="D50" s="256"/>
      <c r="E50" s="256"/>
      <c r="F50" s="256"/>
      <c r="G50" s="256"/>
      <c r="H50" s="256"/>
      <c r="I50" s="256"/>
      <c r="J50" s="256"/>
      <c r="K50" s="256"/>
    </row>
    <row r="51" spans="1:11" ht="12.75" x14ac:dyDescent="0.2">
      <c r="A51" s="256"/>
      <c r="B51" s="256"/>
      <c r="C51" s="256"/>
      <c r="D51" s="256"/>
      <c r="E51" s="256"/>
      <c r="F51" s="256"/>
      <c r="G51" s="256"/>
      <c r="H51" s="256"/>
      <c r="I51" s="256"/>
      <c r="J51" s="256"/>
      <c r="K51" s="256"/>
    </row>
    <row r="52" spans="1:11" ht="12.75" x14ac:dyDescent="0.2">
      <c r="A52" s="256"/>
      <c r="B52" s="256"/>
      <c r="C52" s="256"/>
      <c r="D52" s="256"/>
      <c r="E52" s="256"/>
      <c r="F52" s="256"/>
      <c r="G52" s="256"/>
      <c r="H52" s="256"/>
      <c r="I52" s="256"/>
      <c r="J52" s="256"/>
      <c r="K52" s="256"/>
    </row>
    <row r="53" spans="1:11" ht="12.75" x14ac:dyDescent="0.2">
      <c r="A53" s="256"/>
      <c r="B53" s="256"/>
      <c r="C53" s="256"/>
      <c r="D53" s="256"/>
      <c r="E53" s="256"/>
      <c r="F53" s="256"/>
      <c r="G53" s="256"/>
      <c r="H53" s="256"/>
      <c r="I53" s="256"/>
      <c r="J53" s="256"/>
      <c r="K53" s="256"/>
    </row>
    <row r="54" spans="1:11" ht="12.75" x14ac:dyDescent="0.2">
      <c r="A54" s="256"/>
      <c r="B54" s="256"/>
      <c r="C54" s="256"/>
      <c r="D54" s="256"/>
      <c r="E54" s="256"/>
      <c r="F54" s="256"/>
      <c r="G54" s="256"/>
      <c r="H54" s="256"/>
      <c r="I54" s="256"/>
      <c r="J54" s="256"/>
      <c r="K54" s="256"/>
    </row>
    <row r="55" spans="1:11" ht="12.75" x14ac:dyDescent="0.2">
      <c r="A55" s="256"/>
      <c r="B55" s="256"/>
      <c r="C55" s="256"/>
      <c r="D55" s="256"/>
      <c r="E55" s="256"/>
      <c r="F55" s="256"/>
      <c r="G55" s="256"/>
      <c r="H55" s="256"/>
      <c r="I55" s="256"/>
      <c r="J55" s="256"/>
      <c r="K55" s="256"/>
    </row>
    <row r="56" spans="1:11" ht="12.75" x14ac:dyDescent="0.2">
      <c r="A56" s="256"/>
      <c r="B56" s="256"/>
      <c r="C56" s="256"/>
      <c r="D56" s="256"/>
      <c r="E56" s="256"/>
      <c r="F56" s="256"/>
      <c r="G56" s="256"/>
      <c r="H56" s="256"/>
      <c r="I56" s="256"/>
      <c r="J56" s="256"/>
      <c r="K56" s="256"/>
    </row>
    <row r="57" spans="1:11" ht="12.75" x14ac:dyDescent="0.2">
      <c r="A57" s="256"/>
      <c r="B57" s="256"/>
      <c r="C57" s="256"/>
      <c r="D57" s="256"/>
      <c r="E57" s="256"/>
      <c r="F57" s="256"/>
      <c r="G57" s="256"/>
      <c r="H57" s="256"/>
      <c r="I57" s="256"/>
      <c r="J57" s="256"/>
      <c r="K57" s="256"/>
    </row>
    <row r="58" spans="1:11" ht="12.75" x14ac:dyDescent="0.2">
      <c r="A58" s="256"/>
      <c r="B58" s="256"/>
      <c r="C58" s="256"/>
      <c r="D58" s="256"/>
      <c r="E58" s="256"/>
      <c r="F58" s="256"/>
      <c r="G58" s="256"/>
      <c r="H58" s="256"/>
      <c r="I58" s="256"/>
      <c r="J58" s="256"/>
      <c r="K58" s="256"/>
    </row>
    <row r="59" spans="1:11" ht="12.75" x14ac:dyDescent="0.2">
      <c r="A59" s="256"/>
      <c r="B59" s="256"/>
      <c r="C59" s="256"/>
      <c r="D59" s="256"/>
      <c r="E59" s="256"/>
      <c r="F59" s="256"/>
      <c r="G59" s="256"/>
      <c r="H59" s="256"/>
      <c r="I59" s="256"/>
      <c r="J59" s="256"/>
      <c r="K59" s="256"/>
    </row>
    <row r="60" spans="1:11" ht="12.75" x14ac:dyDescent="0.2">
      <c r="A60" s="256"/>
      <c r="B60" s="256"/>
      <c r="C60" s="256"/>
      <c r="D60" s="256"/>
      <c r="E60" s="256"/>
      <c r="F60" s="256"/>
      <c r="G60" s="256"/>
      <c r="H60" s="256"/>
      <c r="I60" s="256"/>
      <c r="J60" s="256"/>
      <c r="K60" s="256"/>
    </row>
    <row r="61" spans="1:11" ht="12.75" x14ac:dyDescent="0.2">
      <c r="A61" s="256"/>
      <c r="B61" s="256"/>
      <c r="C61" s="256"/>
      <c r="D61" s="256"/>
      <c r="E61" s="256"/>
      <c r="F61" s="256"/>
      <c r="G61" s="256"/>
      <c r="H61" s="256"/>
      <c r="I61" s="256"/>
      <c r="J61" s="256"/>
      <c r="K61" s="256"/>
    </row>
    <row r="62" spans="1:11" ht="12.75" x14ac:dyDescent="0.2">
      <c r="A62" s="256"/>
      <c r="B62" s="256"/>
      <c r="C62" s="256"/>
      <c r="D62" s="256"/>
      <c r="E62" s="256"/>
      <c r="F62" s="256"/>
      <c r="G62" s="256"/>
      <c r="H62" s="256"/>
      <c r="I62" s="256"/>
      <c r="J62" s="256"/>
      <c r="K62" s="256"/>
    </row>
    <row r="63" spans="1:11" ht="12.75" x14ac:dyDescent="0.2">
      <c r="A63" s="256"/>
      <c r="B63" s="256"/>
      <c r="C63" s="256"/>
      <c r="D63" s="256"/>
      <c r="E63" s="256"/>
      <c r="F63" s="256"/>
      <c r="G63" s="256"/>
      <c r="H63" s="256"/>
      <c r="I63" s="256"/>
      <c r="J63" s="256"/>
      <c r="K63" s="256"/>
    </row>
    <row r="64" spans="1:11" ht="12.75" x14ac:dyDescent="0.2">
      <c r="A64" s="256"/>
      <c r="B64" s="256"/>
      <c r="C64" s="256"/>
      <c r="D64" s="256"/>
      <c r="E64" s="256"/>
      <c r="F64" s="256"/>
      <c r="G64" s="256"/>
      <c r="H64" s="256"/>
      <c r="I64" s="256"/>
      <c r="J64" s="256"/>
      <c r="K64" s="256"/>
    </row>
    <row r="65" spans="1:11" ht="12.75" x14ac:dyDescent="0.2">
      <c r="A65" s="256"/>
      <c r="B65" s="256"/>
      <c r="C65" s="256"/>
      <c r="D65" s="256"/>
      <c r="E65" s="256"/>
      <c r="F65" s="256"/>
      <c r="G65" s="256"/>
      <c r="H65" s="256"/>
      <c r="I65" s="256"/>
      <c r="J65" s="256"/>
      <c r="K65" s="256"/>
    </row>
    <row r="66" spans="1:11" ht="12.75" x14ac:dyDescent="0.2">
      <c r="A66" s="256"/>
      <c r="B66" s="256"/>
      <c r="C66" s="256"/>
      <c r="D66" s="256"/>
      <c r="E66" s="256"/>
      <c r="F66" s="256"/>
      <c r="G66" s="256"/>
      <c r="H66" s="256"/>
      <c r="I66" s="256"/>
      <c r="J66" s="256"/>
      <c r="K66" s="256"/>
    </row>
    <row r="67" spans="1:11" ht="12.75" x14ac:dyDescent="0.2">
      <c r="A67" s="256"/>
      <c r="B67" s="256"/>
      <c r="C67" s="256"/>
      <c r="D67" s="256"/>
      <c r="E67" s="256"/>
      <c r="F67" s="256"/>
      <c r="G67" s="256"/>
      <c r="H67" s="256"/>
      <c r="I67" s="256"/>
      <c r="J67" s="256"/>
      <c r="K67" s="256"/>
    </row>
    <row r="68" spans="1:11" ht="12.75" x14ac:dyDescent="0.2">
      <c r="A68" s="256"/>
      <c r="B68" s="256"/>
      <c r="C68" s="256"/>
      <c r="D68" s="256"/>
      <c r="E68" s="256"/>
      <c r="F68" s="256"/>
      <c r="G68" s="256"/>
      <c r="H68" s="256"/>
      <c r="I68" s="256"/>
      <c r="J68" s="256"/>
      <c r="K68" s="256"/>
    </row>
    <row r="69" spans="1:11" ht="12.75" x14ac:dyDescent="0.2">
      <c r="A69" s="256"/>
      <c r="B69" s="256"/>
      <c r="C69" s="256"/>
      <c r="D69" s="256"/>
      <c r="E69" s="256"/>
      <c r="F69" s="256"/>
      <c r="G69" s="256"/>
      <c r="H69" s="256"/>
      <c r="I69" s="256"/>
      <c r="J69" s="256"/>
      <c r="K69" s="256"/>
    </row>
    <row r="70" spans="1:11" ht="12.75" x14ac:dyDescent="0.2">
      <c r="A70" s="256"/>
      <c r="B70" s="256"/>
      <c r="C70" s="256"/>
      <c r="D70" s="256"/>
      <c r="E70" s="256"/>
      <c r="F70" s="256"/>
      <c r="G70" s="256"/>
      <c r="H70" s="256"/>
      <c r="I70" s="256"/>
      <c r="J70" s="256"/>
      <c r="K70" s="256"/>
    </row>
    <row r="71" spans="1:11" ht="12.75" x14ac:dyDescent="0.2">
      <c r="A71" s="256"/>
      <c r="B71" s="256"/>
      <c r="C71" s="256"/>
      <c r="D71" s="256"/>
      <c r="E71" s="256"/>
      <c r="F71" s="256"/>
      <c r="G71" s="256"/>
      <c r="H71" s="256"/>
      <c r="I71" s="256"/>
      <c r="J71" s="256"/>
      <c r="K71" s="256"/>
    </row>
    <row r="72" spans="1:11" ht="12.75" x14ac:dyDescent="0.2">
      <c r="A72" s="256"/>
      <c r="B72" s="256"/>
      <c r="C72" s="256"/>
      <c r="D72" s="256"/>
      <c r="E72" s="256"/>
      <c r="F72" s="256"/>
      <c r="G72" s="256"/>
      <c r="H72" s="256"/>
      <c r="I72" s="256"/>
      <c r="J72" s="256"/>
      <c r="K72" s="256"/>
    </row>
    <row r="73" spans="1:11" ht="12.75" x14ac:dyDescent="0.2">
      <c r="A73" s="256"/>
      <c r="B73" s="256"/>
      <c r="C73" s="256"/>
      <c r="D73" s="256"/>
      <c r="E73" s="256"/>
      <c r="F73" s="256"/>
      <c r="G73" s="256"/>
      <c r="H73" s="256"/>
      <c r="I73" s="256"/>
      <c r="J73" s="256"/>
      <c r="K73" s="256"/>
    </row>
    <row r="74" spans="1:11" ht="12.75" x14ac:dyDescent="0.2">
      <c r="A74" s="256"/>
      <c r="B74" s="256"/>
      <c r="C74" s="256"/>
      <c r="D74" s="256"/>
      <c r="E74" s="256"/>
      <c r="F74" s="256"/>
      <c r="G74" s="256"/>
      <c r="H74" s="256"/>
      <c r="I74" s="256"/>
      <c r="J74" s="256"/>
      <c r="K74" s="256"/>
    </row>
    <row r="75" spans="1:11" ht="12.75" x14ac:dyDescent="0.2">
      <c r="A75" s="256"/>
      <c r="B75" s="256"/>
      <c r="C75" s="256"/>
      <c r="D75" s="256"/>
      <c r="E75" s="256"/>
      <c r="F75" s="256"/>
      <c r="G75" s="256"/>
      <c r="H75" s="256"/>
      <c r="I75" s="256"/>
      <c r="J75" s="256"/>
      <c r="K75" s="256"/>
    </row>
    <row r="76" spans="1:11" ht="12.75" x14ac:dyDescent="0.2">
      <c r="A76" s="256"/>
      <c r="B76" s="256"/>
      <c r="C76" s="256"/>
      <c r="D76" s="256"/>
      <c r="E76" s="256"/>
      <c r="F76" s="256"/>
      <c r="G76" s="256"/>
      <c r="H76" s="256"/>
      <c r="I76" s="256"/>
      <c r="J76" s="256"/>
      <c r="K76" s="256"/>
    </row>
    <row r="77" spans="1:11" ht="12.75" x14ac:dyDescent="0.2">
      <c r="A77" s="256"/>
      <c r="B77" s="256"/>
      <c r="C77" s="256"/>
      <c r="D77" s="256"/>
      <c r="E77" s="256"/>
      <c r="F77" s="256"/>
      <c r="G77" s="256"/>
      <c r="H77" s="256"/>
      <c r="I77" s="256"/>
      <c r="J77" s="256"/>
      <c r="K77" s="256"/>
    </row>
    <row r="78" spans="1:11" ht="12.75" x14ac:dyDescent="0.2">
      <c r="A78" s="256"/>
      <c r="B78" s="256"/>
      <c r="C78" s="256"/>
      <c r="D78" s="256"/>
      <c r="E78" s="256"/>
      <c r="F78" s="256"/>
      <c r="G78" s="256"/>
      <c r="H78" s="256"/>
      <c r="I78" s="256"/>
      <c r="J78" s="256"/>
      <c r="K78" s="256"/>
    </row>
    <row r="79" spans="1:11" ht="12.75" x14ac:dyDescent="0.2">
      <c r="A79" s="256"/>
      <c r="B79" s="256"/>
      <c r="C79" s="256"/>
      <c r="D79" s="256"/>
      <c r="E79" s="256"/>
      <c r="F79" s="256"/>
      <c r="G79" s="256"/>
      <c r="H79" s="256"/>
      <c r="I79" s="256"/>
      <c r="J79" s="256"/>
      <c r="K79" s="256"/>
    </row>
    <row r="80" spans="1:11" ht="12.75" x14ac:dyDescent="0.2">
      <c r="A80" s="256"/>
      <c r="B80" s="256"/>
      <c r="C80" s="256"/>
      <c r="D80" s="256"/>
      <c r="E80" s="256"/>
      <c r="F80" s="256"/>
      <c r="G80" s="256"/>
      <c r="H80" s="256"/>
      <c r="I80" s="256"/>
      <c r="J80" s="256"/>
      <c r="K80" s="256"/>
    </row>
    <row r="81" spans="1:11" ht="12.75" x14ac:dyDescent="0.2">
      <c r="A81" s="256"/>
      <c r="B81" s="256"/>
      <c r="C81" s="256"/>
      <c r="D81" s="256"/>
      <c r="E81" s="256"/>
      <c r="F81" s="256"/>
      <c r="G81" s="256"/>
      <c r="H81" s="256"/>
      <c r="I81" s="256"/>
      <c r="J81" s="256"/>
      <c r="K81" s="256"/>
    </row>
    <row r="82" spans="1:11" ht="12.75" x14ac:dyDescent="0.2">
      <c r="A82" s="256"/>
      <c r="B82" s="256"/>
      <c r="C82" s="256"/>
      <c r="D82" s="256"/>
      <c r="E82" s="256"/>
      <c r="F82" s="256"/>
      <c r="G82" s="256"/>
      <c r="H82" s="256"/>
      <c r="I82" s="256"/>
      <c r="J82" s="256"/>
      <c r="K82" s="256"/>
    </row>
    <row r="83" spans="1:11" ht="12.75" x14ac:dyDescent="0.2">
      <c r="A83" s="256"/>
      <c r="B83" s="256"/>
      <c r="C83" s="256"/>
      <c r="D83" s="256"/>
      <c r="E83" s="256"/>
      <c r="F83" s="256"/>
      <c r="G83" s="256"/>
      <c r="H83" s="256"/>
      <c r="I83" s="256"/>
      <c r="J83" s="256"/>
      <c r="K83" s="256"/>
    </row>
    <row r="84" spans="1:11" ht="12.75" x14ac:dyDescent="0.2">
      <c r="A84" s="256"/>
      <c r="B84" s="256"/>
      <c r="C84" s="256"/>
      <c r="D84" s="256"/>
      <c r="E84" s="256"/>
      <c r="F84" s="256"/>
      <c r="G84" s="256"/>
      <c r="H84" s="256"/>
      <c r="I84" s="256"/>
      <c r="J84" s="256"/>
      <c r="K84" s="256"/>
    </row>
    <row r="85" spans="1:11" ht="12.75" x14ac:dyDescent="0.2">
      <c r="A85" s="256"/>
      <c r="B85" s="256"/>
      <c r="C85" s="256"/>
      <c r="D85" s="256"/>
      <c r="E85" s="256"/>
      <c r="F85" s="256"/>
      <c r="G85" s="256"/>
      <c r="H85" s="256"/>
      <c r="I85" s="256"/>
      <c r="J85" s="256"/>
      <c r="K85" s="256"/>
    </row>
    <row r="86" spans="1:11" ht="12.75" x14ac:dyDescent="0.2">
      <c r="A86" s="256"/>
      <c r="B86" s="256"/>
      <c r="C86" s="256"/>
      <c r="D86" s="256"/>
      <c r="E86" s="256"/>
      <c r="F86" s="256"/>
      <c r="G86" s="256"/>
      <c r="H86" s="256"/>
      <c r="I86" s="256"/>
      <c r="J86" s="256"/>
      <c r="K86" s="256"/>
    </row>
    <row r="87" spans="1:11" ht="12.75" x14ac:dyDescent="0.2">
      <c r="A87" s="256"/>
      <c r="B87" s="256"/>
      <c r="C87" s="256"/>
      <c r="D87" s="256"/>
      <c r="E87" s="256"/>
      <c r="F87" s="256"/>
      <c r="G87" s="256"/>
      <c r="H87" s="256"/>
      <c r="I87" s="256"/>
      <c r="J87" s="256"/>
      <c r="K87" s="256"/>
    </row>
    <row r="88" spans="1:11" ht="12.75" x14ac:dyDescent="0.2">
      <c r="A88" s="256"/>
      <c r="B88" s="256"/>
      <c r="C88" s="256"/>
      <c r="D88" s="256"/>
      <c r="E88" s="256"/>
      <c r="F88" s="256"/>
      <c r="G88" s="256"/>
      <c r="H88" s="256"/>
      <c r="I88" s="256"/>
      <c r="J88" s="256"/>
      <c r="K88" s="256"/>
    </row>
    <row r="89" spans="1:11" ht="12.75" x14ac:dyDescent="0.2">
      <c r="A89" s="256"/>
      <c r="B89" s="256"/>
      <c r="C89" s="256"/>
      <c r="D89" s="256"/>
      <c r="E89" s="256"/>
      <c r="F89" s="256"/>
      <c r="G89" s="256"/>
      <c r="H89" s="256"/>
      <c r="I89" s="256"/>
      <c r="J89" s="256"/>
      <c r="K89" s="256"/>
    </row>
    <row r="90" spans="1:11" ht="12.75" x14ac:dyDescent="0.2">
      <c r="A90" s="256"/>
      <c r="B90" s="256"/>
      <c r="C90" s="256"/>
      <c r="D90" s="256"/>
      <c r="E90" s="256"/>
      <c r="F90" s="256"/>
      <c r="G90" s="256"/>
      <c r="H90" s="256"/>
      <c r="I90" s="256"/>
      <c r="J90" s="256"/>
      <c r="K90" s="256"/>
    </row>
    <row r="91" spans="1:11" ht="12.75" x14ac:dyDescent="0.2">
      <c r="A91" s="256"/>
      <c r="B91" s="256"/>
      <c r="C91" s="256"/>
      <c r="D91" s="256"/>
      <c r="E91" s="256"/>
      <c r="F91" s="256"/>
      <c r="G91" s="256"/>
      <c r="H91" s="256"/>
      <c r="I91" s="256"/>
      <c r="J91" s="256"/>
      <c r="K91" s="256"/>
    </row>
    <row r="92" spans="1:11" ht="12.75" x14ac:dyDescent="0.2">
      <c r="A92" s="256"/>
      <c r="B92" s="256"/>
      <c r="C92" s="256"/>
      <c r="D92" s="256"/>
      <c r="E92" s="256"/>
      <c r="F92" s="256"/>
      <c r="G92" s="256"/>
      <c r="H92" s="256"/>
      <c r="I92" s="256"/>
      <c r="J92" s="256"/>
      <c r="K92" s="256"/>
    </row>
    <row r="93" spans="1:11" ht="12.75" x14ac:dyDescent="0.2">
      <c r="A93" s="256"/>
      <c r="B93" s="256"/>
      <c r="C93" s="256"/>
      <c r="D93" s="256"/>
      <c r="E93" s="256"/>
      <c r="F93" s="256"/>
      <c r="G93" s="256"/>
      <c r="H93" s="256"/>
      <c r="I93" s="256"/>
      <c r="J93" s="256"/>
      <c r="K93" s="256"/>
    </row>
    <row r="94" spans="1:11" ht="12.75" x14ac:dyDescent="0.2">
      <c r="A94" s="256"/>
      <c r="B94" s="256"/>
      <c r="C94" s="256"/>
      <c r="D94" s="256"/>
      <c r="E94" s="256"/>
      <c r="F94" s="256"/>
      <c r="G94" s="256"/>
      <c r="H94" s="256"/>
      <c r="I94" s="256"/>
      <c r="J94" s="256"/>
      <c r="K94" s="256"/>
    </row>
    <row r="95" spans="1:11" ht="12.75" x14ac:dyDescent="0.2">
      <c r="A95" s="256"/>
      <c r="B95" s="256"/>
      <c r="C95" s="256"/>
      <c r="D95" s="256"/>
      <c r="E95" s="256"/>
      <c r="F95" s="256"/>
      <c r="G95" s="256"/>
      <c r="H95" s="256"/>
      <c r="I95" s="256"/>
      <c r="J95" s="256"/>
      <c r="K95" s="256"/>
    </row>
    <row r="96" spans="1:11" ht="12.75" x14ac:dyDescent="0.2">
      <c r="A96" s="256"/>
      <c r="B96" s="256"/>
      <c r="C96" s="256"/>
      <c r="D96" s="256"/>
      <c r="E96" s="256"/>
      <c r="F96" s="256"/>
      <c r="G96" s="256"/>
      <c r="H96" s="256"/>
      <c r="I96" s="256"/>
      <c r="J96" s="256"/>
      <c r="K96" s="256"/>
    </row>
    <row r="97" spans="1:11" ht="12.75" x14ac:dyDescent="0.2">
      <c r="A97" s="256"/>
      <c r="B97" s="256"/>
      <c r="C97" s="256"/>
      <c r="D97" s="256"/>
      <c r="E97" s="256"/>
      <c r="F97" s="256"/>
      <c r="G97" s="256"/>
      <c r="H97" s="256"/>
      <c r="I97" s="256"/>
      <c r="J97" s="256"/>
      <c r="K97" s="256"/>
    </row>
    <row r="98" spans="1:11" ht="12.75" x14ac:dyDescent="0.2">
      <c r="A98" s="256"/>
      <c r="B98" s="256"/>
      <c r="C98" s="256"/>
      <c r="D98" s="256"/>
      <c r="E98" s="256"/>
      <c r="F98" s="256"/>
      <c r="G98" s="256"/>
      <c r="H98" s="256"/>
      <c r="I98" s="256"/>
      <c r="J98" s="256"/>
      <c r="K98" s="256"/>
    </row>
    <row r="99" spans="1:11" ht="12.75" x14ac:dyDescent="0.2">
      <c r="A99" s="256"/>
      <c r="B99" s="256"/>
      <c r="C99" s="256"/>
      <c r="D99" s="256"/>
      <c r="E99" s="256"/>
      <c r="F99" s="256"/>
      <c r="G99" s="256"/>
      <c r="H99" s="256"/>
      <c r="I99" s="256"/>
      <c r="J99" s="256"/>
      <c r="K99" s="256"/>
    </row>
    <row r="100" spans="1:11" ht="12.75" x14ac:dyDescent="0.2">
      <c r="A100" s="256"/>
      <c r="B100" s="256"/>
      <c r="C100" s="256"/>
      <c r="D100" s="256"/>
      <c r="E100" s="256"/>
      <c r="F100" s="256"/>
      <c r="G100" s="256"/>
      <c r="H100" s="256"/>
      <c r="I100" s="256"/>
      <c r="J100" s="256"/>
      <c r="K100" s="256"/>
    </row>
    <row r="101" spans="1:11" ht="12.75" x14ac:dyDescent="0.2">
      <c r="A101" s="256"/>
      <c r="B101" s="256"/>
      <c r="C101" s="256"/>
      <c r="D101" s="256"/>
      <c r="E101" s="256"/>
      <c r="F101" s="256"/>
      <c r="G101" s="256"/>
      <c r="H101" s="256"/>
      <c r="I101" s="256"/>
      <c r="J101" s="256"/>
      <c r="K101" s="256"/>
    </row>
    <row r="102" spans="1:11" ht="12.75" x14ac:dyDescent="0.2">
      <c r="A102" s="256"/>
      <c r="B102" s="256"/>
      <c r="C102" s="256"/>
      <c r="D102" s="256"/>
      <c r="E102" s="256"/>
      <c r="F102" s="256"/>
      <c r="G102" s="256"/>
      <c r="H102" s="256"/>
      <c r="I102" s="256"/>
      <c r="J102" s="256"/>
      <c r="K102" s="256"/>
    </row>
    <row r="103" spans="1:11" ht="12.75" x14ac:dyDescent="0.2">
      <c r="A103" s="256"/>
      <c r="B103" s="256"/>
      <c r="C103" s="256"/>
      <c r="D103" s="256"/>
      <c r="E103" s="256"/>
      <c r="F103" s="256"/>
      <c r="G103" s="256"/>
      <c r="H103" s="256"/>
      <c r="I103" s="256"/>
      <c r="J103" s="256"/>
      <c r="K103" s="256"/>
    </row>
    <row r="104" spans="1:11" ht="12.75" x14ac:dyDescent="0.2">
      <c r="A104" s="256"/>
      <c r="B104" s="256"/>
      <c r="C104" s="256"/>
      <c r="D104" s="256"/>
      <c r="E104" s="256"/>
      <c r="F104" s="256"/>
      <c r="G104" s="256"/>
      <c r="H104" s="256"/>
      <c r="I104" s="256"/>
      <c r="J104" s="256"/>
      <c r="K104" s="256"/>
    </row>
    <row r="105" spans="1:11" ht="12.75" x14ac:dyDescent="0.2">
      <c r="A105" s="256"/>
      <c r="B105" s="256"/>
      <c r="C105" s="256"/>
      <c r="D105" s="256"/>
      <c r="E105" s="256"/>
      <c r="F105" s="256"/>
      <c r="G105" s="256"/>
      <c r="H105" s="256"/>
      <c r="I105" s="256"/>
      <c r="J105" s="256"/>
      <c r="K105" s="256"/>
    </row>
    <row r="106" spans="1:11" ht="12.75" x14ac:dyDescent="0.2">
      <c r="A106" s="256"/>
      <c r="B106" s="256"/>
      <c r="C106" s="256"/>
      <c r="D106" s="256"/>
      <c r="E106" s="256"/>
      <c r="F106" s="256"/>
      <c r="G106" s="256"/>
      <c r="H106" s="256"/>
      <c r="I106" s="256"/>
      <c r="J106" s="256"/>
      <c r="K106" s="256"/>
    </row>
    <row r="107" spans="1:11" ht="12.75" x14ac:dyDescent="0.2">
      <c r="A107" s="256"/>
      <c r="B107" s="256"/>
      <c r="C107" s="256"/>
      <c r="D107" s="256"/>
      <c r="E107" s="256"/>
      <c r="F107" s="256"/>
      <c r="G107" s="256"/>
      <c r="H107" s="256"/>
      <c r="I107" s="256"/>
      <c r="J107" s="256"/>
      <c r="K107" s="256"/>
    </row>
    <row r="108" spans="1:11" ht="12.75" x14ac:dyDescent="0.2">
      <c r="A108" s="256"/>
      <c r="B108" s="256"/>
      <c r="C108" s="256"/>
      <c r="D108" s="256"/>
      <c r="E108" s="256"/>
      <c r="F108" s="256"/>
      <c r="G108" s="256"/>
      <c r="H108" s="256"/>
      <c r="I108" s="256"/>
      <c r="J108" s="256"/>
      <c r="K108" s="256"/>
    </row>
    <row r="109" spans="1:11" ht="12.75" x14ac:dyDescent="0.2">
      <c r="A109" s="256"/>
      <c r="B109" s="256"/>
      <c r="C109" s="256"/>
      <c r="D109" s="256"/>
      <c r="E109" s="256"/>
      <c r="F109" s="256"/>
      <c r="G109" s="256"/>
      <c r="H109" s="256"/>
      <c r="I109" s="256"/>
      <c r="J109" s="256"/>
      <c r="K109" s="256"/>
    </row>
    <row r="110" spans="1:11" ht="12.75" x14ac:dyDescent="0.2">
      <c r="A110" s="256"/>
      <c r="B110" s="256"/>
      <c r="C110" s="256"/>
      <c r="D110" s="256"/>
      <c r="E110" s="256"/>
      <c r="F110" s="256"/>
      <c r="G110" s="256"/>
      <c r="H110" s="256"/>
      <c r="I110" s="256"/>
      <c r="J110" s="256"/>
      <c r="K110" s="256"/>
    </row>
    <row r="111" spans="1:11" ht="12.75" x14ac:dyDescent="0.2">
      <c r="A111" s="256"/>
      <c r="B111" s="256"/>
      <c r="C111" s="256"/>
      <c r="D111" s="256"/>
      <c r="E111" s="256"/>
      <c r="F111" s="256"/>
      <c r="G111" s="256"/>
      <c r="H111" s="256"/>
      <c r="I111" s="256"/>
      <c r="J111" s="256"/>
      <c r="K111" s="256"/>
    </row>
    <row r="112" spans="1:11" ht="12.75" x14ac:dyDescent="0.2">
      <c r="A112" s="256"/>
      <c r="B112" s="256"/>
      <c r="C112" s="256"/>
      <c r="D112" s="256"/>
      <c r="E112" s="256"/>
      <c r="F112" s="256"/>
      <c r="G112" s="256"/>
      <c r="H112" s="256"/>
      <c r="I112" s="256"/>
      <c r="J112" s="256"/>
      <c r="K112" s="256"/>
    </row>
    <row r="113" spans="1:11" ht="12.75" x14ac:dyDescent="0.2">
      <c r="A113" s="256"/>
      <c r="B113" s="256"/>
      <c r="C113" s="256"/>
      <c r="D113" s="256"/>
      <c r="E113" s="256"/>
      <c r="F113" s="256"/>
      <c r="G113" s="256"/>
      <c r="H113" s="256"/>
      <c r="I113" s="256"/>
      <c r="J113" s="256"/>
      <c r="K113" s="256"/>
    </row>
    <row r="114" spans="1:11" ht="12.75" x14ac:dyDescent="0.2">
      <c r="A114" s="256"/>
      <c r="B114" s="256"/>
      <c r="C114" s="256"/>
      <c r="D114" s="256"/>
      <c r="E114" s="256"/>
      <c r="F114" s="256"/>
      <c r="G114" s="256"/>
      <c r="H114" s="256"/>
      <c r="I114" s="256"/>
      <c r="J114" s="256"/>
      <c r="K114" s="256"/>
    </row>
    <row r="115" spans="1:11" ht="12.75" x14ac:dyDescent="0.2">
      <c r="A115" s="256"/>
      <c r="B115" s="256"/>
      <c r="C115" s="256"/>
      <c r="D115" s="256"/>
      <c r="E115" s="256"/>
      <c r="F115" s="256"/>
      <c r="G115" s="256"/>
      <c r="H115" s="256"/>
      <c r="I115" s="256"/>
      <c r="J115" s="256"/>
      <c r="K115" s="256"/>
    </row>
    <row r="116" spans="1:11" ht="12.75" x14ac:dyDescent="0.2">
      <c r="A116" s="256"/>
      <c r="B116" s="256"/>
      <c r="C116" s="256"/>
      <c r="D116" s="256"/>
      <c r="E116" s="256"/>
      <c r="F116" s="256"/>
      <c r="G116" s="256"/>
      <c r="H116" s="256"/>
      <c r="I116" s="256"/>
      <c r="J116" s="256"/>
      <c r="K116" s="256"/>
    </row>
    <row r="117" spans="1:11" ht="12.75" x14ac:dyDescent="0.2">
      <c r="A117" s="256"/>
      <c r="B117" s="256"/>
      <c r="C117" s="256"/>
      <c r="D117" s="256"/>
      <c r="E117" s="256"/>
      <c r="F117" s="256"/>
      <c r="G117" s="256"/>
      <c r="H117" s="256"/>
      <c r="I117" s="256"/>
      <c r="J117" s="256"/>
      <c r="K117" s="256"/>
    </row>
    <row r="118" spans="1:11" ht="12.75" x14ac:dyDescent="0.2">
      <c r="A118" s="256"/>
      <c r="B118" s="256"/>
      <c r="C118" s="256"/>
      <c r="D118" s="256"/>
      <c r="E118" s="256"/>
      <c r="F118" s="256"/>
      <c r="G118" s="256"/>
      <c r="H118" s="256"/>
      <c r="I118" s="256"/>
      <c r="J118" s="256"/>
      <c r="K118" s="256"/>
    </row>
    <row r="119" spans="1:11" ht="12.75" x14ac:dyDescent="0.2">
      <c r="A119" s="256"/>
      <c r="B119" s="256"/>
      <c r="C119" s="256"/>
      <c r="D119" s="256"/>
      <c r="E119" s="256"/>
      <c r="F119" s="256"/>
      <c r="G119" s="256"/>
      <c r="H119" s="256"/>
      <c r="I119" s="256"/>
      <c r="J119" s="256"/>
      <c r="K119" s="256"/>
    </row>
    <row r="120" spans="1:11" ht="12.75" x14ac:dyDescent="0.2">
      <c r="A120" s="256"/>
      <c r="B120" s="256"/>
      <c r="C120" s="256"/>
      <c r="D120" s="256"/>
      <c r="E120" s="256"/>
      <c r="F120" s="256"/>
      <c r="G120" s="256"/>
      <c r="H120" s="256"/>
      <c r="I120" s="256"/>
      <c r="J120" s="256"/>
      <c r="K120" s="256"/>
    </row>
    <row r="121" spans="1:11" ht="12.75" x14ac:dyDescent="0.2">
      <c r="A121" s="256"/>
      <c r="B121" s="256"/>
      <c r="C121" s="256"/>
      <c r="D121" s="256"/>
      <c r="E121" s="256"/>
      <c r="F121" s="256"/>
      <c r="G121" s="256"/>
      <c r="H121" s="256"/>
      <c r="I121" s="256"/>
      <c r="J121" s="256"/>
      <c r="K121" s="256"/>
    </row>
    <row r="122" spans="1:11" ht="12.75" x14ac:dyDescent="0.2">
      <c r="A122" s="256"/>
      <c r="B122" s="256"/>
      <c r="C122" s="256"/>
      <c r="D122" s="256"/>
      <c r="E122" s="256"/>
      <c r="F122" s="256"/>
      <c r="G122" s="256"/>
      <c r="H122" s="256"/>
      <c r="I122" s="256"/>
      <c r="J122" s="256"/>
      <c r="K122" s="256"/>
    </row>
    <row r="123" spans="1:11" ht="12.75" x14ac:dyDescent="0.2">
      <c r="A123" s="256"/>
      <c r="B123" s="256"/>
      <c r="C123" s="256"/>
      <c r="D123" s="256"/>
      <c r="E123" s="256"/>
      <c r="F123" s="256"/>
      <c r="G123" s="256"/>
      <c r="H123" s="256"/>
      <c r="I123" s="256"/>
      <c r="J123" s="256"/>
      <c r="K123" s="256"/>
    </row>
    <row r="124" spans="1:11" ht="12.75" x14ac:dyDescent="0.2">
      <c r="A124" s="256"/>
      <c r="B124" s="256"/>
      <c r="C124" s="256"/>
      <c r="D124" s="256"/>
      <c r="E124" s="256"/>
      <c r="F124" s="256"/>
      <c r="G124" s="256"/>
      <c r="H124" s="256"/>
      <c r="I124" s="256"/>
      <c r="J124" s="256"/>
      <c r="K124" s="256"/>
    </row>
    <row r="125" spans="1:11" ht="12.75" x14ac:dyDescent="0.2">
      <c r="A125" s="256"/>
      <c r="B125" s="256"/>
      <c r="C125" s="256"/>
      <c r="D125" s="256"/>
      <c r="E125" s="256"/>
      <c r="F125" s="256"/>
      <c r="G125" s="256"/>
      <c r="H125" s="256"/>
      <c r="I125" s="256"/>
      <c r="J125" s="256"/>
      <c r="K125" s="256"/>
    </row>
    <row r="126" spans="1:11" ht="12.75" x14ac:dyDescent="0.2">
      <c r="A126" s="256"/>
      <c r="B126" s="256"/>
      <c r="C126" s="256"/>
      <c r="D126" s="256"/>
      <c r="E126" s="256"/>
      <c r="F126" s="256"/>
      <c r="G126" s="256"/>
      <c r="H126" s="256"/>
      <c r="I126" s="256"/>
      <c r="J126" s="256"/>
      <c r="K126" s="256"/>
    </row>
    <row r="127" spans="1:11" ht="12.75" x14ac:dyDescent="0.2">
      <c r="A127" s="256"/>
      <c r="B127" s="256"/>
      <c r="C127" s="256"/>
      <c r="D127" s="256"/>
      <c r="E127" s="256"/>
      <c r="F127" s="256"/>
      <c r="G127" s="256"/>
      <c r="H127" s="256"/>
      <c r="I127" s="256"/>
      <c r="J127" s="256"/>
      <c r="K127" s="256"/>
    </row>
    <row r="128" spans="1:11" ht="12.75" x14ac:dyDescent="0.2">
      <c r="A128" s="256"/>
      <c r="B128" s="256"/>
      <c r="C128" s="256"/>
      <c r="D128" s="256"/>
      <c r="E128" s="256"/>
      <c r="F128" s="256"/>
      <c r="G128" s="256"/>
      <c r="H128" s="256"/>
      <c r="I128" s="256"/>
      <c r="J128" s="256"/>
      <c r="K128" s="256"/>
    </row>
    <row r="129" spans="1:11" ht="12.75" x14ac:dyDescent="0.2">
      <c r="A129" s="256"/>
      <c r="B129" s="256"/>
      <c r="C129" s="256"/>
      <c r="D129" s="256"/>
      <c r="E129" s="256"/>
      <c r="F129" s="256"/>
      <c r="G129" s="256"/>
      <c r="H129" s="256"/>
      <c r="I129" s="256"/>
      <c r="J129" s="256"/>
      <c r="K129" s="256"/>
    </row>
    <row r="130" spans="1:11" ht="12.75" x14ac:dyDescent="0.2">
      <c r="A130" s="256"/>
      <c r="B130" s="256"/>
      <c r="C130" s="256"/>
      <c r="D130" s="256"/>
      <c r="E130" s="256"/>
      <c r="F130" s="256"/>
      <c r="G130" s="256"/>
      <c r="H130" s="256"/>
      <c r="I130" s="256"/>
      <c r="J130" s="256"/>
      <c r="K130" s="256"/>
    </row>
    <row r="131" spans="1:11" ht="12.75" x14ac:dyDescent="0.2">
      <c r="A131" s="256"/>
      <c r="B131" s="256"/>
      <c r="C131" s="256"/>
      <c r="D131" s="256"/>
      <c r="E131" s="256"/>
      <c r="F131" s="256"/>
      <c r="G131" s="256"/>
      <c r="H131" s="256"/>
      <c r="I131" s="256"/>
      <c r="J131" s="256"/>
      <c r="K131" s="256"/>
    </row>
    <row r="132" spans="1:11" ht="12.75" x14ac:dyDescent="0.2">
      <c r="A132" s="256"/>
      <c r="B132" s="256"/>
      <c r="C132" s="256"/>
      <c r="D132" s="256"/>
      <c r="E132" s="256"/>
      <c r="F132" s="256"/>
      <c r="G132" s="256"/>
      <c r="H132" s="256"/>
      <c r="I132" s="256"/>
      <c r="J132" s="256"/>
      <c r="K132" s="256"/>
    </row>
    <row r="133" spans="1:11" ht="12.75" x14ac:dyDescent="0.2">
      <c r="A133" s="256"/>
      <c r="B133" s="256"/>
      <c r="C133" s="256"/>
      <c r="D133" s="256"/>
      <c r="E133" s="256"/>
      <c r="F133" s="256"/>
      <c r="G133" s="256"/>
      <c r="H133" s="256"/>
      <c r="I133" s="256"/>
      <c r="J133" s="256"/>
      <c r="K133" s="256"/>
    </row>
    <row r="134" spans="1:11" ht="12.75" x14ac:dyDescent="0.2">
      <c r="A134" s="256"/>
      <c r="B134" s="256"/>
      <c r="C134" s="256"/>
      <c r="D134" s="256"/>
      <c r="E134" s="256"/>
      <c r="F134" s="256"/>
      <c r="G134" s="256"/>
      <c r="H134" s="256"/>
      <c r="I134" s="256"/>
      <c r="J134" s="256"/>
      <c r="K134" s="256"/>
    </row>
    <row r="135" spans="1:11" ht="12.75" x14ac:dyDescent="0.2">
      <c r="A135" s="256"/>
      <c r="B135" s="256"/>
      <c r="C135" s="256"/>
      <c r="D135" s="256"/>
      <c r="E135" s="256"/>
      <c r="F135" s="256"/>
      <c r="G135" s="256"/>
      <c r="H135" s="256"/>
      <c r="I135" s="256"/>
      <c r="J135" s="256"/>
      <c r="K135" s="256"/>
    </row>
    <row r="136" spans="1:11" ht="12.75" x14ac:dyDescent="0.2">
      <c r="A136" s="256"/>
      <c r="B136" s="256"/>
      <c r="C136" s="256"/>
      <c r="D136" s="256"/>
      <c r="E136" s="256"/>
      <c r="F136" s="256"/>
      <c r="G136" s="256"/>
      <c r="H136" s="256"/>
      <c r="I136" s="256"/>
      <c r="J136" s="256"/>
      <c r="K136" s="256"/>
    </row>
    <row r="137" spans="1:11" ht="12.75" x14ac:dyDescent="0.2">
      <c r="A137" s="256"/>
      <c r="B137" s="256"/>
      <c r="C137" s="256"/>
      <c r="D137" s="256"/>
      <c r="E137" s="256"/>
      <c r="F137" s="256"/>
      <c r="G137" s="256"/>
      <c r="H137" s="256"/>
      <c r="I137" s="256"/>
      <c r="J137" s="256"/>
      <c r="K137" s="256"/>
    </row>
    <row r="138" spans="1:11" ht="12.75" x14ac:dyDescent="0.2">
      <c r="A138" s="256"/>
      <c r="B138" s="256"/>
      <c r="C138" s="256"/>
      <c r="D138" s="256"/>
      <c r="E138" s="256"/>
      <c r="F138" s="256"/>
      <c r="G138" s="256"/>
      <c r="H138" s="256"/>
      <c r="I138" s="256"/>
      <c r="J138" s="256"/>
      <c r="K138" s="256"/>
    </row>
    <row r="139" spans="1:11" ht="12.75" x14ac:dyDescent="0.2">
      <c r="A139" s="256"/>
      <c r="B139" s="256"/>
      <c r="C139" s="256"/>
      <c r="D139" s="256"/>
      <c r="E139" s="256"/>
      <c r="F139" s="256"/>
      <c r="G139" s="256"/>
      <c r="H139" s="256"/>
      <c r="I139" s="256"/>
      <c r="J139" s="256"/>
      <c r="K139" s="256"/>
    </row>
    <row r="140" spans="1:11" ht="12.75" x14ac:dyDescent="0.2">
      <c r="A140" s="256"/>
      <c r="B140" s="256"/>
      <c r="C140" s="256"/>
      <c r="D140" s="256"/>
      <c r="E140" s="256"/>
      <c r="F140" s="256"/>
      <c r="G140" s="256"/>
      <c r="H140" s="256"/>
      <c r="I140" s="256"/>
      <c r="J140" s="256"/>
      <c r="K140" s="256"/>
    </row>
    <row r="141" spans="1:11" ht="12.75" x14ac:dyDescent="0.2">
      <c r="A141" s="256"/>
      <c r="B141" s="256"/>
      <c r="C141" s="256"/>
      <c r="D141" s="256"/>
      <c r="E141" s="256"/>
      <c r="F141" s="256"/>
      <c r="G141" s="256"/>
      <c r="H141" s="256"/>
      <c r="I141" s="256"/>
      <c r="J141" s="256"/>
      <c r="K141" s="256"/>
    </row>
    <row r="142" spans="1:11" ht="12.75" x14ac:dyDescent="0.2">
      <c r="A142" s="256"/>
      <c r="B142" s="256"/>
      <c r="C142" s="256"/>
      <c r="D142" s="256"/>
      <c r="E142" s="256"/>
      <c r="F142" s="256"/>
      <c r="G142" s="256"/>
      <c r="H142" s="256"/>
      <c r="I142" s="256"/>
      <c r="J142" s="256"/>
      <c r="K142" s="256"/>
    </row>
    <row r="143" spans="1:11" ht="12.75" x14ac:dyDescent="0.2">
      <c r="A143" s="256"/>
      <c r="B143" s="256"/>
      <c r="C143" s="256"/>
      <c r="D143" s="256"/>
      <c r="E143" s="256"/>
      <c r="F143" s="256"/>
      <c r="G143" s="256"/>
      <c r="H143" s="256"/>
      <c r="I143" s="256"/>
      <c r="J143" s="256"/>
      <c r="K143" s="256"/>
    </row>
    <row r="144" spans="1:11" ht="12.75" x14ac:dyDescent="0.2">
      <c r="A144" s="256"/>
      <c r="B144" s="256"/>
      <c r="C144" s="256"/>
      <c r="D144" s="256"/>
      <c r="E144" s="256"/>
      <c r="F144" s="256"/>
      <c r="G144" s="256"/>
      <c r="H144" s="256"/>
      <c r="I144" s="256"/>
      <c r="J144" s="256"/>
      <c r="K144" s="256"/>
    </row>
    <row r="145" spans="1:11" ht="12.75" x14ac:dyDescent="0.2">
      <c r="A145" s="256"/>
      <c r="B145" s="256"/>
      <c r="C145" s="256"/>
      <c r="D145" s="256"/>
      <c r="E145" s="256"/>
      <c r="F145" s="256"/>
      <c r="G145" s="256"/>
      <c r="H145" s="256"/>
      <c r="I145" s="256"/>
      <c r="J145" s="256"/>
      <c r="K145" s="256"/>
    </row>
    <row r="146" spans="1:11" ht="12.75" x14ac:dyDescent="0.2">
      <c r="A146" s="256"/>
      <c r="B146" s="256"/>
      <c r="C146" s="256"/>
      <c r="D146" s="256"/>
      <c r="E146" s="256"/>
      <c r="F146" s="256"/>
      <c r="G146" s="256"/>
      <c r="H146" s="256"/>
      <c r="I146" s="256"/>
      <c r="J146" s="256"/>
      <c r="K146" s="256"/>
    </row>
    <row r="147" spans="1:11" ht="12.75" x14ac:dyDescent="0.2">
      <c r="A147" s="256"/>
      <c r="B147" s="256"/>
      <c r="C147" s="256"/>
      <c r="D147" s="256"/>
      <c r="E147" s="256"/>
      <c r="F147" s="256"/>
      <c r="G147" s="256"/>
      <c r="H147" s="256"/>
      <c r="I147" s="256"/>
      <c r="J147" s="256"/>
      <c r="K147" s="256"/>
    </row>
    <row r="148" spans="1:11" ht="12.75" x14ac:dyDescent="0.2">
      <c r="A148" s="256"/>
      <c r="B148" s="256"/>
      <c r="C148" s="256"/>
      <c r="D148" s="256"/>
      <c r="E148" s="256"/>
      <c r="F148" s="256"/>
      <c r="G148" s="256"/>
      <c r="H148" s="256"/>
      <c r="I148" s="256"/>
      <c r="J148" s="256"/>
      <c r="K148" s="256"/>
    </row>
    <row r="149" spans="1:11" ht="12.75" x14ac:dyDescent="0.2">
      <c r="A149" s="256"/>
      <c r="B149" s="256"/>
      <c r="C149" s="256"/>
      <c r="D149" s="256"/>
      <c r="E149" s="256"/>
      <c r="F149" s="256"/>
      <c r="G149" s="256"/>
      <c r="H149" s="256"/>
      <c r="I149" s="256"/>
      <c r="J149" s="256"/>
      <c r="K149" s="256"/>
    </row>
    <row r="150" spans="1:11" ht="12.75" x14ac:dyDescent="0.2">
      <c r="A150" s="256"/>
      <c r="B150" s="256"/>
      <c r="C150" s="256"/>
      <c r="D150" s="256"/>
      <c r="E150" s="256"/>
      <c r="F150" s="256"/>
      <c r="G150" s="256"/>
      <c r="H150" s="256"/>
      <c r="I150" s="256"/>
      <c r="J150" s="256"/>
      <c r="K150" s="256"/>
    </row>
    <row r="151" spans="1:11" ht="12.75" x14ac:dyDescent="0.2">
      <c r="A151" s="256"/>
      <c r="B151" s="256"/>
      <c r="C151" s="256"/>
      <c r="D151" s="256"/>
      <c r="E151" s="256"/>
      <c r="F151" s="256"/>
      <c r="G151" s="256"/>
      <c r="H151" s="256"/>
      <c r="I151" s="256"/>
      <c r="J151" s="256"/>
      <c r="K151" s="256"/>
    </row>
    <row r="152" spans="1:11" ht="12.75" x14ac:dyDescent="0.2">
      <c r="A152" s="256"/>
      <c r="B152" s="256"/>
      <c r="C152" s="256"/>
      <c r="D152" s="256"/>
      <c r="E152" s="256"/>
      <c r="F152" s="256"/>
      <c r="G152" s="256"/>
      <c r="H152" s="256"/>
      <c r="I152" s="256"/>
      <c r="J152" s="256"/>
      <c r="K152" s="256"/>
    </row>
    <row r="153" spans="1:11" ht="12.75" x14ac:dyDescent="0.2">
      <c r="A153" s="256"/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</row>
    <row r="154" spans="1:11" ht="12.75" x14ac:dyDescent="0.2">
      <c r="A154" s="256"/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</row>
    <row r="155" spans="1:11" ht="12.75" x14ac:dyDescent="0.2">
      <c r="A155" s="256"/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</row>
    <row r="156" spans="1:11" ht="12.75" x14ac:dyDescent="0.2">
      <c r="A156" s="256"/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</row>
    <row r="157" spans="1:11" ht="12.75" x14ac:dyDescent="0.2">
      <c r="A157" s="256"/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</row>
    <row r="158" spans="1:11" ht="12.75" x14ac:dyDescent="0.2">
      <c r="A158" s="256"/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</row>
    <row r="159" spans="1:11" ht="12.75" x14ac:dyDescent="0.2">
      <c r="A159" s="256"/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</row>
    <row r="160" spans="1:11" ht="12.75" x14ac:dyDescent="0.2">
      <c r="A160" s="256"/>
      <c r="B160" s="256"/>
      <c r="C160" s="256"/>
      <c r="D160" s="256"/>
      <c r="E160" s="256"/>
      <c r="F160" s="256"/>
      <c r="G160" s="256"/>
      <c r="H160" s="256"/>
      <c r="I160" s="256"/>
      <c r="J160" s="256"/>
      <c r="K160" s="256"/>
    </row>
    <row r="161" spans="1:11" ht="12.75" x14ac:dyDescent="0.2">
      <c r="A161" s="256"/>
      <c r="B161" s="256"/>
      <c r="C161" s="256"/>
      <c r="D161" s="256"/>
      <c r="E161" s="256"/>
      <c r="F161" s="256"/>
      <c r="G161" s="256"/>
      <c r="H161" s="256"/>
      <c r="I161" s="256"/>
      <c r="J161" s="256"/>
      <c r="K161" s="256"/>
    </row>
    <row r="162" spans="1:11" ht="12.75" x14ac:dyDescent="0.2">
      <c r="A162" s="256"/>
      <c r="B162" s="256"/>
      <c r="C162" s="256"/>
      <c r="D162" s="256"/>
      <c r="E162" s="256"/>
      <c r="F162" s="256"/>
      <c r="G162" s="256"/>
      <c r="H162" s="256"/>
      <c r="I162" s="256"/>
      <c r="J162" s="256"/>
      <c r="K162" s="256"/>
    </row>
    <row r="163" spans="1:11" ht="12.75" x14ac:dyDescent="0.2">
      <c r="A163" s="256"/>
      <c r="B163" s="256"/>
      <c r="C163" s="256"/>
      <c r="D163" s="256"/>
      <c r="E163" s="256"/>
      <c r="F163" s="256"/>
      <c r="G163" s="256"/>
      <c r="H163" s="256"/>
      <c r="I163" s="256"/>
      <c r="J163" s="256"/>
      <c r="K163" s="256"/>
    </row>
    <row r="164" spans="1:11" ht="12.75" x14ac:dyDescent="0.2">
      <c r="A164" s="256"/>
      <c r="B164" s="256"/>
      <c r="C164" s="256"/>
      <c r="D164" s="256"/>
      <c r="E164" s="256"/>
      <c r="F164" s="256"/>
      <c r="G164" s="256"/>
      <c r="H164" s="256"/>
      <c r="I164" s="256"/>
      <c r="J164" s="256"/>
      <c r="K164" s="256"/>
    </row>
    <row r="165" spans="1:11" ht="12.75" x14ac:dyDescent="0.2">
      <c r="A165" s="256"/>
      <c r="B165" s="256"/>
      <c r="C165" s="256"/>
      <c r="D165" s="256"/>
      <c r="E165" s="256"/>
      <c r="F165" s="256"/>
      <c r="G165" s="256"/>
      <c r="H165" s="256"/>
      <c r="I165" s="256"/>
      <c r="J165" s="256"/>
      <c r="K165" s="256"/>
    </row>
    <row r="166" spans="1:11" ht="12.75" x14ac:dyDescent="0.2">
      <c r="A166" s="256"/>
      <c r="B166" s="256"/>
      <c r="C166" s="256"/>
      <c r="D166" s="256"/>
      <c r="E166" s="256"/>
      <c r="F166" s="256"/>
      <c r="G166" s="256"/>
      <c r="H166" s="256"/>
      <c r="I166" s="256"/>
      <c r="J166" s="256"/>
      <c r="K166" s="256"/>
    </row>
    <row r="167" spans="1:11" ht="12.75" x14ac:dyDescent="0.2">
      <c r="A167" s="256"/>
      <c r="B167" s="256"/>
      <c r="C167" s="256"/>
      <c r="D167" s="256"/>
      <c r="E167" s="256"/>
      <c r="F167" s="256"/>
      <c r="G167" s="256"/>
      <c r="H167" s="256"/>
      <c r="I167" s="256"/>
      <c r="J167" s="256"/>
      <c r="K167" s="256"/>
    </row>
    <row r="168" spans="1:11" ht="12.75" x14ac:dyDescent="0.2">
      <c r="A168" s="256"/>
      <c r="B168" s="256"/>
      <c r="C168" s="256"/>
      <c r="D168" s="256"/>
      <c r="E168" s="256"/>
      <c r="F168" s="256"/>
      <c r="G168" s="256"/>
      <c r="H168" s="256"/>
      <c r="I168" s="256"/>
      <c r="J168" s="256"/>
      <c r="K168" s="256"/>
    </row>
    <row r="169" spans="1:11" ht="12.75" x14ac:dyDescent="0.2">
      <c r="A169" s="256"/>
      <c r="B169" s="256"/>
      <c r="C169" s="256"/>
      <c r="D169" s="256"/>
      <c r="E169" s="256"/>
      <c r="F169" s="256"/>
      <c r="G169" s="256"/>
      <c r="H169" s="256"/>
      <c r="I169" s="256"/>
      <c r="J169" s="256"/>
      <c r="K169" s="256"/>
    </row>
    <row r="170" spans="1:11" ht="12.75" x14ac:dyDescent="0.2">
      <c r="A170" s="256"/>
      <c r="B170" s="256"/>
      <c r="C170" s="256"/>
      <c r="D170" s="256"/>
      <c r="E170" s="256"/>
      <c r="F170" s="256"/>
      <c r="G170" s="256"/>
      <c r="H170" s="256"/>
      <c r="I170" s="256"/>
      <c r="J170" s="256"/>
      <c r="K170" s="256"/>
    </row>
    <row r="171" spans="1:11" ht="12.75" x14ac:dyDescent="0.2">
      <c r="A171" s="256"/>
      <c r="B171" s="256"/>
      <c r="C171" s="256"/>
      <c r="D171" s="256"/>
      <c r="E171" s="256"/>
      <c r="F171" s="256"/>
      <c r="G171" s="256"/>
      <c r="H171" s="256"/>
      <c r="I171" s="256"/>
      <c r="J171" s="256"/>
      <c r="K171" s="256"/>
    </row>
    <row r="172" spans="1:11" ht="12.75" x14ac:dyDescent="0.2">
      <c r="A172" s="256"/>
      <c r="B172" s="256"/>
      <c r="C172" s="256"/>
      <c r="D172" s="256"/>
      <c r="E172" s="256"/>
      <c r="F172" s="256"/>
      <c r="G172" s="256"/>
      <c r="H172" s="256"/>
      <c r="I172" s="256"/>
      <c r="J172" s="256"/>
      <c r="K172" s="256"/>
    </row>
    <row r="173" spans="1:11" ht="12.75" x14ac:dyDescent="0.2">
      <c r="A173" s="256"/>
      <c r="B173" s="256"/>
      <c r="C173" s="256"/>
      <c r="D173" s="256"/>
      <c r="E173" s="256"/>
      <c r="F173" s="256"/>
      <c r="G173" s="256"/>
      <c r="H173" s="256"/>
      <c r="I173" s="256"/>
      <c r="J173" s="256"/>
      <c r="K173" s="256"/>
    </row>
    <row r="174" spans="1:11" ht="12.75" x14ac:dyDescent="0.2">
      <c r="A174" s="256"/>
      <c r="B174" s="256"/>
      <c r="C174" s="256"/>
      <c r="D174" s="256"/>
      <c r="E174" s="256"/>
      <c r="F174" s="256"/>
      <c r="G174" s="256"/>
      <c r="H174" s="256"/>
      <c r="I174" s="256"/>
      <c r="J174" s="256"/>
      <c r="K174" s="256"/>
    </row>
    <row r="175" spans="1:11" ht="12.75" x14ac:dyDescent="0.2">
      <c r="A175" s="256"/>
      <c r="B175" s="256"/>
      <c r="C175" s="256"/>
      <c r="D175" s="256"/>
      <c r="E175" s="256"/>
      <c r="F175" s="256"/>
      <c r="G175" s="256"/>
      <c r="H175" s="256"/>
      <c r="I175" s="256"/>
      <c r="J175" s="256"/>
      <c r="K175" s="256"/>
    </row>
    <row r="176" spans="1:11" ht="12.75" x14ac:dyDescent="0.2">
      <c r="A176" s="256"/>
      <c r="B176" s="256"/>
      <c r="C176" s="256"/>
      <c r="D176" s="256"/>
      <c r="E176" s="256"/>
      <c r="F176" s="256"/>
      <c r="G176" s="256"/>
      <c r="H176" s="256"/>
      <c r="I176" s="256"/>
      <c r="J176" s="256"/>
      <c r="K176" s="256"/>
    </row>
    <row r="177" spans="1:11" ht="12.75" x14ac:dyDescent="0.2">
      <c r="A177" s="256"/>
      <c r="B177" s="256"/>
      <c r="C177" s="256"/>
      <c r="D177" s="256"/>
      <c r="E177" s="256"/>
      <c r="F177" s="256"/>
      <c r="G177" s="256"/>
      <c r="H177" s="256"/>
      <c r="I177" s="256"/>
      <c r="J177" s="256"/>
      <c r="K177" s="256"/>
    </row>
    <row r="178" spans="1:11" ht="12.75" x14ac:dyDescent="0.2">
      <c r="A178" s="256"/>
      <c r="B178" s="256"/>
      <c r="C178" s="256"/>
      <c r="D178" s="256"/>
      <c r="E178" s="256"/>
      <c r="F178" s="256"/>
      <c r="G178" s="256"/>
      <c r="H178" s="256"/>
      <c r="I178" s="256"/>
      <c r="J178" s="256"/>
      <c r="K178" s="256"/>
    </row>
    <row r="179" spans="1:11" ht="12.75" x14ac:dyDescent="0.2">
      <c r="A179" s="256"/>
      <c r="B179" s="256"/>
      <c r="C179" s="256"/>
      <c r="D179" s="256"/>
      <c r="E179" s="256"/>
      <c r="F179" s="256"/>
      <c r="G179" s="256"/>
      <c r="H179" s="256"/>
      <c r="I179" s="256"/>
      <c r="J179" s="256"/>
      <c r="K179" s="256"/>
    </row>
    <row r="180" spans="1:11" ht="12.75" x14ac:dyDescent="0.2">
      <c r="A180" s="256"/>
      <c r="B180" s="256"/>
      <c r="C180" s="256"/>
      <c r="D180" s="256"/>
      <c r="E180" s="256"/>
      <c r="F180" s="256"/>
      <c r="G180" s="256"/>
      <c r="H180" s="256"/>
      <c r="I180" s="256"/>
      <c r="J180" s="256"/>
      <c r="K180" s="256"/>
    </row>
    <row r="181" spans="1:11" ht="12.75" x14ac:dyDescent="0.2">
      <c r="A181" s="256"/>
      <c r="B181" s="256"/>
      <c r="C181" s="256"/>
      <c r="D181" s="256"/>
      <c r="E181" s="256"/>
      <c r="F181" s="256"/>
      <c r="G181" s="256"/>
      <c r="H181" s="256"/>
      <c r="I181" s="256"/>
      <c r="J181" s="256"/>
      <c r="K181" s="256"/>
    </row>
    <row r="182" spans="1:11" ht="12.75" x14ac:dyDescent="0.2">
      <c r="A182" s="256"/>
      <c r="B182" s="256"/>
      <c r="C182" s="256"/>
      <c r="D182" s="256"/>
      <c r="E182" s="256"/>
      <c r="F182" s="256"/>
      <c r="G182" s="256"/>
      <c r="H182" s="256"/>
      <c r="I182" s="256"/>
      <c r="J182" s="256"/>
      <c r="K182" s="256"/>
    </row>
    <row r="183" spans="1:11" ht="12.75" x14ac:dyDescent="0.2">
      <c r="A183" s="256"/>
      <c r="B183" s="256"/>
      <c r="C183" s="256"/>
      <c r="D183" s="256"/>
      <c r="E183" s="256"/>
      <c r="F183" s="256"/>
      <c r="G183" s="256"/>
      <c r="H183" s="256"/>
      <c r="I183" s="256"/>
      <c r="J183" s="256"/>
      <c r="K183" s="256"/>
    </row>
    <row r="184" spans="1:11" ht="12.75" x14ac:dyDescent="0.2">
      <c r="A184" s="256"/>
      <c r="B184" s="256"/>
      <c r="C184" s="256"/>
      <c r="D184" s="256"/>
      <c r="E184" s="256"/>
      <c r="F184" s="256"/>
      <c r="G184" s="256"/>
      <c r="H184" s="256"/>
      <c r="I184" s="256"/>
      <c r="J184" s="256"/>
      <c r="K184" s="256"/>
    </row>
    <row r="185" spans="1:11" ht="12.75" x14ac:dyDescent="0.2">
      <c r="A185" s="256"/>
      <c r="B185" s="256"/>
      <c r="C185" s="256"/>
      <c r="D185" s="256"/>
      <c r="E185" s="256"/>
      <c r="F185" s="256"/>
      <c r="G185" s="256"/>
      <c r="H185" s="256"/>
      <c r="I185" s="256"/>
      <c r="J185" s="256"/>
      <c r="K185" s="256"/>
    </row>
    <row r="186" spans="1:11" ht="12.75" x14ac:dyDescent="0.2">
      <c r="A186" s="256"/>
      <c r="B186" s="256"/>
      <c r="C186" s="256"/>
      <c r="D186" s="256"/>
      <c r="E186" s="256"/>
      <c r="F186" s="256"/>
      <c r="G186" s="256"/>
      <c r="H186" s="256"/>
      <c r="I186" s="256"/>
      <c r="J186" s="256"/>
      <c r="K186" s="256"/>
    </row>
    <row r="187" spans="1:11" ht="12.75" x14ac:dyDescent="0.2">
      <c r="A187" s="256"/>
      <c r="B187" s="256"/>
      <c r="C187" s="256"/>
      <c r="D187" s="256"/>
      <c r="E187" s="256"/>
      <c r="F187" s="256"/>
      <c r="G187" s="256"/>
      <c r="H187" s="256"/>
      <c r="I187" s="256"/>
      <c r="J187" s="256"/>
      <c r="K187" s="256"/>
    </row>
    <row r="188" spans="1:11" ht="12.75" x14ac:dyDescent="0.2">
      <c r="A188" s="256"/>
      <c r="B188" s="256"/>
      <c r="C188" s="256"/>
      <c r="D188" s="256"/>
      <c r="E188" s="256"/>
      <c r="F188" s="256"/>
      <c r="G188" s="256"/>
      <c r="H188" s="256"/>
      <c r="I188" s="256"/>
      <c r="J188" s="256"/>
      <c r="K188" s="256"/>
    </row>
    <row r="189" spans="1:11" ht="12.75" x14ac:dyDescent="0.2">
      <c r="A189" s="256"/>
      <c r="B189" s="256"/>
      <c r="C189" s="256"/>
      <c r="D189" s="256"/>
      <c r="E189" s="256"/>
      <c r="F189" s="256"/>
      <c r="G189" s="256"/>
      <c r="H189" s="256"/>
      <c r="I189" s="256"/>
      <c r="J189" s="256"/>
      <c r="K189" s="256"/>
    </row>
    <row r="190" spans="1:11" ht="12.75" x14ac:dyDescent="0.2">
      <c r="A190" s="256"/>
      <c r="B190" s="256"/>
      <c r="C190" s="256"/>
      <c r="D190" s="256"/>
      <c r="E190" s="256"/>
      <c r="F190" s="256"/>
      <c r="G190" s="256"/>
      <c r="H190" s="256"/>
      <c r="I190" s="256"/>
      <c r="J190" s="256"/>
      <c r="K190" s="256"/>
    </row>
    <row r="191" spans="1:11" ht="12.75" x14ac:dyDescent="0.2">
      <c r="A191" s="256"/>
      <c r="B191" s="256"/>
      <c r="C191" s="256"/>
      <c r="D191" s="256"/>
      <c r="E191" s="256"/>
      <c r="F191" s="256"/>
      <c r="G191" s="256"/>
      <c r="H191" s="256"/>
      <c r="I191" s="256"/>
      <c r="J191" s="256"/>
      <c r="K191" s="256"/>
    </row>
    <row r="192" spans="1:11" ht="12.75" x14ac:dyDescent="0.2">
      <c r="A192" s="256"/>
      <c r="B192" s="256"/>
      <c r="C192" s="256"/>
      <c r="D192" s="256"/>
      <c r="E192" s="256"/>
      <c r="F192" s="256"/>
      <c r="G192" s="256"/>
      <c r="H192" s="256"/>
      <c r="I192" s="256"/>
      <c r="J192" s="256"/>
      <c r="K192" s="256"/>
    </row>
    <row r="193" spans="1:11" ht="12.75" x14ac:dyDescent="0.2">
      <c r="A193" s="256"/>
      <c r="B193" s="256"/>
      <c r="C193" s="256"/>
      <c r="D193" s="256"/>
      <c r="E193" s="256"/>
      <c r="F193" s="256"/>
      <c r="G193" s="256"/>
      <c r="H193" s="256"/>
      <c r="I193" s="256"/>
      <c r="J193" s="256"/>
      <c r="K193" s="256"/>
    </row>
    <row r="194" spans="1:11" ht="12.75" x14ac:dyDescent="0.2">
      <c r="A194" s="256"/>
      <c r="B194" s="256"/>
      <c r="C194" s="256"/>
      <c r="D194" s="256"/>
      <c r="E194" s="256"/>
      <c r="F194" s="256"/>
      <c r="G194" s="256"/>
      <c r="H194" s="256"/>
      <c r="I194" s="256"/>
      <c r="J194" s="256"/>
      <c r="K194" s="256"/>
    </row>
    <row r="195" spans="1:11" ht="12.75" x14ac:dyDescent="0.2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  <c r="K195" s="256"/>
    </row>
    <row r="196" spans="1:11" ht="12.75" x14ac:dyDescent="0.2">
      <c r="A196" s="256"/>
      <c r="B196" s="256"/>
      <c r="C196" s="256"/>
      <c r="D196" s="256"/>
      <c r="E196" s="256"/>
      <c r="F196" s="256"/>
      <c r="G196" s="256"/>
      <c r="H196" s="256"/>
      <c r="I196" s="256"/>
      <c r="J196" s="256"/>
      <c r="K196" s="256"/>
    </row>
    <row r="197" spans="1:11" ht="12.75" x14ac:dyDescent="0.2">
      <c r="A197" s="256"/>
      <c r="B197" s="256"/>
      <c r="C197" s="256"/>
      <c r="D197" s="256"/>
      <c r="E197" s="256"/>
      <c r="F197" s="256"/>
      <c r="G197" s="256"/>
      <c r="H197" s="256"/>
      <c r="I197" s="256"/>
      <c r="J197" s="256"/>
      <c r="K197" s="256"/>
    </row>
    <row r="198" spans="1:11" ht="12.75" x14ac:dyDescent="0.2">
      <c r="A198" s="256"/>
      <c r="B198" s="256"/>
      <c r="C198" s="256"/>
      <c r="D198" s="256"/>
      <c r="E198" s="256"/>
      <c r="F198" s="256"/>
      <c r="G198" s="256"/>
      <c r="H198" s="256"/>
      <c r="I198" s="256"/>
      <c r="J198" s="256"/>
      <c r="K198" s="256"/>
    </row>
    <row r="199" spans="1:11" ht="12.75" x14ac:dyDescent="0.2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  <c r="K199" s="256"/>
    </row>
    <row r="200" spans="1:11" ht="12.75" x14ac:dyDescent="0.2">
      <c r="A200" s="256"/>
      <c r="B200" s="256"/>
      <c r="C200" s="256"/>
      <c r="D200" s="256"/>
      <c r="E200" s="256"/>
      <c r="F200" s="256"/>
      <c r="G200" s="256"/>
      <c r="H200" s="256"/>
      <c r="I200" s="256"/>
      <c r="J200" s="256"/>
      <c r="K200" s="256"/>
    </row>
    <row r="201" spans="1:11" ht="12.75" x14ac:dyDescent="0.2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  <c r="K201" s="256"/>
    </row>
    <row r="202" spans="1:11" ht="12.75" x14ac:dyDescent="0.2">
      <c r="A202" s="256"/>
      <c r="B202" s="256"/>
      <c r="C202" s="256"/>
      <c r="D202" s="256"/>
      <c r="E202" s="256"/>
      <c r="F202" s="256"/>
      <c r="G202" s="256"/>
      <c r="H202" s="256"/>
      <c r="I202" s="256"/>
      <c r="J202" s="256"/>
      <c r="K202" s="256"/>
    </row>
    <row r="203" spans="1:11" ht="12.75" x14ac:dyDescent="0.2">
      <c r="A203" s="256"/>
      <c r="B203" s="256"/>
      <c r="C203" s="256"/>
      <c r="D203" s="256"/>
      <c r="E203" s="256"/>
      <c r="F203" s="256"/>
      <c r="G203" s="256"/>
      <c r="H203" s="256"/>
      <c r="I203" s="256"/>
      <c r="J203" s="256"/>
      <c r="K203" s="256"/>
    </row>
    <row r="204" spans="1:11" ht="12.75" x14ac:dyDescent="0.2">
      <c r="A204" s="256"/>
      <c r="B204" s="256"/>
      <c r="C204" s="256"/>
      <c r="D204" s="256"/>
      <c r="E204" s="256"/>
      <c r="F204" s="256"/>
      <c r="G204" s="256"/>
      <c r="H204" s="256"/>
      <c r="I204" s="256"/>
      <c r="J204" s="256"/>
      <c r="K204" s="256"/>
    </row>
    <row r="205" spans="1:11" ht="12.75" x14ac:dyDescent="0.2">
      <c r="A205" s="256"/>
      <c r="B205" s="256"/>
      <c r="C205" s="256"/>
      <c r="D205" s="256"/>
      <c r="E205" s="256"/>
      <c r="F205" s="256"/>
      <c r="G205" s="256"/>
      <c r="H205" s="256"/>
      <c r="I205" s="256"/>
      <c r="J205" s="256"/>
      <c r="K205" s="256"/>
    </row>
    <row r="206" spans="1:11" ht="12.75" x14ac:dyDescent="0.2">
      <c r="A206" s="256"/>
      <c r="B206" s="256"/>
      <c r="C206" s="256"/>
      <c r="D206" s="256"/>
      <c r="E206" s="256"/>
      <c r="F206" s="256"/>
      <c r="G206" s="256"/>
      <c r="H206" s="256"/>
      <c r="I206" s="256"/>
      <c r="J206" s="256"/>
      <c r="K206" s="256"/>
    </row>
    <row r="207" spans="1:11" ht="12.75" x14ac:dyDescent="0.2">
      <c r="A207" s="256"/>
      <c r="B207" s="256"/>
      <c r="C207" s="256"/>
      <c r="D207" s="256"/>
      <c r="E207" s="256"/>
      <c r="F207" s="256"/>
      <c r="G207" s="256"/>
      <c r="H207" s="256"/>
      <c r="I207" s="256"/>
      <c r="J207" s="256"/>
      <c r="K207" s="256"/>
    </row>
    <row r="208" spans="1:11" ht="12.75" x14ac:dyDescent="0.2">
      <c r="A208" s="256"/>
      <c r="B208" s="256"/>
      <c r="C208" s="256"/>
      <c r="D208" s="256"/>
      <c r="E208" s="256"/>
      <c r="F208" s="256"/>
      <c r="G208" s="256"/>
      <c r="H208" s="256"/>
      <c r="I208" s="256"/>
      <c r="J208" s="256"/>
      <c r="K208" s="256"/>
    </row>
    <row r="209" spans="1:11" ht="12.75" x14ac:dyDescent="0.2">
      <c r="A209" s="256"/>
      <c r="B209" s="256"/>
      <c r="C209" s="256"/>
      <c r="D209" s="256"/>
      <c r="E209" s="256"/>
      <c r="F209" s="256"/>
      <c r="G209" s="256"/>
      <c r="H209" s="256"/>
      <c r="I209" s="256"/>
      <c r="J209" s="256"/>
      <c r="K209" s="256"/>
    </row>
    <row r="210" spans="1:11" ht="12.75" x14ac:dyDescent="0.2">
      <c r="A210" s="256"/>
      <c r="B210" s="256"/>
      <c r="C210" s="256"/>
      <c r="D210" s="256"/>
      <c r="E210" s="256"/>
      <c r="F210" s="256"/>
      <c r="G210" s="256"/>
      <c r="H210" s="256"/>
      <c r="I210" s="256"/>
      <c r="J210" s="256"/>
      <c r="K210" s="256"/>
    </row>
    <row r="211" spans="1:11" ht="12.75" x14ac:dyDescent="0.2">
      <c r="A211" s="256"/>
      <c r="B211" s="256"/>
      <c r="C211" s="256"/>
      <c r="D211" s="256"/>
      <c r="E211" s="256"/>
      <c r="F211" s="256"/>
      <c r="G211" s="256"/>
      <c r="H211" s="256"/>
      <c r="I211" s="256"/>
      <c r="J211" s="256"/>
      <c r="K211" s="256"/>
    </row>
    <row r="212" spans="1:11" ht="12.75" x14ac:dyDescent="0.2">
      <c r="A212" s="256"/>
      <c r="B212" s="256"/>
      <c r="C212" s="256"/>
      <c r="D212" s="256"/>
      <c r="E212" s="256"/>
      <c r="F212" s="256"/>
      <c r="G212" s="256"/>
      <c r="H212" s="256"/>
      <c r="I212" s="256"/>
      <c r="J212" s="256"/>
      <c r="K212" s="256"/>
    </row>
    <row r="213" spans="1:11" ht="12.75" x14ac:dyDescent="0.2">
      <c r="A213" s="256"/>
      <c r="B213" s="256"/>
      <c r="C213" s="256"/>
      <c r="D213" s="256"/>
      <c r="E213" s="256"/>
      <c r="F213" s="256"/>
      <c r="G213" s="256"/>
      <c r="H213" s="256"/>
      <c r="I213" s="256"/>
      <c r="J213" s="256"/>
      <c r="K213" s="256"/>
    </row>
    <row r="214" spans="1:11" ht="12.75" x14ac:dyDescent="0.2">
      <c r="A214" s="256"/>
      <c r="B214" s="256"/>
      <c r="C214" s="256"/>
      <c r="D214" s="256"/>
      <c r="E214" s="256"/>
      <c r="F214" s="256"/>
      <c r="G214" s="256"/>
      <c r="H214" s="256"/>
      <c r="I214" s="256"/>
      <c r="J214" s="256"/>
      <c r="K214" s="256"/>
    </row>
    <row r="215" spans="1:11" ht="12.75" x14ac:dyDescent="0.2">
      <c r="A215" s="256"/>
      <c r="B215" s="256"/>
      <c r="C215" s="256"/>
      <c r="D215" s="256"/>
      <c r="E215" s="256"/>
      <c r="F215" s="256"/>
      <c r="G215" s="256"/>
      <c r="H215" s="256"/>
      <c r="I215" s="256"/>
      <c r="J215" s="256"/>
      <c r="K215" s="256"/>
    </row>
    <row r="216" spans="1:11" ht="12.75" x14ac:dyDescent="0.2">
      <c r="A216" s="256"/>
      <c r="B216" s="256"/>
      <c r="C216" s="256"/>
      <c r="D216" s="256"/>
      <c r="E216" s="256"/>
      <c r="F216" s="256"/>
      <c r="G216" s="256"/>
      <c r="H216" s="256"/>
      <c r="I216" s="256"/>
      <c r="J216" s="256"/>
      <c r="K216" s="256"/>
    </row>
    <row r="217" spans="1:11" ht="12.75" x14ac:dyDescent="0.2">
      <c r="A217" s="256"/>
      <c r="B217" s="256"/>
      <c r="C217" s="256"/>
      <c r="D217" s="256"/>
      <c r="E217" s="256"/>
      <c r="F217" s="256"/>
      <c r="G217" s="256"/>
      <c r="H217" s="256"/>
      <c r="I217" s="256"/>
      <c r="J217" s="256"/>
      <c r="K217" s="256"/>
    </row>
    <row r="218" spans="1:11" ht="12.75" x14ac:dyDescent="0.2">
      <c r="A218" s="256"/>
      <c r="B218" s="256"/>
      <c r="C218" s="256"/>
      <c r="D218" s="256"/>
      <c r="E218" s="256"/>
      <c r="F218" s="256"/>
      <c r="G218" s="256"/>
      <c r="H218" s="256"/>
      <c r="I218" s="256"/>
      <c r="J218" s="256"/>
      <c r="K218" s="256"/>
    </row>
    <row r="219" spans="1:11" ht="12.75" x14ac:dyDescent="0.2">
      <c r="A219" s="256"/>
      <c r="B219" s="256"/>
      <c r="C219" s="256"/>
      <c r="D219" s="256"/>
      <c r="E219" s="256"/>
      <c r="F219" s="256"/>
      <c r="G219" s="256"/>
      <c r="H219" s="256"/>
      <c r="I219" s="256"/>
      <c r="J219" s="256"/>
      <c r="K219" s="256"/>
    </row>
    <row r="220" spans="1:11" ht="12.75" x14ac:dyDescent="0.2">
      <c r="A220" s="256"/>
      <c r="B220" s="256"/>
      <c r="C220" s="256"/>
      <c r="D220" s="256"/>
      <c r="E220" s="256"/>
      <c r="F220" s="256"/>
      <c r="G220" s="256"/>
      <c r="H220" s="256"/>
      <c r="I220" s="256"/>
      <c r="J220" s="256"/>
      <c r="K220" s="256"/>
    </row>
    <row r="221" spans="1:11" ht="12.75" x14ac:dyDescent="0.2">
      <c r="A221" s="256"/>
      <c r="B221" s="256"/>
      <c r="C221" s="256"/>
      <c r="D221" s="256"/>
      <c r="E221" s="256"/>
      <c r="F221" s="256"/>
      <c r="G221" s="256"/>
      <c r="H221" s="256"/>
      <c r="I221" s="256"/>
      <c r="J221" s="256"/>
      <c r="K221" s="256"/>
    </row>
    <row r="222" spans="1:11" ht="12.75" x14ac:dyDescent="0.2">
      <c r="A222" s="256"/>
      <c r="B222" s="256"/>
      <c r="C222" s="256"/>
      <c r="D222" s="256"/>
      <c r="E222" s="256"/>
      <c r="F222" s="256"/>
      <c r="G222" s="256"/>
      <c r="H222" s="256"/>
      <c r="I222" s="256"/>
      <c r="J222" s="256"/>
      <c r="K222" s="256"/>
    </row>
    <row r="223" spans="1:11" ht="12.75" x14ac:dyDescent="0.2">
      <c r="A223" s="256"/>
      <c r="B223" s="256"/>
      <c r="C223" s="256"/>
      <c r="D223" s="256"/>
      <c r="E223" s="256"/>
      <c r="F223" s="256"/>
      <c r="G223" s="256"/>
      <c r="H223" s="256"/>
      <c r="I223" s="256"/>
      <c r="J223" s="256"/>
      <c r="K223" s="256"/>
    </row>
    <row r="224" spans="1:11" ht="12.75" x14ac:dyDescent="0.2">
      <c r="A224" s="256"/>
      <c r="B224" s="256"/>
      <c r="C224" s="256"/>
      <c r="D224" s="256"/>
      <c r="E224" s="256"/>
      <c r="F224" s="256"/>
      <c r="G224" s="256"/>
      <c r="H224" s="256"/>
      <c r="I224" s="256"/>
      <c r="J224" s="256"/>
      <c r="K224" s="256"/>
    </row>
    <row r="225" spans="1:11" ht="12.75" x14ac:dyDescent="0.2">
      <c r="A225" s="256"/>
      <c r="B225" s="256"/>
      <c r="C225" s="256"/>
      <c r="D225" s="256"/>
      <c r="E225" s="256"/>
      <c r="F225" s="256"/>
      <c r="G225" s="256"/>
      <c r="H225" s="256"/>
      <c r="I225" s="256"/>
      <c r="J225" s="256"/>
      <c r="K225" s="256"/>
    </row>
    <row r="226" spans="1:11" ht="12.75" x14ac:dyDescent="0.2">
      <c r="A226" s="256"/>
      <c r="B226" s="256"/>
      <c r="C226" s="256"/>
      <c r="D226" s="256"/>
      <c r="E226" s="256"/>
      <c r="F226" s="256"/>
      <c r="G226" s="256"/>
      <c r="H226" s="256"/>
      <c r="I226" s="256"/>
      <c r="J226" s="256"/>
      <c r="K226" s="256"/>
    </row>
    <row r="227" spans="1:11" ht="12.75" x14ac:dyDescent="0.2">
      <c r="A227" s="256"/>
      <c r="B227" s="256"/>
      <c r="C227" s="256"/>
      <c r="D227" s="256"/>
      <c r="E227" s="256"/>
      <c r="F227" s="256"/>
      <c r="G227" s="256"/>
      <c r="H227" s="256"/>
      <c r="I227" s="256"/>
      <c r="J227" s="256"/>
      <c r="K227" s="256"/>
    </row>
    <row r="228" spans="1:11" ht="12.75" x14ac:dyDescent="0.2">
      <c r="A228" s="256"/>
      <c r="B228" s="256"/>
      <c r="C228" s="256"/>
      <c r="D228" s="256"/>
      <c r="E228" s="256"/>
      <c r="F228" s="256"/>
      <c r="G228" s="256"/>
      <c r="H228" s="256"/>
      <c r="I228" s="256"/>
      <c r="J228" s="256"/>
      <c r="K228" s="256"/>
    </row>
    <row r="229" spans="1:11" ht="12.75" x14ac:dyDescent="0.2">
      <c r="A229" s="256"/>
      <c r="B229" s="256"/>
      <c r="C229" s="256"/>
      <c r="D229" s="256"/>
      <c r="E229" s="256"/>
      <c r="F229" s="256"/>
      <c r="G229" s="256"/>
      <c r="H229" s="256"/>
      <c r="I229" s="256"/>
      <c r="J229" s="256"/>
      <c r="K229" s="256"/>
    </row>
    <row r="230" spans="1:11" ht="12.75" x14ac:dyDescent="0.2">
      <c r="A230" s="256"/>
      <c r="B230" s="256"/>
      <c r="C230" s="256"/>
      <c r="D230" s="256"/>
      <c r="E230" s="256"/>
      <c r="F230" s="256"/>
      <c r="G230" s="256"/>
      <c r="H230" s="256"/>
      <c r="I230" s="256"/>
      <c r="J230" s="256"/>
      <c r="K230" s="256"/>
    </row>
    <row r="231" spans="1:11" ht="12.75" x14ac:dyDescent="0.2">
      <c r="A231" s="256"/>
      <c r="B231" s="256"/>
      <c r="C231" s="256"/>
      <c r="D231" s="256"/>
      <c r="E231" s="256"/>
      <c r="F231" s="256"/>
      <c r="G231" s="256"/>
      <c r="H231" s="256"/>
      <c r="I231" s="256"/>
      <c r="J231" s="256"/>
      <c r="K231" s="256"/>
    </row>
    <row r="232" spans="1:11" ht="12.75" x14ac:dyDescent="0.2">
      <c r="A232" s="256"/>
      <c r="B232" s="256"/>
      <c r="C232" s="256"/>
      <c r="D232" s="256"/>
      <c r="E232" s="256"/>
      <c r="F232" s="256"/>
      <c r="G232" s="256"/>
      <c r="H232" s="256"/>
      <c r="I232" s="256"/>
      <c r="J232" s="256"/>
      <c r="K232" s="256"/>
    </row>
    <row r="233" spans="1:11" ht="12.75" x14ac:dyDescent="0.2">
      <c r="A233" s="256"/>
      <c r="B233" s="256"/>
      <c r="C233" s="256"/>
      <c r="D233" s="256"/>
      <c r="E233" s="256"/>
      <c r="F233" s="256"/>
      <c r="G233" s="256"/>
      <c r="H233" s="256"/>
      <c r="I233" s="256"/>
      <c r="J233" s="256"/>
      <c r="K233" s="256"/>
    </row>
    <row r="234" spans="1:11" ht="12.75" x14ac:dyDescent="0.2">
      <c r="A234" s="256"/>
      <c r="B234" s="256"/>
      <c r="C234" s="256"/>
      <c r="D234" s="256"/>
      <c r="E234" s="256"/>
      <c r="F234" s="256"/>
      <c r="G234" s="256"/>
      <c r="H234" s="256"/>
      <c r="I234" s="256"/>
      <c r="J234" s="256"/>
      <c r="K234" s="256"/>
    </row>
    <row r="235" spans="1:11" ht="12.75" x14ac:dyDescent="0.2">
      <c r="A235" s="256"/>
      <c r="B235" s="256"/>
      <c r="C235" s="256"/>
      <c r="D235" s="256"/>
      <c r="E235" s="256"/>
      <c r="F235" s="256"/>
      <c r="G235" s="256"/>
      <c r="H235" s="256"/>
      <c r="I235" s="256"/>
      <c r="J235" s="256"/>
      <c r="K235" s="256"/>
    </row>
    <row r="236" spans="1:11" ht="12.75" x14ac:dyDescent="0.2">
      <c r="A236" s="256"/>
      <c r="B236" s="256"/>
      <c r="C236" s="256"/>
      <c r="D236" s="256"/>
      <c r="E236" s="256"/>
      <c r="F236" s="256"/>
      <c r="G236" s="256"/>
      <c r="H236" s="256"/>
      <c r="I236" s="256"/>
      <c r="J236" s="256"/>
      <c r="K236" s="256"/>
    </row>
    <row r="237" spans="1:11" ht="12.75" x14ac:dyDescent="0.2">
      <c r="A237" s="256"/>
      <c r="B237" s="256"/>
      <c r="C237" s="256"/>
      <c r="D237" s="256"/>
      <c r="E237" s="256"/>
      <c r="F237" s="256"/>
      <c r="G237" s="256"/>
      <c r="H237" s="256"/>
      <c r="I237" s="256"/>
      <c r="J237" s="256"/>
      <c r="K237" s="256"/>
    </row>
    <row r="238" spans="1:11" ht="12.75" x14ac:dyDescent="0.2">
      <c r="A238" s="256"/>
      <c r="B238" s="256"/>
      <c r="C238" s="256"/>
      <c r="D238" s="256"/>
      <c r="E238" s="256"/>
      <c r="F238" s="256"/>
      <c r="G238" s="256"/>
      <c r="H238" s="256"/>
      <c r="I238" s="256"/>
      <c r="J238" s="256"/>
      <c r="K238" s="256"/>
    </row>
    <row r="239" spans="1:11" ht="12.75" x14ac:dyDescent="0.2">
      <c r="A239" s="256"/>
      <c r="B239" s="256"/>
      <c r="C239" s="256"/>
      <c r="D239" s="256"/>
      <c r="E239" s="256"/>
      <c r="F239" s="256"/>
      <c r="G239" s="256"/>
      <c r="H239" s="256"/>
      <c r="I239" s="256"/>
      <c r="J239" s="256"/>
      <c r="K239" s="256"/>
    </row>
    <row r="240" spans="1:11" ht="12.75" x14ac:dyDescent="0.2">
      <c r="A240" s="256"/>
      <c r="B240" s="256"/>
      <c r="C240" s="256"/>
      <c r="D240" s="256"/>
      <c r="E240" s="256"/>
      <c r="F240" s="256"/>
      <c r="G240" s="256"/>
      <c r="H240" s="256"/>
      <c r="I240" s="256"/>
      <c r="J240" s="256"/>
      <c r="K240" s="256"/>
    </row>
    <row r="241" spans="1:11" ht="12.75" x14ac:dyDescent="0.2">
      <c r="A241" s="256"/>
      <c r="B241" s="256"/>
      <c r="C241" s="256"/>
      <c r="D241" s="256"/>
      <c r="E241" s="256"/>
      <c r="F241" s="256"/>
      <c r="G241" s="256"/>
      <c r="H241" s="256"/>
      <c r="I241" s="256"/>
      <c r="J241" s="256"/>
      <c r="K241" s="256"/>
    </row>
    <row r="242" spans="1:11" ht="12.75" x14ac:dyDescent="0.2">
      <c r="A242" s="256"/>
      <c r="B242" s="256"/>
      <c r="C242" s="256"/>
      <c r="D242" s="256"/>
      <c r="E242" s="256"/>
      <c r="F242" s="256"/>
      <c r="G242" s="256"/>
      <c r="H242" s="256"/>
      <c r="I242" s="256"/>
      <c r="J242" s="256"/>
      <c r="K242" s="256"/>
    </row>
    <row r="243" spans="1:11" ht="12.75" x14ac:dyDescent="0.2">
      <c r="A243" s="256"/>
      <c r="B243" s="256"/>
      <c r="C243" s="256"/>
      <c r="D243" s="256"/>
      <c r="E243" s="256"/>
      <c r="F243" s="256"/>
      <c r="G243" s="256"/>
      <c r="H243" s="256"/>
      <c r="I243" s="256"/>
      <c r="J243" s="256"/>
      <c r="K243" s="256"/>
    </row>
    <row r="244" spans="1:11" ht="12.75" x14ac:dyDescent="0.2">
      <c r="A244" s="256"/>
      <c r="B244" s="256"/>
      <c r="C244" s="256"/>
      <c r="D244" s="256"/>
      <c r="E244" s="256"/>
      <c r="F244" s="256"/>
      <c r="G244" s="256"/>
      <c r="H244" s="256"/>
      <c r="I244" s="256"/>
      <c r="J244" s="256"/>
      <c r="K244" s="256"/>
    </row>
    <row r="245" spans="1:11" ht="12.75" x14ac:dyDescent="0.2">
      <c r="A245" s="256"/>
      <c r="B245" s="256"/>
      <c r="C245" s="256"/>
      <c r="D245" s="256"/>
      <c r="E245" s="256"/>
      <c r="F245" s="256"/>
      <c r="G245" s="256"/>
      <c r="H245" s="256"/>
      <c r="I245" s="256"/>
      <c r="J245" s="256"/>
      <c r="K245" s="256"/>
    </row>
    <row r="246" spans="1:11" ht="12.75" x14ac:dyDescent="0.2">
      <c r="A246" s="256"/>
      <c r="B246" s="256"/>
      <c r="C246" s="256"/>
      <c r="D246" s="256"/>
      <c r="E246" s="256"/>
      <c r="F246" s="256"/>
      <c r="G246" s="256"/>
      <c r="H246" s="256"/>
      <c r="I246" s="256"/>
      <c r="J246" s="256"/>
      <c r="K246" s="256"/>
    </row>
    <row r="247" spans="1:11" ht="12.75" x14ac:dyDescent="0.2">
      <c r="A247" s="256"/>
      <c r="B247" s="256"/>
      <c r="C247" s="256"/>
      <c r="D247" s="256"/>
      <c r="E247" s="256"/>
      <c r="F247" s="256"/>
      <c r="G247" s="256"/>
      <c r="H247" s="256"/>
      <c r="I247" s="256"/>
      <c r="J247" s="256"/>
      <c r="K247" s="256"/>
    </row>
    <row r="248" spans="1:11" ht="12.75" x14ac:dyDescent="0.2">
      <c r="A248" s="256"/>
      <c r="B248" s="256"/>
      <c r="C248" s="256"/>
      <c r="D248" s="256"/>
      <c r="E248" s="256"/>
      <c r="F248" s="256"/>
      <c r="G248" s="256"/>
      <c r="H248" s="256"/>
      <c r="I248" s="256"/>
      <c r="J248" s="256"/>
      <c r="K248" s="256"/>
    </row>
    <row r="249" spans="1:11" ht="12.75" x14ac:dyDescent="0.2">
      <c r="A249" s="256"/>
      <c r="B249" s="256"/>
      <c r="C249" s="256"/>
      <c r="D249" s="256"/>
      <c r="E249" s="256"/>
      <c r="F249" s="256"/>
      <c r="G249" s="256"/>
      <c r="H249" s="256"/>
      <c r="I249" s="256"/>
      <c r="J249" s="256"/>
      <c r="K249" s="256"/>
    </row>
    <row r="250" spans="1:11" ht="12.75" x14ac:dyDescent="0.2">
      <c r="A250" s="256"/>
      <c r="B250" s="256"/>
      <c r="C250" s="256"/>
      <c r="D250" s="256"/>
      <c r="E250" s="256"/>
      <c r="F250" s="256"/>
      <c r="G250" s="256"/>
      <c r="H250" s="256"/>
      <c r="I250" s="256"/>
      <c r="J250" s="256"/>
      <c r="K250" s="256"/>
    </row>
    <row r="251" spans="1:11" ht="12.75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</row>
    <row r="252" spans="1:11" ht="12.75" x14ac:dyDescent="0.2">
      <c r="A252" s="256"/>
      <c r="B252" s="256"/>
      <c r="C252" s="256"/>
      <c r="D252" s="256"/>
      <c r="E252" s="256"/>
      <c r="F252" s="256"/>
      <c r="G252" s="256"/>
      <c r="H252" s="256"/>
      <c r="I252" s="256"/>
      <c r="J252" s="256"/>
      <c r="K252" s="256"/>
    </row>
    <row r="253" spans="1:11" ht="12.75" x14ac:dyDescent="0.2">
      <c r="A253" s="256"/>
      <c r="B253" s="256"/>
      <c r="C253" s="256"/>
      <c r="D253" s="256"/>
      <c r="E253" s="256"/>
      <c r="F253" s="256"/>
      <c r="G253" s="256"/>
      <c r="H253" s="256"/>
      <c r="I253" s="256"/>
      <c r="J253" s="256"/>
      <c r="K253" s="256"/>
    </row>
    <row r="254" spans="1:11" ht="12.75" x14ac:dyDescent="0.2">
      <c r="A254" s="256"/>
      <c r="B254" s="256"/>
      <c r="C254" s="256"/>
      <c r="D254" s="256"/>
      <c r="E254" s="256"/>
      <c r="F254" s="256"/>
      <c r="G254" s="256"/>
      <c r="H254" s="256"/>
      <c r="I254" s="256"/>
      <c r="J254" s="256"/>
      <c r="K254" s="256"/>
    </row>
    <row r="255" spans="1:11" ht="12.75" x14ac:dyDescent="0.2">
      <c r="A255" s="256"/>
      <c r="B255" s="256"/>
      <c r="C255" s="256"/>
      <c r="D255" s="256"/>
      <c r="E255" s="256"/>
      <c r="F255" s="256"/>
      <c r="G255" s="256"/>
      <c r="H255" s="256"/>
      <c r="I255" s="256"/>
      <c r="J255" s="256"/>
      <c r="K255" s="256"/>
    </row>
    <row r="256" spans="1:11" ht="12.75" x14ac:dyDescent="0.2">
      <c r="A256" s="256"/>
      <c r="B256" s="256"/>
      <c r="C256" s="256"/>
      <c r="D256" s="256"/>
      <c r="E256" s="256"/>
      <c r="F256" s="256"/>
      <c r="G256" s="256"/>
      <c r="H256" s="256"/>
      <c r="I256" s="256"/>
      <c r="J256" s="256"/>
      <c r="K256" s="256"/>
    </row>
    <row r="257" spans="1:11" ht="12.75" x14ac:dyDescent="0.2">
      <c r="A257" s="256"/>
      <c r="B257" s="256"/>
      <c r="C257" s="256"/>
      <c r="D257" s="256"/>
      <c r="E257" s="256"/>
      <c r="F257" s="256"/>
      <c r="G257" s="256"/>
      <c r="H257" s="256"/>
      <c r="I257" s="256"/>
      <c r="J257" s="256"/>
      <c r="K257" s="256"/>
    </row>
    <row r="258" spans="1:11" ht="12.75" x14ac:dyDescent="0.2">
      <c r="A258" s="256"/>
      <c r="B258" s="256"/>
      <c r="C258" s="256"/>
      <c r="D258" s="256"/>
      <c r="E258" s="256"/>
      <c r="F258" s="256"/>
      <c r="G258" s="256"/>
      <c r="H258" s="256"/>
      <c r="I258" s="256"/>
      <c r="J258" s="256"/>
      <c r="K258" s="256"/>
    </row>
    <row r="259" spans="1:11" ht="12.75" x14ac:dyDescent="0.2">
      <c r="A259" s="256"/>
      <c r="B259" s="256"/>
      <c r="C259" s="256"/>
      <c r="D259" s="256"/>
      <c r="E259" s="256"/>
      <c r="F259" s="256"/>
      <c r="G259" s="256"/>
      <c r="H259" s="256"/>
      <c r="I259" s="256"/>
      <c r="J259" s="256"/>
      <c r="K259" s="256"/>
    </row>
    <row r="260" spans="1:11" ht="12.75" x14ac:dyDescent="0.2">
      <c r="A260" s="256"/>
      <c r="B260" s="256"/>
      <c r="C260" s="256"/>
      <c r="D260" s="256"/>
      <c r="E260" s="256"/>
      <c r="F260" s="256"/>
      <c r="G260" s="256"/>
      <c r="H260" s="256"/>
      <c r="I260" s="256"/>
      <c r="J260" s="256"/>
      <c r="K260" s="256"/>
    </row>
    <row r="261" spans="1:11" ht="12.75" x14ac:dyDescent="0.2">
      <c r="A261" s="256"/>
      <c r="B261" s="256"/>
      <c r="C261" s="256"/>
      <c r="D261" s="256"/>
      <c r="E261" s="256"/>
      <c r="F261" s="256"/>
      <c r="G261" s="256"/>
      <c r="H261" s="256"/>
      <c r="I261" s="256"/>
      <c r="J261" s="256"/>
      <c r="K261" s="256"/>
    </row>
    <row r="262" spans="1:11" ht="12.75" x14ac:dyDescent="0.2">
      <c r="A262" s="256"/>
      <c r="B262" s="256"/>
      <c r="C262" s="256"/>
      <c r="D262" s="256"/>
      <c r="E262" s="256"/>
      <c r="F262" s="256"/>
      <c r="G262" s="256"/>
      <c r="H262" s="256"/>
      <c r="I262" s="256"/>
      <c r="J262" s="256"/>
      <c r="K262" s="256"/>
    </row>
    <row r="263" spans="1:11" ht="12.75" x14ac:dyDescent="0.2">
      <c r="A263" s="256"/>
      <c r="B263" s="256"/>
      <c r="C263" s="256"/>
      <c r="D263" s="256"/>
      <c r="E263" s="256"/>
      <c r="F263" s="256"/>
      <c r="G263" s="256"/>
      <c r="H263" s="256"/>
      <c r="I263" s="256"/>
      <c r="J263" s="256"/>
      <c r="K263" s="256"/>
    </row>
    <row r="264" spans="1:11" ht="12.75" x14ac:dyDescent="0.2">
      <c r="A264" s="256"/>
      <c r="B264" s="256"/>
      <c r="C264" s="256"/>
      <c r="D264" s="256"/>
      <c r="E264" s="256"/>
      <c r="F264" s="256"/>
      <c r="G264" s="256"/>
      <c r="H264" s="256"/>
      <c r="I264" s="256"/>
      <c r="J264" s="256"/>
      <c r="K264" s="256"/>
    </row>
    <row r="265" spans="1:11" ht="12.75" x14ac:dyDescent="0.2">
      <c r="A265" s="256"/>
      <c r="B265" s="256"/>
      <c r="C265" s="256"/>
      <c r="D265" s="256"/>
      <c r="E265" s="256"/>
      <c r="F265" s="256"/>
      <c r="G265" s="256"/>
      <c r="H265" s="256"/>
      <c r="I265" s="256"/>
      <c r="J265" s="256"/>
      <c r="K265" s="256"/>
    </row>
    <row r="266" spans="1:11" ht="12.75" x14ac:dyDescent="0.2">
      <c r="A266" s="256"/>
      <c r="B266" s="256"/>
      <c r="C266" s="256"/>
      <c r="D266" s="256"/>
      <c r="E266" s="256"/>
      <c r="F266" s="256"/>
      <c r="G266" s="256"/>
      <c r="H266" s="256"/>
      <c r="I266" s="256"/>
      <c r="J266" s="256"/>
      <c r="K266" s="256"/>
    </row>
    <row r="267" spans="1:11" ht="12.75" x14ac:dyDescent="0.2">
      <c r="A267" s="256"/>
      <c r="B267" s="256"/>
      <c r="C267" s="256"/>
      <c r="D267" s="256"/>
      <c r="E267" s="256"/>
      <c r="F267" s="256"/>
      <c r="G267" s="256"/>
      <c r="H267" s="256"/>
      <c r="I267" s="256"/>
      <c r="J267" s="256"/>
      <c r="K267" s="256"/>
    </row>
    <row r="268" spans="1:11" ht="12.75" x14ac:dyDescent="0.2">
      <c r="A268" s="256"/>
      <c r="B268" s="256"/>
      <c r="C268" s="256"/>
      <c r="D268" s="256"/>
      <c r="E268" s="256"/>
      <c r="F268" s="256"/>
      <c r="G268" s="256"/>
      <c r="H268" s="256"/>
      <c r="I268" s="256"/>
      <c r="J268" s="256"/>
      <c r="K268" s="256"/>
    </row>
    <row r="269" spans="1:11" ht="12.75" x14ac:dyDescent="0.2">
      <c r="A269" s="256"/>
      <c r="B269" s="256"/>
      <c r="C269" s="256"/>
      <c r="D269" s="256"/>
      <c r="E269" s="256"/>
      <c r="F269" s="256"/>
      <c r="G269" s="256"/>
      <c r="H269" s="256"/>
      <c r="I269" s="256"/>
      <c r="J269" s="256"/>
      <c r="K269" s="256"/>
    </row>
    <row r="270" spans="1:11" ht="12.75" x14ac:dyDescent="0.2">
      <c r="A270" s="256"/>
      <c r="B270" s="256"/>
      <c r="C270" s="256"/>
      <c r="D270" s="256"/>
      <c r="E270" s="256"/>
      <c r="F270" s="256"/>
      <c r="G270" s="256"/>
      <c r="H270" s="256"/>
      <c r="I270" s="256"/>
      <c r="J270" s="256"/>
      <c r="K270" s="256"/>
    </row>
    <row r="271" spans="1:11" ht="12.75" x14ac:dyDescent="0.2">
      <c r="A271" s="256"/>
      <c r="B271" s="256"/>
      <c r="C271" s="256"/>
      <c r="D271" s="256"/>
      <c r="E271" s="256"/>
      <c r="F271" s="256"/>
      <c r="G271" s="256"/>
      <c r="H271" s="256"/>
      <c r="I271" s="256"/>
      <c r="J271" s="256"/>
      <c r="K271" s="256"/>
    </row>
    <row r="272" spans="1:11" ht="12.75" x14ac:dyDescent="0.2">
      <c r="A272" s="256"/>
      <c r="B272" s="256"/>
      <c r="C272" s="256"/>
      <c r="D272" s="256"/>
      <c r="E272" s="256"/>
      <c r="F272" s="256"/>
      <c r="G272" s="256"/>
      <c r="H272" s="256"/>
      <c r="I272" s="256"/>
      <c r="J272" s="256"/>
      <c r="K272" s="256"/>
    </row>
    <row r="273" spans="1:11" ht="12.75" x14ac:dyDescent="0.2">
      <c r="A273" s="256"/>
      <c r="B273" s="256"/>
      <c r="C273" s="256"/>
      <c r="D273" s="256"/>
      <c r="E273" s="256"/>
      <c r="F273" s="256"/>
      <c r="G273" s="256"/>
      <c r="H273" s="256"/>
      <c r="I273" s="256"/>
      <c r="J273" s="256"/>
      <c r="K273" s="256"/>
    </row>
    <row r="274" spans="1:11" ht="12.75" x14ac:dyDescent="0.2">
      <c r="A274" s="256"/>
      <c r="B274" s="256"/>
      <c r="C274" s="256"/>
      <c r="D274" s="256"/>
      <c r="E274" s="256"/>
      <c r="F274" s="256"/>
      <c r="G274" s="256"/>
      <c r="H274" s="256"/>
      <c r="I274" s="256"/>
      <c r="J274" s="256"/>
      <c r="K274" s="256"/>
    </row>
    <row r="275" spans="1:11" ht="12.75" x14ac:dyDescent="0.2">
      <c r="A275" s="256"/>
      <c r="B275" s="256"/>
      <c r="C275" s="256"/>
      <c r="D275" s="256"/>
      <c r="E275" s="256"/>
      <c r="F275" s="256"/>
      <c r="G275" s="256"/>
      <c r="H275" s="256"/>
      <c r="I275" s="256"/>
      <c r="J275" s="256"/>
      <c r="K275" s="256"/>
    </row>
    <row r="276" spans="1:11" ht="12.75" x14ac:dyDescent="0.2">
      <c r="A276" s="256"/>
      <c r="B276" s="256"/>
      <c r="C276" s="256"/>
      <c r="D276" s="256"/>
      <c r="E276" s="256"/>
      <c r="F276" s="256"/>
      <c r="G276" s="256"/>
      <c r="H276" s="256"/>
      <c r="I276" s="256"/>
      <c r="J276" s="256"/>
      <c r="K276" s="256"/>
    </row>
    <row r="277" spans="1:11" ht="12.75" x14ac:dyDescent="0.2">
      <c r="A277" s="256"/>
      <c r="B277" s="256"/>
      <c r="C277" s="256"/>
      <c r="D277" s="256"/>
      <c r="E277" s="256"/>
      <c r="F277" s="256"/>
      <c r="G277" s="256"/>
      <c r="H277" s="256"/>
      <c r="I277" s="256"/>
      <c r="J277" s="256"/>
      <c r="K277" s="256"/>
    </row>
    <row r="278" spans="1:11" ht="12.75" x14ac:dyDescent="0.2">
      <c r="A278" s="256"/>
      <c r="B278" s="256"/>
      <c r="C278" s="256"/>
      <c r="D278" s="256"/>
      <c r="E278" s="256"/>
      <c r="F278" s="256"/>
      <c r="G278" s="256"/>
      <c r="H278" s="256"/>
      <c r="I278" s="256"/>
      <c r="J278" s="256"/>
      <c r="K278" s="256"/>
    </row>
    <row r="279" spans="1:11" ht="12.75" x14ac:dyDescent="0.2">
      <c r="A279" s="256"/>
      <c r="B279" s="256"/>
      <c r="C279" s="256"/>
      <c r="D279" s="256"/>
      <c r="E279" s="256"/>
      <c r="F279" s="256"/>
      <c r="G279" s="256"/>
      <c r="H279" s="256"/>
      <c r="I279" s="256"/>
      <c r="J279" s="256"/>
      <c r="K279" s="256"/>
    </row>
    <row r="280" spans="1:11" ht="12.75" x14ac:dyDescent="0.2">
      <c r="A280" s="256"/>
      <c r="B280" s="256"/>
      <c r="C280" s="256"/>
      <c r="D280" s="256"/>
      <c r="E280" s="256"/>
      <c r="F280" s="256"/>
      <c r="G280" s="256"/>
      <c r="H280" s="256"/>
      <c r="I280" s="256"/>
      <c r="J280" s="256"/>
      <c r="K280" s="256"/>
    </row>
    <row r="281" spans="1:11" ht="12.75" x14ac:dyDescent="0.2">
      <c r="A281" s="256"/>
      <c r="B281" s="256"/>
      <c r="C281" s="256"/>
      <c r="D281" s="256"/>
      <c r="E281" s="256"/>
      <c r="F281" s="256"/>
      <c r="G281" s="256"/>
      <c r="H281" s="256"/>
      <c r="I281" s="256"/>
      <c r="J281" s="256"/>
      <c r="K281" s="256"/>
    </row>
    <row r="282" spans="1:11" ht="12.75" x14ac:dyDescent="0.2">
      <c r="A282" s="256"/>
      <c r="B282" s="256"/>
      <c r="C282" s="256"/>
      <c r="D282" s="256"/>
      <c r="E282" s="256"/>
      <c r="F282" s="256"/>
      <c r="G282" s="256"/>
      <c r="H282" s="256"/>
      <c r="I282" s="256"/>
      <c r="J282" s="256"/>
      <c r="K282" s="256"/>
    </row>
    <row r="283" spans="1:11" ht="12.75" x14ac:dyDescent="0.2">
      <c r="A283" s="256"/>
      <c r="B283" s="256"/>
      <c r="C283" s="256"/>
      <c r="D283" s="256"/>
      <c r="E283" s="256"/>
      <c r="F283" s="256"/>
      <c r="G283" s="256"/>
      <c r="H283" s="256"/>
      <c r="I283" s="256"/>
      <c r="J283" s="256"/>
      <c r="K283" s="256"/>
    </row>
    <row r="284" spans="1:11" ht="12.75" x14ac:dyDescent="0.2">
      <c r="A284" s="256"/>
      <c r="B284" s="256"/>
      <c r="C284" s="256"/>
      <c r="D284" s="256"/>
      <c r="E284" s="256"/>
      <c r="F284" s="256"/>
      <c r="G284" s="256"/>
      <c r="H284" s="256"/>
      <c r="I284" s="256"/>
      <c r="J284" s="256"/>
      <c r="K284" s="256"/>
    </row>
    <row r="285" spans="1:11" ht="12.75" x14ac:dyDescent="0.2">
      <c r="A285" s="256"/>
      <c r="B285" s="256"/>
      <c r="C285" s="256"/>
      <c r="D285" s="256"/>
      <c r="E285" s="256"/>
      <c r="F285" s="256"/>
      <c r="G285" s="256"/>
      <c r="H285" s="256"/>
      <c r="I285" s="256"/>
      <c r="J285" s="256"/>
      <c r="K285" s="256"/>
    </row>
    <row r="286" spans="1:11" ht="12.75" x14ac:dyDescent="0.2">
      <c r="A286" s="256"/>
      <c r="B286" s="256"/>
      <c r="C286" s="256"/>
      <c r="D286" s="256"/>
      <c r="E286" s="256"/>
      <c r="F286" s="256"/>
      <c r="G286" s="256"/>
      <c r="H286" s="256"/>
      <c r="I286" s="256"/>
      <c r="J286" s="256"/>
      <c r="K286" s="256"/>
    </row>
    <row r="287" spans="1:11" ht="12.75" x14ac:dyDescent="0.2">
      <c r="A287" s="256"/>
      <c r="B287" s="256"/>
      <c r="C287" s="256"/>
      <c r="D287" s="256"/>
      <c r="E287" s="256"/>
      <c r="F287" s="256"/>
      <c r="G287" s="256"/>
      <c r="H287" s="256"/>
      <c r="I287" s="256"/>
      <c r="J287" s="256"/>
      <c r="K287" s="256"/>
    </row>
    <row r="288" spans="1:11" ht="12.75" x14ac:dyDescent="0.2">
      <c r="A288" s="256"/>
      <c r="B288" s="256"/>
      <c r="C288" s="256"/>
      <c r="D288" s="256"/>
      <c r="E288" s="256"/>
      <c r="F288" s="256"/>
      <c r="G288" s="256"/>
      <c r="H288" s="256"/>
      <c r="I288" s="256"/>
      <c r="J288" s="256"/>
      <c r="K288" s="256"/>
    </row>
    <row r="289" spans="1:11" ht="12.75" x14ac:dyDescent="0.2">
      <c r="A289" s="256"/>
      <c r="B289" s="256"/>
      <c r="C289" s="256"/>
      <c r="D289" s="256"/>
      <c r="E289" s="256"/>
      <c r="F289" s="256"/>
      <c r="G289" s="256"/>
      <c r="H289" s="256"/>
      <c r="I289" s="256"/>
      <c r="J289" s="256"/>
      <c r="K289" s="256"/>
    </row>
    <row r="290" spans="1:11" ht="12.75" x14ac:dyDescent="0.2">
      <c r="A290" s="256"/>
      <c r="B290" s="256"/>
      <c r="C290" s="256"/>
      <c r="D290" s="256"/>
      <c r="E290" s="256"/>
      <c r="F290" s="256"/>
      <c r="G290" s="256"/>
      <c r="H290" s="256"/>
      <c r="I290" s="256"/>
      <c r="J290" s="256"/>
      <c r="K290" s="256"/>
    </row>
    <row r="291" spans="1:11" ht="12.75" x14ac:dyDescent="0.2">
      <c r="A291" s="256"/>
      <c r="B291" s="256"/>
      <c r="C291" s="256"/>
      <c r="D291" s="256"/>
      <c r="E291" s="256"/>
      <c r="F291" s="256"/>
      <c r="G291" s="256"/>
      <c r="H291" s="256"/>
      <c r="I291" s="256"/>
      <c r="J291" s="256"/>
      <c r="K291" s="256"/>
    </row>
    <row r="292" spans="1:11" ht="12.75" x14ac:dyDescent="0.2">
      <c r="A292" s="256"/>
      <c r="B292" s="256"/>
      <c r="C292" s="256"/>
      <c r="D292" s="256"/>
      <c r="E292" s="256"/>
      <c r="F292" s="256"/>
      <c r="G292" s="256"/>
      <c r="H292" s="256"/>
      <c r="I292" s="256"/>
      <c r="J292" s="256"/>
      <c r="K292" s="256"/>
    </row>
    <row r="293" spans="1:11" ht="12.75" x14ac:dyDescent="0.2">
      <c r="A293" s="256"/>
      <c r="B293" s="256"/>
      <c r="C293" s="256"/>
      <c r="D293" s="256"/>
      <c r="E293" s="256"/>
      <c r="F293" s="256"/>
      <c r="G293" s="256"/>
      <c r="H293" s="256"/>
      <c r="I293" s="256"/>
      <c r="J293" s="256"/>
      <c r="K293" s="256"/>
    </row>
    <row r="294" spans="1:11" ht="12.75" x14ac:dyDescent="0.2">
      <c r="A294" s="256"/>
      <c r="B294" s="256"/>
      <c r="C294" s="256"/>
      <c r="D294" s="256"/>
      <c r="E294" s="256"/>
      <c r="F294" s="256"/>
      <c r="G294" s="256"/>
      <c r="H294" s="256"/>
      <c r="I294" s="256"/>
      <c r="J294" s="256"/>
      <c r="K294" s="256"/>
    </row>
    <row r="295" spans="1:11" ht="12.75" x14ac:dyDescent="0.2">
      <c r="A295" s="256"/>
      <c r="B295" s="256"/>
      <c r="C295" s="256"/>
      <c r="D295" s="256"/>
      <c r="E295" s="256"/>
      <c r="F295" s="256"/>
      <c r="G295" s="256"/>
      <c r="H295" s="256"/>
      <c r="I295" s="256"/>
      <c r="J295" s="256"/>
      <c r="K295" s="256"/>
    </row>
    <row r="296" spans="1:11" ht="12.75" x14ac:dyDescent="0.2">
      <c r="A296" s="256"/>
      <c r="B296" s="256"/>
      <c r="C296" s="256"/>
      <c r="D296" s="256"/>
      <c r="E296" s="256"/>
      <c r="F296" s="256"/>
      <c r="G296" s="256"/>
      <c r="H296" s="256"/>
      <c r="I296" s="256"/>
      <c r="J296" s="256"/>
      <c r="K296" s="256"/>
    </row>
    <row r="297" spans="1:11" ht="12.75" x14ac:dyDescent="0.2">
      <c r="A297" s="256"/>
      <c r="B297" s="256"/>
      <c r="C297" s="256"/>
      <c r="D297" s="256"/>
      <c r="E297" s="256"/>
      <c r="F297" s="256"/>
      <c r="G297" s="256"/>
      <c r="H297" s="256"/>
      <c r="I297" s="256"/>
      <c r="J297" s="256"/>
      <c r="K297" s="256"/>
    </row>
    <row r="298" spans="1:11" ht="12.75" x14ac:dyDescent="0.2">
      <c r="A298" s="256"/>
      <c r="B298" s="256"/>
      <c r="C298" s="256"/>
      <c r="D298" s="256"/>
      <c r="E298" s="256"/>
      <c r="F298" s="256"/>
      <c r="G298" s="256"/>
      <c r="H298" s="256"/>
      <c r="I298" s="256"/>
      <c r="J298" s="256"/>
      <c r="K298" s="256"/>
    </row>
    <row r="299" spans="1:11" ht="12.75" x14ac:dyDescent="0.2">
      <c r="A299" s="256"/>
      <c r="B299" s="256"/>
      <c r="C299" s="256"/>
      <c r="D299" s="256"/>
      <c r="E299" s="256"/>
      <c r="F299" s="256"/>
      <c r="G299" s="256"/>
      <c r="H299" s="256"/>
      <c r="I299" s="256"/>
      <c r="J299" s="256"/>
      <c r="K299" s="256"/>
    </row>
    <row r="300" spans="1:11" ht="12.75" x14ac:dyDescent="0.2">
      <c r="A300" s="256"/>
      <c r="B300" s="256"/>
      <c r="C300" s="256"/>
      <c r="D300" s="256"/>
      <c r="E300" s="256"/>
      <c r="F300" s="256"/>
      <c r="G300" s="256"/>
      <c r="H300" s="256"/>
      <c r="I300" s="256"/>
      <c r="J300" s="256"/>
      <c r="K300" s="256"/>
    </row>
    <row r="301" spans="1:11" ht="12.75" x14ac:dyDescent="0.2">
      <c r="A301" s="256"/>
      <c r="B301" s="256"/>
      <c r="C301" s="256"/>
      <c r="D301" s="256"/>
      <c r="E301" s="256"/>
      <c r="F301" s="256"/>
      <c r="G301" s="256"/>
      <c r="H301" s="256"/>
      <c r="I301" s="256"/>
      <c r="J301" s="256"/>
      <c r="K301" s="256"/>
    </row>
    <row r="302" spans="1:11" ht="12.75" x14ac:dyDescent="0.2">
      <c r="A302" s="256"/>
      <c r="B302" s="256"/>
      <c r="C302" s="256"/>
      <c r="D302" s="256"/>
      <c r="E302" s="256"/>
      <c r="F302" s="256"/>
      <c r="G302" s="256"/>
      <c r="H302" s="256"/>
      <c r="I302" s="256"/>
      <c r="J302" s="256"/>
      <c r="K302" s="256"/>
    </row>
    <row r="303" spans="1:11" ht="12.75" x14ac:dyDescent="0.2">
      <c r="A303" s="256"/>
      <c r="B303" s="256"/>
      <c r="C303" s="256"/>
      <c r="D303" s="256"/>
      <c r="E303" s="256"/>
      <c r="F303" s="256"/>
      <c r="G303" s="256"/>
      <c r="H303" s="256"/>
      <c r="I303" s="256"/>
      <c r="J303" s="256"/>
      <c r="K303" s="256"/>
    </row>
    <row r="304" spans="1:11" ht="12.75" x14ac:dyDescent="0.2">
      <c r="A304" s="256"/>
      <c r="B304" s="256"/>
      <c r="C304" s="256"/>
      <c r="D304" s="256"/>
      <c r="E304" s="256"/>
      <c r="F304" s="256"/>
      <c r="G304" s="256"/>
      <c r="H304" s="256"/>
      <c r="I304" s="256"/>
      <c r="J304" s="256"/>
      <c r="K304" s="256"/>
    </row>
    <row r="305" spans="1:11" ht="12.75" x14ac:dyDescent="0.2">
      <c r="A305" s="256"/>
      <c r="B305" s="256"/>
      <c r="C305" s="256"/>
      <c r="D305" s="256"/>
      <c r="E305" s="256"/>
      <c r="F305" s="256"/>
      <c r="G305" s="256"/>
      <c r="H305" s="256"/>
      <c r="I305" s="256"/>
      <c r="J305" s="256"/>
      <c r="K305" s="256"/>
    </row>
    <row r="306" spans="1:11" ht="12.75" x14ac:dyDescent="0.2">
      <c r="A306" s="256"/>
      <c r="B306" s="256"/>
      <c r="C306" s="256"/>
      <c r="D306" s="256"/>
      <c r="E306" s="256"/>
      <c r="F306" s="256"/>
      <c r="G306" s="256"/>
      <c r="H306" s="256"/>
      <c r="I306" s="256"/>
      <c r="J306" s="256"/>
      <c r="K306" s="256"/>
    </row>
    <row r="307" spans="1:11" ht="12.75" x14ac:dyDescent="0.2">
      <c r="A307" s="256"/>
      <c r="B307" s="256"/>
      <c r="C307" s="256"/>
      <c r="D307" s="256"/>
      <c r="E307" s="256"/>
      <c r="F307" s="256"/>
      <c r="G307" s="256"/>
      <c r="H307" s="256"/>
      <c r="I307" s="256"/>
      <c r="J307" s="256"/>
      <c r="K307" s="256"/>
    </row>
    <row r="308" spans="1:11" ht="12.75" x14ac:dyDescent="0.2">
      <c r="A308" s="256"/>
      <c r="B308" s="256"/>
      <c r="C308" s="256"/>
      <c r="D308" s="256"/>
      <c r="E308" s="256"/>
      <c r="F308" s="256"/>
      <c r="G308" s="256"/>
      <c r="H308" s="256"/>
      <c r="I308" s="256"/>
      <c r="J308" s="256"/>
      <c r="K308" s="256"/>
    </row>
    <row r="309" spans="1:11" ht="12.75" x14ac:dyDescent="0.2">
      <c r="A309" s="256"/>
      <c r="B309" s="256"/>
      <c r="C309" s="256"/>
      <c r="D309" s="256"/>
      <c r="E309" s="256"/>
      <c r="F309" s="256"/>
      <c r="G309" s="256"/>
      <c r="H309" s="256"/>
      <c r="I309" s="256"/>
      <c r="J309" s="256"/>
      <c r="K309" s="256"/>
    </row>
    <row r="310" spans="1:11" ht="12.75" x14ac:dyDescent="0.2">
      <c r="A310" s="256"/>
      <c r="B310" s="256"/>
      <c r="C310" s="256"/>
      <c r="D310" s="256"/>
      <c r="E310" s="256"/>
      <c r="F310" s="256"/>
      <c r="G310" s="256"/>
      <c r="H310" s="256"/>
      <c r="I310" s="256"/>
      <c r="J310" s="256"/>
      <c r="K310" s="256"/>
    </row>
    <row r="311" spans="1:11" ht="12.75" x14ac:dyDescent="0.2">
      <c r="A311" s="256"/>
      <c r="B311" s="256"/>
      <c r="C311" s="256"/>
      <c r="D311" s="256"/>
      <c r="E311" s="256"/>
      <c r="F311" s="256"/>
      <c r="G311" s="256"/>
      <c r="H311" s="256"/>
      <c r="I311" s="256"/>
      <c r="J311" s="256"/>
      <c r="K311" s="256"/>
    </row>
    <row r="312" spans="1:11" ht="12.75" x14ac:dyDescent="0.2">
      <c r="A312" s="256"/>
      <c r="B312" s="256"/>
      <c r="C312" s="256"/>
      <c r="D312" s="256"/>
      <c r="E312" s="256"/>
      <c r="F312" s="256"/>
      <c r="G312" s="256"/>
      <c r="H312" s="256"/>
      <c r="I312" s="256"/>
      <c r="J312" s="256"/>
      <c r="K312" s="256"/>
    </row>
    <row r="313" spans="1:11" ht="12.75" x14ac:dyDescent="0.2">
      <c r="A313" s="256"/>
      <c r="B313" s="256"/>
      <c r="C313" s="256"/>
      <c r="D313" s="256"/>
      <c r="E313" s="256"/>
      <c r="F313" s="256"/>
      <c r="G313" s="256"/>
      <c r="H313" s="256"/>
      <c r="I313" s="256"/>
      <c r="J313" s="256"/>
      <c r="K313" s="256"/>
    </row>
    <row r="314" spans="1:11" ht="12.75" x14ac:dyDescent="0.2">
      <c r="A314" s="256"/>
      <c r="B314" s="256"/>
      <c r="C314" s="256"/>
      <c r="D314" s="256"/>
      <c r="E314" s="256"/>
      <c r="F314" s="256"/>
      <c r="G314" s="256"/>
      <c r="H314" s="256"/>
      <c r="I314" s="256"/>
      <c r="J314" s="256"/>
      <c r="K314" s="256"/>
    </row>
    <row r="315" spans="1:11" ht="12.75" x14ac:dyDescent="0.2">
      <c r="A315" s="256"/>
      <c r="B315" s="256"/>
      <c r="C315" s="256"/>
      <c r="D315" s="256"/>
      <c r="E315" s="256"/>
      <c r="F315" s="256"/>
      <c r="G315" s="256"/>
      <c r="H315" s="256"/>
      <c r="I315" s="256"/>
      <c r="J315" s="256"/>
      <c r="K315" s="256"/>
    </row>
    <row r="316" spans="1:11" ht="12.75" x14ac:dyDescent="0.2">
      <c r="A316" s="256"/>
      <c r="B316" s="256"/>
      <c r="C316" s="256"/>
      <c r="D316" s="256"/>
      <c r="E316" s="256"/>
      <c r="F316" s="256"/>
      <c r="G316" s="256"/>
      <c r="H316" s="256"/>
      <c r="I316" s="256"/>
      <c r="J316" s="256"/>
      <c r="K316" s="256"/>
    </row>
    <row r="317" spans="1:11" ht="12.75" x14ac:dyDescent="0.2">
      <c r="A317" s="256"/>
      <c r="B317" s="256"/>
      <c r="C317" s="256"/>
      <c r="D317" s="256"/>
      <c r="E317" s="256"/>
      <c r="F317" s="256"/>
      <c r="G317" s="256"/>
      <c r="H317" s="256"/>
      <c r="I317" s="256"/>
      <c r="J317" s="256"/>
      <c r="K317" s="256"/>
    </row>
    <row r="318" spans="1:11" ht="12.75" x14ac:dyDescent="0.2">
      <c r="A318" s="256"/>
      <c r="B318" s="256"/>
      <c r="C318" s="256"/>
      <c r="D318" s="256"/>
      <c r="E318" s="256"/>
      <c r="F318" s="256"/>
      <c r="G318" s="256"/>
      <c r="H318" s="256"/>
      <c r="I318" s="256"/>
      <c r="J318" s="256"/>
      <c r="K318" s="256"/>
    </row>
    <row r="319" spans="1:11" ht="12.75" x14ac:dyDescent="0.2">
      <c r="A319" s="256"/>
      <c r="B319" s="256"/>
      <c r="C319" s="256"/>
      <c r="D319" s="256"/>
      <c r="E319" s="256"/>
      <c r="F319" s="256"/>
      <c r="G319" s="256"/>
      <c r="H319" s="256"/>
      <c r="I319" s="256"/>
      <c r="J319" s="256"/>
      <c r="K319" s="256"/>
    </row>
    <row r="320" spans="1:11" ht="12.75" x14ac:dyDescent="0.2">
      <c r="A320" s="256"/>
      <c r="B320" s="256"/>
      <c r="C320" s="256"/>
      <c r="D320" s="256"/>
      <c r="E320" s="256"/>
      <c r="F320" s="256"/>
      <c r="G320" s="256"/>
      <c r="H320" s="256"/>
      <c r="I320" s="256"/>
      <c r="J320" s="256"/>
      <c r="K320" s="256"/>
    </row>
    <row r="321" spans="1:11" ht="12.75" x14ac:dyDescent="0.2">
      <c r="A321" s="256"/>
      <c r="B321" s="256"/>
      <c r="C321" s="256"/>
      <c r="D321" s="256"/>
      <c r="E321" s="256"/>
      <c r="F321" s="256"/>
      <c r="G321" s="256"/>
      <c r="H321" s="256"/>
      <c r="I321" s="256"/>
      <c r="J321" s="256"/>
      <c r="K321" s="256"/>
    </row>
    <row r="322" spans="1:11" ht="12.75" x14ac:dyDescent="0.2">
      <c r="A322" s="256"/>
      <c r="B322" s="256"/>
      <c r="C322" s="256"/>
      <c r="D322" s="256"/>
      <c r="E322" s="256"/>
      <c r="F322" s="256"/>
      <c r="G322" s="256"/>
      <c r="H322" s="256"/>
      <c r="I322" s="256"/>
      <c r="J322" s="256"/>
      <c r="K322" s="256"/>
    </row>
    <row r="323" spans="1:11" ht="12.75" x14ac:dyDescent="0.2">
      <c r="A323" s="256"/>
      <c r="B323" s="256"/>
      <c r="C323" s="256"/>
      <c r="D323" s="256"/>
      <c r="E323" s="256"/>
      <c r="F323" s="256"/>
      <c r="G323" s="256"/>
      <c r="H323" s="256"/>
      <c r="I323" s="256"/>
      <c r="J323" s="256"/>
      <c r="K323" s="256"/>
    </row>
    <row r="324" spans="1:11" ht="12.75" x14ac:dyDescent="0.2">
      <c r="A324" s="256"/>
      <c r="B324" s="256"/>
      <c r="C324" s="256"/>
      <c r="D324" s="256"/>
      <c r="E324" s="256"/>
      <c r="F324" s="256"/>
      <c r="G324" s="256"/>
      <c r="H324" s="256"/>
      <c r="I324" s="256"/>
      <c r="J324" s="256"/>
      <c r="K324" s="256"/>
    </row>
    <row r="325" spans="1:11" ht="12.75" x14ac:dyDescent="0.2">
      <c r="A325" s="256"/>
      <c r="B325" s="256"/>
      <c r="C325" s="256"/>
      <c r="D325" s="256"/>
      <c r="E325" s="256"/>
      <c r="F325" s="256"/>
      <c r="G325" s="256"/>
      <c r="H325" s="256"/>
      <c r="I325" s="256"/>
      <c r="J325" s="256"/>
      <c r="K325" s="256"/>
    </row>
    <row r="326" spans="1:11" ht="12.75" x14ac:dyDescent="0.2">
      <c r="A326" s="256"/>
      <c r="B326" s="256"/>
      <c r="C326" s="256"/>
      <c r="D326" s="256"/>
      <c r="E326" s="256"/>
      <c r="F326" s="256"/>
      <c r="G326" s="256"/>
      <c r="H326" s="256"/>
      <c r="I326" s="256"/>
      <c r="J326" s="256"/>
      <c r="K326" s="256"/>
    </row>
    <row r="327" spans="1:11" ht="12.75" x14ac:dyDescent="0.2">
      <c r="A327" s="256"/>
      <c r="B327" s="256"/>
      <c r="C327" s="256"/>
      <c r="D327" s="256"/>
      <c r="E327" s="256"/>
      <c r="F327" s="256"/>
      <c r="G327" s="256"/>
      <c r="H327" s="256"/>
      <c r="I327" s="256"/>
      <c r="J327" s="256"/>
      <c r="K327" s="256"/>
    </row>
    <row r="328" spans="1:11" ht="12.75" x14ac:dyDescent="0.2">
      <c r="A328" s="256"/>
      <c r="B328" s="256"/>
      <c r="C328" s="256"/>
      <c r="D328" s="256"/>
      <c r="E328" s="256"/>
      <c r="F328" s="256"/>
      <c r="G328" s="256"/>
      <c r="H328" s="256"/>
      <c r="I328" s="256"/>
      <c r="J328" s="256"/>
      <c r="K328" s="256"/>
    </row>
    <row r="329" spans="1:11" ht="12.75" x14ac:dyDescent="0.2">
      <c r="A329" s="256"/>
      <c r="B329" s="256"/>
      <c r="C329" s="256"/>
      <c r="D329" s="256"/>
      <c r="E329" s="256"/>
      <c r="F329" s="256"/>
      <c r="G329" s="256"/>
      <c r="H329" s="256"/>
      <c r="I329" s="256"/>
      <c r="J329" s="256"/>
      <c r="K329" s="256"/>
    </row>
    <row r="330" spans="1:11" ht="12.75" x14ac:dyDescent="0.2">
      <c r="A330" s="256"/>
      <c r="B330" s="256"/>
      <c r="C330" s="256"/>
      <c r="D330" s="256"/>
      <c r="E330" s="256"/>
      <c r="F330" s="256"/>
      <c r="G330" s="256"/>
      <c r="H330" s="256"/>
      <c r="I330" s="256"/>
      <c r="J330" s="256"/>
      <c r="K330" s="256"/>
    </row>
    <row r="331" spans="1:11" ht="12.75" x14ac:dyDescent="0.2">
      <c r="A331" s="256"/>
      <c r="B331" s="256"/>
      <c r="C331" s="256"/>
      <c r="D331" s="256"/>
      <c r="E331" s="256"/>
      <c r="F331" s="256"/>
      <c r="G331" s="256"/>
      <c r="H331" s="256"/>
      <c r="I331" s="256"/>
      <c r="J331" s="256"/>
      <c r="K331" s="256"/>
    </row>
    <row r="332" spans="1:11" ht="12.75" x14ac:dyDescent="0.2">
      <c r="A332" s="256"/>
      <c r="B332" s="256"/>
      <c r="C332" s="256"/>
      <c r="D332" s="256"/>
      <c r="E332" s="256"/>
      <c r="F332" s="256"/>
      <c r="G332" s="256"/>
      <c r="H332" s="256"/>
      <c r="I332" s="256"/>
      <c r="J332" s="256"/>
      <c r="K332" s="256"/>
    </row>
    <row r="333" spans="1:11" ht="12.75" x14ac:dyDescent="0.2">
      <c r="A333" s="256"/>
      <c r="B333" s="256"/>
      <c r="C333" s="256"/>
      <c r="D333" s="256"/>
      <c r="E333" s="256"/>
      <c r="F333" s="256"/>
      <c r="G333" s="256"/>
      <c r="H333" s="256"/>
      <c r="I333" s="256"/>
      <c r="J333" s="256"/>
      <c r="K333" s="256"/>
    </row>
    <row r="334" spans="1:11" ht="12.75" x14ac:dyDescent="0.2">
      <c r="A334" s="256"/>
      <c r="B334" s="256"/>
      <c r="C334" s="256"/>
      <c r="D334" s="256"/>
      <c r="E334" s="256"/>
      <c r="F334" s="256"/>
      <c r="G334" s="256"/>
      <c r="H334" s="256"/>
      <c r="I334" s="256"/>
      <c r="J334" s="256"/>
      <c r="K334" s="256"/>
    </row>
    <row r="335" spans="1:11" ht="12.75" x14ac:dyDescent="0.2">
      <c r="A335" s="256"/>
      <c r="B335" s="256"/>
      <c r="C335" s="256"/>
      <c r="D335" s="256"/>
      <c r="E335" s="256"/>
      <c r="F335" s="256"/>
      <c r="G335" s="256"/>
      <c r="H335" s="256"/>
      <c r="I335" s="256"/>
      <c r="J335" s="256"/>
      <c r="K335" s="256"/>
    </row>
    <row r="336" spans="1:11" ht="12.75" x14ac:dyDescent="0.2">
      <c r="A336" s="256"/>
      <c r="B336" s="256"/>
      <c r="C336" s="256"/>
      <c r="D336" s="256"/>
      <c r="E336" s="256"/>
      <c r="F336" s="256"/>
      <c r="G336" s="256"/>
      <c r="H336" s="256"/>
      <c r="I336" s="256"/>
      <c r="J336" s="256"/>
      <c r="K336" s="256"/>
    </row>
    <row r="337" spans="1:11" ht="12.75" x14ac:dyDescent="0.2">
      <c r="A337" s="256"/>
      <c r="B337" s="256"/>
      <c r="C337" s="256"/>
      <c r="D337" s="256"/>
      <c r="E337" s="256"/>
      <c r="F337" s="256"/>
      <c r="G337" s="256"/>
      <c r="H337" s="256"/>
      <c r="I337" s="256"/>
      <c r="J337" s="256"/>
      <c r="K337" s="256"/>
    </row>
    <row r="338" spans="1:11" ht="12.75" x14ac:dyDescent="0.2">
      <c r="A338" s="256"/>
      <c r="B338" s="256"/>
      <c r="C338" s="256"/>
      <c r="D338" s="256"/>
      <c r="E338" s="256"/>
      <c r="F338" s="256"/>
      <c r="G338" s="256"/>
      <c r="H338" s="256"/>
      <c r="I338" s="256"/>
      <c r="J338" s="256"/>
      <c r="K338" s="256"/>
    </row>
    <row r="339" spans="1:11" ht="12.75" x14ac:dyDescent="0.2">
      <c r="A339" s="256"/>
      <c r="B339" s="256"/>
      <c r="C339" s="256"/>
      <c r="D339" s="256"/>
      <c r="E339" s="256"/>
      <c r="F339" s="256"/>
      <c r="G339" s="256"/>
      <c r="H339" s="256"/>
      <c r="I339" s="256"/>
      <c r="J339" s="256"/>
      <c r="K339" s="256"/>
    </row>
    <row r="340" spans="1:11" ht="12.75" x14ac:dyDescent="0.2">
      <c r="A340" s="256"/>
      <c r="B340" s="256"/>
      <c r="C340" s="256"/>
      <c r="D340" s="256"/>
      <c r="E340" s="256"/>
      <c r="F340" s="256"/>
      <c r="G340" s="256"/>
      <c r="H340" s="256"/>
      <c r="I340" s="256"/>
      <c r="J340" s="256"/>
      <c r="K340" s="256"/>
    </row>
    <row r="341" spans="1:11" ht="12.75" x14ac:dyDescent="0.2">
      <c r="A341" s="256"/>
      <c r="B341" s="256"/>
      <c r="C341" s="256"/>
      <c r="D341" s="256"/>
      <c r="E341" s="256"/>
      <c r="F341" s="256"/>
      <c r="G341" s="256"/>
      <c r="H341" s="256"/>
      <c r="I341" s="256"/>
      <c r="J341" s="256"/>
      <c r="K341" s="256"/>
    </row>
    <row r="342" spans="1:11" ht="12.75" x14ac:dyDescent="0.2">
      <c r="A342" s="256"/>
      <c r="B342" s="256"/>
      <c r="C342" s="256"/>
      <c r="D342" s="256"/>
      <c r="E342" s="256"/>
      <c r="F342" s="256"/>
      <c r="G342" s="256"/>
      <c r="H342" s="256"/>
      <c r="I342" s="256"/>
      <c r="J342" s="256"/>
      <c r="K342" s="256"/>
    </row>
    <row r="343" spans="1:11" ht="12.75" x14ac:dyDescent="0.2">
      <c r="A343" s="256"/>
      <c r="B343" s="256"/>
      <c r="C343" s="256"/>
      <c r="D343" s="256"/>
      <c r="E343" s="256"/>
      <c r="F343" s="256"/>
      <c r="G343" s="256"/>
      <c r="H343" s="256"/>
      <c r="I343" s="256"/>
      <c r="J343" s="256"/>
      <c r="K343" s="256"/>
    </row>
    <row r="344" spans="1:11" ht="12.75" x14ac:dyDescent="0.2">
      <c r="A344" s="256"/>
      <c r="B344" s="256"/>
      <c r="C344" s="256"/>
      <c r="D344" s="256"/>
      <c r="E344" s="256"/>
      <c r="F344" s="256"/>
      <c r="G344" s="256"/>
      <c r="H344" s="256"/>
      <c r="I344" s="256"/>
      <c r="J344" s="256"/>
      <c r="K344" s="256"/>
    </row>
    <row r="345" spans="1:11" ht="12.75" x14ac:dyDescent="0.2">
      <c r="A345" s="256"/>
      <c r="B345" s="256"/>
      <c r="C345" s="256"/>
      <c r="D345" s="256"/>
      <c r="E345" s="256"/>
      <c r="F345" s="256"/>
      <c r="G345" s="256"/>
      <c r="H345" s="256"/>
      <c r="I345" s="256"/>
      <c r="J345" s="256"/>
      <c r="K345" s="256"/>
    </row>
    <row r="346" spans="1:11" ht="12.75" x14ac:dyDescent="0.2">
      <c r="A346" s="256"/>
      <c r="B346" s="256"/>
      <c r="C346" s="256"/>
      <c r="D346" s="256"/>
      <c r="E346" s="256"/>
      <c r="F346" s="256"/>
      <c r="G346" s="256"/>
      <c r="H346" s="256"/>
      <c r="I346" s="256"/>
      <c r="J346" s="256"/>
      <c r="K346" s="256"/>
    </row>
    <row r="347" spans="1:11" ht="12.75" x14ac:dyDescent="0.2">
      <c r="A347" s="256"/>
      <c r="B347" s="256"/>
      <c r="C347" s="256"/>
      <c r="D347" s="256"/>
      <c r="E347" s="256"/>
      <c r="F347" s="256"/>
      <c r="G347" s="256"/>
      <c r="H347" s="256"/>
      <c r="I347" s="256"/>
      <c r="J347" s="256"/>
      <c r="K347" s="256"/>
    </row>
    <row r="348" spans="1:11" ht="12.75" x14ac:dyDescent="0.2">
      <c r="A348" s="256"/>
      <c r="B348" s="256"/>
      <c r="C348" s="256"/>
      <c r="D348" s="256"/>
      <c r="E348" s="256"/>
      <c r="F348" s="256"/>
      <c r="G348" s="256"/>
      <c r="H348" s="256"/>
      <c r="I348" s="256"/>
      <c r="J348" s="256"/>
      <c r="K348" s="256"/>
    </row>
    <row r="349" spans="1:11" ht="12.75" x14ac:dyDescent="0.2">
      <c r="A349" s="256"/>
      <c r="B349" s="256"/>
      <c r="C349" s="256"/>
      <c r="D349" s="256"/>
      <c r="E349" s="256"/>
      <c r="F349" s="256"/>
      <c r="G349" s="256"/>
      <c r="H349" s="256"/>
      <c r="I349" s="256"/>
      <c r="J349" s="256"/>
      <c r="K349" s="256"/>
    </row>
    <row r="350" spans="1:11" ht="12.75" x14ac:dyDescent="0.2">
      <c r="A350" s="256"/>
      <c r="B350" s="256"/>
      <c r="C350" s="256"/>
      <c r="D350" s="256"/>
      <c r="E350" s="256"/>
      <c r="F350" s="256"/>
      <c r="G350" s="256"/>
      <c r="H350" s="256"/>
      <c r="I350" s="256"/>
      <c r="J350" s="256"/>
      <c r="K350" s="256"/>
    </row>
    <row r="351" spans="1:11" ht="12.75" x14ac:dyDescent="0.2">
      <c r="A351" s="256"/>
      <c r="B351" s="256"/>
      <c r="C351" s="256"/>
      <c r="D351" s="256"/>
      <c r="E351" s="256"/>
      <c r="F351" s="256"/>
      <c r="G351" s="256"/>
      <c r="H351" s="256"/>
      <c r="I351" s="256"/>
      <c r="J351" s="256"/>
      <c r="K351" s="256"/>
    </row>
    <row r="352" spans="1:11" ht="12.75" x14ac:dyDescent="0.2">
      <c r="A352" s="256"/>
      <c r="B352" s="256"/>
      <c r="C352" s="256"/>
      <c r="D352" s="256"/>
      <c r="E352" s="256"/>
      <c r="F352" s="256"/>
      <c r="G352" s="256"/>
      <c r="H352" s="256"/>
      <c r="I352" s="256"/>
      <c r="J352" s="256"/>
      <c r="K352" s="256"/>
    </row>
    <row r="353" spans="1:11" ht="12.75" x14ac:dyDescent="0.2">
      <c r="A353" s="256"/>
      <c r="B353" s="256"/>
      <c r="C353" s="256"/>
      <c r="D353" s="256"/>
      <c r="E353" s="256"/>
      <c r="F353" s="256"/>
      <c r="G353" s="256"/>
      <c r="H353" s="256"/>
      <c r="I353" s="256"/>
      <c r="J353" s="256"/>
      <c r="K353" s="256"/>
    </row>
    <row r="354" spans="1:11" ht="12.75" x14ac:dyDescent="0.2">
      <c r="A354" s="256"/>
      <c r="B354" s="256"/>
      <c r="C354" s="256"/>
      <c r="D354" s="256"/>
      <c r="E354" s="256"/>
      <c r="F354" s="256"/>
      <c r="G354" s="256"/>
      <c r="H354" s="256"/>
      <c r="I354" s="256"/>
      <c r="J354" s="256"/>
      <c r="K354" s="256"/>
    </row>
    <row r="355" spans="1:11" ht="12.75" x14ac:dyDescent="0.2">
      <c r="A355" s="256"/>
      <c r="B355" s="256"/>
      <c r="C355" s="256"/>
      <c r="D355" s="256"/>
      <c r="E355" s="256"/>
      <c r="F355" s="256"/>
      <c r="G355" s="256"/>
      <c r="H355" s="256"/>
      <c r="I355" s="256"/>
      <c r="J355" s="256"/>
      <c r="K355" s="256"/>
    </row>
    <row r="356" spans="1:11" ht="12.75" x14ac:dyDescent="0.2">
      <c r="A356" s="256"/>
      <c r="B356" s="256"/>
      <c r="C356" s="256"/>
      <c r="D356" s="256"/>
      <c r="E356" s="256"/>
      <c r="F356" s="256"/>
      <c r="G356" s="256"/>
      <c r="H356" s="256"/>
      <c r="I356" s="256"/>
      <c r="J356" s="256"/>
      <c r="K356" s="256"/>
    </row>
    <row r="357" spans="1:11" ht="12.75" x14ac:dyDescent="0.2">
      <c r="A357" s="256"/>
      <c r="B357" s="256"/>
      <c r="C357" s="256"/>
      <c r="D357" s="256"/>
      <c r="E357" s="256"/>
      <c r="F357" s="256"/>
      <c r="G357" s="256"/>
      <c r="H357" s="256"/>
      <c r="I357" s="256"/>
      <c r="J357" s="256"/>
      <c r="K357" s="256"/>
    </row>
    <row r="358" spans="1:11" ht="12.75" x14ac:dyDescent="0.2">
      <c r="A358" s="256"/>
      <c r="B358" s="256"/>
      <c r="C358" s="256"/>
      <c r="D358" s="256"/>
      <c r="E358" s="256"/>
      <c r="F358" s="256"/>
      <c r="G358" s="256"/>
      <c r="H358" s="256"/>
      <c r="I358" s="256"/>
      <c r="J358" s="256"/>
      <c r="K358" s="256"/>
    </row>
    <row r="359" spans="1:11" ht="12.75" x14ac:dyDescent="0.2">
      <c r="A359" s="256"/>
      <c r="B359" s="256"/>
      <c r="C359" s="256"/>
      <c r="D359" s="256"/>
      <c r="E359" s="256"/>
      <c r="F359" s="256"/>
      <c r="G359" s="256"/>
      <c r="H359" s="256"/>
      <c r="I359" s="256"/>
      <c r="J359" s="256"/>
      <c r="K359" s="256"/>
    </row>
    <row r="360" spans="1:11" ht="12.75" x14ac:dyDescent="0.2">
      <c r="A360" s="256"/>
      <c r="B360" s="256"/>
      <c r="C360" s="256"/>
      <c r="D360" s="256"/>
      <c r="E360" s="256"/>
      <c r="F360" s="256"/>
      <c r="G360" s="256"/>
      <c r="H360" s="256"/>
      <c r="I360" s="256"/>
      <c r="J360" s="256"/>
      <c r="K360" s="256"/>
    </row>
    <row r="361" spans="1:11" ht="12.75" x14ac:dyDescent="0.2">
      <c r="A361" s="256"/>
      <c r="B361" s="256"/>
      <c r="C361" s="256"/>
      <c r="D361" s="256"/>
      <c r="E361" s="256"/>
      <c r="F361" s="256"/>
      <c r="G361" s="256"/>
      <c r="H361" s="256"/>
      <c r="I361" s="256"/>
      <c r="J361" s="256"/>
      <c r="K361" s="256"/>
    </row>
    <row r="362" spans="1:11" ht="12.75" x14ac:dyDescent="0.2">
      <c r="A362" s="256"/>
      <c r="B362" s="256"/>
      <c r="C362" s="256"/>
      <c r="D362" s="256"/>
      <c r="E362" s="256"/>
      <c r="F362" s="256"/>
      <c r="G362" s="256"/>
      <c r="H362" s="256"/>
      <c r="I362" s="256"/>
      <c r="J362" s="256"/>
      <c r="K362" s="256"/>
    </row>
    <row r="363" spans="1:11" ht="12.75" x14ac:dyDescent="0.2">
      <c r="A363" s="256"/>
      <c r="B363" s="256"/>
      <c r="C363" s="256"/>
      <c r="D363" s="256"/>
      <c r="E363" s="256"/>
      <c r="F363" s="256"/>
      <c r="G363" s="256"/>
      <c r="H363" s="256"/>
      <c r="I363" s="256"/>
      <c r="J363" s="256"/>
      <c r="K363" s="256"/>
    </row>
    <row r="364" spans="1:11" ht="12.75" x14ac:dyDescent="0.2">
      <c r="A364" s="256"/>
      <c r="B364" s="256"/>
      <c r="C364" s="256"/>
      <c r="D364" s="256"/>
      <c r="E364" s="256"/>
      <c r="F364" s="256"/>
      <c r="G364" s="256"/>
      <c r="H364" s="256"/>
      <c r="I364" s="256"/>
      <c r="J364" s="256"/>
      <c r="K364" s="256"/>
    </row>
    <row r="365" spans="1:11" ht="12.75" x14ac:dyDescent="0.2">
      <c r="A365" s="256"/>
      <c r="B365" s="256"/>
      <c r="C365" s="256"/>
      <c r="D365" s="256"/>
      <c r="E365" s="256"/>
      <c r="F365" s="256"/>
      <c r="G365" s="256"/>
      <c r="H365" s="256"/>
      <c r="I365" s="256"/>
      <c r="J365" s="256"/>
      <c r="K365" s="256"/>
    </row>
    <row r="366" spans="1:11" ht="12.75" x14ac:dyDescent="0.2">
      <c r="A366" s="256"/>
      <c r="B366" s="256"/>
      <c r="C366" s="256"/>
      <c r="D366" s="256"/>
      <c r="E366" s="256"/>
      <c r="F366" s="256"/>
      <c r="G366" s="256"/>
      <c r="H366" s="256"/>
      <c r="I366" s="256"/>
      <c r="J366" s="256"/>
      <c r="K366" s="256"/>
    </row>
    <row r="367" spans="1:11" ht="12.75" x14ac:dyDescent="0.2">
      <c r="A367" s="256"/>
      <c r="B367" s="256"/>
      <c r="C367" s="256"/>
      <c r="D367" s="256"/>
      <c r="E367" s="256"/>
      <c r="F367" s="256"/>
      <c r="G367" s="256"/>
      <c r="H367" s="256"/>
      <c r="I367" s="256"/>
      <c r="J367" s="256"/>
      <c r="K367" s="256"/>
    </row>
    <row r="368" spans="1:11" ht="12.75" x14ac:dyDescent="0.2">
      <c r="A368" s="256"/>
      <c r="B368" s="256"/>
      <c r="C368" s="256"/>
      <c r="D368" s="256"/>
      <c r="E368" s="256"/>
      <c r="F368" s="256"/>
      <c r="G368" s="256"/>
      <c r="H368" s="256"/>
      <c r="I368" s="256"/>
      <c r="J368" s="256"/>
      <c r="K368" s="256"/>
    </row>
    <row r="369" spans="1:11" ht="12.75" x14ac:dyDescent="0.2">
      <c r="A369" s="256"/>
      <c r="B369" s="256"/>
      <c r="C369" s="256"/>
      <c r="D369" s="256"/>
      <c r="E369" s="256"/>
      <c r="F369" s="256"/>
      <c r="G369" s="256"/>
      <c r="H369" s="256"/>
      <c r="I369" s="256"/>
      <c r="J369" s="256"/>
      <c r="K369" s="256"/>
    </row>
    <row r="370" spans="1:11" ht="12.75" x14ac:dyDescent="0.2">
      <c r="A370" s="256"/>
      <c r="B370" s="256"/>
      <c r="C370" s="256"/>
      <c r="D370" s="256"/>
      <c r="E370" s="256"/>
      <c r="F370" s="256"/>
      <c r="G370" s="256"/>
      <c r="H370" s="256"/>
      <c r="I370" s="256"/>
      <c r="J370" s="256"/>
      <c r="K370" s="256"/>
    </row>
    <row r="371" spans="1:11" ht="12.75" x14ac:dyDescent="0.2">
      <c r="A371" s="256"/>
      <c r="B371" s="256"/>
      <c r="C371" s="256"/>
      <c r="D371" s="256"/>
      <c r="E371" s="256"/>
      <c r="F371" s="256"/>
      <c r="G371" s="256"/>
      <c r="H371" s="256"/>
      <c r="I371" s="256"/>
      <c r="J371" s="256"/>
      <c r="K371" s="256"/>
    </row>
    <row r="372" spans="1:11" ht="12.75" x14ac:dyDescent="0.2">
      <c r="A372" s="256"/>
      <c r="B372" s="256"/>
      <c r="C372" s="256"/>
      <c r="D372" s="256"/>
      <c r="E372" s="256"/>
      <c r="F372" s="256"/>
      <c r="G372" s="256"/>
      <c r="H372" s="256"/>
      <c r="I372" s="256"/>
      <c r="J372" s="256"/>
      <c r="K372" s="256"/>
    </row>
    <row r="373" spans="1:11" ht="12.75" x14ac:dyDescent="0.2">
      <c r="A373" s="256"/>
      <c r="B373" s="256"/>
      <c r="C373" s="256"/>
      <c r="D373" s="256"/>
      <c r="E373" s="256"/>
      <c r="F373" s="256"/>
      <c r="G373" s="256"/>
      <c r="H373" s="256"/>
      <c r="I373" s="256"/>
      <c r="J373" s="256"/>
      <c r="K373" s="256"/>
    </row>
    <row r="374" spans="1:11" ht="12.75" x14ac:dyDescent="0.2">
      <c r="A374" s="256"/>
      <c r="B374" s="256"/>
      <c r="C374" s="256"/>
      <c r="D374" s="256"/>
      <c r="E374" s="256"/>
      <c r="F374" s="256"/>
      <c r="G374" s="256"/>
      <c r="H374" s="256"/>
      <c r="I374" s="256"/>
      <c r="J374" s="256"/>
      <c r="K374" s="256"/>
    </row>
    <row r="375" spans="1:11" ht="12.75" x14ac:dyDescent="0.2">
      <c r="A375" s="256"/>
      <c r="B375" s="256"/>
      <c r="C375" s="256"/>
      <c r="D375" s="256"/>
      <c r="E375" s="256"/>
      <c r="F375" s="256"/>
      <c r="G375" s="256"/>
      <c r="H375" s="256"/>
      <c r="I375" s="256"/>
      <c r="J375" s="256"/>
      <c r="K375" s="256"/>
    </row>
    <row r="376" spans="1:11" ht="12.75" x14ac:dyDescent="0.2">
      <c r="A376" s="256"/>
      <c r="B376" s="256"/>
      <c r="C376" s="256"/>
      <c r="D376" s="256"/>
      <c r="E376" s="256"/>
      <c r="F376" s="256"/>
      <c r="G376" s="256"/>
      <c r="H376" s="256"/>
      <c r="I376" s="256"/>
      <c r="J376" s="256"/>
      <c r="K376" s="256"/>
    </row>
    <row r="377" spans="1:11" ht="12.75" x14ac:dyDescent="0.2">
      <c r="A377" s="256"/>
      <c r="B377" s="256"/>
      <c r="C377" s="256"/>
      <c r="D377" s="256"/>
      <c r="E377" s="256"/>
      <c r="F377" s="256"/>
      <c r="G377" s="256"/>
      <c r="H377" s="256"/>
      <c r="I377" s="256"/>
      <c r="J377" s="256"/>
      <c r="K377" s="256"/>
    </row>
    <row r="378" spans="1:11" ht="12.75" x14ac:dyDescent="0.2">
      <c r="A378" s="256"/>
      <c r="B378" s="256"/>
      <c r="C378" s="256"/>
      <c r="D378" s="256"/>
      <c r="E378" s="256"/>
      <c r="F378" s="256"/>
      <c r="G378" s="256"/>
      <c r="H378" s="256"/>
      <c r="I378" s="256"/>
      <c r="J378" s="256"/>
      <c r="K378" s="256"/>
    </row>
    <row r="379" spans="1:11" ht="12.75" x14ac:dyDescent="0.2">
      <c r="A379" s="256"/>
      <c r="B379" s="256"/>
      <c r="C379" s="256"/>
      <c r="D379" s="256"/>
      <c r="E379" s="256"/>
      <c r="F379" s="256"/>
      <c r="G379" s="256"/>
      <c r="H379" s="256"/>
      <c r="I379" s="256"/>
      <c r="J379" s="256"/>
      <c r="K379" s="256"/>
    </row>
    <row r="380" spans="1:11" ht="12.75" x14ac:dyDescent="0.2">
      <c r="A380" s="256"/>
      <c r="B380" s="256"/>
      <c r="C380" s="256"/>
      <c r="D380" s="256"/>
      <c r="E380" s="256"/>
      <c r="F380" s="256"/>
      <c r="G380" s="256"/>
      <c r="H380" s="256"/>
      <c r="I380" s="256"/>
      <c r="J380" s="256"/>
      <c r="K380" s="256"/>
    </row>
    <row r="381" spans="1:11" ht="12.75" x14ac:dyDescent="0.2">
      <c r="A381" s="256"/>
      <c r="B381" s="256"/>
      <c r="C381" s="256"/>
      <c r="D381" s="256"/>
      <c r="E381" s="256"/>
      <c r="F381" s="256"/>
      <c r="G381" s="256"/>
      <c r="H381" s="256"/>
      <c r="I381" s="256"/>
      <c r="J381" s="256"/>
      <c r="K381" s="256"/>
    </row>
    <row r="382" spans="1:11" ht="12.75" x14ac:dyDescent="0.2">
      <c r="A382" s="256"/>
      <c r="B382" s="256"/>
      <c r="C382" s="256"/>
      <c r="D382" s="256"/>
      <c r="E382" s="256"/>
      <c r="F382" s="256"/>
      <c r="G382" s="256"/>
      <c r="H382" s="256"/>
      <c r="I382" s="256"/>
      <c r="J382" s="256"/>
      <c r="K382" s="256"/>
    </row>
    <row r="383" spans="1:11" ht="12.75" x14ac:dyDescent="0.2">
      <c r="A383" s="256"/>
      <c r="B383" s="256"/>
      <c r="C383" s="256"/>
      <c r="D383" s="256"/>
      <c r="E383" s="256"/>
      <c r="F383" s="256"/>
      <c r="G383" s="256"/>
      <c r="H383" s="256"/>
      <c r="I383" s="256"/>
      <c r="J383" s="256"/>
      <c r="K383" s="256"/>
    </row>
    <row r="384" spans="1:11" ht="12.75" x14ac:dyDescent="0.2">
      <c r="A384" s="256"/>
      <c r="B384" s="256"/>
      <c r="C384" s="256"/>
      <c r="D384" s="256"/>
      <c r="E384" s="256"/>
      <c r="F384" s="256"/>
      <c r="G384" s="256"/>
      <c r="H384" s="256"/>
      <c r="I384" s="256"/>
      <c r="J384" s="256"/>
      <c r="K384" s="256"/>
    </row>
    <row r="385" spans="1:11" ht="12.75" x14ac:dyDescent="0.2">
      <c r="A385" s="256"/>
      <c r="B385" s="256"/>
      <c r="C385" s="256"/>
      <c r="D385" s="256"/>
      <c r="E385" s="256"/>
      <c r="F385" s="256"/>
      <c r="G385" s="256"/>
      <c r="H385" s="256"/>
      <c r="I385" s="256"/>
      <c r="J385" s="256"/>
      <c r="K385" s="256"/>
    </row>
    <row r="386" spans="1:11" ht="12.75" x14ac:dyDescent="0.2">
      <c r="A386" s="256"/>
      <c r="B386" s="256"/>
      <c r="C386" s="256"/>
      <c r="D386" s="256"/>
      <c r="E386" s="256"/>
      <c r="F386" s="256"/>
      <c r="G386" s="256"/>
      <c r="H386" s="256"/>
      <c r="I386" s="256"/>
      <c r="J386" s="256"/>
      <c r="K386" s="256"/>
    </row>
    <row r="387" spans="1:11" ht="12.75" x14ac:dyDescent="0.2">
      <c r="A387" s="256"/>
      <c r="B387" s="256"/>
      <c r="C387" s="256"/>
      <c r="D387" s="256"/>
      <c r="E387" s="256"/>
      <c r="F387" s="256"/>
      <c r="G387" s="256"/>
      <c r="H387" s="256"/>
      <c r="I387" s="256"/>
      <c r="J387" s="256"/>
      <c r="K387" s="256"/>
    </row>
    <row r="388" spans="1:11" ht="12.75" x14ac:dyDescent="0.2">
      <c r="A388" s="256"/>
      <c r="B388" s="256"/>
      <c r="C388" s="256"/>
      <c r="D388" s="256"/>
      <c r="E388" s="256"/>
      <c r="F388" s="256"/>
      <c r="G388" s="256"/>
      <c r="H388" s="256"/>
      <c r="I388" s="256"/>
      <c r="J388" s="256"/>
      <c r="K388" s="256"/>
    </row>
    <row r="389" spans="1:11" ht="12.75" x14ac:dyDescent="0.2">
      <c r="A389" s="256"/>
      <c r="B389" s="256"/>
      <c r="C389" s="256"/>
      <c r="D389" s="256"/>
      <c r="E389" s="256"/>
      <c r="F389" s="256"/>
      <c r="G389" s="256"/>
      <c r="H389" s="256"/>
      <c r="I389" s="256"/>
      <c r="J389" s="256"/>
      <c r="K389" s="256"/>
    </row>
    <row r="390" spans="1:11" ht="12.75" x14ac:dyDescent="0.2">
      <c r="A390" s="256"/>
      <c r="B390" s="256"/>
      <c r="C390" s="256"/>
      <c r="D390" s="256"/>
      <c r="E390" s="256"/>
      <c r="F390" s="256"/>
      <c r="G390" s="256"/>
      <c r="H390" s="256"/>
      <c r="I390" s="256"/>
      <c r="J390" s="256"/>
      <c r="K390" s="256"/>
    </row>
    <row r="391" spans="1:11" ht="12.75" x14ac:dyDescent="0.2">
      <c r="A391" s="256"/>
      <c r="B391" s="256"/>
      <c r="C391" s="256"/>
      <c r="D391" s="256"/>
      <c r="E391" s="256"/>
      <c r="F391" s="256"/>
      <c r="G391" s="256"/>
      <c r="H391" s="256"/>
      <c r="I391" s="256"/>
      <c r="J391" s="256"/>
      <c r="K391" s="256"/>
    </row>
    <row r="392" spans="1:11" ht="12.75" x14ac:dyDescent="0.2">
      <c r="A392" s="256"/>
      <c r="B392" s="256"/>
      <c r="C392" s="256"/>
      <c r="D392" s="256"/>
      <c r="E392" s="256"/>
      <c r="F392" s="256"/>
      <c r="G392" s="256"/>
      <c r="H392" s="256"/>
      <c r="I392" s="256"/>
      <c r="J392" s="256"/>
      <c r="K392" s="256"/>
    </row>
    <row r="393" spans="1:11" ht="12.75" x14ac:dyDescent="0.2">
      <c r="A393" s="256"/>
      <c r="B393" s="256"/>
      <c r="C393" s="256"/>
      <c r="D393" s="256"/>
      <c r="E393" s="256"/>
      <c r="F393" s="256"/>
      <c r="G393" s="256"/>
      <c r="H393" s="256"/>
      <c r="I393" s="256"/>
      <c r="J393" s="256"/>
      <c r="K393" s="256"/>
    </row>
    <row r="394" spans="1:11" ht="12.75" x14ac:dyDescent="0.2">
      <c r="A394" s="256"/>
      <c r="B394" s="256"/>
      <c r="C394" s="256"/>
      <c r="D394" s="256"/>
      <c r="E394" s="256"/>
      <c r="F394" s="256"/>
      <c r="G394" s="256"/>
      <c r="H394" s="256"/>
      <c r="I394" s="256"/>
      <c r="J394" s="256"/>
      <c r="K394" s="256"/>
    </row>
    <row r="395" spans="1:11" ht="12.75" x14ac:dyDescent="0.2">
      <c r="A395" s="256"/>
      <c r="B395" s="256"/>
      <c r="C395" s="256"/>
      <c r="D395" s="256"/>
      <c r="E395" s="256"/>
      <c r="F395" s="256"/>
      <c r="G395" s="256"/>
      <c r="H395" s="256"/>
      <c r="I395" s="256"/>
      <c r="J395" s="256"/>
      <c r="K395" s="256"/>
    </row>
    <row r="396" spans="1:11" ht="12.75" x14ac:dyDescent="0.2">
      <c r="A396" s="256"/>
      <c r="B396" s="256"/>
      <c r="C396" s="256"/>
      <c r="D396" s="256"/>
      <c r="E396" s="256"/>
      <c r="F396" s="256"/>
      <c r="G396" s="256"/>
      <c r="H396" s="256"/>
      <c r="I396" s="256"/>
      <c r="J396" s="256"/>
      <c r="K396" s="256"/>
    </row>
    <row r="397" spans="1:11" ht="12.75" x14ac:dyDescent="0.2">
      <c r="A397" s="256"/>
      <c r="B397" s="256"/>
      <c r="C397" s="256"/>
      <c r="D397" s="256"/>
      <c r="E397" s="256"/>
      <c r="F397" s="256"/>
      <c r="G397" s="256"/>
      <c r="H397" s="256"/>
      <c r="I397" s="256"/>
      <c r="J397" s="256"/>
      <c r="K397" s="256"/>
    </row>
    <row r="398" spans="1:11" ht="12.75" x14ac:dyDescent="0.2">
      <c r="A398" s="256"/>
      <c r="B398" s="256"/>
      <c r="C398" s="256"/>
      <c r="D398" s="256"/>
      <c r="E398" s="256"/>
      <c r="F398" s="256"/>
      <c r="G398" s="256"/>
      <c r="H398" s="256"/>
      <c r="I398" s="256"/>
      <c r="J398" s="256"/>
      <c r="K398" s="256"/>
    </row>
    <row r="399" spans="1:11" ht="12.75" x14ac:dyDescent="0.2">
      <c r="A399" s="256"/>
      <c r="B399" s="256"/>
      <c r="C399" s="256"/>
      <c r="D399" s="256"/>
      <c r="E399" s="256"/>
      <c r="F399" s="256"/>
      <c r="G399" s="256"/>
      <c r="H399" s="256"/>
      <c r="I399" s="256"/>
      <c r="J399" s="256"/>
      <c r="K399" s="256"/>
    </row>
    <row r="400" spans="1:11" ht="12.75" x14ac:dyDescent="0.2">
      <c r="A400" s="256"/>
      <c r="B400" s="256"/>
      <c r="C400" s="256"/>
      <c r="D400" s="256"/>
      <c r="E400" s="256"/>
      <c r="F400" s="256"/>
      <c r="G400" s="256"/>
      <c r="H400" s="256"/>
      <c r="I400" s="256"/>
      <c r="J400" s="256"/>
      <c r="K400" s="256"/>
    </row>
    <row r="401" spans="1:11" ht="12.75" x14ac:dyDescent="0.2">
      <c r="A401" s="256"/>
      <c r="B401" s="256"/>
      <c r="C401" s="256"/>
      <c r="D401" s="256"/>
      <c r="E401" s="256"/>
      <c r="F401" s="256"/>
      <c r="G401" s="256"/>
      <c r="H401" s="256"/>
      <c r="I401" s="256"/>
      <c r="J401" s="256"/>
      <c r="K401" s="256"/>
    </row>
    <row r="402" spans="1:11" ht="12.75" x14ac:dyDescent="0.2">
      <c r="A402" s="256"/>
      <c r="B402" s="256"/>
      <c r="C402" s="256"/>
      <c r="D402" s="256"/>
      <c r="E402" s="256"/>
      <c r="F402" s="256"/>
      <c r="G402" s="256"/>
      <c r="H402" s="256"/>
      <c r="I402" s="256"/>
      <c r="J402" s="256"/>
      <c r="K402" s="256"/>
    </row>
    <row r="403" spans="1:11" ht="12.75" x14ac:dyDescent="0.2">
      <c r="A403" s="256"/>
      <c r="B403" s="256"/>
      <c r="C403" s="256"/>
      <c r="D403" s="256"/>
      <c r="E403" s="256"/>
      <c r="F403" s="256"/>
      <c r="G403" s="256"/>
      <c r="H403" s="256"/>
      <c r="I403" s="256"/>
      <c r="J403" s="256"/>
      <c r="K403" s="256"/>
    </row>
    <row r="404" spans="1:11" ht="12.75" x14ac:dyDescent="0.2">
      <c r="A404" s="256"/>
      <c r="B404" s="256"/>
      <c r="C404" s="256"/>
      <c r="D404" s="256"/>
      <c r="E404" s="256"/>
      <c r="F404" s="256"/>
      <c r="G404" s="256"/>
      <c r="H404" s="256"/>
      <c r="I404" s="256"/>
      <c r="J404" s="256"/>
      <c r="K404" s="256"/>
    </row>
    <row r="405" spans="1:11" ht="12.75" x14ac:dyDescent="0.2">
      <c r="A405" s="256"/>
      <c r="B405" s="256"/>
      <c r="C405" s="256"/>
      <c r="D405" s="256"/>
      <c r="E405" s="256"/>
      <c r="F405" s="256"/>
      <c r="G405" s="256"/>
      <c r="H405" s="256"/>
      <c r="I405" s="256"/>
      <c r="J405" s="256"/>
      <c r="K405" s="256"/>
    </row>
    <row r="406" spans="1:11" ht="12.75" x14ac:dyDescent="0.2">
      <c r="A406" s="256"/>
      <c r="B406" s="256"/>
      <c r="C406" s="256"/>
      <c r="D406" s="256"/>
      <c r="E406" s="256"/>
      <c r="F406" s="256"/>
      <c r="G406" s="256"/>
      <c r="H406" s="256"/>
      <c r="I406" s="256"/>
      <c r="J406" s="256"/>
      <c r="K406" s="256"/>
    </row>
    <row r="407" spans="1:11" ht="12.75" x14ac:dyDescent="0.2">
      <c r="A407" s="256"/>
      <c r="B407" s="256"/>
      <c r="C407" s="256"/>
      <c r="D407" s="256"/>
      <c r="E407" s="256"/>
      <c r="F407" s="256"/>
      <c r="G407" s="256"/>
      <c r="H407" s="256"/>
      <c r="I407" s="256"/>
      <c r="J407" s="256"/>
      <c r="K407" s="256"/>
    </row>
    <row r="408" spans="1:11" ht="12.75" x14ac:dyDescent="0.2">
      <c r="A408" s="256"/>
      <c r="B408" s="256"/>
      <c r="C408" s="256"/>
      <c r="D408" s="256"/>
      <c r="E408" s="256"/>
      <c r="F408" s="256"/>
      <c r="G408" s="256"/>
      <c r="H408" s="256"/>
      <c r="I408" s="256"/>
      <c r="J408" s="256"/>
      <c r="K408" s="256"/>
    </row>
    <row r="409" spans="1:11" ht="12.75" x14ac:dyDescent="0.2">
      <c r="A409" s="256"/>
      <c r="B409" s="256"/>
      <c r="C409" s="256"/>
      <c r="D409" s="256"/>
      <c r="E409" s="256"/>
      <c r="F409" s="256"/>
      <c r="G409" s="256"/>
      <c r="H409" s="256"/>
      <c r="I409" s="256"/>
      <c r="J409" s="256"/>
      <c r="K409" s="256"/>
    </row>
    <row r="410" spans="1:11" ht="12.75" x14ac:dyDescent="0.2">
      <c r="A410" s="256"/>
      <c r="B410" s="256"/>
      <c r="C410" s="256"/>
      <c r="D410" s="256"/>
      <c r="E410" s="256"/>
      <c r="F410" s="256"/>
      <c r="G410" s="256"/>
      <c r="H410" s="256"/>
      <c r="I410" s="256"/>
      <c r="J410" s="256"/>
      <c r="K410" s="256"/>
    </row>
    <row r="411" spans="1:11" ht="12.75" x14ac:dyDescent="0.2">
      <c r="A411" s="256"/>
      <c r="B411" s="256"/>
      <c r="C411" s="256"/>
      <c r="D411" s="256"/>
      <c r="E411" s="256"/>
      <c r="F411" s="256"/>
      <c r="G411" s="256"/>
      <c r="H411" s="256"/>
      <c r="I411" s="256"/>
      <c r="J411" s="256"/>
      <c r="K411" s="256"/>
    </row>
    <row r="412" spans="1:11" ht="12.75" x14ac:dyDescent="0.2">
      <c r="A412" s="256"/>
      <c r="B412" s="256"/>
      <c r="C412" s="256"/>
      <c r="D412" s="256"/>
      <c r="E412" s="256"/>
      <c r="F412" s="256"/>
      <c r="G412" s="256"/>
      <c r="H412" s="256"/>
      <c r="I412" s="256"/>
      <c r="J412" s="256"/>
      <c r="K412" s="256"/>
    </row>
    <row r="413" spans="1:11" ht="12.75" x14ac:dyDescent="0.2">
      <c r="A413" s="256"/>
      <c r="B413" s="256"/>
      <c r="C413" s="256"/>
      <c r="D413" s="256"/>
      <c r="E413" s="256"/>
      <c r="F413" s="256"/>
      <c r="G413" s="256"/>
      <c r="H413" s="256"/>
      <c r="I413" s="256"/>
      <c r="J413" s="256"/>
      <c r="K413" s="256"/>
    </row>
    <row r="414" spans="1:11" ht="12.75" x14ac:dyDescent="0.2">
      <c r="A414" s="256"/>
      <c r="B414" s="256"/>
      <c r="C414" s="256"/>
      <c r="D414" s="256"/>
      <c r="E414" s="256"/>
      <c r="F414" s="256"/>
      <c r="G414" s="256"/>
      <c r="H414" s="256"/>
      <c r="I414" s="256"/>
      <c r="J414" s="256"/>
      <c r="K414" s="256"/>
    </row>
    <row r="415" spans="1:11" ht="12.75" x14ac:dyDescent="0.2">
      <c r="A415" s="256"/>
      <c r="B415" s="256"/>
      <c r="C415" s="256"/>
      <c r="D415" s="256"/>
      <c r="E415" s="256"/>
      <c r="F415" s="256"/>
      <c r="G415" s="256"/>
      <c r="H415" s="256"/>
      <c r="I415" s="256"/>
      <c r="J415" s="256"/>
      <c r="K415" s="256"/>
    </row>
    <row r="416" spans="1:11" ht="12.75" x14ac:dyDescent="0.2">
      <c r="A416" s="256"/>
      <c r="B416" s="256"/>
      <c r="C416" s="256"/>
      <c r="D416" s="256"/>
      <c r="E416" s="256"/>
      <c r="F416" s="256"/>
      <c r="G416" s="256"/>
      <c r="H416" s="256"/>
      <c r="I416" s="256"/>
      <c r="J416" s="256"/>
      <c r="K416" s="256"/>
    </row>
    <row r="417" spans="1:11" ht="12.75" x14ac:dyDescent="0.2">
      <c r="A417" s="256"/>
      <c r="B417" s="256"/>
      <c r="C417" s="256"/>
      <c r="D417" s="256"/>
      <c r="E417" s="256"/>
      <c r="F417" s="256"/>
      <c r="G417" s="256"/>
      <c r="H417" s="256"/>
      <c r="I417" s="256"/>
      <c r="J417" s="256"/>
      <c r="K417" s="256"/>
    </row>
    <row r="418" spans="1:11" ht="12.75" x14ac:dyDescent="0.2">
      <c r="A418" s="256"/>
      <c r="B418" s="256"/>
      <c r="C418" s="256"/>
      <c r="D418" s="256"/>
      <c r="E418" s="256"/>
      <c r="F418" s="256"/>
      <c r="G418" s="256"/>
      <c r="H418" s="256"/>
      <c r="I418" s="256"/>
      <c r="J418" s="256"/>
      <c r="K418" s="256"/>
    </row>
    <row r="419" spans="1:11" ht="12.75" x14ac:dyDescent="0.2">
      <c r="A419" s="256"/>
      <c r="B419" s="256"/>
      <c r="C419" s="256"/>
      <c r="D419" s="256"/>
      <c r="E419" s="256"/>
      <c r="F419" s="256"/>
      <c r="G419" s="256"/>
      <c r="H419" s="256"/>
      <c r="I419" s="256"/>
      <c r="J419" s="256"/>
      <c r="K419" s="256"/>
    </row>
    <row r="420" spans="1:11" ht="12.75" x14ac:dyDescent="0.2">
      <c r="A420" s="256"/>
      <c r="B420" s="256"/>
      <c r="C420" s="256"/>
      <c r="D420" s="256"/>
      <c r="E420" s="256"/>
      <c r="F420" s="256"/>
      <c r="G420" s="256"/>
      <c r="H420" s="256"/>
      <c r="I420" s="256"/>
      <c r="J420" s="256"/>
      <c r="K420" s="256"/>
    </row>
    <row r="421" spans="1:11" ht="12.75" x14ac:dyDescent="0.2">
      <c r="A421" s="256"/>
      <c r="B421" s="256"/>
      <c r="C421" s="256"/>
      <c r="D421" s="256"/>
      <c r="E421" s="256"/>
      <c r="F421" s="256"/>
      <c r="G421" s="256"/>
      <c r="H421" s="256"/>
      <c r="I421" s="256"/>
      <c r="J421" s="256"/>
      <c r="K421" s="256"/>
    </row>
    <row r="422" spans="1:11" ht="12.75" x14ac:dyDescent="0.2">
      <c r="A422" s="256"/>
      <c r="B422" s="256"/>
      <c r="C422" s="256"/>
      <c r="D422" s="256"/>
      <c r="E422" s="256"/>
      <c r="F422" s="256"/>
      <c r="G422" s="256"/>
      <c r="H422" s="256"/>
      <c r="I422" s="256"/>
      <c r="J422" s="256"/>
      <c r="K422" s="256"/>
    </row>
    <row r="423" spans="1:11" ht="12.75" x14ac:dyDescent="0.2">
      <c r="A423" s="256"/>
      <c r="B423" s="256"/>
      <c r="C423" s="256"/>
      <c r="D423" s="256"/>
      <c r="E423" s="256"/>
      <c r="F423" s="256"/>
      <c r="G423" s="256"/>
      <c r="H423" s="256"/>
      <c r="I423" s="256"/>
      <c r="J423" s="256"/>
      <c r="K423" s="256"/>
    </row>
    <row r="424" spans="1:11" ht="12.75" x14ac:dyDescent="0.2">
      <c r="A424" s="256"/>
      <c r="B424" s="256"/>
      <c r="C424" s="256"/>
      <c r="D424" s="256"/>
      <c r="E424" s="256"/>
      <c r="F424" s="256"/>
      <c r="G424" s="256"/>
      <c r="H424" s="256"/>
      <c r="I424" s="256"/>
      <c r="J424" s="256"/>
      <c r="K424" s="256"/>
    </row>
    <row r="425" spans="1:11" ht="12.75" x14ac:dyDescent="0.2">
      <c r="A425" s="256"/>
      <c r="B425" s="256"/>
      <c r="C425" s="256"/>
      <c r="D425" s="256"/>
      <c r="E425" s="256"/>
      <c r="F425" s="256"/>
      <c r="G425" s="256"/>
      <c r="H425" s="256"/>
      <c r="I425" s="256"/>
      <c r="J425" s="256"/>
      <c r="K425" s="256"/>
    </row>
    <row r="426" spans="1:11" ht="12.75" x14ac:dyDescent="0.2">
      <c r="A426" s="256"/>
      <c r="B426" s="256"/>
      <c r="C426" s="256"/>
      <c r="D426" s="256"/>
      <c r="E426" s="256"/>
      <c r="F426" s="256"/>
      <c r="G426" s="256"/>
      <c r="H426" s="256"/>
      <c r="I426" s="256"/>
      <c r="J426" s="256"/>
      <c r="K426" s="256"/>
    </row>
    <row r="427" spans="1:11" ht="12.75" x14ac:dyDescent="0.2">
      <c r="A427" s="256"/>
      <c r="B427" s="256"/>
      <c r="C427" s="256"/>
      <c r="D427" s="256"/>
      <c r="E427" s="256"/>
      <c r="F427" s="256"/>
      <c r="G427" s="256"/>
      <c r="H427" s="256"/>
      <c r="I427" s="256"/>
      <c r="J427" s="256"/>
      <c r="K427" s="256"/>
    </row>
    <row r="428" spans="1:11" ht="12.75" x14ac:dyDescent="0.2">
      <c r="A428" s="256"/>
      <c r="B428" s="256"/>
      <c r="C428" s="256"/>
      <c r="D428" s="256"/>
      <c r="E428" s="256"/>
      <c r="F428" s="256"/>
      <c r="G428" s="256"/>
      <c r="H428" s="256"/>
      <c r="I428" s="256"/>
      <c r="J428" s="256"/>
      <c r="K428" s="256"/>
    </row>
    <row r="429" spans="1:11" ht="12.75" x14ac:dyDescent="0.2">
      <c r="A429" s="256"/>
      <c r="B429" s="256"/>
      <c r="C429" s="256"/>
      <c r="D429" s="256"/>
      <c r="E429" s="256"/>
      <c r="F429" s="256"/>
      <c r="G429" s="256"/>
      <c r="H429" s="256"/>
      <c r="I429" s="256"/>
      <c r="J429" s="256"/>
      <c r="K429" s="256"/>
    </row>
    <row r="430" spans="1:11" ht="12.75" x14ac:dyDescent="0.2">
      <c r="A430" s="256"/>
      <c r="B430" s="256"/>
      <c r="C430" s="256"/>
      <c r="D430" s="256"/>
      <c r="E430" s="256"/>
      <c r="F430" s="256"/>
      <c r="G430" s="256"/>
      <c r="H430" s="256"/>
      <c r="I430" s="256"/>
      <c r="J430" s="256"/>
      <c r="K430" s="256"/>
    </row>
    <row r="431" spans="1:11" ht="12.75" x14ac:dyDescent="0.2">
      <c r="A431" s="256"/>
      <c r="B431" s="256"/>
      <c r="C431" s="256"/>
      <c r="D431" s="256"/>
      <c r="E431" s="256"/>
      <c r="F431" s="256"/>
      <c r="G431" s="256"/>
      <c r="H431" s="256"/>
      <c r="I431" s="256"/>
      <c r="J431" s="256"/>
      <c r="K431" s="256"/>
    </row>
    <row r="432" spans="1:11" ht="12.75" x14ac:dyDescent="0.2">
      <c r="A432" s="256"/>
      <c r="B432" s="256"/>
      <c r="C432" s="256"/>
      <c r="D432" s="256"/>
      <c r="E432" s="256"/>
      <c r="F432" s="256"/>
      <c r="G432" s="256"/>
      <c r="H432" s="256"/>
      <c r="I432" s="256"/>
      <c r="J432" s="256"/>
      <c r="K432" s="256"/>
    </row>
    <row r="433" spans="1:11" ht="12.75" x14ac:dyDescent="0.2">
      <c r="A433" s="256"/>
      <c r="B433" s="256"/>
      <c r="C433" s="256"/>
      <c r="D433" s="256"/>
      <c r="E433" s="256"/>
      <c r="F433" s="256"/>
      <c r="G433" s="256"/>
      <c r="H433" s="256"/>
      <c r="I433" s="256"/>
      <c r="J433" s="256"/>
      <c r="K433" s="256"/>
    </row>
    <row r="434" spans="1:11" ht="12.75" x14ac:dyDescent="0.2">
      <c r="A434" s="256"/>
      <c r="B434" s="256"/>
      <c r="C434" s="256"/>
      <c r="D434" s="256"/>
      <c r="E434" s="256"/>
      <c r="F434" s="256"/>
      <c r="G434" s="256"/>
      <c r="H434" s="256"/>
      <c r="I434" s="256"/>
      <c r="J434" s="256"/>
      <c r="K434" s="256"/>
    </row>
    <row r="435" spans="1:11" ht="12.75" x14ac:dyDescent="0.2">
      <c r="A435" s="256"/>
      <c r="B435" s="256"/>
      <c r="C435" s="256"/>
      <c r="D435" s="256"/>
      <c r="E435" s="256"/>
      <c r="F435" s="256"/>
      <c r="G435" s="256"/>
      <c r="H435" s="256"/>
      <c r="I435" s="256"/>
      <c r="J435" s="256"/>
      <c r="K435" s="256"/>
    </row>
    <row r="436" spans="1:11" ht="12.75" x14ac:dyDescent="0.2">
      <c r="A436" s="256"/>
      <c r="B436" s="256"/>
      <c r="C436" s="256"/>
      <c r="D436" s="256"/>
      <c r="E436" s="256"/>
      <c r="F436" s="256"/>
      <c r="G436" s="256"/>
      <c r="H436" s="256"/>
      <c r="I436" s="256"/>
      <c r="J436" s="256"/>
      <c r="K436" s="256"/>
    </row>
    <row r="437" spans="1:11" ht="12.75" x14ac:dyDescent="0.2">
      <c r="A437" s="256"/>
      <c r="B437" s="256"/>
      <c r="C437" s="256"/>
      <c r="D437" s="256"/>
      <c r="E437" s="256"/>
      <c r="F437" s="256"/>
      <c r="G437" s="256"/>
      <c r="H437" s="256"/>
      <c r="I437" s="256"/>
      <c r="J437" s="256"/>
      <c r="K437" s="256"/>
    </row>
    <row r="438" spans="1:11" ht="12.75" x14ac:dyDescent="0.2">
      <c r="A438" s="256"/>
      <c r="B438" s="256"/>
      <c r="C438" s="256"/>
      <c r="D438" s="256"/>
      <c r="E438" s="256"/>
      <c r="F438" s="256"/>
      <c r="G438" s="256"/>
      <c r="H438" s="256"/>
      <c r="I438" s="256"/>
      <c r="J438" s="256"/>
      <c r="K438" s="256"/>
    </row>
    <row r="439" spans="1:11" ht="12.75" x14ac:dyDescent="0.2">
      <c r="A439" s="256"/>
      <c r="B439" s="256"/>
      <c r="C439" s="256"/>
      <c r="D439" s="256"/>
      <c r="E439" s="256"/>
      <c r="F439" s="256"/>
      <c r="G439" s="256"/>
      <c r="H439" s="256"/>
      <c r="I439" s="256"/>
      <c r="J439" s="256"/>
      <c r="K439" s="256"/>
    </row>
    <row r="440" spans="1:11" ht="12.75" x14ac:dyDescent="0.2">
      <c r="A440" s="256"/>
      <c r="B440" s="256"/>
      <c r="C440" s="256"/>
      <c r="D440" s="256"/>
      <c r="E440" s="256"/>
      <c r="F440" s="256"/>
      <c r="G440" s="256"/>
      <c r="H440" s="256"/>
      <c r="I440" s="256"/>
      <c r="J440" s="256"/>
      <c r="K440" s="256"/>
    </row>
    <row r="441" spans="1:11" ht="12.75" x14ac:dyDescent="0.2">
      <c r="A441" s="256"/>
      <c r="B441" s="256"/>
      <c r="C441" s="256"/>
      <c r="D441" s="256"/>
      <c r="E441" s="256"/>
      <c r="F441" s="256"/>
      <c r="G441" s="256"/>
      <c r="H441" s="256"/>
      <c r="I441" s="256"/>
      <c r="J441" s="256"/>
      <c r="K441" s="256"/>
    </row>
    <row r="442" spans="1:11" ht="12.75" x14ac:dyDescent="0.2">
      <c r="A442" s="256"/>
      <c r="B442" s="256"/>
      <c r="C442" s="256"/>
      <c r="D442" s="256"/>
      <c r="E442" s="256"/>
      <c r="F442" s="256"/>
      <c r="G442" s="256"/>
      <c r="H442" s="256"/>
      <c r="I442" s="256"/>
      <c r="J442" s="256"/>
      <c r="K442" s="256"/>
    </row>
    <row r="443" spans="1:11" ht="12.75" x14ac:dyDescent="0.2">
      <c r="A443" s="256"/>
      <c r="B443" s="256"/>
      <c r="C443" s="256"/>
      <c r="D443" s="256"/>
      <c r="E443" s="256"/>
      <c r="F443" s="256"/>
      <c r="G443" s="256"/>
      <c r="H443" s="256"/>
      <c r="I443" s="256"/>
      <c r="J443" s="256"/>
      <c r="K443" s="256"/>
    </row>
    <row r="444" spans="1:11" ht="12.75" x14ac:dyDescent="0.2">
      <c r="A444" s="256"/>
      <c r="B444" s="256"/>
      <c r="C444" s="256"/>
      <c r="D444" s="256"/>
      <c r="E444" s="256"/>
      <c r="F444" s="256"/>
      <c r="G444" s="256"/>
      <c r="H444" s="256"/>
      <c r="I444" s="256"/>
      <c r="J444" s="256"/>
      <c r="K444" s="256"/>
    </row>
    <row r="445" spans="1:11" ht="12.75" x14ac:dyDescent="0.2">
      <c r="A445" s="256"/>
      <c r="B445" s="256"/>
      <c r="C445" s="256"/>
      <c r="D445" s="256"/>
      <c r="E445" s="256"/>
      <c r="F445" s="256"/>
      <c r="G445" s="256"/>
      <c r="H445" s="256"/>
      <c r="I445" s="256"/>
      <c r="J445" s="256"/>
      <c r="K445" s="256"/>
    </row>
    <row r="446" spans="1:11" ht="12.75" x14ac:dyDescent="0.2">
      <c r="A446" s="256"/>
      <c r="B446" s="256"/>
      <c r="C446" s="256"/>
      <c r="D446" s="256"/>
      <c r="E446" s="256"/>
      <c r="F446" s="256"/>
      <c r="G446" s="256"/>
      <c r="H446" s="256"/>
      <c r="I446" s="256"/>
      <c r="J446" s="256"/>
      <c r="K446" s="256"/>
    </row>
    <row r="447" spans="1:11" ht="12.75" x14ac:dyDescent="0.2">
      <c r="A447" s="256"/>
      <c r="B447" s="256"/>
      <c r="C447" s="256"/>
      <c r="D447" s="256"/>
      <c r="E447" s="256"/>
      <c r="F447" s="256"/>
      <c r="G447" s="256"/>
      <c r="H447" s="256"/>
      <c r="I447" s="256"/>
      <c r="J447" s="256"/>
      <c r="K447" s="256"/>
    </row>
    <row r="448" spans="1:11" ht="12.75" x14ac:dyDescent="0.2">
      <c r="A448" s="256"/>
      <c r="B448" s="256"/>
      <c r="C448" s="256"/>
      <c r="D448" s="256"/>
      <c r="E448" s="256"/>
      <c r="F448" s="256"/>
      <c r="G448" s="256"/>
      <c r="H448" s="256"/>
      <c r="I448" s="256"/>
      <c r="J448" s="256"/>
      <c r="K448" s="256"/>
    </row>
    <row r="449" spans="1:11" ht="12.75" x14ac:dyDescent="0.2">
      <c r="A449" s="256"/>
      <c r="B449" s="256"/>
      <c r="C449" s="256"/>
      <c r="D449" s="256"/>
      <c r="E449" s="256"/>
      <c r="F449" s="256"/>
      <c r="G449" s="256"/>
      <c r="H449" s="256"/>
      <c r="I449" s="256"/>
      <c r="J449" s="256"/>
      <c r="K449" s="256"/>
    </row>
    <row r="450" spans="1:11" ht="12.75" x14ac:dyDescent="0.2">
      <c r="A450" s="256"/>
      <c r="B450" s="256"/>
      <c r="C450" s="256"/>
      <c r="D450" s="256"/>
      <c r="E450" s="256"/>
      <c r="F450" s="256"/>
      <c r="G450" s="256"/>
      <c r="H450" s="256"/>
      <c r="I450" s="256"/>
      <c r="J450" s="256"/>
      <c r="K450" s="256"/>
    </row>
    <row r="451" spans="1:11" ht="12.75" x14ac:dyDescent="0.2">
      <c r="A451" s="256"/>
      <c r="B451" s="256"/>
      <c r="C451" s="256"/>
      <c r="D451" s="256"/>
      <c r="E451" s="256"/>
      <c r="F451" s="256"/>
      <c r="G451" s="256"/>
      <c r="H451" s="256"/>
      <c r="I451" s="256"/>
      <c r="J451" s="256"/>
      <c r="K451" s="256"/>
    </row>
    <row r="452" spans="1:11" ht="12.75" x14ac:dyDescent="0.2">
      <c r="A452" s="256"/>
      <c r="B452" s="256"/>
      <c r="C452" s="256"/>
      <c r="D452" s="256"/>
      <c r="E452" s="256"/>
      <c r="F452" s="256"/>
      <c r="G452" s="256"/>
      <c r="H452" s="256"/>
      <c r="I452" s="256"/>
      <c r="J452" s="256"/>
      <c r="K452" s="256"/>
    </row>
    <row r="453" spans="1:11" ht="12.75" x14ac:dyDescent="0.2">
      <c r="A453" s="256"/>
      <c r="B453" s="256"/>
      <c r="C453" s="256"/>
      <c r="D453" s="256"/>
      <c r="E453" s="256"/>
      <c r="F453" s="256"/>
      <c r="G453" s="256"/>
      <c r="H453" s="256"/>
      <c r="I453" s="256"/>
      <c r="J453" s="256"/>
      <c r="K453" s="256"/>
    </row>
    <row r="454" spans="1:11" ht="12.75" x14ac:dyDescent="0.2">
      <c r="A454" s="256"/>
      <c r="B454" s="256"/>
      <c r="C454" s="256"/>
      <c r="D454" s="256"/>
      <c r="E454" s="256"/>
      <c r="F454" s="256"/>
      <c r="G454" s="256"/>
      <c r="H454" s="256"/>
      <c r="I454" s="256"/>
      <c r="J454" s="256"/>
      <c r="K454" s="256"/>
    </row>
    <row r="455" spans="1:11" ht="12.75" x14ac:dyDescent="0.2">
      <c r="A455" s="256"/>
      <c r="B455" s="256"/>
      <c r="C455" s="256"/>
      <c r="D455" s="256"/>
      <c r="E455" s="256"/>
      <c r="F455" s="256"/>
      <c r="G455" s="256"/>
      <c r="H455" s="256"/>
      <c r="I455" s="256"/>
      <c r="J455" s="256"/>
      <c r="K455" s="256"/>
    </row>
    <row r="456" spans="1:11" ht="12.75" x14ac:dyDescent="0.2">
      <c r="A456" s="256"/>
      <c r="B456" s="256"/>
      <c r="C456" s="256"/>
      <c r="D456" s="256"/>
      <c r="E456" s="256"/>
      <c r="F456" s="256"/>
      <c r="G456" s="256"/>
      <c r="H456" s="256"/>
      <c r="I456" s="256"/>
      <c r="J456" s="256"/>
      <c r="K456" s="256"/>
    </row>
    <row r="457" spans="1:11" ht="12.75" x14ac:dyDescent="0.2">
      <c r="A457" s="256"/>
      <c r="B457" s="256"/>
      <c r="C457" s="256"/>
      <c r="D457" s="256"/>
      <c r="E457" s="256"/>
      <c r="F457" s="256"/>
      <c r="G457" s="256"/>
      <c r="H457" s="256"/>
      <c r="I457" s="256"/>
      <c r="J457" s="256"/>
      <c r="K457" s="256"/>
    </row>
    <row r="458" spans="1:11" ht="12.75" x14ac:dyDescent="0.2">
      <c r="A458" s="256"/>
      <c r="B458" s="256"/>
      <c r="C458" s="256"/>
      <c r="D458" s="256"/>
      <c r="E458" s="256"/>
      <c r="F458" s="256"/>
      <c r="G458" s="256"/>
      <c r="H458" s="256"/>
      <c r="I458" s="256"/>
      <c r="J458" s="256"/>
      <c r="K458" s="256"/>
    </row>
    <row r="459" spans="1:11" ht="12.75" x14ac:dyDescent="0.2">
      <c r="A459" s="256"/>
      <c r="B459" s="256"/>
      <c r="C459" s="256"/>
      <c r="D459" s="256"/>
      <c r="E459" s="256"/>
      <c r="F459" s="256"/>
      <c r="G459" s="256"/>
      <c r="H459" s="256"/>
      <c r="I459" s="256"/>
      <c r="J459" s="256"/>
      <c r="K459" s="256"/>
    </row>
    <row r="460" spans="1:11" ht="12.75" x14ac:dyDescent="0.2">
      <c r="A460" s="256"/>
      <c r="B460" s="256"/>
      <c r="C460" s="256"/>
      <c r="D460" s="256"/>
      <c r="E460" s="256"/>
      <c r="F460" s="256"/>
      <c r="G460" s="256"/>
      <c r="H460" s="256"/>
      <c r="I460" s="256"/>
      <c r="J460" s="256"/>
      <c r="K460" s="256"/>
    </row>
    <row r="461" spans="1:11" ht="12.75" x14ac:dyDescent="0.2">
      <c r="A461" s="256"/>
      <c r="B461" s="256"/>
      <c r="C461" s="256"/>
      <c r="D461" s="256"/>
      <c r="E461" s="256"/>
      <c r="F461" s="256"/>
      <c r="G461" s="256"/>
      <c r="H461" s="256"/>
      <c r="I461" s="256"/>
      <c r="J461" s="256"/>
      <c r="K461" s="256"/>
    </row>
    <row r="462" spans="1:11" ht="12.75" x14ac:dyDescent="0.2">
      <c r="A462" s="256"/>
      <c r="B462" s="256"/>
      <c r="C462" s="256"/>
      <c r="D462" s="256"/>
      <c r="E462" s="256"/>
      <c r="F462" s="256"/>
      <c r="G462" s="256"/>
      <c r="H462" s="256"/>
      <c r="I462" s="256"/>
      <c r="J462" s="256"/>
      <c r="K462" s="256"/>
    </row>
    <row r="463" spans="1:11" ht="12.75" x14ac:dyDescent="0.2">
      <c r="A463" s="256"/>
      <c r="B463" s="256"/>
      <c r="C463" s="256"/>
      <c r="D463" s="256"/>
      <c r="E463" s="256"/>
      <c r="F463" s="256"/>
      <c r="G463" s="256"/>
      <c r="H463" s="256"/>
      <c r="I463" s="256"/>
      <c r="J463" s="256"/>
      <c r="K463" s="256"/>
    </row>
    <row r="464" spans="1:11" ht="12.75" x14ac:dyDescent="0.2">
      <c r="A464" s="256"/>
      <c r="B464" s="256"/>
      <c r="C464" s="256"/>
      <c r="D464" s="256"/>
      <c r="E464" s="256"/>
      <c r="F464" s="256"/>
      <c r="G464" s="256"/>
      <c r="H464" s="256"/>
      <c r="I464" s="256"/>
      <c r="J464" s="256"/>
      <c r="K464" s="256"/>
    </row>
    <row r="465" spans="1:11" ht="12.75" x14ac:dyDescent="0.2">
      <c r="A465" s="256"/>
      <c r="B465" s="256"/>
      <c r="C465" s="256"/>
      <c r="D465" s="256"/>
      <c r="E465" s="256"/>
      <c r="F465" s="256"/>
      <c r="G465" s="256"/>
      <c r="H465" s="256"/>
      <c r="I465" s="256"/>
      <c r="J465" s="256"/>
      <c r="K465" s="256"/>
    </row>
    <row r="466" spans="1:11" ht="12.75" x14ac:dyDescent="0.2">
      <c r="A466" s="256"/>
      <c r="B466" s="256"/>
      <c r="C466" s="256"/>
      <c r="D466" s="256"/>
      <c r="E466" s="256"/>
      <c r="F466" s="256"/>
      <c r="G466" s="256"/>
      <c r="H466" s="256"/>
      <c r="I466" s="256"/>
      <c r="J466" s="256"/>
      <c r="K466" s="256"/>
    </row>
    <row r="467" spans="1:11" ht="12.75" x14ac:dyDescent="0.2">
      <c r="A467" s="256"/>
      <c r="B467" s="256"/>
      <c r="C467" s="256"/>
      <c r="D467" s="256"/>
      <c r="E467" s="256"/>
      <c r="F467" s="256"/>
      <c r="G467" s="256"/>
      <c r="H467" s="256"/>
      <c r="I467" s="256"/>
      <c r="J467" s="256"/>
      <c r="K467" s="256"/>
    </row>
    <row r="468" spans="1:11" ht="12.75" x14ac:dyDescent="0.2">
      <c r="A468" s="256"/>
      <c r="B468" s="256"/>
      <c r="C468" s="256"/>
      <c r="D468" s="256"/>
      <c r="E468" s="256"/>
      <c r="F468" s="256"/>
      <c r="G468" s="256"/>
      <c r="H468" s="256"/>
      <c r="I468" s="256"/>
      <c r="J468" s="256"/>
      <c r="K468" s="256"/>
    </row>
    <row r="469" spans="1:11" ht="12.75" x14ac:dyDescent="0.2">
      <c r="A469" s="256"/>
      <c r="B469" s="256"/>
      <c r="C469" s="256"/>
      <c r="D469" s="256"/>
      <c r="E469" s="256"/>
      <c r="F469" s="256"/>
      <c r="G469" s="256"/>
      <c r="H469" s="256"/>
      <c r="I469" s="256"/>
      <c r="J469" s="256"/>
      <c r="K469" s="256"/>
    </row>
    <row r="470" spans="1:11" ht="12.75" x14ac:dyDescent="0.2">
      <c r="A470" s="256"/>
      <c r="B470" s="256"/>
      <c r="C470" s="256"/>
      <c r="D470" s="256"/>
      <c r="E470" s="256"/>
      <c r="F470" s="256"/>
      <c r="G470" s="256"/>
      <c r="H470" s="256"/>
      <c r="I470" s="256"/>
      <c r="J470" s="256"/>
      <c r="K470" s="256"/>
    </row>
    <row r="471" spans="1:11" ht="12.75" x14ac:dyDescent="0.2">
      <c r="A471" s="256"/>
      <c r="B471" s="256"/>
      <c r="C471" s="256"/>
      <c r="D471" s="256"/>
      <c r="E471" s="256"/>
      <c r="F471" s="256"/>
      <c r="G471" s="256"/>
      <c r="H471" s="256"/>
      <c r="I471" s="256"/>
      <c r="J471" s="256"/>
      <c r="K471" s="256"/>
    </row>
    <row r="472" spans="1:11" ht="12.75" x14ac:dyDescent="0.2">
      <c r="A472" s="256"/>
      <c r="B472" s="256"/>
      <c r="C472" s="256"/>
      <c r="D472" s="256"/>
      <c r="E472" s="256"/>
      <c r="F472" s="256"/>
      <c r="G472" s="256"/>
      <c r="H472" s="256"/>
      <c r="I472" s="256"/>
      <c r="J472" s="256"/>
      <c r="K472" s="256"/>
    </row>
    <row r="473" spans="1:11" ht="12.75" x14ac:dyDescent="0.2">
      <c r="A473" s="256"/>
      <c r="B473" s="256"/>
      <c r="C473" s="256"/>
      <c r="D473" s="256"/>
      <c r="E473" s="256"/>
      <c r="F473" s="256"/>
      <c r="G473" s="256"/>
      <c r="H473" s="256"/>
      <c r="I473" s="256"/>
      <c r="J473" s="256"/>
      <c r="K473" s="256"/>
    </row>
    <row r="474" spans="1:11" ht="12.75" x14ac:dyDescent="0.2">
      <c r="A474" s="256"/>
      <c r="B474" s="256"/>
      <c r="C474" s="256"/>
      <c r="D474" s="256"/>
      <c r="E474" s="256"/>
      <c r="F474" s="256"/>
      <c r="G474" s="256"/>
      <c r="H474" s="256"/>
      <c r="I474" s="256"/>
      <c r="J474" s="256"/>
      <c r="K474" s="256"/>
    </row>
    <row r="475" spans="1:11" ht="12.75" x14ac:dyDescent="0.2">
      <c r="A475" s="256"/>
      <c r="B475" s="256"/>
      <c r="C475" s="256"/>
      <c r="D475" s="256"/>
      <c r="E475" s="256"/>
      <c r="F475" s="256"/>
      <c r="G475" s="256"/>
      <c r="H475" s="256"/>
      <c r="I475" s="256"/>
      <c r="J475" s="256"/>
      <c r="K475" s="256"/>
    </row>
    <row r="476" spans="1:11" ht="12.75" x14ac:dyDescent="0.2">
      <c r="A476" s="256"/>
      <c r="B476" s="256"/>
      <c r="C476" s="256"/>
      <c r="D476" s="256"/>
      <c r="E476" s="256"/>
      <c r="F476" s="256"/>
      <c r="G476" s="256"/>
      <c r="H476" s="256"/>
      <c r="I476" s="256"/>
      <c r="J476" s="256"/>
      <c r="K476" s="256"/>
    </row>
    <row r="477" spans="1:11" ht="12.75" x14ac:dyDescent="0.2">
      <c r="A477" s="256"/>
      <c r="B477" s="256"/>
      <c r="C477" s="256"/>
      <c r="D477" s="256"/>
      <c r="E477" s="256"/>
      <c r="F477" s="256"/>
      <c r="G477" s="256"/>
      <c r="H477" s="256"/>
      <c r="I477" s="256"/>
      <c r="J477" s="256"/>
      <c r="K477" s="256"/>
    </row>
    <row r="478" spans="1:11" ht="12.75" x14ac:dyDescent="0.2">
      <c r="A478" s="256"/>
      <c r="B478" s="256"/>
      <c r="C478" s="256"/>
      <c r="D478" s="256"/>
      <c r="E478" s="256"/>
      <c r="F478" s="256"/>
      <c r="G478" s="256"/>
      <c r="H478" s="256"/>
      <c r="I478" s="256"/>
      <c r="J478" s="256"/>
      <c r="K478" s="256"/>
    </row>
    <row r="479" spans="1:11" ht="12.75" x14ac:dyDescent="0.2">
      <c r="A479" s="256"/>
      <c r="B479" s="256"/>
      <c r="C479" s="256"/>
      <c r="D479" s="256"/>
      <c r="E479" s="256"/>
      <c r="F479" s="256"/>
      <c r="G479" s="256"/>
      <c r="H479" s="256"/>
      <c r="I479" s="256"/>
      <c r="J479" s="256"/>
      <c r="K479" s="256"/>
    </row>
    <row r="480" spans="1:11" ht="12.75" x14ac:dyDescent="0.2">
      <c r="A480" s="256"/>
      <c r="B480" s="256"/>
      <c r="C480" s="256"/>
      <c r="D480" s="256"/>
      <c r="E480" s="256"/>
      <c r="F480" s="256"/>
      <c r="G480" s="256"/>
      <c r="H480" s="256"/>
      <c r="I480" s="256"/>
      <c r="J480" s="256"/>
      <c r="K480" s="256"/>
    </row>
    <row r="481" spans="1:11" ht="12.75" x14ac:dyDescent="0.2">
      <c r="A481" s="256"/>
      <c r="B481" s="256"/>
      <c r="C481" s="256"/>
      <c r="D481" s="256"/>
      <c r="E481" s="256"/>
      <c r="F481" s="256"/>
      <c r="G481" s="256"/>
      <c r="H481" s="256"/>
      <c r="I481" s="256"/>
      <c r="J481" s="256"/>
      <c r="K481" s="256"/>
    </row>
    <row r="482" spans="1:11" ht="12.75" x14ac:dyDescent="0.2">
      <c r="A482" s="256"/>
      <c r="B482" s="256"/>
      <c r="C482" s="256"/>
      <c r="D482" s="256"/>
      <c r="E482" s="256"/>
      <c r="F482" s="256"/>
      <c r="G482" s="256"/>
      <c r="H482" s="256"/>
      <c r="I482" s="256"/>
      <c r="J482" s="256"/>
      <c r="K482" s="256"/>
    </row>
    <row r="483" spans="1:11" ht="12.75" x14ac:dyDescent="0.2">
      <c r="A483" s="256"/>
      <c r="B483" s="256"/>
      <c r="C483" s="256"/>
      <c r="D483" s="256"/>
      <c r="E483" s="256"/>
      <c r="F483" s="256"/>
      <c r="G483" s="256"/>
      <c r="H483" s="256"/>
      <c r="I483" s="256"/>
      <c r="J483" s="256"/>
      <c r="K483" s="256"/>
    </row>
    <row r="484" spans="1:11" ht="12.75" x14ac:dyDescent="0.2">
      <c r="A484" s="256"/>
      <c r="B484" s="256"/>
      <c r="C484" s="256"/>
      <c r="D484" s="256"/>
      <c r="E484" s="256"/>
      <c r="F484" s="256"/>
      <c r="G484" s="256"/>
      <c r="H484" s="256"/>
      <c r="I484" s="256"/>
      <c r="J484" s="256"/>
      <c r="K484" s="256"/>
    </row>
    <row r="485" spans="1:11" ht="12.75" x14ac:dyDescent="0.2">
      <c r="A485" s="256"/>
      <c r="B485" s="256"/>
      <c r="C485" s="256"/>
      <c r="D485" s="256"/>
      <c r="E485" s="256"/>
      <c r="F485" s="256"/>
      <c r="G485" s="256"/>
      <c r="H485" s="256"/>
      <c r="I485" s="256"/>
      <c r="J485" s="256"/>
      <c r="K485" s="256"/>
    </row>
    <row r="486" spans="1:11" ht="12.75" x14ac:dyDescent="0.2">
      <c r="A486" s="256"/>
      <c r="B486" s="256"/>
      <c r="C486" s="256"/>
      <c r="D486" s="256"/>
      <c r="E486" s="256"/>
      <c r="F486" s="256"/>
      <c r="G486" s="256"/>
      <c r="H486" s="256"/>
      <c r="I486" s="256"/>
      <c r="J486" s="256"/>
      <c r="K486" s="256"/>
    </row>
    <row r="487" spans="1:11" ht="12.75" x14ac:dyDescent="0.2">
      <c r="A487" s="256"/>
      <c r="B487" s="256"/>
      <c r="C487" s="256"/>
      <c r="D487" s="256"/>
      <c r="E487" s="256"/>
      <c r="F487" s="256"/>
      <c r="G487" s="256"/>
      <c r="H487" s="256"/>
      <c r="I487" s="256"/>
      <c r="J487" s="256"/>
      <c r="K487" s="256"/>
    </row>
    <row r="488" spans="1:11" ht="12.75" x14ac:dyDescent="0.2">
      <c r="A488" s="256"/>
      <c r="B488" s="256"/>
      <c r="C488" s="256"/>
      <c r="D488" s="256"/>
      <c r="E488" s="256"/>
      <c r="F488" s="256"/>
      <c r="G488" s="256"/>
      <c r="H488" s="256"/>
      <c r="I488" s="256"/>
      <c r="J488" s="256"/>
      <c r="K488" s="256"/>
    </row>
    <row r="489" spans="1:11" ht="12.75" x14ac:dyDescent="0.2">
      <c r="A489" s="256"/>
      <c r="B489" s="256"/>
      <c r="C489" s="256"/>
      <c r="D489" s="256"/>
      <c r="E489" s="256"/>
      <c r="F489" s="256"/>
      <c r="G489" s="256"/>
      <c r="H489" s="256"/>
      <c r="I489" s="256"/>
      <c r="J489" s="256"/>
      <c r="K489" s="256"/>
    </row>
    <row r="490" spans="1:11" ht="12.75" x14ac:dyDescent="0.2">
      <c r="A490" s="256"/>
      <c r="B490" s="256"/>
      <c r="C490" s="256"/>
      <c r="D490" s="256"/>
      <c r="E490" s="256"/>
      <c r="F490" s="256"/>
      <c r="G490" s="256"/>
      <c r="H490" s="256"/>
      <c r="I490" s="256"/>
      <c r="J490" s="256"/>
      <c r="K490" s="256"/>
    </row>
    <row r="491" spans="1:11" ht="12.75" x14ac:dyDescent="0.2">
      <c r="A491" s="256"/>
      <c r="B491" s="256"/>
      <c r="C491" s="256"/>
      <c r="D491" s="256"/>
      <c r="E491" s="256"/>
      <c r="F491" s="256"/>
      <c r="G491" s="256"/>
      <c r="H491" s="256"/>
      <c r="I491" s="256"/>
      <c r="J491" s="256"/>
      <c r="K491" s="256"/>
    </row>
    <row r="492" spans="1:11" ht="12.75" x14ac:dyDescent="0.2">
      <c r="A492" s="256"/>
      <c r="B492" s="256"/>
      <c r="C492" s="256"/>
      <c r="D492" s="256"/>
      <c r="E492" s="256"/>
      <c r="F492" s="256"/>
      <c r="G492" s="256"/>
      <c r="H492" s="256"/>
      <c r="I492" s="256"/>
      <c r="J492" s="256"/>
      <c r="K492" s="256"/>
    </row>
    <row r="493" spans="1:11" ht="12.75" x14ac:dyDescent="0.2">
      <c r="A493" s="256"/>
      <c r="B493" s="256"/>
      <c r="C493" s="256"/>
      <c r="D493" s="256"/>
      <c r="E493" s="256"/>
      <c r="F493" s="256"/>
      <c r="G493" s="256"/>
      <c r="H493" s="256"/>
      <c r="I493" s="256"/>
      <c r="J493" s="256"/>
      <c r="K493" s="256"/>
    </row>
    <row r="494" spans="1:11" ht="12.75" x14ac:dyDescent="0.2">
      <c r="A494" s="256"/>
      <c r="B494" s="256"/>
      <c r="C494" s="256"/>
      <c r="D494" s="256"/>
      <c r="E494" s="256"/>
      <c r="F494" s="256"/>
      <c r="G494" s="256"/>
      <c r="H494" s="256"/>
      <c r="I494" s="256"/>
      <c r="J494" s="256"/>
      <c r="K494" s="256"/>
    </row>
    <row r="495" spans="1:11" ht="12.75" x14ac:dyDescent="0.2">
      <c r="A495" s="256"/>
      <c r="B495" s="256"/>
      <c r="C495" s="256"/>
      <c r="D495" s="256"/>
      <c r="E495" s="256"/>
      <c r="F495" s="256"/>
      <c r="G495" s="256"/>
      <c r="H495" s="256"/>
      <c r="I495" s="256"/>
      <c r="J495" s="256"/>
      <c r="K495" s="256"/>
    </row>
    <row r="496" spans="1:11" ht="12.75" x14ac:dyDescent="0.2">
      <c r="A496" s="256"/>
      <c r="B496" s="256"/>
      <c r="C496" s="256"/>
      <c r="D496" s="256"/>
      <c r="E496" s="256"/>
      <c r="F496" s="256"/>
      <c r="G496" s="256"/>
      <c r="H496" s="256"/>
      <c r="I496" s="256"/>
      <c r="J496" s="256"/>
      <c r="K496" s="256"/>
    </row>
    <row r="497" spans="1:11" ht="12.75" x14ac:dyDescent="0.2">
      <c r="A497" s="256"/>
      <c r="B497" s="256"/>
      <c r="C497" s="256"/>
      <c r="D497" s="256"/>
      <c r="E497" s="256"/>
      <c r="F497" s="256"/>
      <c r="G497" s="256"/>
      <c r="H497" s="256"/>
      <c r="I497" s="256"/>
      <c r="J497" s="256"/>
      <c r="K497" s="256"/>
    </row>
    <row r="498" spans="1:11" ht="12.75" x14ac:dyDescent="0.2">
      <c r="A498" s="256"/>
      <c r="B498" s="256"/>
      <c r="C498" s="256"/>
      <c r="D498" s="256"/>
      <c r="E498" s="256"/>
      <c r="F498" s="256"/>
      <c r="G498" s="256"/>
      <c r="H498" s="256"/>
      <c r="I498" s="256"/>
      <c r="J498" s="256"/>
      <c r="K498" s="256"/>
    </row>
    <row r="499" spans="1:11" ht="12.75" x14ac:dyDescent="0.2">
      <c r="A499" s="256"/>
      <c r="B499" s="256"/>
      <c r="C499" s="256"/>
      <c r="D499" s="256"/>
      <c r="E499" s="256"/>
      <c r="F499" s="256"/>
      <c r="G499" s="256"/>
      <c r="H499" s="256"/>
      <c r="I499" s="256"/>
      <c r="J499" s="256"/>
      <c r="K499" s="256"/>
    </row>
    <row r="500" spans="1:11" ht="12.75" x14ac:dyDescent="0.2">
      <c r="A500" s="256"/>
      <c r="B500" s="256"/>
      <c r="C500" s="256"/>
      <c r="D500" s="256"/>
      <c r="E500" s="256"/>
      <c r="F500" s="256"/>
      <c r="G500" s="256"/>
      <c r="H500" s="256"/>
      <c r="I500" s="256"/>
      <c r="J500" s="256"/>
      <c r="K500" s="256"/>
    </row>
    <row r="501" spans="1:11" ht="12.75" x14ac:dyDescent="0.2">
      <c r="A501" s="256"/>
      <c r="B501" s="256"/>
      <c r="C501" s="256"/>
      <c r="D501" s="256"/>
      <c r="E501" s="256"/>
      <c r="F501" s="256"/>
      <c r="G501" s="256"/>
      <c r="H501" s="256"/>
      <c r="I501" s="256"/>
      <c r="J501" s="256"/>
      <c r="K501" s="256"/>
    </row>
    <row r="502" spans="1:11" ht="12.75" x14ac:dyDescent="0.2">
      <c r="A502" s="256"/>
      <c r="B502" s="256"/>
      <c r="C502" s="256"/>
      <c r="D502" s="256"/>
      <c r="E502" s="256"/>
      <c r="F502" s="256"/>
      <c r="G502" s="256"/>
      <c r="H502" s="256"/>
      <c r="I502" s="256"/>
      <c r="J502" s="256"/>
      <c r="K502" s="256"/>
    </row>
    <row r="503" spans="1:11" ht="12.75" x14ac:dyDescent="0.2">
      <c r="A503" s="256"/>
      <c r="B503" s="256"/>
      <c r="C503" s="256"/>
      <c r="D503" s="256"/>
      <c r="E503" s="256"/>
      <c r="F503" s="256"/>
      <c r="G503" s="256"/>
      <c r="H503" s="256"/>
      <c r="I503" s="256"/>
      <c r="J503" s="256"/>
      <c r="K503" s="256"/>
    </row>
    <row r="504" spans="1:11" ht="12.75" x14ac:dyDescent="0.2">
      <c r="A504" s="256"/>
      <c r="B504" s="256"/>
      <c r="C504" s="256"/>
      <c r="D504" s="256"/>
      <c r="E504" s="256"/>
      <c r="F504" s="256"/>
      <c r="G504" s="256"/>
      <c r="H504" s="256"/>
      <c r="I504" s="256"/>
      <c r="J504" s="256"/>
      <c r="K504" s="256"/>
    </row>
    <row r="505" spans="1:11" ht="12.75" x14ac:dyDescent="0.2">
      <c r="A505" s="256"/>
      <c r="B505" s="256"/>
      <c r="C505" s="256"/>
      <c r="D505" s="256"/>
      <c r="E505" s="256"/>
      <c r="F505" s="256"/>
      <c r="G505" s="256"/>
      <c r="H505" s="256"/>
      <c r="I505" s="256"/>
      <c r="J505" s="256"/>
      <c r="K505" s="256"/>
    </row>
    <row r="506" spans="1:11" ht="12.75" x14ac:dyDescent="0.2">
      <c r="A506" s="256"/>
      <c r="B506" s="256"/>
      <c r="C506" s="256"/>
      <c r="D506" s="256"/>
      <c r="E506" s="256"/>
      <c r="F506" s="256"/>
      <c r="G506" s="256"/>
      <c r="H506" s="256"/>
      <c r="I506" s="256"/>
      <c r="J506" s="256"/>
      <c r="K506" s="256"/>
    </row>
    <row r="507" spans="1:11" ht="12.75" x14ac:dyDescent="0.2">
      <c r="A507" s="256"/>
      <c r="B507" s="256"/>
      <c r="C507" s="256"/>
      <c r="D507" s="256"/>
      <c r="E507" s="256"/>
      <c r="F507" s="256"/>
      <c r="G507" s="256"/>
      <c r="H507" s="256"/>
      <c r="I507" s="256"/>
      <c r="J507" s="256"/>
      <c r="K507" s="256"/>
    </row>
    <row r="508" spans="1:11" ht="12.75" x14ac:dyDescent="0.2">
      <c r="A508" s="256"/>
      <c r="B508" s="256"/>
      <c r="C508" s="256"/>
      <c r="D508" s="256"/>
      <c r="E508" s="256"/>
      <c r="F508" s="256"/>
      <c r="G508" s="256"/>
      <c r="H508" s="256"/>
      <c r="I508" s="256"/>
      <c r="J508" s="256"/>
      <c r="K508" s="256"/>
    </row>
    <row r="509" spans="1:11" ht="12.75" x14ac:dyDescent="0.2">
      <c r="A509" s="256"/>
      <c r="B509" s="256"/>
      <c r="C509" s="256"/>
      <c r="D509" s="256"/>
      <c r="E509" s="256"/>
      <c r="F509" s="256"/>
      <c r="G509" s="256"/>
      <c r="H509" s="256"/>
      <c r="I509" s="256"/>
      <c r="J509" s="256"/>
      <c r="K509" s="256"/>
    </row>
    <row r="510" spans="1:11" ht="12.75" x14ac:dyDescent="0.2">
      <c r="A510" s="256"/>
      <c r="B510" s="256"/>
      <c r="C510" s="256"/>
      <c r="D510" s="256"/>
      <c r="E510" s="256"/>
      <c r="F510" s="256"/>
      <c r="G510" s="256"/>
      <c r="H510" s="256"/>
      <c r="I510" s="256"/>
      <c r="J510" s="256"/>
      <c r="K510" s="256"/>
    </row>
    <row r="511" spans="1:11" ht="12.75" x14ac:dyDescent="0.2">
      <c r="A511" s="256"/>
      <c r="B511" s="256"/>
      <c r="C511" s="256"/>
      <c r="D511" s="256"/>
      <c r="E511" s="256"/>
      <c r="F511" s="256"/>
      <c r="G511" s="256"/>
      <c r="H511" s="256"/>
      <c r="I511" s="256"/>
      <c r="J511" s="256"/>
      <c r="K511" s="256"/>
    </row>
    <row r="512" spans="1:11" ht="12.75" x14ac:dyDescent="0.2">
      <c r="A512" s="256"/>
      <c r="B512" s="256"/>
      <c r="C512" s="256"/>
      <c r="D512" s="256"/>
      <c r="E512" s="256"/>
      <c r="F512" s="256"/>
      <c r="G512" s="256"/>
      <c r="H512" s="256"/>
      <c r="I512" s="256"/>
      <c r="J512" s="256"/>
      <c r="K512" s="256"/>
    </row>
    <row r="513" spans="1:11" ht="12.75" x14ac:dyDescent="0.2">
      <c r="A513" s="256"/>
      <c r="B513" s="256"/>
      <c r="C513" s="256"/>
      <c r="D513" s="256"/>
      <c r="E513" s="256"/>
      <c r="F513" s="256"/>
      <c r="G513" s="256"/>
      <c r="H513" s="256"/>
      <c r="I513" s="256"/>
      <c r="J513" s="256"/>
      <c r="K513" s="256"/>
    </row>
    <row r="514" spans="1:11" ht="12.75" x14ac:dyDescent="0.2">
      <c r="A514" s="256"/>
      <c r="B514" s="256"/>
      <c r="C514" s="256"/>
      <c r="D514" s="256"/>
      <c r="E514" s="256"/>
      <c r="F514" s="256"/>
      <c r="G514" s="256"/>
      <c r="H514" s="256"/>
      <c r="I514" s="256"/>
      <c r="J514" s="256"/>
      <c r="K514" s="256"/>
    </row>
    <row r="515" spans="1:11" ht="12.75" x14ac:dyDescent="0.2">
      <c r="A515" s="256"/>
      <c r="B515" s="256"/>
      <c r="C515" s="256"/>
      <c r="D515" s="256"/>
      <c r="E515" s="256"/>
      <c r="F515" s="256"/>
      <c r="G515" s="256"/>
      <c r="H515" s="256"/>
      <c r="I515" s="256"/>
      <c r="J515" s="256"/>
      <c r="K515" s="256"/>
    </row>
    <row r="516" spans="1:11" ht="12.75" x14ac:dyDescent="0.2">
      <c r="A516" s="256"/>
      <c r="B516" s="256"/>
      <c r="C516" s="256"/>
      <c r="D516" s="256"/>
      <c r="E516" s="256"/>
      <c r="F516" s="256"/>
      <c r="G516" s="256"/>
      <c r="H516" s="256"/>
      <c r="I516" s="256"/>
      <c r="J516" s="256"/>
      <c r="K516" s="256"/>
    </row>
    <row r="517" spans="1:11" ht="12.75" x14ac:dyDescent="0.2">
      <c r="A517" s="256"/>
      <c r="B517" s="256"/>
      <c r="C517" s="256"/>
      <c r="D517" s="256"/>
      <c r="E517" s="256"/>
      <c r="F517" s="256"/>
      <c r="G517" s="256"/>
      <c r="H517" s="256"/>
      <c r="I517" s="256"/>
      <c r="J517" s="256"/>
      <c r="K517" s="256"/>
    </row>
    <row r="518" spans="1:11" ht="12.75" x14ac:dyDescent="0.2">
      <c r="A518" s="256"/>
      <c r="B518" s="256"/>
      <c r="C518" s="256"/>
      <c r="D518" s="256"/>
      <c r="E518" s="256"/>
      <c r="F518" s="256"/>
      <c r="G518" s="256"/>
      <c r="H518" s="256"/>
      <c r="I518" s="256"/>
      <c r="J518" s="256"/>
      <c r="K518" s="256"/>
    </row>
    <row r="519" spans="1:11" ht="12.75" x14ac:dyDescent="0.2">
      <c r="A519" s="256"/>
      <c r="B519" s="256"/>
      <c r="C519" s="256"/>
      <c r="D519" s="256"/>
      <c r="E519" s="256"/>
      <c r="F519" s="256"/>
      <c r="G519" s="256"/>
      <c r="H519" s="256"/>
      <c r="I519" s="256"/>
      <c r="J519" s="256"/>
      <c r="K519" s="256"/>
    </row>
    <row r="520" spans="1:11" ht="12.75" x14ac:dyDescent="0.2">
      <c r="A520" s="256"/>
      <c r="B520" s="256"/>
      <c r="C520" s="256"/>
      <c r="D520" s="256"/>
      <c r="E520" s="256"/>
      <c r="F520" s="256"/>
      <c r="G520" s="256"/>
      <c r="H520" s="256"/>
      <c r="I520" s="256"/>
      <c r="J520" s="256"/>
      <c r="K520" s="256"/>
    </row>
    <row r="521" spans="1:11" ht="12.75" x14ac:dyDescent="0.2">
      <c r="A521" s="256"/>
      <c r="B521" s="256"/>
      <c r="C521" s="256"/>
      <c r="D521" s="256"/>
      <c r="E521" s="256"/>
      <c r="F521" s="256"/>
      <c r="G521" s="256"/>
      <c r="H521" s="256"/>
      <c r="I521" s="256"/>
      <c r="J521" s="256"/>
      <c r="K521" s="256"/>
    </row>
    <row r="522" spans="1:11" ht="12.75" x14ac:dyDescent="0.2">
      <c r="A522" s="256"/>
      <c r="B522" s="256"/>
      <c r="C522" s="256"/>
      <c r="D522" s="256"/>
      <c r="E522" s="256"/>
      <c r="F522" s="256"/>
      <c r="G522" s="256"/>
      <c r="H522" s="256"/>
      <c r="I522" s="256"/>
      <c r="J522" s="256"/>
      <c r="K522" s="256"/>
    </row>
    <row r="523" spans="1:11" ht="12.75" x14ac:dyDescent="0.2">
      <c r="A523" s="256"/>
      <c r="B523" s="256"/>
      <c r="C523" s="256"/>
      <c r="D523" s="256"/>
      <c r="E523" s="256"/>
      <c r="F523" s="256"/>
      <c r="G523" s="256"/>
      <c r="H523" s="256"/>
      <c r="I523" s="256"/>
      <c r="J523" s="256"/>
      <c r="K523" s="256"/>
    </row>
    <row r="524" spans="1:11" ht="12.75" x14ac:dyDescent="0.2">
      <c r="A524" s="256"/>
      <c r="B524" s="256"/>
      <c r="C524" s="256"/>
      <c r="D524" s="256"/>
      <c r="E524" s="256"/>
      <c r="F524" s="256"/>
      <c r="G524" s="256"/>
      <c r="H524" s="256"/>
      <c r="I524" s="256"/>
      <c r="J524" s="256"/>
      <c r="K524" s="256"/>
    </row>
    <row r="525" spans="1:11" ht="12.75" x14ac:dyDescent="0.2">
      <c r="A525" s="256"/>
      <c r="B525" s="256"/>
      <c r="C525" s="256"/>
      <c r="D525" s="256"/>
      <c r="E525" s="256"/>
      <c r="F525" s="256"/>
      <c r="G525" s="256"/>
      <c r="H525" s="256"/>
      <c r="I525" s="256"/>
      <c r="J525" s="256"/>
      <c r="K525" s="256"/>
    </row>
    <row r="526" spans="1:11" ht="12.75" x14ac:dyDescent="0.2">
      <c r="A526" s="256"/>
      <c r="B526" s="256"/>
      <c r="C526" s="256"/>
      <c r="D526" s="256"/>
      <c r="E526" s="256"/>
      <c r="F526" s="256"/>
      <c r="G526" s="256"/>
      <c r="H526" s="256"/>
      <c r="I526" s="256"/>
      <c r="J526" s="256"/>
      <c r="K526" s="256"/>
    </row>
    <row r="527" spans="1:11" ht="12.75" x14ac:dyDescent="0.2">
      <c r="A527" s="256"/>
      <c r="B527" s="256"/>
      <c r="C527" s="256"/>
      <c r="D527" s="256"/>
      <c r="E527" s="256"/>
      <c r="F527" s="256"/>
      <c r="G527" s="256"/>
      <c r="H527" s="256"/>
      <c r="I527" s="256"/>
      <c r="J527" s="256"/>
      <c r="K527" s="256"/>
    </row>
    <row r="528" spans="1:11" ht="12.75" x14ac:dyDescent="0.2">
      <c r="A528" s="256"/>
      <c r="B528" s="256"/>
      <c r="C528" s="256"/>
      <c r="D528" s="256"/>
      <c r="E528" s="256"/>
      <c r="F528" s="256"/>
      <c r="G528" s="256"/>
      <c r="H528" s="256"/>
      <c r="I528" s="256"/>
      <c r="J528" s="256"/>
      <c r="K528" s="256"/>
    </row>
    <row r="529" spans="1:11" ht="12.75" x14ac:dyDescent="0.2">
      <c r="A529" s="256"/>
      <c r="B529" s="256"/>
      <c r="C529" s="256"/>
      <c r="D529" s="256"/>
      <c r="E529" s="256"/>
      <c r="F529" s="256"/>
      <c r="G529" s="256"/>
      <c r="H529" s="256"/>
      <c r="I529" s="256"/>
      <c r="J529" s="256"/>
      <c r="K529" s="256"/>
    </row>
    <row r="530" spans="1:11" ht="12.75" x14ac:dyDescent="0.2">
      <c r="A530" s="256"/>
      <c r="B530" s="256"/>
      <c r="C530" s="256"/>
      <c r="D530" s="256"/>
      <c r="E530" s="256"/>
      <c r="F530" s="256"/>
      <c r="G530" s="256"/>
      <c r="H530" s="256"/>
      <c r="I530" s="256"/>
      <c r="J530" s="256"/>
      <c r="K530" s="256"/>
    </row>
    <row r="531" spans="1:11" ht="12.75" x14ac:dyDescent="0.2">
      <c r="A531" s="256"/>
      <c r="B531" s="256"/>
      <c r="C531" s="256"/>
      <c r="D531" s="256"/>
      <c r="E531" s="256"/>
      <c r="F531" s="256"/>
      <c r="G531" s="256"/>
      <c r="H531" s="256"/>
      <c r="I531" s="256"/>
      <c r="J531" s="256"/>
      <c r="K531" s="256"/>
    </row>
    <row r="532" spans="1:11" ht="12.75" x14ac:dyDescent="0.2">
      <c r="A532" s="256"/>
      <c r="B532" s="256"/>
      <c r="C532" s="256"/>
      <c r="D532" s="256"/>
      <c r="E532" s="256"/>
      <c r="F532" s="256"/>
      <c r="G532" s="256"/>
      <c r="H532" s="256"/>
      <c r="I532" s="256"/>
      <c r="J532" s="256"/>
      <c r="K532" s="256"/>
    </row>
    <row r="533" spans="1:11" ht="12.75" x14ac:dyDescent="0.2">
      <c r="A533" s="256"/>
      <c r="B533" s="256"/>
      <c r="C533" s="256"/>
      <c r="D533" s="256"/>
      <c r="E533" s="256"/>
      <c r="F533" s="256"/>
      <c r="G533" s="256"/>
      <c r="H533" s="256"/>
      <c r="I533" s="256"/>
      <c r="J533" s="256"/>
      <c r="K533" s="256"/>
    </row>
    <row r="534" spans="1:11" ht="12.75" x14ac:dyDescent="0.2">
      <c r="A534" s="256"/>
      <c r="B534" s="256"/>
      <c r="C534" s="256"/>
      <c r="D534" s="256"/>
      <c r="E534" s="256"/>
      <c r="F534" s="256"/>
      <c r="G534" s="256"/>
      <c r="H534" s="256"/>
      <c r="I534" s="256"/>
      <c r="J534" s="256"/>
      <c r="K534" s="256"/>
    </row>
    <row r="535" spans="1:11" ht="12.75" x14ac:dyDescent="0.2">
      <c r="A535" s="256"/>
      <c r="B535" s="256"/>
      <c r="C535" s="256"/>
      <c r="D535" s="256"/>
      <c r="E535" s="256"/>
      <c r="F535" s="256"/>
      <c r="G535" s="256"/>
      <c r="H535" s="256"/>
      <c r="I535" s="256"/>
      <c r="J535" s="256"/>
      <c r="K535" s="256"/>
    </row>
    <row r="536" spans="1:11" ht="12.75" x14ac:dyDescent="0.2">
      <c r="A536" s="256"/>
      <c r="B536" s="256"/>
      <c r="C536" s="256"/>
      <c r="D536" s="256"/>
      <c r="E536" s="256"/>
      <c r="F536" s="256"/>
      <c r="G536" s="256"/>
      <c r="H536" s="256"/>
      <c r="I536" s="256"/>
      <c r="J536" s="256"/>
      <c r="K536" s="256"/>
    </row>
    <row r="537" spans="1:11" ht="12.75" x14ac:dyDescent="0.2">
      <c r="A537" s="256"/>
      <c r="B537" s="256"/>
      <c r="C537" s="256"/>
      <c r="D537" s="256"/>
      <c r="E537" s="256"/>
      <c r="F537" s="256"/>
      <c r="G537" s="256"/>
      <c r="H537" s="256"/>
      <c r="I537" s="256"/>
      <c r="J537" s="256"/>
      <c r="K537" s="256"/>
    </row>
    <row r="538" spans="1:11" ht="12.75" x14ac:dyDescent="0.2">
      <c r="A538" s="256"/>
      <c r="B538" s="256"/>
      <c r="C538" s="256"/>
      <c r="D538" s="256"/>
      <c r="E538" s="256"/>
      <c r="F538" s="256"/>
      <c r="G538" s="256"/>
      <c r="H538" s="256"/>
      <c r="I538" s="256"/>
      <c r="J538" s="256"/>
      <c r="K538" s="256"/>
    </row>
    <row r="539" spans="1:11" ht="12.75" x14ac:dyDescent="0.2">
      <c r="A539" s="256"/>
      <c r="B539" s="256"/>
      <c r="C539" s="256"/>
      <c r="D539" s="256"/>
      <c r="E539" s="256"/>
      <c r="F539" s="256"/>
      <c r="G539" s="256"/>
      <c r="H539" s="256"/>
      <c r="I539" s="256"/>
      <c r="J539" s="256"/>
      <c r="K539" s="256"/>
    </row>
    <row r="540" spans="1:11" ht="12.75" x14ac:dyDescent="0.2">
      <c r="A540" s="256"/>
      <c r="B540" s="256"/>
      <c r="C540" s="256"/>
      <c r="D540" s="256"/>
      <c r="E540" s="256"/>
      <c r="F540" s="256"/>
      <c r="G540" s="256"/>
      <c r="H540" s="256"/>
      <c r="I540" s="256"/>
      <c r="J540" s="256"/>
      <c r="K540" s="256"/>
    </row>
    <row r="541" spans="1:11" ht="12.75" x14ac:dyDescent="0.2">
      <c r="A541" s="256"/>
      <c r="B541" s="256"/>
      <c r="C541" s="256"/>
      <c r="D541" s="256"/>
      <c r="E541" s="256"/>
      <c r="F541" s="256"/>
      <c r="G541" s="256"/>
      <c r="H541" s="256"/>
      <c r="I541" s="256"/>
      <c r="J541" s="256"/>
      <c r="K541" s="256"/>
    </row>
    <row r="542" spans="1:11" ht="12.75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</row>
    <row r="543" spans="1:11" ht="12.75" x14ac:dyDescent="0.2">
      <c r="A543" s="256"/>
      <c r="B543" s="256"/>
      <c r="C543" s="256"/>
      <c r="D543" s="256"/>
      <c r="E543" s="256"/>
      <c r="F543" s="256"/>
      <c r="G543" s="256"/>
      <c r="H543" s="256"/>
      <c r="I543" s="256"/>
      <c r="J543" s="256"/>
      <c r="K543" s="256"/>
    </row>
    <row r="544" spans="1:11" ht="12.75" x14ac:dyDescent="0.2">
      <c r="A544" s="256"/>
      <c r="B544" s="256"/>
      <c r="C544" s="256"/>
      <c r="D544" s="256"/>
      <c r="E544" s="256"/>
      <c r="F544" s="256"/>
      <c r="G544" s="256"/>
      <c r="H544" s="256"/>
      <c r="I544" s="256"/>
      <c r="J544" s="256"/>
      <c r="K544" s="256"/>
    </row>
    <row r="545" spans="1:11" ht="12.75" x14ac:dyDescent="0.2">
      <c r="A545" s="256"/>
      <c r="B545" s="256"/>
      <c r="C545" s="256"/>
      <c r="D545" s="256"/>
      <c r="E545" s="256"/>
      <c r="F545" s="256"/>
      <c r="G545" s="256"/>
      <c r="H545" s="256"/>
      <c r="I545" s="256"/>
      <c r="J545" s="256"/>
      <c r="K545" s="256"/>
    </row>
    <row r="546" spans="1:11" ht="12.75" x14ac:dyDescent="0.2">
      <c r="A546" s="256"/>
      <c r="B546" s="256"/>
      <c r="C546" s="256"/>
      <c r="D546" s="256"/>
      <c r="E546" s="256"/>
      <c r="F546" s="256"/>
      <c r="G546" s="256"/>
      <c r="H546" s="256"/>
      <c r="I546" s="256"/>
      <c r="J546" s="256"/>
      <c r="K546" s="256"/>
    </row>
    <row r="547" spans="1:11" ht="12.75" x14ac:dyDescent="0.2">
      <c r="A547" s="256"/>
      <c r="B547" s="256"/>
      <c r="C547" s="256"/>
      <c r="D547" s="256"/>
      <c r="E547" s="256"/>
      <c r="F547" s="256"/>
      <c r="G547" s="256"/>
      <c r="H547" s="256"/>
      <c r="I547" s="256"/>
      <c r="J547" s="256"/>
      <c r="K547" s="256"/>
    </row>
    <row r="548" spans="1:11" ht="12.75" x14ac:dyDescent="0.2">
      <c r="A548" s="256"/>
      <c r="B548" s="256"/>
      <c r="C548" s="256"/>
      <c r="D548" s="256"/>
      <c r="E548" s="256"/>
      <c r="F548" s="256"/>
      <c r="G548" s="256"/>
      <c r="H548" s="256"/>
      <c r="I548" s="256"/>
      <c r="J548" s="256"/>
      <c r="K548" s="256"/>
    </row>
    <row r="549" spans="1:11" ht="12.75" x14ac:dyDescent="0.2">
      <c r="A549" s="256"/>
      <c r="B549" s="256"/>
      <c r="C549" s="256"/>
      <c r="D549" s="256"/>
      <c r="E549" s="256"/>
      <c r="F549" s="256"/>
      <c r="G549" s="256"/>
      <c r="H549" s="256"/>
      <c r="I549" s="256"/>
      <c r="J549" s="256"/>
      <c r="K549" s="256"/>
    </row>
    <row r="550" spans="1:11" ht="12.75" x14ac:dyDescent="0.2">
      <c r="A550" s="256"/>
      <c r="B550" s="256"/>
      <c r="C550" s="256"/>
      <c r="D550" s="256"/>
      <c r="E550" s="256"/>
      <c r="F550" s="256"/>
      <c r="G550" s="256"/>
      <c r="H550" s="256"/>
      <c r="I550" s="256"/>
      <c r="J550" s="256"/>
      <c r="K550" s="256"/>
    </row>
    <row r="551" spans="1:11" ht="12.75" x14ac:dyDescent="0.2">
      <c r="A551" s="256"/>
      <c r="B551" s="256"/>
      <c r="C551" s="256"/>
      <c r="D551" s="256"/>
      <c r="E551" s="256"/>
      <c r="F551" s="256"/>
      <c r="G551" s="256"/>
      <c r="H551" s="256"/>
      <c r="I551" s="256"/>
      <c r="J551" s="256"/>
      <c r="K551" s="256"/>
    </row>
    <row r="552" spans="1:11" ht="12.75" x14ac:dyDescent="0.2">
      <c r="A552" s="256"/>
      <c r="B552" s="256"/>
      <c r="C552" s="256"/>
      <c r="D552" s="256"/>
      <c r="E552" s="256"/>
      <c r="F552" s="256"/>
      <c r="G552" s="256"/>
      <c r="H552" s="256"/>
      <c r="I552" s="256"/>
      <c r="J552" s="256"/>
      <c r="K552" s="256"/>
    </row>
    <row r="553" spans="1:11" ht="12.75" x14ac:dyDescent="0.2">
      <c r="A553" s="256"/>
      <c r="B553" s="256"/>
      <c r="C553" s="256"/>
      <c r="D553" s="256"/>
      <c r="E553" s="256"/>
      <c r="F553" s="256"/>
      <c r="G553" s="256"/>
      <c r="H553" s="256"/>
      <c r="I553" s="256"/>
      <c r="J553" s="256"/>
      <c r="K553" s="256"/>
    </row>
    <row r="554" spans="1:11" ht="12.75" x14ac:dyDescent="0.2">
      <c r="A554" s="256"/>
      <c r="B554" s="256"/>
      <c r="C554" s="256"/>
      <c r="D554" s="256"/>
      <c r="E554" s="256"/>
      <c r="F554" s="256"/>
      <c r="G554" s="256"/>
      <c r="H554" s="256"/>
      <c r="I554" s="256"/>
      <c r="J554" s="256"/>
      <c r="K554" s="256"/>
    </row>
    <row r="555" spans="1:11" ht="12.75" x14ac:dyDescent="0.2">
      <c r="A555" s="256"/>
      <c r="B555" s="256"/>
      <c r="C555" s="256"/>
      <c r="D555" s="256"/>
      <c r="E555" s="256"/>
      <c r="F555" s="256"/>
      <c r="G555" s="256"/>
      <c r="H555" s="256"/>
      <c r="I555" s="256"/>
      <c r="J555" s="256"/>
      <c r="K555" s="256"/>
    </row>
    <row r="556" spans="1:11" ht="12.75" x14ac:dyDescent="0.2">
      <c r="A556" s="256"/>
      <c r="B556" s="256"/>
      <c r="C556" s="256"/>
      <c r="D556" s="256"/>
      <c r="E556" s="256"/>
      <c r="F556" s="256"/>
      <c r="G556" s="256"/>
      <c r="H556" s="256"/>
      <c r="I556" s="256"/>
      <c r="J556" s="256"/>
      <c r="K556" s="256"/>
    </row>
    <row r="557" spans="1:11" ht="12.75" x14ac:dyDescent="0.2">
      <c r="A557" s="256"/>
      <c r="B557" s="256"/>
      <c r="C557" s="256"/>
      <c r="D557" s="256"/>
      <c r="E557" s="256"/>
      <c r="F557" s="256"/>
      <c r="G557" s="256"/>
      <c r="H557" s="256"/>
      <c r="I557" s="256"/>
      <c r="J557" s="256"/>
      <c r="K557" s="256"/>
    </row>
    <row r="558" spans="1:11" ht="12.75" x14ac:dyDescent="0.2">
      <c r="A558" s="256"/>
      <c r="B558" s="256"/>
      <c r="C558" s="256"/>
      <c r="D558" s="256"/>
      <c r="E558" s="256"/>
      <c r="F558" s="256"/>
      <c r="G558" s="256"/>
      <c r="H558" s="256"/>
      <c r="I558" s="256"/>
      <c r="J558" s="256"/>
      <c r="K558" s="256"/>
    </row>
    <row r="559" spans="1:11" ht="12.75" x14ac:dyDescent="0.2">
      <c r="A559" s="256"/>
      <c r="B559" s="256"/>
      <c r="C559" s="256"/>
      <c r="D559" s="256"/>
      <c r="E559" s="256"/>
      <c r="F559" s="256"/>
      <c r="G559" s="256"/>
      <c r="H559" s="256"/>
      <c r="I559" s="256"/>
      <c r="J559" s="256"/>
      <c r="K559" s="256"/>
    </row>
    <row r="560" spans="1:11" ht="12.75" x14ac:dyDescent="0.2">
      <c r="A560" s="256"/>
      <c r="B560" s="256"/>
      <c r="C560" s="256"/>
      <c r="D560" s="256"/>
      <c r="E560" s="256"/>
      <c r="F560" s="256"/>
      <c r="G560" s="256"/>
      <c r="H560" s="256"/>
      <c r="I560" s="256"/>
      <c r="J560" s="256"/>
      <c r="K560" s="256"/>
    </row>
    <row r="561" spans="1:11" ht="12.75" x14ac:dyDescent="0.2">
      <c r="A561" s="256"/>
      <c r="B561" s="256"/>
      <c r="C561" s="256"/>
      <c r="D561" s="256"/>
      <c r="E561" s="256"/>
      <c r="F561" s="256"/>
      <c r="G561" s="256"/>
      <c r="H561" s="256"/>
      <c r="I561" s="256"/>
      <c r="J561" s="256"/>
      <c r="K561" s="256"/>
    </row>
    <row r="562" spans="1:11" ht="12.75" x14ac:dyDescent="0.2">
      <c r="A562" s="256"/>
      <c r="B562" s="256"/>
      <c r="C562" s="256"/>
      <c r="D562" s="256"/>
      <c r="E562" s="256"/>
      <c r="F562" s="256"/>
      <c r="G562" s="256"/>
      <c r="H562" s="256"/>
      <c r="I562" s="256"/>
      <c r="J562" s="256"/>
      <c r="K562" s="256"/>
    </row>
    <row r="563" spans="1:11" ht="12.75" x14ac:dyDescent="0.2">
      <c r="A563" s="256"/>
      <c r="B563" s="256"/>
      <c r="C563" s="256"/>
      <c r="D563" s="256"/>
      <c r="E563" s="256"/>
      <c r="F563" s="256"/>
      <c r="G563" s="256"/>
      <c r="H563" s="256"/>
      <c r="I563" s="256"/>
      <c r="J563" s="256"/>
      <c r="K563" s="256"/>
    </row>
    <row r="564" spans="1:11" ht="12.75" x14ac:dyDescent="0.2">
      <c r="A564" s="256"/>
      <c r="B564" s="256"/>
      <c r="C564" s="256"/>
      <c r="D564" s="256"/>
      <c r="E564" s="256"/>
      <c r="F564" s="256"/>
      <c r="G564" s="256"/>
      <c r="H564" s="256"/>
      <c r="I564" s="256"/>
      <c r="J564" s="256"/>
      <c r="K564" s="256"/>
    </row>
    <row r="565" spans="1:11" ht="12.75" x14ac:dyDescent="0.2">
      <c r="A565" s="256"/>
      <c r="B565" s="256"/>
      <c r="C565" s="256"/>
      <c r="D565" s="256"/>
      <c r="E565" s="256"/>
      <c r="F565" s="256"/>
      <c r="G565" s="256"/>
      <c r="H565" s="256"/>
      <c r="I565" s="256"/>
      <c r="J565" s="256"/>
      <c r="K565" s="256"/>
    </row>
    <row r="566" spans="1:11" ht="12.75" x14ac:dyDescent="0.2">
      <c r="A566" s="256"/>
      <c r="B566" s="256"/>
      <c r="C566" s="256"/>
      <c r="D566" s="256"/>
      <c r="E566" s="256"/>
      <c r="F566" s="256"/>
      <c r="G566" s="256"/>
      <c r="H566" s="256"/>
      <c r="I566" s="256"/>
      <c r="J566" s="256"/>
      <c r="K566" s="256"/>
    </row>
    <row r="567" spans="1:11" ht="12.75" x14ac:dyDescent="0.2">
      <c r="A567" s="256"/>
      <c r="B567" s="256"/>
      <c r="C567" s="256"/>
      <c r="D567" s="256"/>
      <c r="E567" s="256"/>
      <c r="F567" s="256"/>
      <c r="G567" s="256"/>
      <c r="H567" s="256"/>
      <c r="I567" s="256"/>
      <c r="J567" s="256"/>
      <c r="K567" s="256"/>
    </row>
    <row r="568" spans="1:11" ht="12.75" x14ac:dyDescent="0.2">
      <c r="A568" s="256"/>
      <c r="B568" s="256"/>
      <c r="C568" s="256"/>
      <c r="D568" s="256"/>
      <c r="E568" s="256"/>
      <c r="F568" s="256"/>
      <c r="G568" s="256"/>
      <c r="H568" s="256"/>
      <c r="I568" s="256"/>
      <c r="J568" s="256"/>
      <c r="K568" s="256"/>
    </row>
    <row r="569" spans="1:11" ht="12.75" x14ac:dyDescent="0.2">
      <c r="A569" s="256"/>
      <c r="B569" s="256"/>
      <c r="C569" s="256"/>
      <c r="D569" s="256"/>
      <c r="E569" s="256"/>
      <c r="F569" s="256"/>
      <c r="G569" s="256"/>
      <c r="H569" s="256"/>
      <c r="I569" s="256"/>
      <c r="J569" s="256"/>
      <c r="K569" s="256"/>
    </row>
    <row r="570" spans="1:11" ht="12.75" x14ac:dyDescent="0.2">
      <c r="A570" s="256"/>
      <c r="B570" s="256"/>
      <c r="C570" s="256"/>
      <c r="D570" s="256"/>
      <c r="E570" s="256"/>
      <c r="F570" s="256"/>
      <c r="G570" s="256"/>
      <c r="H570" s="256"/>
      <c r="I570" s="256"/>
      <c r="J570" s="256"/>
      <c r="K570" s="256"/>
    </row>
    <row r="571" spans="1:11" ht="12.75" x14ac:dyDescent="0.2">
      <c r="A571" s="256"/>
      <c r="B571" s="256"/>
      <c r="C571" s="256"/>
      <c r="D571" s="256"/>
      <c r="E571" s="256"/>
      <c r="F571" s="256"/>
      <c r="G571" s="256"/>
      <c r="H571" s="256"/>
      <c r="I571" s="256"/>
      <c r="J571" s="256"/>
      <c r="K571" s="256"/>
    </row>
    <row r="572" spans="1:11" ht="12.75" x14ac:dyDescent="0.2">
      <c r="A572" s="256"/>
      <c r="B572" s="256"/>
      <c r="C572" s="256"/>
      <c r="D572" s="256"/>
      <c r="E572" s="256"/>
      <c r="F572" s="256"/>
      <c r="G572" s="256"/>
      <c r="H572" s="256"/>
      <c r="I572" s="256"/>
      <c r="J572" s="256"/>
      <c r="K572" s="256"/>
    </row>
    <row r="573" spans="1:11" ht="12.75" x14ac:dyDescent="0.2">
      <c r="A573" s="256"/>
      <c r="B573" s="256"/>
      <c r="C573" s="256"/>
      <c r="D573" s="256"/>
      <c r="E573" s="256"/>
      <c r="F573" s="256"/>
      <c r="G573" s="256"/>
      <c r="H573" s="256"/>
      <c r="I573" s="256"/>
      <c r="J573" s="256"/>
      <c r="K573" s="256"/>
    </row>
    <row r="574" spans="1:11" ht="12.75" x14ac:dyDescent="0.2">
      <c r="A574" s="256"/>
      <c r="B574" s="256"/>
      <c r="C574" s="256"/>
      <c r="D574" s="256"/>
      <c r="E574" s="256"/>
      <c r="F574" s="256"/>
      <c r="G574" s="256"/>
      <c r="H574" s="256"/>
      <c r="I574" s="256"/>
      <c r="J574" s="256"/>
      <c r="K574" s="256"/>
    </row>
    <row r="575" spans="1:11" ht="12.75" x14ac:dyDescent="0.2">
      <c r="A575" s="256"/>
      <c r="B575" s="256"/>
      <c r="C575" s="256"/>
      <c r="D575" s="256"/>
      <c r="E575" s="256"/>
      <c r="F575" s="256"/>
      <c r="G575" s="256"/>
      <c r="H575" s="256"/>
      <c r="I575" s="256"/>
      <c r="J575" s="256"/>
      <c r="K575" s="256"/>
    </row>
    <row r="576" spans="1:11" ht="12.75" x14ac:dyDescent="0.2">
      <c r="A576" s="256"/>
      <c r="B576" s="256"/>
      <c r="C576" s="256"/>
      <c r="D576" s="256"/>
      <c r="E576" s="256"/>
      <c r="F576" s="256"/>
      <c r="G576" s="256"/>
      <c r="H576" s="256"/>
      <c r="I576" s="256"/>
      <c r="J576" s="256"/>
      <c r="K576" s="256"/>
    </row>
    <row r="577" spans="1:11" ht="12.75" x14ac:dyDescent="0.2">
      <c r="A577" s="256"/>
      <c r="B577" s="256"/>
      <c r="C577" s="256"/>
      <c r="D577" s="256"/>
      <c r="E577" s="256"/>
      <c r="F577" s="256"/>
      <c r="G577" s="256"/>
      <c r="H577" s="256"/>
      <c r="I577" s="256"/>
      <c r="J577" s="256"/>
      <c r="K577" s="256"/>
    </row>
    <row r="578" spans="1:11" ht="12.75" x14ac:dyDescent="0.2">
      <c r="A578" s="256"/>
      <c r="B578" s="256"/>
      <c r="C578" s="256"/>
      <c r="D578" s="256"/>
      <c r="E578" s="256"/>
      <c r="F578" s="256"/>
      <c r="G578" s="256"/>
      <c r="H578" s="256"/>
      <c r="I578" s="256"/>
      <c r="J578" s="256"/>
      <c r="K578" s="256"/>
    </row>
    <row r="579" spans="1:11" ht="12.75" x14ac:dyDescent="0.2">
      <c r="A579" s="256"/>
      <c r="B579" s="256"/>
      <c r="C579" s="256"/>
      <c r="D579" s="256"/>
      <c r="E579" s="256"/>
      <c r="F579" s="256"/>
      <c r="G579" s="256"/>
      <c r="H579" s="256"/>
      <c r="I579" s="256"/>
      <c r="J579" s="256"/>
      <c r="K579" s="256"/>
    </row>
    <row r="580" spans="1:11" ht="12.75" x14ac:dyDescent="0.2">
      <c r="A580" s="256"/>
      <c r="B580" s="256"/>
      <c r="C580" s="256"/>
      <c r="D580" s="256"/>
      <c r="E580" s="256"/>
      <c r="F580" s="256"/>
      <c r="G580" s="256"/>
      <c r="H580" s="256"/>
      <c r="I580" s="256"/>
      <c r="J580" s="256"/>
      <c r="K580" s="256"/>
    </row>
    <row r="581" spans="1:11" ht="12.75" x14ac:dyDescent="0.2">
      <c r="A581" s="256"/>
      <c r="B581" s="256"/>
      <c r="C581" s="256"/>
      <c r="D581" s="256"/>
      <c r="E581" s="256"/>
      <c r="F581" s="256"/>
      <c r="G581" s="256"/>
      <c r="H581" s="256"/>
      <c r="I581" s="256"/>
      <c r="J581" s="256"/>
      <c r="K581" s="256"/>
    </row>
    <row r="582" spans="1:11" ht="12.75" x14ac:dyDescent="0.2">
      <c r="A582" s="256"/>
      <c r="B582" s="256"/>
      <c r="C582" s="256"/>
      <c r="D582" s="256"/>
      <c r="E582" s="256"/>
      <c r="F582" s="256"/>
      <c r="G582" s="256"/>
      <c r="H582" s="256"/>
      <c r="I582" s="256"/>
      <c r="J582" s="256"/>
      <c r="K582" s="256"/>
    </row>
    <row r="583" spans="1:11" ht="12.75" x14ac:dyDescent="0.2">
      <c r="A583" s="256"/>
      <c r="B583" s="256"/>
      <c r="C583" s="256"/>
      <c r="D583" s="256"/>
      <c r="E583" s="256"/>
      <c r="F583" s="256"/>
      <c r="G583" s="256"/>
      <c r="H583" s="256"/>
      <c r="I583" s="256"/>
      <c r="J583" s="256"/>
      <c r="K583" s="256"/>
    </row>
    <row r="584" spans="1:11" ht="12.75" x14ac:dyDescent="0.2">
      <c r="A584" s="256"/>
      <c r="B584" s="256"/>
      <c r="C584" s="256"/>
      <c r="D584" s="256"/>
      <c r="E584" s="256"/>
      <c r="F584" s="256"/>
      <c r="G584" s="256"/>
      <c r="H584" s="256"/>
      <c r="I584" s="256"/>
      <c r="J584" s="256"/>
      <c r="K584" s="256"/>
    </row>
    <row r="585" spans="1:11" ht="12.75" x14ac:dyDescent="0.2">
      <c r="A585" s="256"/>
      <c r="B585" s="256"/>
      <c r="C585" s="256"/>
      <c r="D585" s="256"/>
      <c r="E585" s="256"/>
      <c r="F585" s="256"/>
      <c r="G585" s="256"/>
      <c r="H585" s="256"/>
      <c r="I585" s="256"/>
      <c r="J585" s="256"/>
      <c r="K585" s="256"/>
    </row>
    <row r="586" spans="1:11" ht="12.75" x14ac:dyDescent="0.2">
      <c r="A586" s="256"/>
      <c r="B586" s="256"/>
      <c r="C586" s="256"/>
      <c r="D586" s="256"/>
      <c r="E586" s="256"/>
      <c r="F586" s="256"/>
      <c r="G586" s="256"/>
      <c r="H586" s="256"/>
      <c r="I586" s="256"/>
      <c r="J586" s="256"/>
      <c r="K586" s="256"/>
    </row>
    <row r="587" spans="1:11" ht="12.75" x14ac:dyDescent="0.2">
      <c r="A587" s="256"/>
      <c r="B587" s="256"/>
      <c r="C587" s="256"/>
      <c r="D587" s="256"/>
      <c r="E587" s="256"/>
      <c r="F587" s="256"/>
      <c r="G587" s="256"/>
      <c r="H587" s="256"/>
      <c r="I587" s="256"/>
      <c r="J587" s="256"/>
      <c r="K587" s="256"/>
    </row>
    <row r="588" spans="1:11" ht="12.75" x14ac:dyDescent="0.2">
      <c r="A588" s="256"/>
      <c r="B588" s="256"/>
      <c r="C588" s="256"/>
      <c r="D588" s="256"/>
      <c r="E588" s="256"/>
      <c r="F588" s="256"/>
      <c r="G588" s="256"/>
      <c r="H588" s="256"/>
      <c r="I588" s="256"/>
      <c r="J588" s="256"/>
      <c r="K588" s="256"/>
    </row>
    <row r="589" spans="1:11" ht="12.75" x14ac:dyDescent="0.2">
      <c r="A589" s="256"/>
      <c r="B589" s="256"/>
      <c r="C589" s="256"/>
      <c r="D589" s="256"/>
      <c r="E589" s="256"/>
      <c r="F589" s="256"/>
      <c r="G589" s="256"/>
      <c r="H589" s="256"/>
      <c r="I589" s="256"/>
      <c r="J589" s="256"/>
      <c r="K589" s="256"/>
    </row>
    <row r="590" spans="1:11" ht="12.75" x14ac:dyDescent="0.2">
      <c r="A590" s="256"/>
      <c r="B590" s="256"/>
      <c r="C590" s="256"/>
      <c r="D590" s="256"/>
      <c r="E590" s="256"/>
      <c r="F590" s="256"/>
      <c r="G590" s="256"/>
      <c r="H590" s="256"/>
      <c r="I590" s="256"/>
      <c r="J590" s="256"/>
      <c r="K590" s="256"/>
    </row>
    <row r="591" spans="1:11" ht="12.75" x14ac:dyDescent="0.2">
      <c r="A591" s="256"/>
      <c r="B591" s="256"/>
      <c r="C591" s="256"/>
      <c r="D591" s="256"/>
      <c r="E591" s="256"/>
      <c r="F591" s="256"/>
      <c r="G591" s="256"/>
      <c r="H591" s="256"/>
      <c r="I591" s="256"/>
      <c r="J591" s="256"/>
      <c r="K591" s="256"/>
    </row>
    <row r="592" spans="1:11" ht="12.75" x14ac:dyDescent="0.2">
      <c r="A592" s="256"/>
      <c r="B592" s="256"/>
      <c r="C592" s="256"/>
      <c r="D592" s="256"/>
      <c r="E592" s="256"/>
      <c r="F592" s="256"/>
      <c r="G592" s="256"/>
      <c r="H592" s="256"/>
      <c r="I592" s="256"/>
      <c r="J592" s="256"/>
      <c r="K592" s="256"/>
    </row>
    <row r="593" spans="1:11" ht="12.75" x14ac:dyDescent="0.2">
      <c r="A593" s="256"/>
      <c r="B593" s="256"/>
      <c r="C593" s="256"/>
      <c r="D593" s="256"/>
      <c r="E593" s="256"/>
      <c r="F593" s="256"/>
      <c r="G593" s="256"/>
      <c r="H593" s="256"/>
      <c r="I593" s="256"/>
      <c r="J593" s="256"/>
      <c r="K593" s="256"/>
    </row>
    <row r="594" spans="1:11" ht="12.75" x14ac:dyDescent="0.2">
      <c r="A594" s="256"/>
      <c r="B594" s="256"/>
      <c r="C594" s="256"/>
      <c r="D594" s="256"/>
      <c r="E594" s="256"/>
      <c r="F594" s="256"/>
      <c r="G594" s="256"/>
      <c r="H594" s="256"/>
      <c r="I594" s="256"/>
      <c r="J594" s="256"/>
      <c r="K594" s="256"/>
    </row>
    <row r="595" spans="1:11" ht="12.75" x14ac:dyDescent="0.2">
      <c r="A595" s="256"/>
      <c r="B595" s="256"/>
      <c r="C595" s="256"/>
      <c r="D595" s="256"/>
      <c r="E595" s="256"/>
      <c r="F595" s="256"/>
      <c r="G595" s="256"/>
      <c r="H595" s="256"/>
      <c r="I595" s="256"/>
      <c r="J595" s="256"/>
      <c r="K595" s="256"/>
    </row>
    <row r="596" spans="1:11" ht="12.75" x14ac:dyDescent="0.2">
      <c r="A596" s="256"/>
      <c r="B596" s="256"/>
      <c r="C596" s="256"/>
      <c r="D596" s="256"/>
      <c r="E596" s="256"/>
      <c r="F596" s="256"/>
      <c r="G596" s="256"/>
      <c r="H596" s="256"/>
      <c r="I596" s="256"/>
      <c r="J596" s="256"/>
      <c r="K596" s="256"/>
    </row>
    <row r="597" spans="1:11" ht="12.75" x14ac:dyDescent="0.2">
      <c r="A597" s="256"/>
      <c r="B597" s="256"/>
      <c r="C597" s="256"/>
      <c r="D597" s="256"/>
      <c r="E597" s="256"/>
      <c r="F597" s="256"/>
      <c r="G597" s="256"/>
      <c r="H597" s="256"/>
      <c r="I597" s="256"/>
      <c r="J597" s="256"/>
      <c r="K597" s="256"/>
    </row>
    <row r="598" spans="1:11" ht="12.75" x14ac:dyDescent="0.2">
      <c r="A598" s="256"/>
      <c r="B598" s="256"/>
      <c r="C598" s="256"/>
      <c r="D598" s="256"/>
      <c r="E598" s="256"/>
      <c r="F598" s="256"/>
      <c r="G598" s="256"/>
      <c r="H598" s="256"/>
      <c r="I598" s="256"/>
      <c r="J598" s="256"/>
      <c r="K598" s="256"/>
    </row>
    <row r="599" spans="1:11" ht="12.75" x14ac:dyDescent="0.2">
      <c r="A599" s="256"/>
      <c r="B599" s="256"/>
      <c r="C599" s="256"/>
      <c r="D599" s="256"/>
      <c r="E599" s="256"/>
      <c r="F599" s="256"/>
      <c r="G599" s="256"/>
      <c r="H599" s="256"/>
      <c r="I599" s="256"/>
      <c r="J599" s="256"/>
      <c r="K599" s="256"/>
    </row>
    <row r="600" spans="1:11" ht="12.75" x14ac:dyDescent="0.2">
      <c r="A600" s="256"/>
      <c r="B600" s="256"/>
      <c r="C600" s="256"/>
      <c r="D600" s="256"/>
      <c r="E600" s="256"/>
      <c r="F600" s="256"/>
      <c r="G600" s="256"/>
      <c r="H600" s="256"/>
      <c r="I600" s="256"/>
      <c r="J600" s="256"/>
      <c r="K600" s="256"/>
    </row>
    <row r="601" spans="1:11" ht="12.75" x14ac:dyDescent="0.2">
      <c r="A601" s="256"/>
      <c r="B601" s="256"/>
      <c r="C601" s="256"/>
      <c r="D601" s="256"/>
      <c r="E601" s="256"/>
      <c r="F601" s="256"/>
      <c r="G601" s="256"/>
      <c r="H601" s="256"/>
      <c r="I601" s="256"/>
      <c r="J601" s="256"/>
      <c r="K601" s="256"/>
    </row>
    <row r="602" spans="1:11" ht="12.75" x14ac:dyDescent="0.2">
      <c r="A602" s="256"/>
      <c r="B602" s="256"/>
      <c r="C602" s="256"/>
      <c r="D602" s="256"/>
      <c r="E602" s="256"/>
      <c r="F602" s="256"/>
      <c r="G602" s="256"/>
      <c r="H602" s="256"/>
      <c r="I602" s="256"/>
      <c r="J602" s="256"/>
      <c r="K602" s="256"/>
    </row>
    <row r="603" spans="1:11" ht="12.75" x14ac:dyDescent="0.2">
      <c r="A603" s="256"/>
      <c r="B603" s="256"/>
      <c r="C603" s="256"/>
      <c r="D603" s="256"/>
      <c r="E603" s="256"/>
      <c r="F603" s="256"/>
      <c r="G603" s="256"/>
      <c r="H603" s="256"/>
      <c r="I603" s="256"/>
      <c r="J603" s="256"/>
      <c r="K603" s="256"/>
    </row>
    <row r="604" spans="1:11" ht="12.75" x14ac:dyDescent="0.2">
      <c r="A604" s="256"/>
      <c r="B604" s="256"/>
      <c r="C604" s="256"/>
      <c r="D604" s="256"/>
      <c r="E604" s="256"/>
      <c r="F604" s="256"/>
      <c r="G604" s="256"/>
      <c r="H604" s="256"/>
      <c r="I604" s="256"/>
      <c r="J604" s="256"/>
      <c r="K604" s="256"/>
    </row>
    <row r="605" spans="1:11" ht="12.75" x14ac:dyDescent="0.2">
      <c r="A605" s="256"/>
      <c r="B605" s="256"/>
      <c r="C605" s="256"/>
      <c r="D605" s="256"/>
      <c r="E605" s="256"/>
      <c r="F605" s="256"/>
      <c r="G605" s="256"/>
      <c r="H605" s="256"/>
      <c r="I605" s="256"/>
      <c r="J605" s="256"/>
      <c r="K605" s="256"/>
    </row>
    <row r="606" spans="1:11" ht="12.75" x14ac:dyDescent="0.2">
      <c r="A606" s="256"/>
      <c r="B606" s="256"/>
      <c r="C606" s="256"/>
      <c r="D606" s="256"/>
      <c r="E606" s="256"/>
      <c r="F606" s="256"/>
      <c r="G606" s="256"/>
      <c r="H606" s="256"/>
      <c r="I606" s="256"/>
      <c r="J606" s="256"/>
      <c r="K606" s="256"/>
    </row>
    <row r="607" spans="1:11" ht="12.75" x14ac:dyDescent="0.2">
      <c r="A607" s="256"/>
      <c r="B607" s="256"/>
      <c r="C607" s="256"/>
      <c r="D607" s="256"/>
      <c r="E607" s="256"/>
      <c r="F607" s="256"/>
      <c r="G607" s="256"/>
      <c r="H607" s="256"/>
      <c r="I607" s="256"/>
      <c r="J607" s="256"/>
      <c r="K607" s="256"/>
    </row>
    <row r="608" spans="1:11" ht="12.75" x14ac:dyDescent="0.2">
      <c r="A608" s="256"/>
      <c r="B608" s="256"/>
      <c r="C608" s="256"/>
      <c r="D608" s="256"/>
      <c r="E608" s="256"/>
      <c r="F608" s="256"/>
      <c r="G608" s="256"/>
      <c r="H608" s="256"/>
      <c r="I608" s="256"/>
      <c r="J608" s="256"/>
      <c r="K608" s="256"/>
    </row>
    <row r="609" spans="1:11" ht="12.75" x14ac:dyDescent="0.2">
      <c r="A609" s="256"/>
      <c r="B609" s="256"/>
      <c r="C609" s="256"/>
      <c r="D609" s="256"/>
      <c r="E609" s="256"/>
      <c r="F609" s="256"/>
      <c r="G609" s="256"/>
      <c r="H609" s="256"/>
      <c r="I609" s="256"/>
      <c r="J609" s="256"/>
      <c r="K609" s="256"/>
    </row>
    <row r="610" spans="1:11" ht="12.75" x14ac:dyDescent="0.2">
      <c r="A610" s="256"/>
      <c r="B610" s="256"/>
      <c r="C610" s="256"/>
      <c r="D610" s="256"/>
      <c r="E610" s="256"/>
      <c r="F610" s="256"/>
      <c r="G610" s="256"/>
      <c r="H610" s="256"/>
      <c r="I610" s="256"/>
      <c r="J610" s="256"/>
      <c r="K610" s="256"/>
    </row>
    <row r="611" spans="1:11" ht="12.75" x14ac:dyDescent="0.2">
      <c r="A611" s="256"/>
      <c r="B611" s="256"/>
      <c r="C611" s="256"/>
      <c r="D611" s="256"/>
      <c r="E611" s="256"/>
      <c r="F611" s="256"/>
      <c r="G611" s="256"/>
      <c r="H611" s="256"/>
      <c r="I611" s="256"/>
      <c r="J611" s="256"/>
      <c r="K611" s="256"/>
    </row>
    <row r="612" spans="1:11" ht="12.75" x14ac:dyDescent="0.2">
      <c r="A612" s="256"/>
      <c r="B612" s="256"/>
      <c r="C612" s="256"/>
      <c r="D612" s="256"/>
      <c r="E612" s="256"/>
      <c r="F612" s="256"/>
      <c r="G612" s="256"/>
      <c r="H612" s="256"/>
      <c r="I612" s="256"/>
      <c r="J612" s="256"/>
      <c r="K612" s="256"/>
    </row>
    <row r="613" spans="1:11" ht="12.75" x14ac:dyDescent="0.2">
      <c r="A613" s="256"/>
      <c r="B613" s="256"/>
      <c r="C613" s="256"/>
      <c r="D613" s="256"/>
      <c r="E613" s="256"/>
      <c r="F613" s="256"/>
      <c r="G613" s="256"/>
      <c r="H613" s="256"/>
      <c r="I613" s="256"/>
      <c r="J613" s="256"/>
      <c r="K613" s="256"/>
    </row>
    <row r="614" spans="1:11" ht="12.75" x14ac:dyDescent="0.2">
      <c r="A614" s="256"/>
      <c r="B614" s="256"/>
      <c r="C614" s="256"/>
      <c r="D614" s="256"/>
      <c r="E614" s="256"/>
      <c r="F614" s="256"/>
      <c r="G614" s="256"/>
      <c r="H614" s="256"/>
      <c r="I614" s="256"/>
      <c r="J614" s="256"/>
      <c r="K614" s="256"/>
    </row>
    <row r="615" spans="1:11" ht="12.75" x14ac:dyDescent="0.2">
      <c r="A615" s="256"/>
      <c r="B615" s="256"/>
      <c r="C615" s="256"/>
      <c r="D615" s="256"/>
      <c r="E615" s="256"/>
      <c r="F615" s="256"/>
      <c r="G615" s="256"/>
      <c r="H615" s="256"/>
      <c r="I615" s="256"/>
      <c r="J615" s="256"/>
      <c r="K615" s="256"/>
    </row>
    <row r="616" spans="1:11" ht="12.75" x14ac:dyDescent="0.2">
      <c r="A616" s="256"/>
      <c r="B616" s="256"/>
      <c r="C616" s="256"/>
      <c r="D616" s="256"/>
      <c r="E616" s="256"/>
      <c r="F616" s="256"/>
      <c r="G616" s="256"/>
      <c r="H616" s="256"/>
      <c r="I616" s="256"/>
      <c r="J616" s="256"/>
      <c r="K616" s="256"/>
    </row>
    <row r="617" spans="1:11" ht="12.75" x14ac:dyDescent="0.2">
      <c r="A617" s="256"/>
      <c r="B617" s="256"/>
      <c r="C617" s="256"/>
      <c r="D617" s="256"/>
      <c r="E617" s="256"/>
      <c r="F617" s="256"/>
      <c r="G617" s="256"/>
      <c r="H617" s="256"/>
      <c r="I617" s="256"/>
      <c r="J617" s="256"/>
      <c r="K617" s="256"/>
    </row>
    <row r="618" spans="1:11" ht="12.75" x14ac:dyDescent="0.2">
      <c r="A618" s="256"/>
      <c r="B618" s="256"/>
      <c r="C618" s="256"/>
      <c r="D618" s="256"/>
      <c r="E618" s="256"/>
      <c r="F618" s="256"/>
      <c r="G618" s="256"/>
      <c r="H618" s="256"/>
      <c r="I618" s="256"/>
      <c r="J618" s="256"/>
      <c r="K618" s="256"/>
    </row>
    <row r="619" spans="1:11" ht="12.75" x14ac:dyDescent="0.2">
      <c r="A619" s="256"/>
      <c r="B619" s="256"/>
      <c r="C619" s="256"/>
      <c r="D619" s="256"/>
      <c r="E619" s="256"/>
      <c r="F619" s="256"/>
      <c r="G619" s="256"/>
      <c r="H619" s="256"/>
      <c r="I619" s="256"/>
      <c r="J619" s="256"/>
      <c r="K619" s="256"/>
    </row>
    <row r="620" spans="1:11" ht="12.75" x14ac:dyDescent="0.2">
      <c r="A620" s="256"/>
      <c r="B620" s="256"/>
      <c r="C620" s="256"/>
      <c r="D620" s="256"/>
      <c r="E620" s="256"/>
      <c r="F620" s="256"/>
      <c r="G620" s="256"/>
      <c r="H620" s="256"/>
      <c r="I620" s="256"/>
      <c r="J620" s="256"/>
      <c r="K620" s="256"/>
    </row>
    <row r="621" spans="1:11" ht="12.75" x14ac:dyDescent="0.2">
      <c r="A621" s="256"/>
      <c r="B621" s="256"/>
      <c r="C621" s="256"/>
      <c r="D621" s="256"/>
      <c r="E621" s="256"/>
      <c r="F621" s="256"/>
      <c r="G621" s="256"/>
      <c r="H621" s="256"/>
      <c r="I621" s="256"/>
      <c r="J621" s="256"/>
      <c r="K621" s="256"/>
    </row>
    <row r="622" spans="1:11" ht="12.75" x14ac:dyDescent="0.2">
      <c r="A622" s="256"/>
      <c r="B622" s="256"/>
      <c r="C622" s="256"/>
      <c r="D622" s="256"/>
      <c r="E622" s="256"/>
      <c r="F622" s="256"/>
      <c r="G622" s="256"/>
      <c r="H622" s="256"/>
      <c r="I622" s="256"/>
      <c r="J622" s="256"/>
      <c r="K622" s="256"/>
    </row>
    <row r="623" spans="1:11" ht="12.75" x14ac:dyDescent="0.2">
      <c r="A623" s="256"/>
      <c r="B623" s="256"/>
      <c r="C623" s="256"/>
      <c r="D623" s="256"/>
      <c r="E623" s="256"/>
      <c r="F623" s="256"/>
      <c r="G623" s="256"/>
      <c r="H623" s="256"/>
      <c r="I623" s="256"/>
      <c r="J623" s="256"/>
      <c r="K623" s="256"/>
    </row>
    <row r="624" spans="1:11" ht="12.75" x14ac:dyDescent="0.2">
      <c r="A624" s="256"/>
      <c r="B624" s="256"/>
      <c r="C624" s="256"/>
      <c r="D624" s="256"/>
      <c r="E624" s="256"/>
      <c r="F624" s="256"/>
      <c r="G624" s="256"/>
      <c r="H624" s="256"/>
      <c r="I624" s="256"/>
      <c r="J624" s="256"/>
      <c r="K624" s="256"/>
    </row>
    <row r="625" spans="1:11" ht="12.75" x14ac:dyDescent="0.2">
      <c r="A625" s="256"/>
      <c r="B625" s="256"/>
      <c r="C625" s="256"/>
      <c r="D625" s="256"/>
      <c r="E625" s="256"/>
      <c r="F625" s="256"/>
      <c r="G625" s="256"/>
      <c r="H625" s="256"/>
      <c r="I625" s="256"/>
      <c r="J625" s="256"/>
      <c r="K625" s="256"/>
    </row>
    <row r="626" spans="1:11" ht="12.75" x14ac:dyDescent="0.2">
      <c r="A626" s="256"/>
      <c r="B626" s="256"/>
      <c r="C626" s="256"/>
      <c r="D626" s="256"/>
      <c r="E626" s="256"/>
      <c r="F626" s="256"/>
      <c r="G626" s="256"/>
      <c r="H626" s="256"/>
      <c r="I626" s="256"/>
      <c r="J626" s="256"/>
      <c r="K626" s="256"/>
    </row>
    <row r="627" spans="1:11" ht="12.75" x14ac:dyDescent="0.2">
      <c r="A627" s="256"/>
      <c r="B627" s="256"/>
      <c r="C627" s="256"/>
      <c r="D627" s="256"/>
      <c r="E627" s="256"/>
      <c r="F627" s="256"/>
      <c r="G627" s="256"/>
      <c r="H627" s="256"/>
      <c r="I627" s="256"/>
      <c r="J627" s="256"/>
      <c r="K627" s="256"/>
    </row>
    <row r="628" spans="1:11" ht="12.75" x14ac:dyDescent="0.2">
      <c r="A628" s="256"/>
      <c r="B628" s="256"/>
      <c r="C628" s="256"/>
      <c r="D628" s="256"/>
      <c r="E628" s="256"/>
      <c r="F628" s="256"/>
      <c r="G628" s="256"/>
      <c r="H628" s="256"/>
      <c r="I628" s="256"/>
      <c r="J628" s="256"/>
      <c r="K628" s="256"/>
    </row>
    <row r="629" spans="1:11" ht="12.75" x14ac:dyDescent="0.2">
      <c r="A629" s="256"/>
      <c r="B629" s="256"/>
      <c r="C629" s="256"/>
      <c r="D629" s="256"/>
      <c r="E629" s="256"/>
      <c r="F629" s="256"/>
      <c r="G629" s="256"/>
      <c r="H629" s="256"/>
      <c r="I629" s="256"/>
      <c r="J629" s="256"/>
      <c r="K629" s="256"/>
    </row>
    <row r="630" spans="1:11" ht="12.75" x14ac:dyDescent="0.2">
      <c r="A630" s="256"/>
      <c r="B630" s="256"/>
      <c r="C630" s="256"/>
      <c r="D630" s="256"/>
      <c r="E630" s="256"/>
      <c r="F630" s="256"/>
      <c r="G630" s="256"/>
      <c r="H630" s="256"/>
      <c r="I630" s="256"/>
      <c r="J630" s="256"/>
      <c r="K630" s="256"/>
    </row>
    <row r="631" spans="1:11" ht="12.75" x14ac:dyDescent="0.2">
      <c r="A631" s="256"/>
      <c r="B631" s="256"/>
      <c r="C631" s="256"/>
      <c r="D631" s="256"/>
      <c r="E631" s="256"/>
      <c r="F631" s="256"/>
      <c r="G631" s="256"/>
      <c r="H631" s="256"/>
      <c r="I631" s="256"/>
      <c r="J631" s="256"/>
      <c r="K631" s="256"/>
    </row>
    <row r="632" spans="1:11" ht="12.75" x14ac:dyDescent="0.2">
      <c r="A632" s="256"/>
      <c r="B632" s="256"/>
      <c r="C632" s="256"/>
      <c r="D632" s="256"/>
      <c r="E632" s="256"/>
      <c r="F632" s="256"/>
      <c r="G632" s="256"/>
      <c r="H632" s="256"/>
      <c r="I632" s="256"/>
      <c r="J632" s="256"/>
      <c r="K632" s="256"/>
    </row>
    <row r="633" spans="1:11" ht="12.75" x14ac:dyDescent="0.2">
      <c r="A633" s="256"/>
      <c r="B633" s="256"/>
      <c r="C633" s="256"/>
      <c r="D633" s="256"/>
      <c r="E633" s="256"/>
      <c r="F633" s="256"/>
      <c r="G633" s="256"/>
      <c r="H633" s="256"/>
      <c r="I633" s="256"/>
      <c r="J633" s="256"/>
      <c r="K633" s="256"/>
    </row>
    <row r="634" spans="1:11" ht="12.75" x14ac:dyDescent="0.2">
      <c r="A634" s="256"/>
      <c r="B634" s="256"/>
      <c r="C634" s="256"/>
      <c r="D634" s="256"/>
      <c r="E634" s="256"/>
      <c r="F634" s="256"/>
      <c r="G634" s="256"/>
      <c r="H634" s="256"/>
      <c r="I634" s="256"/>
      <c r="J634" s="256"/>
      <c r="K634" s="256"/>
    </row>
    <row r="635" spans="1:11" ht="12.75" x14ac:dyDescent="0.2">
      <c r="A635" s="256"/>
      <c r="B635" s="256"/>
      <c r="C635" s="256"/>
      <c r="D635" s="256"/>
      <c r="E635" s="256"/>
      <c r="F635" s="256"/>
      <c r="G635" s="256"/>
      <c r="H635" s="256"/>
      <c r="I635" s="256"/>
      <c r="J635" s="256"/>
      <c r="K635" s="256"/>
    </row>
    <row r="636" spans="1:11" ht="12.75" x14ac:dyDescent="0.2">
      <c r="A636" s="256"/>
      <c r="B636" s="256"/>
      <c r="C636" s="256"/>
      <c r="D636" s="256"/>
      <c r="E636" s="256"/>
      <c r="F636" s="256"/>
      <c r="G636" s="256"/>
      <c r="H636" s="256"/>
      <c r="I636" s="256"/>
      <c r="J636" s="256"/>
      <c r="K636" s="256"/>
    </row>
    <row r="637" spans="1:11" ht="12.75" x14ac:dyDescent="0.2">
      <c r="A637" s="256"/>
      <c r="B637" s="256"/>
      <c r="C637" s="256"/>
      <c r="D637" s="256"/>
      <c r="E637" s="256"/>
      <c r="F637" s="256"/>
      <c r="G637" s="256"/>
      <c r="H637" s="256"/>
      <c r="I637" s="256"/>
      <c r="J637" s="256"/>
      <c r="K637" s="256"/>
    </row>
    <row r="638" spans="1:11" ht="12.75" x14ac:dyDescent="0.2">
      <c r="A638" s="256"/>
      <c r="B638" s="256"/>
      <c r="C638" s="256"/>
      <c r="D638" s="256"/>
      <c r="E638" s="256"/>
      <c r="F638" s="256"/>
      <c r="G638" s="256"/>
      <c r="H638" s="256"/>
      <c r="I638" s="256"/>
      <c r="J638" s="256"/>
      <c r="K638" s="256"/>
    </row>
    <row r="639" spans="1:11" ht="12.75" x14ac:dyDescent="0.2">
      <c r="A639" s="256"/>
      <c r="B639" s="256"/>
      <c r="C639" s="256"/>
      <c r="D639" s="256"/>
      <c r="E639" s="256"/>
      <c r="F639" s="256"/>
      <c r="G639" s="256"/>
      <c r="H639" s="256"/>
      <c r="I639" s="256"/>
      <c r="J639" s="256"/>
      <c r="K639" s="256"/>
    </row>
    <row r="640" spans="1:11" ht="12.75" x14ac:dyDescent="0.2">
      <c r="A640" s="256"/>
      <c r="B640" s="256"/>
      <c r="C640" s="256"/>
      <c r="D640" s="256"/>
      <c r="E640" s="256"/>
      <c r="F640" s="256"/>
      <c r="G640" s="256"/>
      <c r="H640" s="256"/>
      <c r="I640" s="256"/>
      <c r="J640" s="256"/>
      <c r="K640" s="256"/>
    </row>
    <row r="641" spans="1:11" ht="12.75" x14ac:dyDescent="0.2">
      <c r="A641" s="256"/>
      <c r="B641" s="256"/>
      <c r="C641" s="256"/>
      <c r="D641" s="256"/>
      <c r="E641" s="256"/>
      <c r="F641" s="256"/>
      <c r="G641" s="256"/>
      <c r="H641" s="256"/>
      <c r="I641" s="256"/>
      <c r="J641" s="256"/>
      <c r="K641" s="256"/>
    </row>
    <row r="642" spans="1:11" ht="12.75" x14ac:dyDescent="0.2">
      <c r="A642" s="256"/>
      <c r="B642" s="256"/>
      <c r="C642" s="256"/>
      <c r="D642" s="256"/>
      <c r="E642" s="256"/>
      <c r="F642" s="256"/>
      <c r="G642" s="256"/>
      <c r="H642" s="256"/>
      <c r="I642" s="256"/>
      <c r="J642" s="256"/>
      <c r="K642" s="256"/>
    </row>
    <row r="643" spans="1:11" ht="12.75" x14ac:dyDescent="0.2">
      <c r="A643" s="256"/>
      <c r="B643" s="256"/>
      <c r="C643" s="256"/>
      <c r="D643" s="256"/>
      <c r="E643" s="256"/>
      <c r="F643" s="256"/>
      <c r="G643" s="256"/>
      <c r="H643" s="256"/>
      <c r="I643" s="256"/>
      <c r="J643" s="256"/>
      <c r="K643" s="256"/>
    </row>
    <row r="644" spans="1:11" ht="12.75" x14ac:dyDescent="0.2">
      <c r="A644" s="256"/>
      <c r="B644" s="256"/>
      <c r="C644" s="256"/>
      <c r="D644" s="256"/>
      <c r="E644" s="256"/>
      <c r="F644" s="256"/>
      <c r="G644" s="256"/>
      <c r="H644" s="256"/>
      <c r="I644" s="256"/>
      <c r="J644" s="256"/>
      <c r="K644" s="256"/>
    </row>
    <row r="645" spans="1:11" ht="12.75" x14ac:dyDescent="0.2">
      <c r="A645" s="256"/>
      <c r="B645" s="256"/>
      <c r="C645" s="256"/>
      <c r="D645" s="256"/>
      <c r="E645" s="256"/>
      <c r="F645" s="256"/>
      <c r="G645" s="256"/>
      <c r="H645" s="256"/>
      <c r="I645" s="256"/>
      <c r="J645" s="256"/>
      <c r="K645" s="256"/>
    </row>
    <row r="646" spans="1:11" ht="12.75" x14ac:dyDescent="0.2">
      <c r="A646" s="256"/>
      <c r="B646" s="256"/>
      <c r="C646" s="256"/>
      <c r="D646" s="256"/>
      <c r="E646" s="256"/>
      <c r="F646" s="256"/>
      <c r="G646" s="256"/>
      <c r="H646" s="256"/>
      <c r="I646" s="256"/>
      <c r="J646" s="256"/>
      <c r="K646" s="256"/>
    </row>
    <row r="647" spans="1:11" ht="12.75" x14ac:dyDescent="0.2">
      <c r="A647" s="256"/>
      <c r="B647" s="256"/>
      <c r="C647" s="256"/>
      <c r="D647" s="256"/>
      <c r="E647" s="256"/>
      <c r="F647" s="256"/>
      <c r="G647" s="256"/>
      <c r="H647" s="256"/>
      <c r="I647" s="256"/>
      <c r="J647" s="256"/>
      <c r="K647" s="256"/>
    </row>
    <row r="648" spans="1:11" ht="12.75" x14ac:dyDescent="0.2">
      <c r="A648" s="256"/>
      <c r="B648" s="256"/>
      <c r="C648" s="256"/>
      <c r="D648" s="256"/>
      <c r="E648" s="256"/>
      <c r="F648" s="256"/>
      <c r="G648" s="256"/>
      <c r="H648" s="256"/>
      <c r="I648" s="256"/>
      <c r="J648" s="256"/>
      <c r="K648" s="256"/>
    </row>
    <row r="649" spans="1:11" ht="12.75" x14ac:dyDescent="0.2">
      <c r="A649" s="256"/>
      <c r="B649" s="256"/>
      <c r="C649" s="256"/>
      <c r="D649" s="256"/>
      <c r="E649" s="256"/>
      <c r="F649" s="256"/>
      <c r="G649" s="256"/>
      <c r="H649" s="256"/>
      <c r="I649" s="256"/>
      <c r="J649" s="256"/>
      <c r="K649" s="256"/>
    </row>
    <row r="650" spans="1:11" ht="12.75" x14ac:dyDescent="0.2">
      <c r="A650" s="256"/>
      <c r="B650" s="256"/>
      <c r="C650" s="256"/>
      <c r="D650" s="256"/>
      <c r="E650" s="256"/>
      <c r="F650" s="256"/>
      <c r="G650" s="256"/>
      <c r="H650" s="256"/>
      <c r="I650" s="256"/>
      <c r="J650" s="256"/>
      <c r="K650" s="256"/>
    </row>
    <row r="651" spans="1:11" ht="12.75" x14ac:dyDescent="0.2">
      <c r="A651" s="256"/>
      <c r="B651" s="256"/>
      <c r="C651" s="256"/>
      <c r="D651" s="256"/>
      <c r="E651" s="256"/>
      <c r="F651" s="256"/>
      <c r="G651" s="256"/>
      <c r="H651" s="256"/>
      <c r="I651" s="256"/>
      <c r="J651" s="256"/>
      <c r="K651" s="256"/>
    </row>
    <row r="652" spans="1:11" ht="12.75" x14ac:dyDescent="0.2">
      <c r="A652" s="256"/>
      <c r="B652" s="256"/>
      <c r="C652" s="256"/>
      <c r="D652" s="256"/>
      <c r="E652" s="256"/>
      <c r="F652" s="256"/>
      <c r="G652" s="256"/>
      <c r="H652" s="256"/>
      <c r="I652" s="256"/>
      <c r="J652" s="256"/>
      <c r="K652" s="256"/>
    </row>
    <row r="653" spans="1:11" ht="12.75" x14ac:dyDescent="0.2">
      <c r="A653" s="256"/>
      <c r="B653" s="256"/>
      <c r="C653" s="256"/>
      <c r="D653" s="256"/>
      <c r="E653" s="256"/>
      <c r="F653" s="256"/>
      <c r="G653" s="256"/>
      <c r="H653" s="256"/>
      <c r="I653" s="256"/>
      <c r="J653" s="256"/>
      <c r="K653" s="256"/>
    </row>
    <row r="654" spans="1:11" ht="12.75" x14ac:dyDescent="0.2">
      <c r="A654" s="256"/>
      <c r="B654" s="256"/>
      <c r="C654" s="256"/>
      <c r="D654" s="256"/>
      <c r="E654" s="256"/>
      <c r="F654" s="256"/>
      <c r="G654" s="256"/>
      <c r="H654" s="256"/>
      <c r="I654" s="256"/>
      <c r="J654" s="256"/>
      <c r="K654" s="256"/>
    </row>
    <row r="655" spans="1:11" ht="12.75" x14ac:dyDescent="0.2">
      <c r="A655" s="256"/>
      <c r="B655" s="256"/>
      <c r="C655" s="256"/>
      <c r="D655" s="256"/>
      <c r="E655" s="256"/>
      <c r="F655" s="256"/>
      <c r="G655" s="256"/>
      <c r="H655" s="256"/>
      <c r="I655" s="256"/>
      <c r="J655" s="256"/>
      <c r="K655" s="256"/>
    </row>
    <row r="656" spans="1:11" ht="12.75" x14ac:dyDescent="0.2">
      <c r="A656" s="256"/>
      <c r="B656" s="256"/>
      <c r="C656" s="256"/>
      <c r="D656" s="256"/>
      <c r="E656" s="256"/>
      <c r="F656" s="256"/>
      <c r="G656" s="256"/>
      <c r="H656" s="256"/>
      <c r="I656" s="256"/>
      <c r="J656" s="256"/>
      <c r="K656" s="256"/>
    </row>
    <row r="657" spans="1:11" ht="12.75" x14ac:dyDescent="0.2">
      <c r="A657" s="256"/>
      <c r="B657" s="256"/>
      <c r="C657" s="256"/>
      <c r="D657" s="256"/>
      <c r="E657" s="256"/>
      <c r="F657" s="256"/>
      <c r="G657" s="256"/>
      <c r="H657" s="256"/>
      <c r="I657" s="256"/>
      <c r="J657" s="256"/>
      <c r="K657" s="256"/>
    </row>
    <row r="658" spans="1:11" ht="12.75" x14ac:dyDescent="0.2">
      <c r="A658" s="256"/>
      <c r="B658" s="256"/>
      <c r="C658" s="256"/>
      <c r="D658" s="256"/>
      <c r="E658" s="256"/>
      <c r="F658" s="256"/>
      <c r="G658" s="256"/>
      <c r="H658" s="256"/>
      <c r="I658" s="256"/>
      <c r="J658" s="256"/>
      <c r="K658" s="256"/>
    </row>
    <row r="659" spans="1:11" ht="12.75" x14ac:dyDescent="0.2">
      <c r="A659" s="256"/>
      <c r="B659" s="256"/>
      <c r="C659" s="256"/>
      <c r="D659" s="256"/>
      <c r="E659" s="256"/>
      <c r="F659" s="256"/>
      <c r="G659" s="256"/>
      <c r="H659" s="256"/>
      <c r="I659" s="256"/>
      <c r="J659" s="256"/>
      <c r="K659" s="256"/>
    </row>
    <row r="660" spans="1:11" ht="12.75" x14ac:dyDescent="0.2">
      <c r="A660" s="256"/>
      <c r="B660" s="256"/>
      <c r="C660" s="256"/>
      <c r="D660" s="256"/>
      <c r="E660" s="256"/>
      <c r="F660" s="256"/>
      <c r="G660" s="256"/>
      <c r="H660" s="256"/>
      <c r="I660" s="256"/>
      <c r="J660" s="256"/>
      <c r="K660" s="256"/>
    </row>
    <row r="661" spans="1:11" ht="12.75" x14ac:dyDescent="0.2">
      <c r="A661" s="256"/>
      <c r="B661" s="256"/>
      <c r="C661" s="256"/>
      <c r="D661" s="256"/>
      <c r="E661" s="256"/>
      <c r="F661" s="256"/>
      <c r="G661" s="256"/>
      <c r="H661" s="256"/>
      <c r="I661" s="256"/>
      <c r="J661" s="256"/>
      <c r="K661" s="256"/>
    </row>
    <row r="662" spans="1:11" ht="12.75" x14ac:dyDescent="0.2">
      <c r="A662" s="256"/>
      <c r="B662" s="256"/>
      <c r="C662" s="256"/>
      <c r="D662" s="256"/>
      <c r="E662" s="256"/>
      <c r="F662" s="256"/>
      <c r="G662" s="256"/>
      <c r="H662" s="256"/>
      <c r="I662" s="256"/>
      <c r="J662" s="256"/>
      <c r="K662" s="256"/>
    </row>
    <row r="663" spans="1:11" ht="12.75" x14ac:dyDescent="0.2">
      <c r="A663" s="256"/>
      <c r="B663" s="256"/>
      <c r="C663" s="256"/>
      <c r="D663" s="256"/>
      <c r="E663" s="256"/>
      <c r="F663" s="256"/>
      <c r="G663" s="256"/>
      <c r="H663" s="256"/>
      <c r="I663" s="256"/>
      <c r="J663" s="256"/>
      <c r="K663" s="256"/>
    </row>
    <row r="664" spans="1:11" ht="12.75" x14ac:dyDescent="0.2">
      <c r="A664" s="256"/>
      <c r="B664" s="256"/>
      <c r="C664" s="256"/>
      <c r="D664" s="256"/>
      <c r="E664" s="256"/>
      <c r="F664" s="256"/>
      <c r="G664" s="256"/>
      <c r="H664" s="256"/>
      <c r="I664" s="256"/>
      <c r="J664" s="256"/>
      <c r="K664" s="256"/>
    </row>
    <row r="665" spans="1:11" ht="12.75" x14ac:dyDescent="0.2">
      <c r="A665" s="256"/>
      <c r="B665" s="256"/>
      <c r="C665" s="256"/>
      <c r="D665" s="256"/>
      <c r="E665" s="256"/>
      <c r="F665" s="256"/>
      <c r="G665" s="256"/>
      <c r="H665" s="256"/>
      <c r="I665" s="256"/>
      <c r="J665" s="256"/>
      <c r="K665" s="256"/>
    </row>
    <row r="666" spans="1:11" ht="12.75" x14ac:dyDescent="0.2">
      <c r="A666" s="256"/>
      <c r="B666" s="256"/>
      <c r="C666" s="256"/>
      <c r="D666" s="256"/>
      <c r="E666" s="256"/>
      <c r="F666" s="256"/>
      <c r="G666" s="256"/>
      <c r="H666" s="256"/>
      <c r="I666" s="256"/>
      <c r="J666" s="256"/>
      <c r="K666" s="256"/>
    </row>
    <row r="667" spans="1:11" ht="12.75" x14ac:dyDescent="0.2">
      <c r="A667" s="256"/>
      <c r="B667" s="256"/>
      <c r="C667" s="256"/>
      <c r="D667" s="256"/>
      <c r="E667" s="256"/>
      <c r="F667" s="256"/>
      <c r="G667" s="256"/>
      <c r="H667" s="256"/>
      <c r="I667" s="256"/>
      <c r="J667" s="256"/>
      <c r="K667" s="256"/>
    </row>
    <row r="668" spans="1:11" ht="12.75" x14ac:dyDescent="0.2">
      <c r="A668" s="256"/>
      <c r="B668" s="256"/>
      <c r="C668" s="256"/>
      <c r="D668" s="256"/>
      <c r="E668" s="256"/>
      <c r="F668" s="256"/>
      <c r="G668" s="256"/>
      <c r="H668" s="256"/>
      <c r="I668" s="256"/>
      <c r="J668" s="256"/>
      <c r="K668" s="256"/>
    </row>
    <row r="669" spans="1:11" ht="12.75" x14ac:dyDescent="0.2">
      <c r="A669" s="256"/>
      <c r="B669" s="256"/>
      <c r="C669" s="256"/>
      <c r="D669" s="256"/>
      <c r="E669" s="256"/>
      <c r="F669" s="256"/>
      <c r="G669" s="256"/>
      <c r="H669" s="256"/>
      <c r="I669" s="256"/>
      <c r="J669" s="256"/>
      <c r="K669" s="256"/>
    </row>
    <row r="670" spans="1:11" ht="12.75" x14ac:dyDescent="0.2">
      <c r="A670" s="256"/>
      <c r="B670" s="256"/>
      <c r="C670" s="256"/>
      <c r="D670" s="256"/>
      <c r="E670" s="256"/>
      <c r="F670" s="256"/>
      <c r="G670" s="256"/>
      <c r="H670" s="256"/>
      <c r="I670" s="256"/>
      <c r="J670" s="256"/>
      <c r="K670" s="256"/>
    </row>
    <row r="671" spans="1:11" ht="12.75" x14ac:dyDescent="0.2">
      <c r="A671" s="256"/>
      <c r="B671" s="256"/>
      <c r="C671" s="256"/>
      <c r="D671" s="256"/>
      <c r="E671" s="256"/>
      <c r="F671" s="256"/>
      <c r="G671" s="256"/>
      <c r="H671" s="256"/>
      <c r="I671" s="256"/>
      <c r="J671" s="256"/>
      <c r="K671" s="256"/>
    </row>
    <row r="672" spans="1:11" ht="12.75" x14ac:dyDescent="0.2">
      <c r="A672" s="256"/>
      <c r="B672" s="256"/>
      <c r="C672" s="256"/>
      <c r="D672" s="256"/>
      <c r="E672" s="256"/>
      <c r="F672" s="256"/>
      <c r="G672" s="256"/>
      <c r="H672" s="256"/>
      <c r="I672" s="256"/>
      <c r="J672" s="256"/>
      <c r="K672" s="256"/>
    </row>
    <row r="673" spans="1:11" ht="12.75" x14ac:dyDescent="0.2">
      <c r="A673" s="256"/>
      <c r="B673" s="256"/>
      <c r="C673" s="256"/>
      <c r="D673" s="256"/>
      <c r="E673" s="256"/>
      <c r="F673" s="256"/>
      <c r="G673" s="256"/>
      <c r="H673" s="256"/>
      <c r="I673" s="256"/>
      <c r="J673" s="256"/>
      <c r="K673" s="256"/>
    </row>
    <row r="674" spans="1:11" ht="12.75" x14ac:dyDescent="0.2">
      <c r="A674" s="256"/>
      <c r="B674" s="256"/>
      <c r="C674" s="256"/>
      <c r="D674" s="256"/>
      <c r="E674" s="256"/>
      <c r="F674" s="256"/>
      <c r="G674" s="256"/>
      <c r="H674" s="256"/>
      <c r="I674" s="256"/>
      <c r="J674" s="256"/>
      <c r="K674" s="256"/>
    </row>
    <row r="675" spans="1:11" ht="12.75" x14ac:dyDescent="0.2">
      <c r="A675" s="256"/>
      <c r="B675" s="256"/>
      <c r="C675" s="256"/>
      <c r="D675" s="256"/>
      <c r="E675" s="256"/>
      <c r="F675" s="256"/>
      <c r="G675" s="256"/>
      <c r="H675" s="256"/>
      <c r="I675" s="256"/>
      <c r="J675" s="256"/>
      <c r="K675" s="256"/>
    </row>
    <row r="676" spans="1:11" ht="12.75" x14ac:dyDescent="0.2">
      <c r="A676" s="256"/>
      <c r="B676" s="256"/>
      <c r="C676" s="256"/>
      <c r="D676" s="256"/>
      <c r="E676" s="256"/>
      <c r="F676" s="256"/>
      <c r="G676" s="256"/>
      <c r="H676" s="256"/>
      <c r="I676" s="256"/>
      <c r="J676" s="256"/>
      <c r="K676" s="256"/>
    </row>
    <row r="677" spans="1:11" ht="12.75" x14ac:dyDescent="0.2">
      <c r="A677" s="256"/>
      <c r="B677" s="256"/>
      <c r="C677" s="256"/>
      <c r="D677" s="256"/>
      <c r="E677" s="256"/>
      <c r="F677" s="256"/>
      <c r="G677" s="256"/>
      <c r="H677" s="256"/>
      <c r="I677" s="256"/>
      <c r="J677" s="256"/>
      <c r="K677" s="256"/>
    </row>
    <row r="678" spans="1:11" ht="12.75" x14ac:dyDescent="0.2">
      <c r="A678" s="256"/>
      <c r="B678" s="256"/>
      <c r="C678" s="256"/>
      <c r="D678" s="256"/>
      <c r="E678" s="256"/>
      <c r="F678" s="256"/>
      <c r="G678" s="256"/>
      <c r="H678" s="256"/>
      <c r="I678" s="256"/>
      <c r="J678" s="256"/>
      <c r="K678" s="256"/>
    </row>
    <row r="679" spans="1:11" ht="12.75" x14ac:dyDescent="0.2">
      <c r="A679" s="256"/>
      <c r="B679" s="256"/>
      <c r="C679" s="256"/>
      <c r="D679" s="256"/>
      <c r="E679" s="256"/>
      <c r="F679" s="256"/>
      <c r="G679" s="256"/>
      <c r="H679" s="256"/>
      <c r="I679" s="256"/>
      <c r="J679" s="256"/>
      <c r="K679" s="256"/>
    </row>
    <row r="680" spans="1:11" ht="12.75" x14ac:dyDescent="0.2">
      <c r="A680" s="256"/>
      <c r="B680" s="256"/>
      <c r="C680" s="256"/>
      <c r="D680" s="256"/>
      <c r="E680" s="256"/>
      <c r="F680" s="256"/>
      <c r="G680" s="256"/>
      <c r="H680" s="256"/>
      <c r="I680" s="256"/>
      <c r="J680" s="256"/>
      <c r="K680" s="256"/>
    </row>
    <row r="681" spans="1:11" ht="12.75" x14ac:dyDescent="0.2">
      <c r="A681" s="256"/>
      <c r="B681" s="256"/>
      <c r="C681" s="256"/>
      <c r="D681" s="256"/>
      <c r="E681" s="256"/>
      <c r="F681" s="256"/>
      <c r="G681" s="256"/>
      <c r="H681" s="256"/>
      <c r="I681" s="256"/>
      <c r="J681" s="256"/>
      <c r="K681" s="256"/>
    </row>
    <row r="682" spans="1:11" ht="12.75" x14ac:dyDescent="0.2">
      <c r="A682" s="256"/>
      <c r="B682" s="256"/>
      <c r="C682" s="256"/>
      <c r="D682" s="256"/>
      <c r="E682" s="256"/>
      <c r="F682" s="256"/>
      <c r="G682" s="256"/>
      <c r="H682" s="256"/>
      <c r="I682" s="256"/>
      <c r="J682" s="256"/>
      <c r="K682" s="256"/>
    </row>
    <row r="683" spans="1:11" ht="12.75" x14ac:dyDescent="0.2">
      <c r="A683" s="256"/>
      <c r="B683" s="256"/>
      <c r="C683" s="256"/>
      <c r="D683" s="256"/>
      <c r="E683" s="256"/>
      <c r="F683" s="256"/>
      <c r="G683" s="256"/>
      <c r="H683" s="256"/>
      <c r="I683" s="256"/>
      <c r="J683" s="256"/>
      <c r="K683" s="256"/>
    </row>
    <row r="684" spans="1:11" ht="12.75" x14ac:dyDescent="0.2">
      <c r="A684" s="256"/>
      <c r="B684" s="256"/>
      <c r="C684" s="256"/>
      <c r="D684" s="256"/>
      <c r="E684" s="256"/>
      <c r="F684" s="256"/>
      <c r="G684" s="256"/>
      <c r="H684" s="256"/>
      <c r="I684" s="256"/>
      <c r="J684" s="256"/>
      <c r="K684" s="256"/>
    </row>
    <row r="685" spans="1:11" ht="12.75" x14ac:dyDescent="0.2">
      <c r="A685" s="256"/>
      <c r="B685" s="256"/>
      <c r="C685" s="256"/>
      <c r="D685" s="256"/>
      <c r="E685" s="256"/>
      <c r="F685" s="256"/>
      <c r="G685" s="256"/>
      <c r="H685" s="256"/>
      <c r="I685" s="256"/>
      <c r="J685" s="256"/>
      <c r="K685" s="256"/>
    </row>
    <row r="686" spans="1:11" ht="12.75" x14ac:dyDescent="0.2">
      <c r="A686" s="256"/>
      <c r="B686" s="256"/>
      <c r="C686" s="256"/>
      <c r="D686" s="256"/>
      <c r="E686" s="256"/>
      <c r="F686" s="256"/>
      <c r="G686" s="256"/>
      <c r="H686" s="256"/>
      <c r="I686" s="256"/>
      <c r="J686" s="256"/>
      <c r="K686" s="256"/>
    </row>
    <row r="687" spans="1:11" ht="12.75" x14ac:dyDescent="0.2">
      <c r="A687" s="256"/>
      <c r="B687" s="256"/>
      <c r="C687" s="256"/>
      <c r="D687" s="256"/>
      <c r="E687" s="256"/>
      <c r="F687" s="256"/>
      <c r="G687" s="256"/>
      <c r="H687" s="256"/>
      <c r="I687" s="256"/>
      <c r="J687" s="256"/>
      <c r="K687" s="256"/>
    </row>
    <row r="688" spans="1:11" ht="12.75" x14ac:dyDescent="0.2">
      <c r="A688" s="256"/>
      <c r="B688" s="256"/>
      <c r="C688" s="256"/>
      <c r="D688" s="256"/>
      <c r="E688" s="256"/>
      <c r="F688" s="256"/>
      <c r="G688" s="256"/>
      <c r="H688" s="256"/>
      <c r="I688" s="256"/>
      <c r="J688" s="256"/>
      <c r="K688" s="256"/>
    </row>
    <row r="689" spans="1:11" ht="12.75" x14ac:dyDescent="0.2">
      <c r="A689" s="256"/>
      <c r="B689" s="256"/>
      <c r="C689" s="256"/>
      <c r="D689" s="256"/>
      <c r="E689" s="256"/>
      <c r="F689" s="256"/>
      <c r="G689" s="256"/>
      <c r="H689" s="256"/>
      <c r="I689" s="256"/>
      <c r="J689" s="256"/>
      <c r="K689" s="256"/>
    </row>
    <row r="690" spans="1:11" ht="12.75" x14ac:dyDescent="0.2">
      <c r="A690" s="256"/>
      <c r="B690" s="256"/>
      <c r="C690" s="256"/>
      <c r="D690" s="256"/>
      <c r="E690" s="256"/>
      <c r="F690" s="256"/>
      <c r="G690" s="256"/>
      <c r="H690" s="256"/>
      <c r="I690" s="256"/>
      <c r="J690" s="256"/>
      <c r="K690" s="256"/>
    </row>
    <row r="691" spans="1:11" ht="12.75" x14ac:dyDescent="0.2">
      <c r="A691" s="256"/>
      <c r="B691" s="256"/>
      <c r="C691" s="256"/>
      <c r="D691" s="256"/>
      <c r="E691" s="256"/>
      <c r="F691" s="256"/>
      <c r="G691" s="256"/>
      <c r="H691" s="256"/>
      <c r="I691" s="256"/>
      <c r="J691" s="256"/>
      <c r="K691" s="256"/>
    </row>
    <row r="692" spans="1:11" ht="12.75" x14ac:dyDescent="0.2">
      <c r="A692" s="256"/>
      <c r="B692" s="256"/>
      <c r="C692" s="256"/>
      <c r="D692" s="256"/>
      <c r="E692" s="256"/>
      <c r="F692" s="256"/>
      <c r="G692" s="256"/>
      <c r="H692" s="256"/>
      <c r="I692" s="256"/>
      <c r="J692" s="256"/>
      <c r="K692" s="256"/>
    </row>
    <row r="693" spans="1:11" ht="12.75" x14ac:dyDescent="0.2">
      <c r="A693" s="256"/>
      <c r="B693" s="256"/>
      <c r="C693" s="256"/>
      <c r="D693" s="256"/>
      <c r="E693" s="256"/>
      <c r="F693" s="256"/>
      <c r="G693" s="256"/>
      <c r="H693" s="256"/>
      <c r="I693" s="256"/>
      <c r="J693" s="256"/>
      <c r="K693" s="256"/>
    </row>
    <row r="694" spans="1:11" ht="12.75" x14ac:dyDescent="0.2">
      <c r="A694" s="256"/>
      <c r="B694" s="256"/>
      <c r="C694" s="256"/>
      <c r="D694" s="256"/>
      <c r="E694" s="256"/>
      <c r="F694" s="256"/>
      <c r="G694" s="256"/>
      <c r="H694" s="256"/>
      <c r="I694" s="256"/>
      <c r="J694" s="256"/>
      <c r="K694" s="256"/>
    </row>
    <row r="695" spans="1:11" ht="12.75" x14ac:dyDescent="0.2">
      <c r="A695" s="256"/>
      <c r="B695" s="256"/>
      <c r="C695" s="256"/>
      <c r="D695" s="256"/>
      <c r="E695" s="256"/>
      <c r="F695" s="256"/>
      <c r="G695" s="256"/>
      <c r="H695" s="256"/>
      <c r="I695" s="256"/>
      <c r="J695" s="256"/>
      <c r="K695" s="256"/>
    </row>
    <row r="696" spans="1:11" ht="12.75" x14ac:dyDescent="0.2">
      <c r="A696" s="256"/>
      <c r="B696" s="256"/>
      <c r="C696" s="256"/>
      <c r="D696" s="256"/>
      <c r="E696" s="256"/>
      <c r="F696" s="256"/>
      <c r="G696" s="256"/>
      <c r="H696" s="256"/>
      <c r="I696" s="256"/>
      <c r="J696" s="256"/>
      <c r="K696" s="256"/>
    </row>
    <row r="697" spans="1:11" ht="12.75" x14ac:dyDescent="0.2">
      <c r="A697" s="256"/>
      <c r="B697" s="256"/>
      <c r="C697" s="256"/>
      <c r="D697" s="256"/>
      <c r="E697" s="256"/>
      <c r="F697" s="256"/>
      <c r="G697" s="256"/>
      <c r="H697" s="256"/>
      <c r="I697" s="256"/>
      <c r="J697" s="256"/>
      <c r="K697" s="256"/>
    </row>
    <row r="698" spans="1:11" ht="12.75" x14ac:dyDescent="0.2">
      <c r="A698" s="256"/>
      <c r="B698" s="256"/>
      <c r="C698" s="256"/>
      <c r="D698" s="256"/>
      <c r="E698" s="256"/>
      <c r="F698" s="256"/>
      <c r="G698" s="256"/>
      <c r="H698" s="256"/>
      <c r="I698" s="256"/>
      <c r="J698" s="256"/>
      <c r="K698" s="256"/>
    </row>
    <row r="699" spans="1:11" ht="12.75" x14ac:dyDescent="0.2">
      <c r="A699" s="256"/>
      <c r="B699" s="256"/>
      <c r="C699" s="256"/>
      <c r="D699" s="256"/>
      <c r="E699" s="256"/>
      <c r="F699" s="256"/>
      <c r="G699" s="256"/>
      <c r="H699" s="256"/>
      <c r="I699" s="256"/>
      <c r="J699" s="256"/>
      <c r="K699" s="256"/>
    </row>
    <row r="700" spans="1:11" ht="12.75" x14ac:dyDescent="0.2">
      <c r="A700" s="256"/>
      <c r="B700" s="256"/>
      <c r="C700" s="256"/>
      <c r="D700" s="256"/>
      <c r="E700" s="256"/>
      <c r="F700" s="256"/>
      <c r="G700" s="256"/>
      <c r="H700" s="256"/>
      <c r="I700" s="256"/>
      <c r="J700" s="256"/>
      <c r="K700" s="256"/>
    </row>
    <row r="701" spans="1:11" ht="12.75" x14ac:dyDescent="0.2">
      <c r="A701" s="256"/>
      <c r="B701" s="256"/>
      <c r="C701" s="256"/>
      <c r="D701" s="256"/>
      <c r="E701" s="256"/>
      <c r="F701" s="256"/>
      <c r="G701" s="256"/>
      <c r="H701" s="256"/>
      <c r="I701" s="256"/>
      <c r="J701" s="256"/>
      <c r="K701" s="256"/>
    </row>
    <row r="702" spans="1:11" ht="12.75" x14ac:dyDescent="0.2">
      <c r="A702" s="256"/>
      <c r="B702" s="256"/>
      <c r="C702" s="256"/>
      <c r="D702" s="256"/>
      <c r="E702" s="256"/>
      <c r="F702" s="256"/>
      <c r="G702" s="256"/>
      <c r="H702" s="256"/>
      <c r="I702" s="256"/>
      <c r="J702" s="256"/>
      <c r="K702" s="256"/>
    </row>
    <row r="703" spans="1:11" ht="12.75" x14ac:dyDescent="0.2">
      <c r="A703" s="256"/>
      <c r="B703" s="256"/>
      <c r="C703" s="256"/>
      <c r="D703" s="256"/>
      <c r="E703" s="256"/>
      <c r="F703" s="256"/>
      <c r="G703" s="256"/>
      <c r="H703" s="256"/>
      <c r="I703" s="256"/>
      <c r="J703" s="256"/>
      <c r="K703" s="256"/>
    </row>
    <row r="704" spans="1:11" ht="12.75" x14ac:dyDescent="0.2">
      <c r="A704" s="256"/>
      <c r="B704" s="256"/>
      <c r="C704" s="256"/>
      <c r="D704" s="256"/>
      <c r="E704" s="256"/>
      <c r="F704" s="256"/>
      <c r="G704" s="256"/>
      <c r="H704" s="256"/>
      <c r="I704" s="256"/>
      <c r="J704" s="256"/>
      <c r="K704" s="256"/>
    </row>
    <row r="705" spans="1:11" ht="12.75" x14ac:dyDescent="0.2">
      <c r="A705" s="256"/>
      <c r="B705" s="256"/>
      <c r="C705" s="256"/>
      <c r="D705" s="256"/>
      <c r="E705" s="256"/>
      <c r="F705" s="256"/>
      <c r="G705" s="256"/>
      <c r="H705" s="256"/>
      <c r="I705" s="256"/>
      <c r="J705" s="256"/>
      <c r="K705" s="256"/>
    </row>
    <row r="706" spans="1:11" ht="12.75" x14ac:dyDescent="0.2">
      <c r="A706" s="256"/>
      <c r="B706" s="256"/>
      <c r="C706" s="256"/>
      <c r="D706" s="256"/>
      <c r="E706" s="256"/>
      <c r="F706" s="256"/>
      <c r="G706" s="256"/>
      <c r="H706" s="256"/>
      <c r="I706" s="256"/>
      <c r="J706" s="256"/>
      <c r="K706" s="256"/>
    </row>
    <row r="707" spans="1:11" ht="12.75" x14ac:dyDescent="0.2">
      <c r="A707" s="256"/>
      <c r="B707" s="256"/>
      <c r="C707" s="256"/>
      <c r="D707" s="256"/>
      <c r="E707" s="256"/>
      <c r="F707" s="256"/>
      <c r="G707" s="256"/>
      <c r="H707" s="256"/>
      <c r="I707" s="256"/>
      <c r="J707" s="256"/>
      <c r="K707" s="256"/>
    </row>
    <row r="708" spans="1:11" ht="12.75" x14ac:dyDescent="0.2">
      <c r="A708" s="256"/>
      <c r="B708" s="256"/>
      <c r="C708" s="256"/>
      <c r="D708" s="256"/>
      <c r="E708" s="256"/>
      <c r="F708" s="256"/>
      <c r="G708" s="256"/>
      <c r="H708" s="256"/>
      <c r="I708" s="256"/>
      <c r="J708" s="256"/>
      <c r="K708" s="256"/>
    </row>
    <row r="709" spans="1:11" ht="12.75" x14ac:dyDescent="0.2">
      <c r="A709" s="256"/>
      <c r="B709" s="256"/>
      <c r="C709" s="256"/>
      <c r="D709" s="256"/>
      <c r="E709" s="256"/>
      <c r="F709" s="256"/>
      <c r="G709" s="256"/>
      <c r="H709" s="256"/>
      <c r="I709" s="256"/>
      <c r="J709" s="256"/>
      <c r="K709" s="256"/>
    </row>
    <row r="710" spans="1:11" ht="12.75" x14ac:dyDescent="0.2">
      <c r="A710" s="256"/>
      <c r="B710" s="256"/>
      <c r="C710" s="256"/>
      <c r="D710" s="256"/>
      <c r="E710" s="256"/>
      <c r="F710" s="256"/>
      <c r="G710" s="256"/>
      <c r="H710" s="256"/>
      <c r="I710" s="256"/>
      <c r="J710" s="256"/>
      <c r="K710" s="256"/>
    </row>
    <row r="711" spans="1:11" ht="12.75" x14ac:dyDescent="0.2">
      <c r="A711" s="256"/>
      <c r="B711" s="256"/>
      <c r="C711" s="256"/>
      <c r="D711" s="256"/>
      <c r="E711" s="256"/>
      <c r="F711" s="256"/>
      <c r="G711" s="256"/>
      <c r="H711" s="256"/>
      <c r="I711" s="256"/>
      <c r="J711" s="256"/>
      <c r="K711" s="256"/>
    </row>
    <row r="712" spans="1:11" ht="12.75" x14ac:dyDescent="0.2">
      <c r="A712" s="256"/>
      <c r="B712" s="256"/>
      <c r="C712" s="256"/>
      <c r="D712" s="256"/>
      <c r="E712" s="256"/>
      <c r="F712" s="256"/>
      <c r="G712" s="256"/>
      <c r="H712" s="256"/>
      <c r="I712" s="256"/>
      <c r="J712" s="256"/>
      <c r="K712" s="256"/>
    </row>
    <row r="713" spans="1:11" ht="12.75" x14ac:dyDescent="0.2">
      <c r="A713" s="256"/>
      <c r="B713" s="256"/>
      <c r="C713" s="256"/>
      <c r="D713" s="256"/>
      <c r="E713" s="256"/>
      <c r="F713" s="256"/>
      <c r="G713" s="256"/>
      <c r="H713" s="256"/>
      <c r="I713" s="256"/>
      <c r="J713" s="256"/>
      <c r="K713" s="256"/>
    </row>
    <row r="714" spans="1:11" ht="12.75" x14ac:dyDescent="0.2">
      <c r="A714" s="256"/>
      <c r="B714" s="256"/>
      <c r="C714" s="256"/>
      <c r="D714" s="256"/>
      <c r="E714" s="256"/>
      <c r="F714" s="256"/>
      <c r="G714" s="256"/>
      <c r="H714" s="256"/>
      <c r="I714" s="256"/>
      <c r="J714" s="256"/>
      <c r="K714" s="256"/>
    </row>
    <row r="715" spans="1:11" ht="12.75" x14ac:dyDescent="0.2">
      <c r="A715" s="256"/>
      <c r="B715" s="256"/>
      <c r="C715" s="256"/>
      <c r="D715" s="256"/>
      <c r="E715" s="256"/>
      <c r="F715" s="256"/>
      <c r="G715" s="256"/>
      <c r="H715" s="256"/>
      <c r="I715" s="256"/>
      <c r="J715" s="256"/>
      <c r="K715" s="256"/>
    </row>
    <row r="716" spans="1:11" ht="12.75" x14ac:dyDescent="0.2">
      <c r="A716" s="256"/>
      <c r="B716" s="256"/>
      <c r="C716" s="256"/>
      <c r="D716" s="256"/>
      <c r="E716" s="256"/>
      <c r="F716" s="256"/>
      <c r="G716" s="256"/>
      <c r="H716" s="256"/>
      <c r="I716" s="256"/>
      <c r="J716" s="256"/>
      <c r="K716" s="256"/>
    </row>
    <row r="717" spans="1:11" ht="12.75" x14ac:dyDescent="0.2">
      <c r="A717" s="256"/>
      <c r="B717" s="256"/>
      <c r="C717" s="256"/>
      <c r="D717" s="256"/>
      <c r="E717" s="256"/>
      <c r="F717" s="256"/>
      <c r="G717" s="256"/>
      <c r="H717" s="256"/>
      <c r="I717" s="256"/>
      <c r="J717" s="256"/>
      <c r="K717" s="256"/>
    </row>
    <row r="718" spans="1:11" ht="12.75" x14ac:dyDescent="0.2">
      <c r="A718" s="256"/>
      <c r="B718" s="256"/>
      <c r="C718" s="256"/>
      <c r="D718" s="256"/>
      <c r="E718" s="256"/>
      <c r="F718" s="256"/>
      <c r="G718" s="256"/>
      <c r="H718" s="256"/>
      <c r="I718" s="256"/>
      <c r="J718" s="256"/>
      <c r="K718" s="256"/>
    </row>
    <row r="719" spans="1:11" ht="12.75" x14ac:dyDescent="0.2">
      <c r="A719" s="256"/>
      <c r="B719" s="256"/>
      <c r="C719" s="256"/>
      <c r="D719" s="256"/>
      <c r="E719" s="256"/>
      <c r="F719" s="256"/>
      <c r="G719" s="256"/>
      <c r="H719" s="256"/>
      <c r="I719" s="256"/>
      <c r="J719" s="256"/>
      <c r="K719" s="256"/>
    </row>
    <row r="720" spans="1:11" ht="12.75" x14ac:dyDescent="0.2">
      <c r="A720" s="256"/>
      <c r="B720" s="256"/>
      <c r="C720" s="256"/>
      <c r="D720" s="256"/>
      <c r="E720" s="256"/>
      <c r="F720" s="256"/>
      <c r="G720" s="256"/>
      <c r="H720" s="256"/>
      <c r="I720" s="256"/>
      <c r="J720" s="256"/>
      <c r="K720" s="256"/>
    </row>
    <row r="721" spans="1:11" ht="12.75" x14ac:dyDescent="0.2">
      <c r="A721" s="256"/>
      <c r="B721" s="256"/>
      <c r="C721" s="256"/>
      <c r="D721" s="256"/>
      <c r="E721" s="256"/>
      <c r="F721" s="256"/>
      <c r="G721" s="256"/>
      <c r="H721" s="256"/>
      <c r="I721" s="256"/>
      <c r="J721" s="256"/>
      <c r="K721" s="256"/>
    </row>
    <row r="722" spans="1:11" ht="12.75" x14ac:dyDescent="0.2">
      <c r="A722" s="256"/>
      <c r="B722" s="256"/>
      <c r="C722" s="256"/>
      <c r="D722" s="256"/>
      <c r="E722" s="256"/>
      <c r="F722" s="256"/>
      <c r="G722" s="256"/>
      <c r="H722" s="256"/>
      <c r="I722" s="256"/>
      <c r="J722" s="256"/>
      <c r="K722" s="256"/>
    </row>
    <row r="723" spans="1:11" ht="12.75" x14ac:dyDescent="0.2">
      <c r="A723" s="256"/>
      <c r="B723" s="256"/>
      <c r="C723" s="256"/>
      <c r="D723" s="256"/>
      <c r="E723" s="256"/>
      <c r="F723" s="256"/>
      <c r="G723" s="256"/>
      <c r="H723" s="256"/>
      <c r="I723" s="256"/>
      <c r="J723" s="256"/>
      <c r="K723" s="256"/>
    </row>
    <row r="724" spans="1:11" ht="12.75" x14ac:dyDescent="0.2">
      <c r="A724" s="256"/>
      <c r="B724" s="256"/>
      <c r="C724" s="256"/>
      <c r="D724" s="256"/>
      <c r="E724" s="256"/>
      <c r="F724" s="256"/>
      <c r="G724" s="256"/>
      <c r="H724" s="256"/>
      <c r="I724" s="256"/>
      <c r="J724" s="256"/>
      <c r="K724" s="256"/>
    </row>
    <row r="725" spans="1:11" ht="12.75" x14ac:dyDescent="0.2">
      <c r="A725" s="256"/>
      <c r="B725" s="256"/>
      <c r="C725" s="256"/>
      <c r="D725" s="256"/>
      <c r="E725" s="256"/>
      <c r="F725" s="256"/>
      <c r="G725" s="256"/>
      <c r="H725" s="256"/>
      <c r="I725" s="256"/>
      <c r="J725" s="256"/>
      <c r="K725" s="256"/>
    </row>
    <row r="726" spans="1:11" ht="12.75" x14ac:dyDescent="0.2">
      <c r="A726" s="256"/>
      <c r="B726" s="256"/>
      <c r="C726" s="256"/>
      <c r="D726" s="256"/>
      <c r="E726" s="256"/>
      <c r="F726" s="256"/>
      <c r="G726" s="256"/>
      <c r="H726" s="256"/>
      <c r="I726" s="256"/>
      <c r="J726" s="256"/>
      <c r="K726" s="256"/>
    </row>
    <row r="727" spans="1:11" ht="12.75" x14ac:dyDescent="0.2">
      <c r="A727" s="256"/>
      <c r="B727" s="256"/>
      <c r="C727" s="256"/>
      <c r="D727" s="256"/>
      <c r="E727" s="256"/>
      <c r="F727" s="256"/>
      <c r="G727" s="256"/>
      <c r="H727" s="256"/>
      <c r="I727" s="256"/>
      <c r="J727" s="256"/>
      <c r="K727" s="256"/>
    </row>
    <row r="728" spans="1:11" ht="12.75" x14ac:dyDescent="0.2">
      <c r="A728" s="256"/>
      <c r="B728" s="256"/>
      <c r="C728" s="256"/>
      <c r="D728" s="256"/>
      <c r="E728" s="256"/>
      <c r="F728" s="256"/>
      <c r="G728" s="256"/>
      <c r="H728" s="256"/>
      <c r="I728" s="256"/>
      <c r="J728" s="256"/>
      <c r="K728" s="256"/>
    </row>
    <row r="729" spans="1:11" ht="12.75" x14ac:dyDescent="0.2">
      <c r="A729" s="256"/>
      <c r="B729" s="256"/>
      <c r="C729" s="256"/>
      <c r="D729" s="256"/>
      <c r="E729" s="256"/>
      <c r="F729" s="256"/>
      <c r="G729" s="256"/>
      <c r="H729" s="256"/>
      <c r="I729" s="256"/>
      <c r="J729" s="256"/>
      <c r="K729" s="256"/>
    </row>
    <row r="730" spans="1:11" ht="12.75" x14ac:dyDescent="0.2">
      <c r="A730" s="256"/>
      <c r="B730" s="256"/>
      <c r="C730" s="256"/>
      <c r="D730" s="256"/>
      <c r="E730" s="256"/>
      <c r="F730" s="256"/>
      <c r="G730" s="256"/>
      <c r="H730" s="256"/>
      <c r="I730" s="256"/>
      <c r="J730" s="256"/>
      <c r="K730" s="256"/>
    </row>
    <row r="731" spans="1:11" ht="12.75" x14ac:dyDescent="0.2">
      <c r="A731" s="256"/>
      <c r="B731" s="256"/>
      <c r="C731" s="256"/>
      <c r="D731" s="256"/>
      <c r="E731" s="256"/>
      <c r="F731" s="256"/>
      <c r="G731" s="256"/>
      <c r="H731" s="256"/>
      <c r="I731" s="256"/>
      <c r="J731" s="256"/>
      <c r="K731" s="256"/>
    </row>
    <row r="732" spans="1:11" ht="12.75" x14ac:dyDescent="0.2">
      <c r="A732" s="256"/>
      <c r="B732" s="256"/>
      <c r="C732" s="256"/>
      <c r="D732" s="256"/>
      <c r="E732" s="256"/>
      <c r="F732" s="256"/>
      <c r="G732" s="256"/>
      <c r="H732" s="256"/>
      <c r="I732" s="256"/>
      <c r="J732" s="256"/>
      <c r="K732" s="256"/>
    </row>
    <row r="733" spans="1:11" ht="12.75" x14ac:dyDescent="0.2">
      <c r="A733" s="256"/>
      <c r="B733" s="256"/>
      <c r="C733" s="256"/>
      <c r="D733" s="256"/>
      <c r="E733" s="256"/>
      <c r="F733" s="256"/>
      <c r="G733" s="256"/>
      <c r="H733" s="256"/>
      <c r="I733" s="256"/>
      <c r="J733" s="256"/>
      <c r="K733" s="256"/>
    </row>
    <row r="734" spans="1:11" ht="12.75" x14ac:dyDescent="0.2">
      <c r="A734" s="256"/>
      <c r="B734" s="256"/>
      <c r="C734" s="256"/>
      <c r="D734" s="256"/>
      <c r="E734" s="256"/>
      <c r="F734" s="256"/>
      <c r="G734" s="256"/>
      <c r="H734" s="256"/>
      <c r="I734" s="256"/>
      <c r="J734" s="256"/>
      <c r="K734" s="256"/>
    </row>
    <row r="735" spans="1:11" ht="12.75" x14ac:dyDescent="0.2">
      <c r="A735" s="256"/>
      <c r="B735" s="256"/>
      <c r="C735" s="256"/>
      <c r="D735" s="256"/>
      <c r="E735" s="256"/>
      <c r="F735" s="256"/>
      <c r="G735" s="256"/>
      <c r="H735" s="256"/>
      <c r="I735" s="256"/>
      <c r="J735" s="256"/>
      <c r="K735" s="256"/>
    </row>
    <row r="736" spans="1:11" ht="12.75" x14ac:dyDescent="0.2">
      <c r="A736" s="256"/>
      <c r="B736" s="256"/>
      <c r="C736" s="256"/>
      <c r="D736" s="256"/>
      <c r="E736" s="256"/>
      <c r="F736" s="256"/>
      <c r="G736" s="256"/>
      <c r="H736" s="256"/>
      <c r="I736" s="256"/>
      <c r="J736" s="256"/>
      <c r="K736" s="256"/>
    </row>
    <row r="737" spans="1:11" ht="12.75" x14ac:dyDescent="0.2">
      <c r="A737" s="256"/>
      <c r="B737" s="256"/>
      <c r="C737" s="256"/>
      <c r="D737" s="256"/>
      <c r="E737" s="256"/>
      <c r="F737" s="256"/>
      <c r="G737" s="256"/>
      <c r="H737" s="256"/>
      <c r="I737" s="256"/>
      <c r="J737" s="256"/>
      <c r="K737" s="256"/>
    </row>
    <row r="738" spans="1:11" ht="12.75" x14ac:dyDescent="0.2">
      <c r="A738" s="256"/>
      <c r="B738" s="256"/>
      <c r="C738" s="256"/>
      <c r="D738" s="256"/>
      <c r="E738" s="256"/>
      <c r="F738" s="256"/>
      <c r="G738" s="256"/>
      <c r="H738" s="256"/>
      <c r="I738" s="256"/>
      <c r="J738" s="256"/>
      <c r="K738" s="256"/>
    </row>
    <row r="739" spans="1:11" ht="12.75" x14ac:dyDescent="0.2">
      <c r="A739" s="256"/>
      <c r="B739" s="256"/>
      <c r="C739" s="256"/>
      <c r="D739" s="256"/>
      <c r="E739" s="256"/>
      <c r="F739" s="256"/>
      <c r="G739" s="256"/>
      <c r="H739" s="256"/>
      <c r="I739" s="256"/>
      <c r="J739" s="256"/>
      <c r="K739" s="256"/>
    </row>
    <row r="740" spans="1:11" ht="12.75" x14ac:dyDescent="0.2">
      <c r="A740" s="256"/>
      <c r="B740" s="256"/>
      <c r="C740" s="256"/>
      <c r="D740" s="256"/>
      <c r="E740" s="256"/>
      <c r="F740" s="256"/>
      <c r="G740" s="256"/>
      <c r="H740" s="256"/>
      <c r="I740" s="256"/>
      <c r="J740" s="256"/>
      <c r="K740" s="256"/>
    </row>
    <row r="741" spans="1:11" ht="12.75" x14ac:dyDescent="0.2">
      <c r="A741" s="256"/>
      <c r="B741" s="256"/>
      <c r="C741" s="256"/>
      <c r="D741" s="256"/>
      <c r="E741" s="256"/>
      <c r="F741" s="256"/>
      <c r="G741" s="256"/>
      <c r="H741" s="256"/>
      <c r="I741" s="256"/>
      <c r="J741" s="256"/>
      <c r="K741" s="256"/>
    </row>
    <row r="742" spans="1:11" ht="12.75" x14ac:dyDescent="0.2">
      <c r="A742" s="256"/>
      <c r="B742" s="256"/>
      <c r="C742" s="256"/>
      <c r="D742" s="256"/>
      <c r="E742" s="256"/>
      <c r="F742" s="256"/>
      <c r="G742" s="256"/>
      <c r="H742" s="256"/>
      <c r="I742" s="256"/>
      <c r="J742" s="256"/>
      <c r="K742" s="256"/>
    </row>
    <row r="743" spans="1:11" ht="12.75" x14ac:dyDescent="0.2">
      <c r="A743" s="256"/>
      <c r="B743" s="256"/>
      <c r="C743" s="256"/>
      <c r="D743" s="256"/>
      <c r="E743" s="256"/>
      <c r="F743" s="256"/>
      <c r="G743" s="256"/>
      <c r="H743" s="256"/>
      <c r="I743" s="256"/>
      <c r="J743" s="256"/>
      <c r="K743" s="256"/>
    </row>
    <row r="744" spans="1:11" ht="12.75" x14ac:dyDescent="0.2">
      <c r="A744" s="256"/>
      <c r="B744" s="256"/>
      <c r="C744" s="256"/>
      <c r="D744" s="256"/>
      <c r="E744" s="256"/>
      <c r="F744" s="256"/>
      <c r="G744" s="256"/>
      <c r="H744" s="256"/>
      <c r="I744" s="256"/>
      <c r="J744" s="256"/>
      <c r="K744" s="256"/>
    </row>
    <row r="745" spans="1:11" ht="12.75" x14ac:dyDescent="0.2">
      <c r="A745" s="256"/>
      <c r="B745" s="256"/>
      <c r="C745" s="256"/>
      <c r="D745" s="256"/>
      <c r="E745" s="256"/>
      <c r="F745" s="256"/>
      <c r="G745" s="256"/>
      <c r="H745" s="256"/>
      <c r="I745" s="256"/>
      <c r="J745" s="256"/>
      <c r="K745" s="256"/>
    </row>
    <row r="746" spans="1:11" ht="12.75" x14ac:dyDescent="0.2">
      <c r="A746" s="256"/>
      <c r="B746" s="256"/>
      <c r="C746" s="256"/>
      <c r="D746" s="256"/>
      <c r="E746" s="256"/>
      <c r="F746" s="256"/>
      <c r="G746" s="256"/>
      <c r="H746" s="256"/>
      <c r="I746" s="256"/>
      <c r="J746" s="256"/>
      <c r="K746" s="256"/>
    </row>
    <row r="747" spans="1:11" ht="12.75" x14ac:dyDescent="0.2">
      <c r="A747" s="256"/>
      <c r="B747" s="256"/>
      <c r="C747" s="256"/>
      <c r="D747" s="256"/>
      <c r="E747" s="256"/>
      <c r="F747" s="256"/>
      <c r="G747" s="256"/>
      <c r="H747" s="256"/>
      <c r="I747" s="256"/>
      <c r="J747" s="256"/>
      <c r="K747" s="256"/>
    </row>
    <row r="748" spans="1:11" ht="12.75" x14ac:dyDescent="0.2">
      <c r="A748" s="256"/>
      <c r="B748" s="256"/>
      <c r="C748" s="256"/>
      <c r="D748" s="256"/>
      <c r="E748" s="256"/>
      <c r="F748" s="256"/>
      <c r="G748" s="256"/>
      <c r="H748" s="256"/>
      <c r="I748" s="256"/>
      <c r="J748" s="256"/>
      <c r="K748" s="256"/>
    </row>
    <row r="749" spans="1:11" ht="12.75" x14ac:dyDescent="0.2">
      <c r="A749" s="256"/>
      <c r="B749" s="256"/>
      <c r="C749" s="256"/>
      <c r="D749" s="256"/>
      <c r="E749" s="256"/>
      <c r="F749" s="256"/>
      <c r="G749" s="256"/>
      <c r="H749" s="256"/>
      <c r="I749" s="256"/>
      <c r="J749" s="256"/>
      <c r="K749" s="256"/>
    </row>
    <row r="750" spans="1:11" ht="12.75" x14ac:dyDescent="0.2">
      <c r="A750" s="256"/>
      <c r="B750" s="256"/>
      <c r="C750" s="256"/>
      <c r="D750" s="256"/>
      <c r="E750" s="256"/>
      <c r="F750" s="256"/>
      <c r="G750" s="256"/>
      <c r="H750" s="256"/>
      <c r="I750" s="256"/>
      <c r="J750" s="256"/>
      <c r="K750" s="256"/>
    </row>
    <row r="751" spans="1:11" ht="12.75" x14ac:dyDescent="0.2">
      <c r="A751" s="256"/>
      <c r="B751" s="256"/>
      <c r="C751" s="256"/>
      <c r="D751" s="256"/>
      <c r="E751" s="256"/>
      <c r="F751" s="256"/>
      <c r="G751" s="256"/>
      <c r="H751" s="256"/>
      <c r="I751" s="256"/>
      <c r="J751" s="256"/>
      <c r="K751" s="256"/>
    </row>
    <row r="752" spans="1:11" ht="12.75" x14ac:dyDescent="0.2">
      <c r="A752" s="256"/>
      <c r="B752" s="256"/>
      <c r="C752" s="256"/>
      <c r="D752" s="256"/>
      <c r="E752" s="256"/>
      <c r="F752" s="256"/>
      <c r="G752" s="256"/>
      <c r="H752" s="256"/>
      <c r="I752" s="256"/>
      <c r="J752" s="256"/>
      <c r="K752" s="256"/>
    </row>
    <row r="753" spans="1:11" ht="12.75" x14ac:dyDescent="0.2">
      <c r="A753" s="256"/>
      <c r="B753" s="256"/>
      <c r="C753" s="256"/>
      <c r="D753" s="256"/>
      <c r="E753" s="256"/>
      <c r="F753" s="256"/>
      <c r="G753" s="256"/>
      <c r="H753" s="256"/>
      <c r="I753" s="256"/>
      <c r="J753" s="256"/>
      <c r="K753" s="256"/>
    </row>
    <row r="754" spans="1:11" ht="12.75" x14ac:dyDescent="0.2">
      <c r="A754" s="256"/>
      <c r="B754" s="256"/>
      <c r="C754" s="256"/>
      <c r="D754" s="256"/>
      <c r="E754" s="256"/>
      <c r="F754" s="256"/>
      <c r="G754" s="256"/>
      <c r="H754" s="256"/>
      <c r="I754" s="256"/>
      <c r="J754" s="256"/>
      <c r="K754" s="256"/>
    </row>
    <row r="755" spans="1:11" ht="12.75" x14ac:dyDescent="0.2">
      <c r="A755" s="256"/>
      <c r="B755" s="256"/>
      <c r="C755" s="256"/>
      <c r="D755" s="256"/>
      <c r="E755" s="256"/>
      <c r="F755" s="256"/>
      <c r="G755" s="256"/>
      <c r="H755" s="256"/>
      <c r="I755" s="256"/>
      <c r="J755" s="256"/>
      <c r="K755" s="256"/>
    </row>
    <row r="756" spans="1:11" ht="12.75" x14ac:dyDescent="0.2">
      <c r="A756" s="256"/>
      <c r="B756" s="256"/>
      <c r="C756" s="256"/>
      <c r="D756" s="256"/>
      <c r="E756" s="256"/>
      <c r="F756" s="256"/>
      <c r="G756" s="256"/>
      <c r="H756" s="256"/>
      <c r="I756" s="256"/>
      <c r="J756" s="256"/>
      <c r="K756" s="256"/>
    </row>
    <row r="757" spans="1:11" ht="12.75" x14ac:dyDescent="0.2">
      <c r="A757" s="256"/>
      <c r="B757" s="256"/>
      <c r="C757" s="256"/>
      <c r="D757" s="256"/>
      <c r="E757" s="256"/>
      <c r="F757" s="256"/>
      <c r="G757" s="256"/>
      <c r="H757" s="256"/>
      <c r="I757" s="256"/>
      <c r="J757" s="256"/>
      <c r="K757" s="256"/>
    </row>
    <row r="758" spans="1:11" ht="12.75" x14ac:dyDescent="0.2">
      <c r="A758" s="256"/>
      <c r="B758" s="256"/>
      <c r="C758" s="256"/>
      <c r="D758" s="256"/>
      <c r="E758" s="256"/>
      <c r="F758" s="256"/>
      <c r="G758" s="256"/>
      <c r="H758" s="256"/>
      <c r="I758" s="256"/>
      <c r="J758" s="256"/>
      <c r="K758" s="256"/>
    </row>
    <row r="759" spans="1:11" ht="12.75" x14ac:dyDescent="0.2">
      <c r="A759" s="256"/>
      <c r="B759" s="256"/>
      <c r="C759" s="256"/>
      <c r="D759" s="256"/>
      <c r="E759" s="256"/>
      <c r="F759" s="256"/>
      <c r="G759" s="256"/>
      <c r="H759" s="256"/>
      <c r="I759" s="256"/>
      <c r="J759" s="256"/>
      <c r="K759" s="256"/>
    </row>
    <row r="760" spans="1:11" ht="12.75" x14ac:dyDescent="0.2">
      <c r="A760" s="256"/>
      <c r="B760" s="256"/>
      <c r="C760" s="256"/>
      <c r="D760" s="256"/>
      <c r="E760" s="256"/>
      <c r="F760" s="256"/>
      <c r="G760" s="256"/>
      <c r="H760" s="256"/>
      <c r="I760" s="256"/>
      <c r="J760" s="256"/>
      <c r="K760" s="256"/>
    </row>
    <row r="761" spans="1:11" ht="12.75" x14ac:dyDescent="0.2">
      <c r="A761" s="256"/>
      <c r="B761" s="256"/>
      <c r="C761" s="256"/>
      <c r="D761" s="256"/>
      <c r="E761" s="256"/>
      <c r="F761" s="256"/>
      <c r="G761" s="256"/>
      <c r="H761" s="256"/>
      <c r="I761" s="256"/>
      <c r="J761" s="256"/>
      <c r="K761" s="256"/>
    </row>
    <row r="762" spans="1:11" ht="12.75" x14ac:dyDescent="0.2">
      <c r="A762" s="256"/>
      <c r="B762" s="256"/>
      <c r="C762" s="256"/>
      <c r="D762" s="256"/>
      <c r="E762" s="256"/>
      <c r="F762" s="256"/>
      <c r="G762" s="256"/>
      <c r="H762" s="256"/>
      <c r="I762" s="256"/>
      <c r="J762" s="256"/>
      <c r="K762" s="256"/>
    </row>
    <row r="763" spans="1:11" ht="12.75" x14ac:dyDescent="0.2">
      <c r="A763" s="256"/>
      <c r="B763" s="256"/>
      <c r="C763" s="256"/>
      <c r="D763" s="256"/>
      <c r="E763" s="256"/>
      <c r="F763" s="256"/>
      <c r="G763" s="256"/>
      <c r="H763" s="256"/>
      <c r="I763" s="256"/>
      <c r="J763" s="256"/>
      <c r="K763" s="256"/>
    </row>
    <row r="764" spans="1:11" ht="12.75" x14ac:dyDescent="0.2">
      <c r="A764" s="256"/>
      <c r="B764" s="256"/>
      <c r="C764" s="256"/>
      <c r="D764" s="256"/>
      <c r="E764" s="256"/>
      <c r="F764" s="256"/>
      <c r="G764" s="256"/>
      <c r="H764" s="256"/>
      <c r="I764" s="256"/>
      <c r="J764" s="256"/>
      <c r="K764" s="256"/>
    </row>
    <row r="765" spans="1:11" ht="12.75" x14ac:dyDescent="0.2">
      <c r="A765" s="256"/>
      <c r="B765" s="256"/>
      <c r="C765" s="256"/>
      <c r="D765" s="256"/>
      <c r="E765" s="256"/>
      <c r="F765" s="256"/>
      <c r="G765" s="256"/>
      <c r="H765" s="256"/>
      <c r="I765" s="256"/>
      <c r="J765" s="256"/>
      <c r="K765" s="256"/>
    </row>
    <row r="766" spans="1:11" ht="12.75" x14ac:dyDescent="0.2">
      <c r="A766" s="256"/>
      <c r="B766" s="256"/>
      <c r="C766" s="256"/>
      <c r="D766" s="256"/>
      <c r="E766" s="256"/>
      <c r="F766" s="256"/>
      <c r="G766" s="256"/>
      <c r="H766" s="256"/>
      <c r="I766" s="256"/>
      <c r="J766" s="256"/>
      <c r="K766" s="256"/>
    </row>
    <row r="767" spans="1:11" ht="12.75" x14ac:dyDescent="0.2">
      <c r="A767" s="256"/>
      <c r="B767" s="256"/>
      <c r="C767" s="256"/>
      <c r="D767" s="256"/>
      <c r="E767" s="256"/>
      <c r="F767" s="256"/>
      <c r="G767" s="256"/>
      <c r="H767" s="256"/>
      <c r="I767" s="256"/>
      <c r="J767" s="256"/>
      <c r="K767" s="256"/>
    </row>
    <row r="768" spans="1:11" ht="12.75" x14ac:dyDescent="0.2">
      <c r="A768" s="256"/>
      <c r="B768" s="256"/>
      <c r="C768" s="256"/>
      <c r="D768" s="256"/>
      <c r="E768" s="256"/>
      <c r="F768" s="256"/>
      <c r="G768" s="256"/>
      <c r="H768" s="256"/>
      <c r="I768" s="256"/>
      <c r="J768" s="256"/>
      <c r="K768" s="256"/>
    </row>
    <row r="769" spans="1:11" ht="12.75" x14ac:dyDescent="0.2">
      <c r="A769" s="256"/>
      <c r="B769" s="256"/>
      <c r="C769" s="256"/>
      <c r="D769" s="256"/>
      <c r="E769" s="256"/>
      <c r="F769" s="256"/>
      <c r="G769" s="256"/>
      <c r="H769" s="256"/>
      <c r="I769" s="256"/>
      <c r="J769" s="256"/>
      <c r="K769" s="256"/>
    </row>
    <row r="770" spans="1:11" ht="12.75" x14ac:dyDescent="0.2">
      <c r="A770" s="256"/>
      <c r="B770" s="256"/>
      <c r="C770" s="256"/>
      <c r="D770" s="256"/>
      <c r="E770" s="256"/>
      <c r="F770" s="256"/>
      <c r="G770" s="256"/>
      <c r="H770" s="256"/>
      <c r="I770" s="256"/>
      <c r="J770" s="256"/>
      <c r="K770" s="256"/>
    </row>
    <row r="771" spans="1:11" ht="12.75" x14ac:dyDescent="0.2">
      <c r="A771" s="256"/>
      <c r="B771" s="256"/>
      <c r="C771" s="256"/>
      <c r="D771" s="256"/>
      <c r="E771" s="256"/>
      <c r="F771" s="256"/>
      <c r="G771" s="256"/>
      <c r="H771" s="256"/>
      <c r="I771" s="256"/>
      <c r="J771" s="256"/>
      <c r="K771" s="256"/>
    </row>
    <row r="772" spans="1:11" ht="12.75" x14ac:dyDescent="0.2">
      <c r="A772" s="256"/>
      <c r="B772" s="256"/>
      <c r="C772" s="256"/>
      <c r="D772" s="256"/>
      <c r="E772" s="256"/>
      <c r="F772" s="256"/>
      <c r="G772" s="256"/>
      <c r="H772" s="256"/>
      <c r="I772" s="256"/>
      <c r="J772" s="256"/>
      <c r="K772" s="256"/>
    </row>
    <row r="773" spans="1:11" ht="12.75" x14ac:dyDescent="0.2">
      <c r="A773" s="256"/>
      <c r="B773" s="256"/>
      <c r="C773" s="256"/>
      <c r="D773" s="256"/>
      <c r="E773" s="256"/>
      <c r="F773" s="256"/>
      <c r="G773" s="256"/>
      <c r="H773" s="256"/>
      <c r="I773" s="256"/>
      <c r="J773" s="256"/>
      <c r="K773" s="256"/>
    </row>
    <row r="774" spans="1:11" ht="12.75" x14ac:dyDescent="0.2">
      <c r="A774" s="256"/>
      <c r="B774" s="256"/>
      <c r="C774" s="256"/>
      <c r="D774" s="256"/>
      <c r="E774" s="256"/>
      <c r="F774" s="256"/>
      <c r="G774" s="256"/>
      <c r="H774" s="256"/>
      <c r="I774" s="256"/>
      <c r="J774" s="256"/>
      <c r="K774" s="256"/>
    </row>
    <row r="775" spans="1:11" ht="12.75" x14ac:dyDescent="0.2">
      <c r="A775" s="256"/>
      <c r="B775" s="256"/>
      <c r="C775" s="256"/>
      <c r="D775" s="256"/>
      <c r="E775" s="256"/>
      <c r="F775" s="256"/>
      <c r="G775" s="256"/>
      <c r="H775" s="256"/>
      <c r="I775" s="256"/>
      <c r="J775" s="256"/>
      <c r="K775" s="256"/>
    </row>
    <row r="776" spans="1:11" ht="12.75" x14ac:dyDescent="0.2">
      <c r="A776" s="256"/>
      <c r="B776" s="256"/>
      <c r="C776" s="256"/>
      <c r="D776" s="256"/>
      <c r="E776" s="256"/>
      <c r="F776" s="256"/>
      <c r="G776" s="256"/>
      <c r="H776" s="256"/>
      <c r="I776" s="256"/>
      <c r="J776" s="256"/>
      <c r="K776" s="256"/>
    </row>
    <row r="777" spans="1:11" ht="12.75" x14ac:dyDescent="0.2">
      <c r="A777" s="256"/>
      <c r="B777" s="256"/>
      <c r="C777" s="256"/>
      <c r="D777" s="256"/>
      <c r="E777" s="256"/>
      <c r="F777" s="256"/>
      <c r="G777" s="256"/>
      <c r="H777" s="256"/>
      <c r="I777" s="256"/>
      <c r="J777" s="256"/>
      <c r="K777" s="256"/>
    </row>
    <row r="778" spans="1:11" ht="12.75" x14ac:dyDescent="0.2">
      <c r="A778" s="256"/>
      <c r="B778" s="256"/>
      <c r="C778" s="256"/>
      <c r="D778" s="256"/>
      <c r="E778" s="256"/>
      <c r="F778" s="256"/>
      <c r="G778" s="256"/>
      <c r="H778" s="256"/>
      <c r="I778" s="256"/>
      <c r="J778" s="256"/>
      <c r="K778" s="256"/>
    </row>
    <row r="779" spans="1:11" ht="12.75" x14ac:dyDescent="0.2">
      <c r="A779" s="256"/>
      <c r="B779" s="256"/>
      <c r="C779" s="256"/>
      <c r="D779" s="256"/>
      <c r="E779" s="256"/>
      <c r="F779" s="256"/>
      <c r="G779" s="256"/>
      <c r="H779" s="256"/>
      <c r="I779" s="256"/>
      <c r="J779" s="256"/>
      <c r="K779" s="256"/>
    </row>
    <row r="780" spans="1:11" ht="12.75" x14ac:dyDescent="0.2">
      <c r="A780" s="256"/>
      <c r="B780" s="256"/>
      <c r="C780" s="256"/>
      <c r="D780" s="256"/>
      <c r="E780" s="256"/>
      <c r="F780" s="256"/>
      <c r="G780" s="256"/>
      <c r="H780" s="256"/>
      <c r="I780" s="256"/>
      <c r="J780" s="256"/>
      <c r="K780" s="256"/>
    </row>
    <row r="781" spans="1:11" ht="12.75" x14ac:dyDescent="0.2">
      <c r="A781" s="256"/>
      <c r="B781" s="256"/>
      <c r="C781" s="256"/>
      <c r="D781" s="256"/>
      <c r="E781" s="256"/>
      <c r="F781" s="256"/>
      <c r="G781" s="256"/>
      <c r="H781" s="256"/>
      <c r="I781" s="256"/>
      <c r="J781" s="256"/>
      <c r="K781" s="256"/>
    </row>
    <row r="782" spans="1:11" ht="12.75" x14ac:dyDescent="0.2">
      <c r="A782" s="256"/>
      <c r="B782" s="256"/>
      <c r="C782" s="256"/>
      <c r="D782" s="256"/>
      <c r="E782" s="256"/>
      <c r="F782" s="256"/>
      <c r="G782" s="256"/>
      <c r="H782" s="256"/>
      <c r="I782" s="256"/>
      <c r="J782" s="256"/>
      <c r="K782" s="256"/>
    </row>
    <row r="783" spans="1:11" ht="12.75" x14ac:dyDescent="0.2">
      <c r="A783" s="256"/>
      <c r="B783" s="256"/>
      <c r="C783" s="256"/>
      <c r="D783" s="256"/>
      <c r="E783" s="256"/>
      <c r="F783" s="256"/>
      <c r="G783" s="256"/>
      <c r="H783" s="256"/>
      <c r="I783" s="256"/>
      <c r="J783" s="256"/>
      <c r="K783" s="256"/>
    </row>
    <row r="784" spans="1:11" ht="12.75" x14ac:dyDescent="0.2">
      <c r="A784" s="256"/>
      <c r="B784" s="256"/>
      <c r="C784" s="256"/>
      <c r="D784" s="256"/>
      <c r="E784" s="256"/>
      <c r="F784" s="256"/>
      <c r="G784" s="256"/>
      <c r="H784" s="256"/>
      <c r="I784" s="256"/>
      <c r="J784" s="256"/>
      <c r="K784" s="256"/>
    </row>
    <row r="785" spans="1:11" ht="12.75" x14ac:dyDescent="0.2">
      <c r="A785" s="256"/>
      <c r="B785" s="256"/>
      <c r="C785" s="256"/>
      <c r="D785" s="256"/>
      <c r="E785" s="256"/>
      <c r="F785" s="256"/>
      <c r="G785" s="256"/>
      <c r="H785" s="256"/>
      <c r="I785" s="256"/>
      <c r="J785" s="256"/>
      <c r="K785" s="256"/>
    </row>
    <row r="786" spans="1:11" ht="12.75" x14ac:dyDescent="0.2">
      <c r="A786" s="256"/>
      <c r="B786" s="256"/>
      <c r="C786" s="256"/>
      <c r="D786" s="256"/>
      <c r="E786" s="256"/>
      <c r="F786" s="256"/>
      <c r="G786" s="256"/>
      <c r="H786" s="256"/>
      <c r="I786" s="256"/>
      <c r="J786" s="256"/>
      <c r="K786" s="256"/>
    </row>
    <row r="787" spans="1:11" ht="12.75" x14ac:dyDescent="0.2">
      <c r="A787" s="256"/>
      <c r="B787" s="256"/>
      <c r="C787" s="256"/>
      <c r="D787" s="256"/>
      <c r="E787" s="256"/>
      <c r="F787" s="256"/>
      <c r="G787" s="256"/>
      <c r="H787" s="256"/>
      <c r="I787" s="256"/>
      <c r="J787" s="256"/>
      <c r="K787" s="256"/>
    </row>
    <row r="788" spans="1:11" ht="12.75" x14ac:dyDescent="0.2">
      <c r="A788" s="256"/>
      <c r="B788" s="256"/>
      <c r="C788" s="256"/>
      <c r="D788" s="256"/>
      <c r="E788" s="256"/>
      <c r="F788" s="256"/>
      <c r="G788" s="256"/>
      <c r="H788" s="256"/>
      <c r="I788" s="256"/>
      <c r="J788" s="256"/>
      <c r="K788" s="256"/>
    </row>
    <row r="789" spans="1:11" ht="12.75" x14ac:dyDescent="0.2">
      <c r="A789" s="256"/>
      <c r="B789" s="256"/>
      <c r="C789" s="256"/>
      <c r="D789" s="256"/>
      <c r="E789" s="256"/>
      <c r="F789" s="256"/>
      <c r="G789" s="256"/>
      <c r="H789" s="256"/>
      <c r="I789" s="256"/>
      <c r="J789" s="256"/>
      <c r="K789" s="256"/>
    </row>
    <row r="790" spans="1:11" ht="12.75" x14ac:dyDescent="0.2">
      <c r="A790" s="256"/>
      <c r="B790" s="256"/>
      <c r="C790" s="256"/>
      <c r="D790" s="256"/>
      <c r="E790" s="256"/>
      <c r="F790" s="256"/>
      <c r="G790" s="256"/>
      <c r="H790" s="256"/>
      <c r="I790" s="256"/>
      <c r="J790" s="256"/>
      <c r="K790" s="256"/>
    </row>
    <row r="791" spans="1:11" ht="12.75" x14ac:dyDescent="0.2">
      <c r="A791" s="256"/>
      <c r="B791" s="256"/>
      <c r="C791" s="256"/>
      <c r="D791" s="256"/>
      <c r="E791" s="256"/>
      <c r="F791" s="256"/>
      <c r="G791" s="256"/>
      <c r="H791" s="256"/>
      <c r="I791" s="256"/>
      <c r="J791" s="256"/>
      <c r="K791" s="256"/>
    </row>
    <row r="792" spans="1:11" ht="12.75" x14ac:dyDescent="0.2">
      <c r="A792" s="256"/>
      <c r="B792" s="256"/>
      <c r="C792" s="256"/>
      <c r="D792" s="256"/>
      <c r="E792" s="256"/>
      <c r="F792" s="256"/>
      <c r="G792" s="256"/>
      <c r="H792" s="256"/>
      <c r="I792" s="256"/>
      <c r="J792" s="256"/>
      <c r="K792" s="256"/>
    </row>
    <row r="793" spans="1:11" ht="12.75" x14ac:dyDescent="0.2">
      <c r="A793" s="256"/>
      <c r="B793" s="256"/>
      <c r="C793" s="256"/>
      <c r="D793" s="256"/>
      <c r="E793" s="256"/>
      <c r="F793" s="256"/>
      <c r="G793" s="256"/>
      <c r="H793" s="256"/>
      <c r="I793" s="256"/>
      <c r="J793" s="256"/>
      <c r="K793" s="256"/>
    </row>
    <row r="794" spans="1:11" ht="12.75" x14ac:dyDescent="0.2">
      <c r="A794" s="256"/>
      <c r="B794" s="256"/>
      <c r="C794" s="256"/>
      <c r="D794" s="256"/>
      <c r="E794" s="256"/>
      <c r="F794" s="256"/>
      <c r="G794" s="256"/>
      <c r="H794" s="256"/>
      <c r="I794" s="256"/>
      <c r="J794" s="256"/>
      <c r="K794" s="256"/>
    </row>
    <row r="795" spans="1:11" ht="12.75" x14ac:dyDescent="0.2">
      <c r="A795" s="256"/>
      <c r="B795" s="256"/>
      <c r="C795" s="256"/>
      <c r="D795" s="256"/>
      <c r="E795" s="256"/>
      <c r="F795" s="256"/>
      <c r="G795" s="256"/>
      <c r="H795" s="256"/>
      <c r="I795" s="256"/>
      <c r="J795" s="256"/>
      <c r="K795" s="256"/>
    </row>
    <row r="796" spans="1:11" ht="12.75" x14ac:dyDescent="0.2">
      <c r="A796" s="256"/>
      <c r="B796" s="256"/>
      <c r="C796" s="256"/>
      <c r="D796" s="256"/>
      <c r="E796" s="256"/>
      <c r="F796" s="256"/>
      <c r="G796" s="256"/>
      <c r="H796" s="256"/>
      <c r="I796" s="256"/>
      <c r="J796" s="256"/>
      <c r="K796" s="256"/>
    </row>
    <row r="797" spans="1:11" ht="12.75" x14ac:dyDescent="0.2">
      <c r="A797" s="256"/>
      <c r="B797" s="256"/>
      <c r="C797" s="256"/>
      <c r="D797" s="256"/>
      <c r="E797" s="256"/>
      <c r="F797" s="256"/>
      <c r="G797" s="256"/>
      <c r="H797" s="256"/>
      <c r="I797" s="256"/>
      <c r="J797" s="256"/>
      <c r="K797" s="256"/>
    </row>
    <row r="798" spans="1:11" ht="12.75" x14ac:dyDescent="0.2">
      <c r="A798" s="256"/>
      <c r="B798" s="256"/>
      <c r="C798" s="256"/>
      <c r="D798" s="256"/>
      <c r="E798" s="256"/>
      <c r="F798" s="256"/>
      <c r="G798" s="256"/>
      <c r="H798" s="256"/>
      <c r="I798" s="256"/>
      <c r="J798" s="256"/>
      <c r="K798" s="256"/>
    </row>
    <row r="799" spans="1:11" ht="12.75" x14ac:dyDescent="0.2">
      <c r="A799" s="256"/>
      <c r="B799" s="256"/>
      <c r="C799" s="256"/>
      <c r="D799" s="256"/>
      <c r="E799" s="256"/>
      <c r="F799" s="256"/>
      <c r="G799" s="256"/>
      <c r="H799" s="256"/>
      <c r="I799" s="256"/>
      <c r="J799" s="256"/>
      <c r="K799" s="256"/>
    </row>
    <row r="800" spans="1:11" ht="12.75" x14ac:dyDescent="0.2">
      <c r="A800" s="256"/>
      <c r="B800" s="256"/>
      <c r="C800" s="256"/>
      <c r="D800" s="256"/>
      <c r="E800" s="256"/>
      <c r="F800" s="256"/>
      <c r="G800" s="256"/>
      <c r="H800" s="256"/>
      <c r="I800" s="256"/>
      <c r="J800" s="256"/>
      <c r="K800" s="256"/>
    </row>
    <row r="801" spans="1:11" ht="12.75" x14ac:dyDescent="0.2">
      <c r="A801" s="256"/>
      <c r="B801" s="256"/>
      <c r="C801" s="256"/>
      <c r="D801" s="256"/>
      <c r="E801" s="256"/>
      <c r="F801" s="256"/>
      <c r="G801" s="256"/>
      <c r="H801" s="256"/>
      <c r="I801" s="256"/>
      <c r="J801" s="256"/>
      <c r="K801" s="256"/>
    </row>
    <row r="802" spans="1:11" ht="12.75" x14ac:dyDescent="0.2">
      <c r="A802" s="256"/>
      <c r="B802" s="256"/>
      <c r="C802" s="256"/>
      <c r="D802" s="256"/>
      <c r="E802" s="256"/>
      <c r="F802" s="256"/>
      <c r="G802" s="256"/>
      <c r="H802" s="256"/>
      <c r="I802" s="256"/>
      <c r="J802" s="256"/>
      <c r="K802" s="256"/>
    </row>
    <row r="803" spans="1:11" ht="12.75" x14ac:dyDescent="0.2">
      <c r="A803" s="256"/>
      <c r="B803" s="256"/>
      <c r="C803" s="256"/>
      <c r="D803" s="256"/>
      <c r="E803" s="256"/>
      <c r="F803" s="256"/>
      <c r="G803" s="256"/>
      <c r="H803" s="256"/>
      <c r="I803" s="256"/>
      <c r="J803" s="256"/>
      <c r="K803" s="256"/>
    </row>
    <row r="804" spans="1:11" ht="12.75" x14ac:dyDescent="0.2">
      <c r="A804" s="256"/>
      <c r="B804" s="256"/>
      <c r="C804" s="256"/>
      <c r="D804" s="256"/>
      <c r="E804" s="256"/>
      <c r="F804" s="256"/>
      <c r="G804" s="256"/>
      <c r="H804" s="256"/>
      <c r="I804" s="256"/>
      <c r="J804" s="256"/>
      <c r="K804" s="256"/>
    </row>
    <row r="805" spans="1:11" ht="12.75" x14ac:dyDescent="0.2">
      <c r="A805" s="256"/>
      <c r="B805" s="256"/>
      <c r="C805" s="256"/>
      <c r="D805" s="256"/>
      <c r="E805" s="256"/>
      <c r="F805" s="256"/>
      <c r="G805" s="256"/>
      <c r="H805" s="256"/>
      <c r="I805" s="256"/>
      <c r="J805" s="256"/>
      <c r="K805" s="256"/>
    </row>
    <row r="806" spans="1:11" ht="12.75" x14ac:dyDescent="0.2">
      <c r="A806" s="256"/>
      <c r="B806" s="256"/>
      <c r="C806" s="256"/>
      <c r="D806" s="256"/>
      <c r="E806" s="256"/>
      <c r="F806" s="256"/>
      <c r="G806" s="256"/>
      <c r="H806" s="256"/>
      <c r="I806" s="256"/>
      <c r="J806" s="256"/>
      <c r="K806" s="256"/>
    </row>
    <row r="807" spans="1:11" ht="12.75" x14ac:dyDescent="0.2">
      <c r="A807" s="256"/>
      <c r="B807" s="256"/>
      <c r="C807" s="256"/>
      <c r="D807" s="256"/>
      <c r="E807" s="256"/>
      <c r="F807" s="256"/>
      <c r="G807" s="256"/>
      <c r="H807" s="256"/>
      <c r="I807" s="256"/>
      <c r="J807" s="256"/>
      <c r="K807" s="256"/>
    </row>
    <row r="808" spans="1:11" ht="12.75" x14ac:dyDescent="0.2">
      <c r="A808" s="256"/>
      <c r="B808" s="256"/>
      <c r="C808" s="256"/>
      <c r="D808" s="256"/>
      <c r="E808" s="256"/>
      <c r="F808" s="256"/>
      <c r="G808" s="256"/>
      <c r="H808" s="256"/>
      <c r="I808" s="256"/>
      <c r="J808" s="256"/>
      <c r="K808" s="256"/>
    </row>
    <row r="809" spans="1:11" ht="12.75" x14ac:dyDescent="0.2">
      <c r="A809" s="256"/>
      <c r="B809" s="256"/>
      <c r="C809" s="256"/>
      <c r="D809" s="256"/>
      <c r="E809" s="256"/>
      <c r="F809" s="256"/>
      <c r="G809" s="256"/>
      <c r="H809" s="256"/>
      <c r="I809" s="256"/>
      <c r="J809" s="256"/>
      <c r="K809" s="256"/>
    </row>
    <row r="810" spans="1:11" ht="12.75" x14ac:dyDescent="0.2">
      <c r="A810" s="256"/>
      <c r="B810" s="256"/>
      <c r="C810" s="256"/>
      <c r="D810" s="256"/>
      <c r="E810" s="256"/>
      <c r="F810" s="256"/>
      <c r="G810" s="256"/>
      <c r="H810" s="256"/>
      <c r="I810" s="256"/>
      <c r="J810" s="256"/>
      <c r="K810" s="256"/>
    </row>
    <row r="811" spans="1:11" ht="12.75" x14ac:dyDescent="0.2">
      <c r="A811" s="256"/>
      <c r="B811" s="256"/>
      <c r="C811" s="256"/>
      <c r="D811" s="256"/>
      <c r="E811" s="256"/>
      <c r="F811" s="256"/>
      <c r="G811" s="256"/>
      <c r="H811" s="256"/>
      <c r="I811" s="256"/>
      <c r="J811" s="256"/>
      <c r="K811" s="256"/>
    </row>
    <row r="812" spans="1:11" ht="12.75" x14ac:dyDescent="0.2">
      <c r="A812" s="256"/>
      <c r="B812" s="256"/>
      <c r="C812" s="256"/>
      <c r="D812" s="256"/>
      <c r="E812" s="256"/>
      <c r="F812" s="256"/>
      <c r="G812" s="256"/>
      <c r="H812" s="256"/>
      <c r="I812" s="256"/>
      <c r="J812" s="256"/>
      <c r="K812" s="256"/>
    </row>
    <row r="813" spans="1:11" ht="12.75" x14ac:dyDescent="0.2">
      <c r="A813" s="256"/>
      <c r="B813" s="256"/>
      <c r="C813" s="256"/>
      <c r="D813" s="256"/>
      <c r="E813" s="256"/>
      <c r="F813" s="256"/>
      <c r="G813" s="256"/>
      <c r="H813" s="256"/>
      <c r="I813" s="256"/>
      <c r="J813" s="256"/>
      <c r="K813" s="256"/>
    </row>
    <row r="814" spans="1:11" ht="12.75" x14ac:dyDescent="0.2">
      <c r="A814" s="256"/>
      <c r="B814" s="256"/>
      <c r="C814" s="256"/>
      <c r="D814" s="256"/>
      <c r="E814" s="256"/>
      <c r="F814" s="256"/>
      <c r="G814" s="256"/>
      <c r="H814" s="256"/>
      <c r="I814" s="256"/>
      <c r="J814" s="256"/>
      <c r="K814" s="256"/>
    </row>
    <row r="815" spans="1:11" ht="12.75" x14ac:dyDescent="0.2">
      <c r="A815" s="256"/>
      <c r="B815" s="256"/>
      <c r="C815" s="256"/>
      <c r="D815" s="256"/>
      <c r="E815" s="256"/>
      <c r="F815" s="256"/>
      <c r="G815" s="256"/>
      <c r="H815" s="256"/>
      <c r="I815" s="256"/>
      <c r="J815" s="256"/>
      <c r="K815" s="256"/>
    </row>
    <row r="816" spans="1:11" ht="12.75" x14ac:dyDescent="0.2">
      <c r="A816" s="256"/>
      <c r="B816" s="256"/>
      <c r="C816" s="256"/>
      <c r="D816" s="256"/>
      <c r="E816" s="256"/>
      <c r="F816" s="256"/>
      <c r="G816" s="256"/>
      <c r="H816" s="256"/>
      <c r="I816" s="256"/>
      <c r="J816" s="256"/>
      <c r="K816" s="256"/>
    </row>
    <row r="817" spans="1:11" ht="12.75" x14ac:dyDescent="0.2">
      <c r="A817" s="256"/>
      <c r="B817" s="256"/>
      <c r="C817" s="256"/>
      <c r="D817" s="256"/>
      <c r="E817" s="256"/>
      <c r="F817" s="256"/>
      <c r="G817" s="256"/>
      <c r="H817" s="256"/>
      <c r="I817" s="256"/>
      <c r="J817" s="256"/>
      <c r="K817" s="256"/>
    </row>
    <row r="818" spans="1:11" ht="12.75" x14ac:dyDescent="0.2">
      <c r="A818" s="256"/>
      <c r="B818" s="256"/>
      <c r="C818" s="256"/>
      <c r="D818" s="256"/>
      <c r="E818" s="256"/>
      <c r="F818" s="256"/>
      <c r="G818" s="256"/>
      <c r="H818" s="256"/>
      <c r="I818" s="256"/>
      <c r="J818" s="256"/>
      <c r="K818" s="256"/>
    </row>
    <row r="819" spans="1:11" ht="12.75" x14ac:dyDescent="0.2">
      <c r="A819" s="256"/>
      <c r="B819" s="256"/>
      <c r="C819" s="256"/>
      <c r="D819" s="256"/>
      <c r="E819" s="256"/>
      <c r="F819" s="256"/>
      <c r="G819" s="256"/>
      <c r="H819" s="256"/>
      <c r="I819" s="256"/>
      <c r="J819" s="256"/>
      <c r="K819" s="256"/>
    </row>
    <row r="820" spans="1:11" ht="12.75" x14ac:dyDescent="0.2">
      <c r="A820" s="256"/>
      <c r="B820" s="256"/>
      <c r="C820" s="256"/>
      <c r="D820" s="256"/>
      <c r="E820" s="256"/>
      <c r="F820" s="256"/>
      <c r="G820" s="256"/>
      <c r="H820" s="256"/>
      <c r="I820" s="256"/>
      <c r="J820" s="256"/>
      <c r="K820" s="256"/>
    </row>
    <row r="821" spans="1:11" ht="12.75" x14ac:dyDescent="0.2">
      <c r="A821" s="256"/>
      <c r="B821" s="256"/>
      <c r="C821" s="256"/>
      <c r="D821" s="256"/>
      <c r="E821" s="256"/>
      <c r="F821" s="256"/>
      <c r="G821" s="256"/>
      <c r="H821" s="256"/>
      <c r="I821" s="256"/>
      <c r="J821" s="256"/>
      <c r="K821" s="256"/>
    </row>
    <row r="822" spans="1:11" ht="12.75" x14ac:dyDescent="0.2">
      <c r="A822" s="256"/>
      <c r="B822" s="256"/>
      <c r="C822" s="256"/>
      <c r="D822" s="256"/>
      <c r="E822" s="256"/>
      <c r="F822" s="256"/>
      <c r="G822" s="256"/>
      <c r="H822" s="256"/>
      <c r="I822" s="256"/>
      <c r="J822" s="256"/>
      <c r="K822" s="256"/>
    </row>
    <row r="823" spans="1:11" ht="12.75" x14ac:dyDescent="0.2">
      <c r="A823" s="256"/>
      <c r="B823" s="256"/>
      <c r="C823" s="256"/>
      <c r="D823" s="256"/>
      <c r="E823" s="256"/>
      <c r="F823" s="256"/>
      <c r="G823" s="256"/>
      <c r="H823" s="256"/>
      <c r="I823" s="256"/>
      <c r="J823" s="256"/>
      <c r="K823" s="256"/>
    </row>
    <row r="824" spans="1:11" ht="12.75" x14ac:dyDescent="0.2">
      <c r="A824" s="256"/>
      <c r="B824" s="256"/>
      <c r="C824" s="256"/>
      <c r="D824" s="256"/>
      <c r="E824" s="256"/>
      <c r="F824" s="256"/>
      <c r="G824" s="256"/>
      <c r="H824" s="256"/>
      <c r="I824" s="256"/>
      <c r="J824" s="256"/>
      <c r="K824" s="256"/>
    </row>
    <row r="825" spans="1:11" ht="12.75" x14ac:dyDescent="0.2">
      <c r="A825" s="256"/>
      <c r="B825" s="256"/>
      <c r="C825" s="256"/>
      <c r="D825" s="256"/>
      <c r="E825" s="256"/>
      <c r="F825" s="256"/>
      <c r="G825" s="256"/>
      <c r="H825" s="256"/>
      <c r="I825" s="256"/>
      <c r="J825" s="256"/>
      <c r="K825" s="256"/>
    </row>
    <row r="826" spans="1:11" ht="12.75" x14ac:dyDescent="0.2">
      <c r="A826" s="256"/>
      <c r="B826" s="256"/>
      <c r="C826" s="256"/>
      <c r="D826" s="256"/>
      <c r="E826" s="256"/>
      <c r="F826" s="256"/>
      <c r="G826" s="256"/>
      <c r="H826" s="256"/>
      <c r="I826" s="256"/>
      <c r="J826" s="256"/>
      <c r="K826" s="256"/>
    </row>
    <row r="827" spans="1:11" ht="12.75" x14ac:dyDescent="0.2">
      <c r="A827" s="256"/>
      <c r="B827" s="256"/>
      <c r="C827" s="256"/>
      <c r="D827" s="256"/>
      <c r="E827" s="256"/>
      <c r="F827" s="256"/>
      <c r="G827" s="256"/>
      <c r="H827" s="256"/>
      <c r="I827" s="256"/>
      <c r="J827" s="256"/>
      <c r="K827" s="256"/>
    </row>
    <row r="828" spans="1:11" ht="12.75" x14ac:dyDescent="0.2">
      <c r="A828" s="256"/>
      <c r="B828" s="256"/>
      <c r="C828" s="256"/>
      <c r="D828" s="256"/>
      <c r="E828" s="256"/>
      <c r="F828" s="256"/>
      <c r="G828" s="256"/>
      <c r="H828" s="256"/>
      <c r="I828" s="256"/>
      <c r="J828" s="256"/>
      <c r="K828" s="256"/>
    </row>
    <row r="829" spans="1:11" ht="12.75" x14ac:dyDescent="0.2">
      <c r="A829" s="256"/>
      <c r="B829" s="256"/>
      <c r="C829" s="256"/>
      <c r="D829" s="256"/>
      <c r="E829" s="256"/>
      <c r="F829" s="256"/>
      <c r="G829" s="256"/>
      <c r="H829" s="256"/>
      <c r="I829" s="256"/>
      <c r="J829" s="256"/>
      <c r="K829" s="256"/>
    </row>
    <row r="830" spans="1:11" ht="12.75" x14ac:dyDescent="0.2">
      <c r="A830" s="256"/>
      <c r="B830" s="256"/>
      <c r="C830" s="256"/>
      <c r="D830" s="256"/>
      <c r="E830" s="256"/>
      <c r="F830" s="256"/>
      <c r="G830" s="256"/>
      <c r="H830" s="256"/>
      <c r="I830" s="256"/>
      <c r="J830" s="256"/>
      <c r="K830" s="256"/>
    </row>
    <row r="831" spans="1:11" ht="12.75" x14ac:dyDescent="0.2">
      <c r="A831" s="256"/>
      <c r="B831" s="256"/>
      <c r="C831" s="256"/>
      <c r="D831" s="256"/>
      <c r="E831" s="256"/>
      <c r="F831" s="256"/>
      <c r="G831" s="256"/>
      <c r="H831" s="256"/>
      <c r="I831" s="256"/>
      <c r="J831" s="256"/>
      <c r="K831" s="256"/>
    </row>
    <row r="832" spans="1:11" ht="12.75" x14ac:dyDescent="0.2">
      <c r="A832" s="256"/>
      <c r="B832" s="256"/>
      <c r="C832" s="256"/>
      <c r="D832" s="256"/>
      <c r="E832" s="256"/>
      <c r="F832" s="256"/>
      <c r="G832" s="256"/>
      <c r="H832" s="256"/>
      <c r="I832" s="256"/>
      <c r="J832" s="256"/>
      <c r="K832" s="256"/>
    </row>
    <row r="833" spans="1:11" ht="12.75" x14ac:dyDescent="0.2">
      <c r="A833" s="256"/>
      <c r="B833" s="256"/>
      <c r="C833" s="256"/>
      <c r="D833" s="256"/>
      <c r="E833" s="256"/>
      <c r="F833" s="256"/>
      <c r="G833" s="256"/>
      <c r="H833" s="256"/>
      <c r="I833" s="256"/>
      <c r="J833" s="256"/>
      <c r="K833" s="256"/>
    </row>
    <row r="834" spans="1:11" ht="12.75" x14ac:dyDescent="0.2">
      <c r="A834" s="256"/>
      <c r="B834" s="256"/>
      <c r="C834" s="256"/>
      <c r="D834" s="256"/>
      <c r="E834" s="256"/>
      <c r="F834" s="256"/>
      <c r="G834" s="256"/>
      <c r="H834" s="256"/>
      <c r="I834" s="256"/>
      <c r="J834" s="256"/>
      <c r="K834" s="256"/>
    </row>
    <row r="835" spans="1:11" ht="12.75" x14ac:dyDescent="0.2">
      <c r="A835" s="256"/>
      <c r="B835" s="256"/>
      <c r="C835" s="256"/>
      <c r="D835" s="256"/>
      <c r="E835" s="256"/>
      <c r="F835" s="256"/>
      <c r="G835" s="256"/>
      <c r="H835" s="256"/>
      <c r="I835" s="256"/>
      <c r="J835" s="256"/>
      <c r="K835" s="256"/>
    </row>
    <row r="836" spans="1:11" ht="12.75" x14ac:dyDescent="0.2">
      <c r="A836" s="256"/>
      <c r="B836" s="256"/>
      <c r="C836" s="256"/>
      <c r="D836" s="256"/>
      <c r="E836" s="256"/>
      <c r="F836" s="256"/>
      <c r="G836" s="256"/>
      <c r="H836" s="256"/>
      <c r="I836" s="256"/>
      <c r="J836" s="256"/>
      <c r="K836" s="256"/>
    </row>
    <row r="837" spans="1:11" ht="12.75" x14ac:dyDescent="0.2">
      <c r="A837" s="256"/>
      <c r="B837" s="256"/>
      <c r="C837" s="256"/>
      <c r="D837" s="256"/>
      <c r="E837" s="256"/>
      <c r="F837" s="256"/>
      <c r="G837" s="256"/>
      <c r="H837" s="256"/>
      <c r="I837" s="256"/>
      <c r="J837" s="256"/>
      <c r="K837" s="256"/>
    </row>
    <row r="838" spans="1:11" ht="12.75" x14ac:dyDescent="0.2">
      <c r="A838" s="256"/>
      <c r="B838" s="256"/>
      <c r="C838" s="256"/>
      <c r="D838" s="256"/>
      <c r="E838" s="256"/>
      <c r="F838" s="256"/>
      <c r="G838" s="256"/>
      <c r="H838" s="256"/>
      <c r="I838" s="256"/>
      <c r="J838" s="256"/>
      <c r="K838" s="256"/>
    </row>
    <row r="839" spans="1:11" ht="12.75" x14ac:dyDescent="0.2">
      <c r="A839" s="256"/>
      <c r="B839" s="256"/>
      <c r="C839" s="256"/>
      <c r="D839" s="256"/>
      <c r="E839" s="256"/>
      <c r="F839" s="256"/>
      <c r="G839" s="256"/>
      <c r="H839" s="256"/>
      <c r="I839" s="256"/>
      <c r="J839" s="256"/>
      <c r="K839" s="256"/>
    </row>
    <row r="840" spans="1:11" ht="12.75" x14ac:dyDescent="0.2">
      <c r="A840" s="256"/>
      <c r="B840" s="256"/>
      <c r="C840" s="256"/>
      <c r="D840" s="256"/>
      <c r="E840" s="256"/>
      <c r="F840" s="256"/>
      <c r="G840" s="256"/>
      <c r="H840" s="256"/>
      <c r="I840" s="256"/>
      <c r="J840" s="256"/>
      <c r="K840" s="256"/>
    </row>
    <row r="841" spans="1:11" ht="12.75" x14ac:dyDescent="0.2">
      <c r="A841" s="256"/>
      <c r="B841" s="256"/>
      <c r="C841" s="256"/>
      <c r="D841" s="256"/>
      <c r="E841" s="256"/>
      <c r="F841" s="256"/>
      <c r="G841" s="256"/>
      <c r="H841" s="256"/>
      <c r="I841" s="256"/>
      <c r="J841" s="256"/>
      <c r="K841" s="256"/>
    </row>
    <row r="842" spans="1:11" ht="12.75" x14ac:dyDescent="0.2">
      <c r="A842" s="256"/>
      <c r="B842" s="256"/>
      <c r="C842" s="256"/>
      <c r="D842" s="256"/>
      <c r="E842" s="256"/>
      <c r="F842" s="256"/>
      <c r="G842" s="256"/>
      <c r="H842" s="256"/>
      <c r="I842" s="256"/>
      <c r="J842" s="256"/>
      <c r="K842" s="256"/>
    </row>
    <row r="843" spans="1:11" ht="12.75" x14ac:dyDescent="0.2">
      <c r="A843" s="256"/>
      <c r="B843" s="256"/>
      <c r="C843" s="256"/>
      <c r="D843" s="256"/>
      <c r="E843" s="256"/>
      <c r="F843" s="256"/>
      <c r="G843" s="256"/>
      <c r="H843" s="256"/>
      <c r="I843" s="256"/>
      <c r="J843" s="256"/>
      <c r="K843" s="256"/>
    </row>
    <row r="844" spans="1:11" ht="12.75" x14ac:dyDescent="0.2">
      <c r="A844" s="256"/>
      <c r="B844" s="256"/>
      <c r="C844" s="256"/>
      <c r="D844" s="256"/>
      <c r="E844" s="256"/>
      <c r="F844" s="256"/>
      <c r="G844" s="256"/>
      <c r="H844" s="256"/>
      <c r="I844" s="256"/>
      <c r="J844" s="256"/>
      <c r="K844" s="256"/>
    </row>
    <row r="845" spans="1:11" ht="12.75" x14ac:dyDescent="0.2">
      <c r="A845" s="256"/>
      <c r="B845" s="256"/>
      <c r="C845" s="256"/>
      <c r="D845" s="256"/>
      <c r="E845" s="256"/>
      <c r="F845" s="256"/>
      <c r="G845" s="256"/>
      <c r="H845" s="256"/>
      <c r="I845" s="256"/>
      <c r="J845" s="256"/>
      <c r="K845" s="256"/>
    </row>
    <row r="846" spans="1:11" ht="12.75" x14ac:dyDescent="0.2">
      <c r="A846" s="256"/>
      <c r="B846" s="256"/>
      <c r="C846" s="256"/>
      <c r="D846" s="256"/>
      <c r="E846" s="256"/>
      <c r="F846" s="256"/>
      <c r="G846" s="256"/>
      <c r="H846" s="256"/>
      <c r="I846" s="256"/>
      <c r="J846" s="256"/>
      <c r="K846" s="256"/>
    </row>
    <row r="847" spans="1:11" ht="12.75" x14ac:dyDescent="0.2">
      <c r="A847" s="256"/>
      <c r="B847" s="256"/>
      <c r="C847" s="256"/>
      <c r="D847" s="256"/>
      <c r="E847" s="256"/>
      <c r="F847" s="256"/>
      <c r="G847" s="256"/>
      <c r="H847" s="256"/>
      <c r="I847" s="256"/>
      <c r="J847" s="256"/>
      <c r="K847" s="256"/>
    </row>
    <row r="848" spans="1:11" ht="12.75" x14ac:dyDescent="0.2">
      <c r="A848" s="256"/>
      <c r="B848" s="256"/>
      <c r="C848" s="256"/>
      <c r="D848" s="256"/>
      <c r="E848" s="256"/>
      <c r="F848" s="256"/>
      <c r="G848" s="256"/>
      <c r="H848" s="256"/>
      <c r="I848" s="256"/>
      <c r="J848" s="256"/>
      <c r="K848" s="256"/>
    </row>
    <row r="849" spans="1:11" ht="12.75" x14ac:dyDescent="0.2">
      <c r="A849" s="256"/>
      <c r="B849" s="256"/>
      <c r="C849" s="256"/>
      <c r="D849" s="256"/>
      <c r="E849" s="256"/>
      <c r="F849" s="256"/>
      <c r="G849" s="256"/>
      <c r="H849" s="256"/>
      <c r="I849" s="256"/>
      <c r="J849" s="256"/>
      <c r="K849" s="256"/>
    </row>
    <row r="850" spans="1:11" ht="12.75" x14ac:dyDescent="0.2">
      <c r="A850" s="256"/>
      <c r="B850" s="256"/>
      <c r="C850" s="256"/>
      <c r="D850" s="256"/>
      <c r="E850" s="256"/>
      <c r="F850" s="256"/>
      <c r="G850" s="256"/>
      <c r="H850" s="256"/>
      <c r="I850" s="256"/>
      <c r="J850" s="256"/>
      <c r="K850" s="256"/>
    </row>
    <row r="851" spans="1:11" ht="12.75" x14ac:dyDescent="0.2">
      <c r="A851" s="256"/>
      <c r="B851" s="256"/>
      <c r="C851" s="256"/>
      <c r="D851" s="256"/>
      <c r="E851" s="256"/>
      <c r="F851" s="256"/>
      <c r="G851" s="256"/>
      <c r="H851" s="256"/>
      <c r="I851" s="256"/>
      <c r="J851" s="256"/>
      <c r="K851" s="256"/>
    </row>
    <row r="852" spans="1:11" ht="12.75" x14ac:dyDescent="0.2">
      <c r="A852" s="256"/>
      <c r="B852" s="256"/>
      <c r="C852" s="256"/>
      <c r="D852" s="256"/>
      <c r="E852" s="256"/>
      <c r="F852" s="256"/>
      <c r="G852" s="256"/>
      <c r="H852" s="256"/>
      <c r="I852" s="256"/>
      <c r="J852" s="256"/>
      <c r="K852" s="256"/>
    </row>
    <row r="853" spans="1:11" ht="12.75" x14ac:dyDescent="0.2">
      <c r="A853" s="256"/>
      <c r="B853" s="256"/>
      <c r="C853" s="256"/>
      <c r="D853" s="256"/>
      <c r="E853" s="256"/>
      <c r="F853" s="256"/>
      <c r="G853" s="256"/>
      <c r="H853" s="256"/>
      <c r="I853" s="256"/>
      <c r="J853" s="256"/>
      <c r="K853" s="256"/>
    </row>
    <row r="854" spans="1:11" ht="12.75" x14ac:dyDescent="0.2">
      <c r="A854" s="256"/>
      <c r="B854" s="256"/>
      <c r="C854" s="256"/>
      <c r="D854" s="256"/>
      <c r="E854" s="256"/>
      <c r="F854" s="256"/>
      <c r="G854" s="256"/>
      <c r="H854" s="256"/>
      <c r="I854" s="256"/>
      <c r="J854" s="256"/>
      <c r="K854" s="256"/>
    </row>
    <row r="855" spans="1:11" ht="12.75" x14ac:dyDescent="0.2">
      <c r="A855" s="256"/>
      <c r="B855" s="256"/>
      <c r="C855" s="256"/>
      <c r="D855" s="256"/>
      <c r="E855" s="256"/>
      <c r="F855" s="256"/>
      <c r="G855" s="256"/>
      <c r="H855" s="256"/>
      <c r="I855" s="256"/>
      <c r="J855" s="256"/>
      <c r="K855" s="256"/>
    </row>
    <row r="856" spans="1:11" ht="12.75" x14ac:dyDescent="0.2">
      <c r="A856" s="256"/>
      <c r="B856" s="256"/>
      <c r="C856" s="256"/>
      <c r="D856" s="256"/>
      <c r="E856" s="256"/>
      <c r="F856" s="256"/>
      <c r="G856" s="256"/>
      <c r="H856" s="256"/>
      <c r="I856" s="256"/>
      <c r="J856" s="256"/>
      <c r="K856" s="256"/>
    </row>
    <row r="857" spans="1:11" ht="12.75" x14ac:dyDescent="0.2">
      <c r="A857" s="256"/>
      <c r="B857" s="256"/>
      <c r="C857" s="256"/>
      <c r="D857" s="256"/>
      <c r="E857" s="256"/>
      <c r="F857" s="256"/>
      <c r="G857" s="256"/>
      <c r="H857" s="256"/>
      <c r="I857" s="256"/>
      <c r="J857" s="256"/>
      <c r="K857" s="256"/>
    </row>
    <row r="858" spans="1:11" ht="12.75" x14ac:dyDescent="0.2">
      <c r="A858" s="256"/>
      <c r="B858" s="256"/>
      <c r="C858" s="256"/>
      <c r="D858" s="256"/>
      <c r="E858" s="256"/>
      <c r="F858" s="256"/>
      <c r="G858" s="256"/>
      <c r="H858" s="256"/>
      <c r="I858" s="256"/>
      <c r="J858" s="256"/>
      <c r="K858" s="256"/>
    </row>
    <row r="859" spans="1:11" ht="12.75" x14ac:dyDescent="0.2">
      <c r="A859" s="256"/>
      <c r="B859" s="256"/>
      <c r="C859" s="256"/>
      <c r="D859" s="256"/>
      <c r="E859" s="256"/>
      <c r="F859" s="256"/>
      <c r="G859" s="256"/>
      <c r="H859" s="256"/>
      <c r="I859" s="256"/>
      <c r="J859" s="256"/>
      <c r="K859" s="256"/>
    </row>
    <row r="860" spans="1:11" ht="12.75" x14ac:dyDescent="0.2">
      <c r="A860" s="256"/>
      <c r="B860" s="256"/>
      <c r="C860" s="256"/>
      <c r="D860" s="256"/>
      <c r="E860" s="256"/>
      <c r="F860" s="256"/>
      <c r="G860" s="256"/>
      <c r="H860" s="256"/>
      <c r="I860" s="256"/>
      <c r="J860" s="256"/>
      <c r="K860" s="256"/>
    </row>
    <row r="861" spans="1:11" ht="12.75" x14ac:dyDescent="0.2">
      <c r="A861" s="256"/>
      <c r="B861" s="256"/>
      <c r="C861" s="256"/>
      <c r="D861" s="256"/>
      <c r="E861" s="256"/>
      <c r="F861" s="256"/>
      <c r="G861" s="256"/>
      <c r="H861" s="256"/>
      <c r="I861" s="256"/>
      <c r="J861" s="256"/>
      <c r="K861" s="256"/>
    </row>
    <row r="862" spans="1:11" ht="12.75" x14ac:dyDescent="0.2">
      <c r="A862" s="256"/>
      <c r="B862" s="256"/>
      <c r="C862" s="256"/>
      <c r="D862" s="256"/>
      <c r="E862" s="256"/>
      <c r="F862" s="256"/>
      <c r="G862" s="256"/>
      <c r="H862" s="256"/>
      <c r="I862" s="256"/>
      <c r="J862" s="256"/>
      <c r="K862" s="256"/>
    </row>
    <row r="863" spans="1:11" ht="12.75" x14ac:dyDescent="0.2">
      <c r="A863" s="256"/>
      <c r="B863" s="256"/>
      <c r="C863" s="256"/>
      <c r="D863" s="256"/>
      <c r="E863" s="256"/>
      <c r="F863" s="256"/>
      <c r="G863" s="256"/>
      <c r="H863" s="256"/>
      <c r="I863" s="256"/>
      <c r="J863" s="256"/>
      <c r="K863" s="256"/>
    </row>
    <row r="864" spans="1:11" ht="12.75" x14ac:dyDescent="0.2">
      <c r="A864" s="256"/>
      <c r="B864" s="256"/>
      <c r="C864" s="256"/>
      <c r="D864" s="256"/>
      <c r="E864" s="256"/>
      <c r="F864" s="256"/>
      <c r="G864" s="256"/>
      <c r="H864" s="256"/>
      <c r="I864" s="256"/>
      <c r="J864" s="256"/>
      <c r="K864" s="256"/>
    </row>
    <row r="865" spans="1:11" ht="12.75" x14ac:dyDescent="0.2">
      <c r="A865" s="256"/>
      <c r="B865" s="256"/>
      <c r="C865" s="256"/>
      <c r="D865" s="256"/>
      <c r="E865" s="256"/>
      <c r="F865" s="256"/>
      <c r="G865" s="256"/>
      <c r="H865" s="256"/>
      <c r="I865" s="256"/>
      <c r="J865" s="256"/>
      <c r="K865" s="256"/>
    </row>
    <row r="866" spans="1:11" ht="12.75" x14ac:dyDescent="0.2">
      <c r="A866" s="256"/>
      <c r="B866" s="256"/>
      <c r="C866" s="256"/>
      <c r="D866" s="256"/>
      <c r="E866" s="256"/>
      <c r="F866" s="256"/>
      <c r="G866" s="256"/>
      <c r="H866" s="256"/>
      <c r="I866" s="256"/>
      <c r="J866" s="256"/>
      <c r="K866" s="256"/>
    </row>
    <row r="867" spans="1:11" ht="12.75" x14ac:dyDescent="0.2">
      <c r="A867" s="256"/>
      <c r="B867" s="256"/>
      <c r="C867" s="256"/>
      <c r="D867" s="256"/>
      <c r="E867" s="256"/>
      <c r="F867" s="256"/>
      <c r="G867" s="256"/>
      <c r="H867" s="256"/>
      <c r="I867" s="256"/>
      <c r="J867" s="256"/>
      <c r="K867" s="256"/>
    </row>
    <row r="868" spans="1:11" ht="12.75" x14ac:dyDescent="0.2">
      <c r="A868" s="256"/>
      <c r="B868" s="256"/>
      <c r="C868" s="256"/>
      <c r="D868" s="256"/>
      <c r="E868" s="256"/>
      <c r="F868" s="256"/>
      <c r="G868" s="256"/>
      <c r="H868" s="256"/>
      <c r="I868" s="256"/>
      <c r="J868" s="256"/>
      <c r="K868" s="256"/>
    </row>
    <row r="869" spans="1:11" ht="12.75" x14ac:dyDescent="0.2">
      <c r="A869" s="256"/>
      <c r="B869" s="256"/>
      <c r="C869" s="256"/>
      <c r="D869" s="256"/>
      <c r="E869" s="256"/>
      <c r="F869" s="256"/>
      <c r="G869" s="256"/>
      <c r="H869" s="256"/>
      <c r="I869" s="256"/>
      <c r="J869" s="256"/>
      <c r="K869" s="256"/>
    </row>
    <row r="870" spans="1:11" ht="12.75" x14ac:dyDescent="0.2">
      <c r="A870" s="256"/>
      <c r="B870" s="256"/>
      <c r="C870" s="256"/>
      <c r="D870" s="256"/>
      <c r="E870" s="256"/>
      <c r="F870" s="256"/>
      <c r="G870" s="256"/>
      <c r="H870" s="256"/>
      <c r="I870" s="256"/>
      <c r="J870" s="256"/>
      <c r="K870" s="256"/>
    </row>
    <row r="871" spans="1:11" ht="12.75" x14ac:dyDescent="0.2">
      <c r="A871" s="256"/>
      <c r="B871" s="256"/>
      <c r="C871" s="256"/>
      <c r="D871" s="256"/>
      <c r="E871" s="256"/>
      <c r="F871" s="256"/>
      <c r="G871" s="256"/>
      <c r="H871" s="256"/>
      <c r="I871" s="256"/>
      <c r="J871" s="256"/>
      <c r="K871" s="256"/>
    </row>
    <row r="872" spans="1:11" ht="12.75" x14ac:dyDescent="0.2">
      <c r="A872" s="256"/>
      <c r="B872" s="256"/>
      <c r="C872" s="256"/>
      <c r="D872" s="256"/>
      <c r="E872" s="256"/>
      <c r="F872" s="256"/>
      <c r="G872" s="256"/>
      <c r="H872" s="256"/>
      <c r="I872" s="256"/>
      <c r="J872" s="256"/>
      <c r="K872" s="256"/>
    </row>
    <row r="873" spans="1:11" ht="12.75" x14ac:dyDescent="0.2">
      <c r="A873" s="256"/>
      <c r="B873" s="256"/>
      <c r="C873" s="256"/>
      <c r="D873" s="256"/>
      <c r="E873" s="256"/>
      <c r="F873" s="256"/>
      <c r="G873" s="256"/>
      <c r="H873" s="256"/>
      <c r="I873" s="256"/>
      <c r="J873" s="256"/>
      <c r="K873" s="256"/>
    </row>
    <row r="874" spans="1:11" ht="12.75" x14ac:dyDescent="0.2">
      <c r="A874" s="256"/>
      <c r="B874" s="256"/>
      <c r="C874" s="256"/>
      <c r="D874" s="256"/>
      <c r="E874" s="256"/>
      <c r="F874" s="256"/>
      <c r="G874" s="256"/>
      <c r="H874" s="256"/>
      <c r="I874" s="256"/>
      <c r="J874" s="256"/>
      <c r="K874" s="256"/>
    </row>
    <row r="875" spans="1:11" ht="12.75" x14ac:dyDescent="0.2">
      <c r="A875" s="256"/>
      <c r="B875" s="256"/>
      <c r="C875" s="256"/>
      <c r="D875" s="256"/>
      <c r="E875" s="256"/>
      <c r="F875" s="256"/>
      <c r="G875" s="256"/>
      <c r="H875" s="256"/>
      <c r="I875" s="256"/>
      <c r="J875" s="256"/>
      <c r="K875" s="256"/>
    </row>
    <row r="876" spans="1:11" ht="12.75" x14ac:dyDescent="0.2">
      <c r="A876" s="256"/>
      <c r="B876" s="256"/>
      <c r="C876" s="256"/>
      <c r="D876" s="256"/>
      <c r="E876" s="256"/>
      <c r="F876" s="256"/>
      <c r="G876" s="256"/>
      <c r="H876" s="256"/>
      <c r="I876" s="256"/>
      <c r="J876" s="256"/>
      <c r="K876" s="256"/>
    </row>
    <row r="877" spans="1:11" ht="12.75" x14ac:dyDescent="0.2">
      <c r="A877" s="256"/>
      <c r="B877" s="256"/>
      <c r="C877" s="256"/>
      <c r="D877" s="256"/>
      <c r="E877" s="256"/>
      <c r="F877" s="256"/>
      <c r="G877" s="256"/>
      <c r="H877" s="256"/>
      <c r="I877" s="256"/>
      <c r="J877" s="256"/>
      <c r="K877" s="256"/>
    </row>
    <row r="878" spans="1:11" ht="12.75" x14ac:dyDescent="0.2">
      <c r="A878" s="256"/>
      <c r="B878" s="256"/>
      <c r="C878" s="256"/>
      <c r="D878" s="256"/>
      <c r="E878" s="256"/>
      <c r="F878" s="256"/>
      <c r="G878" s="256"/>
      <c r="H878" s="256"/>
      <c r="I878" s="256"/>
      <c r="J878" s="256"/>
      <c r="K878" s="256"/>
    </row>
    <row r="879" spans="1:11" ht="12.75" x14ac:dyDescent="0.2">
      <c r="A879" s="256"/>
      <c r="B879" s="256"/>
      <c r="C879" s="256"/>
      <c r="D879" s="256"/>
      <c r="E879" s="256"/>
      <c r="F879" s="256"/>
      <c r="G879" s="256"/>
      <c r="H879" s="256"/>
      <c r="I879" s="256"/>
      <c r="J879" s="256"/>
      <c r="K879" s="256"/>
    </row>
    <row r="880" spans="1:11" ht="12.75" x14ac:dyDescent="0.2">
      <c r="A880" s="256"/>
      <c r="B880" s="256"/>
      <c r="C880" s="256"/>
      <c r="D880" s="256"/>
      <c r="E880" s="256"/>
      <c r="F880" s="256"/>
      <c r="G880" s="256"/>
      <c r="H880" s="256"/>
      <c r="I880" s="256"/>
      <c r="J880" s="256"/>
      <c r="K880" s="256"/>
    </row>
    <row r="881" spans="1:11" ht="12.75" x14ac:dyDescent="0.2">
      <c r="A881" s="256"/>
      <c r="B881" s="256"/>
      <c r="C881" s="256"/>
      <c r="D881" s="256"/>
      <c r="E881" s="256"/>
      <c r="F881" s="256"/>
      <c r="G881" s="256"/>
      <c r="H881" s="256"/>
      <c r="I881" s="256"/>
      <c r="J881" s="256"/>
      <c r="K881" s="256"/>
    </row>
    <row r="882" spans="1:11" ht="12.75" x14ac:dyDescent="0.2">
      <c r="A882" s="256"/>
      <c r="B882" s="256"/>
      <c r="C882" s="256"/>
      <c r="D882" s="256"/>
      <c r="E882" s="256"/>
      <c r="F882" s="256"/>
      <c r="G882" s="256"/>
      <c r="H882" s="256"/>
      <c r="I882" s="256"/>
      <c r="J882" s="256"/>
      <c r="K882" s="256"/>
    </row>
    <row r="883" spans="1:11" ht="12.75" x14ac:dyDescent="0.2">
      <c r="A883" s="256"/>
      <c r="B883" s="256"/>
      <c r="C883" s="256"/>
      <c r="D883" s="256"/>
      <c r="E883" s="256"/>
      <c r="F883" s="256"/>
      <c r="G883" s="256"/>
      <c r="H883" s="256"/>
      <c r="I883" s="256"/>
      <c r="J883" s="256"/>
      <c r="K883" s="256"/>
    </row>
    <row r="884" spans="1:11" ht="12.75" x14ac:dyDescent="0.2">
      <c r="A884" s="256"/>
      <c r="B884" s="256"/>
      <c r="C884" s="256"/>
      <c r="D884" s="256"/>
      <c r="E884" s="256"/>
      <c r="F884" s="256"/>
      <c r="G884" s="256"/>
      <c r="H884" s="256"/>
      <c r="I884" s="256"/>
      <c r="J884" s="256"/>
      <c r="K884" s="256"/>
    </row>
    <row r="885" spans="1:11" ht="12.75" x14ac:dyDescent="0.2">
      <c r="A885" s="256"/>
      <c r="B885" s="256"/>
      <c r="C885" s="256"/>
      <c r="D885" s="256"/>
      <c r="E885" s="256"/>
      <c r="F885" s="256"/>
      <c r="G885" s="256"/>
      <c r="H885" s="256"/>
      <c r="I885" s="256"/>
      <c r="J885" s="256"/>
      <c r="K885" s="256"/>
    </row>
    <row r="886" spans="1:11" ht="12.75" x14ac:dyDescent="0.2">
      <c r="A886" s="256"/>
      <c r="B886" s="256"/>
      <c r="C886" s="256"/>
      <c r="D886" s="256"/>
      <c r="E886" s="256"/>
      <c r="F886" s="256"/>
      <c r="G886" s="256"/>
      <c r="H886" s="256"/>
      <c r="I886" s="256"/>
      <c r="J886" s="256"/>
      <c r="K886" s="256"/>
    </row>
    <row r="887" spans="1:11" ht="12.75" x14ac:dyDescent="0.2">
      <c r="A887" s="256"/>
      <c r="B887" s="256"/>
      <c r="C887" s="256"/>
      <c r="D887" s="256"/>
      <c r="E887" s="256"/>
      <c r="F887" s="256"/>
      <c r="G887" s="256"/>
      <c r="H887" s="256"/>
      <c r="I887" s="256"/>
      <c r="J887" s="256"/>
      <c r="K887" s="256"/>
    </row>
    <row r="888" spans="1:11" ht="12.75" x14ac:dyDescent="0.2">
      <c r="A888" s="256"/>
      <c r="B888" s="256"/>
      <c r="C888" s="256"/>
      <c r="D888" s="256"/>
      <c r="E888" s="256"/>
      <c r="F888" s="256"/>
      <c r="G888" s="256"/>
      <c r="H888" s="256"/>
      <c r="I888" s="256"/>
      <c r="J888" s="256"/>
      <c r="K888" s="256"/>
    </row>
    <row r="889" spans="1:11" ht="12.75" x14ac:dyDescent="0.2">
      <c r="A889" s="256"/>
      <c r="B889" s="256"/>
      <c r="C889" s="256"/>
      <c r="D889" s="256"/>
      <c r="E889" s="256"/>
      <c r="F889" s="256"/>
      <c r="G889" s="256"/>
      <c r="H889" s="256"/>
      <c r="I889" s="256"/>
      <c r="J889" s="256"/>
      <c r="K889" s="256"/>
    </row>
    <row r="890" spans="1:11" ht="12.75" x14ac:dyDescent="0.2">
      <c r="A890" s="256"/>
      <c r="B890" s="256"/>
      <c r="C890" s="256"/>
      <c r="D890" s="256"/>
      <c r="E890" s="256"/>
      <c r="F890" s="256"/>
      <c r="G890" s="256"/>
      <c r="H890" s="256"/>
      <c r="I890" s="256"/>
      <c r="J890" s="256"/>
      <c r="K890" s="256"/>
    </row>
    <row r="891" spans="1:11" ht="12.75" x14ac:dyDescent="0.2">
      <c r="A891" s="256"/>
      <c r="B891" s="256"/>
      <c r="C891" s="256"/>
      <c r="D891" s="256"/>
      <c r="E891" s="256"/>
      <c r="F891" s="256"/>
      <c r="G891" s="256"/>
      <c r="H891" s="256"/>
      <c r="I891" s="256"/>
      <c r="J891" s="256"/>
      <c r="K891" s="256"/>
    </row>
    <row r="892" spans="1:11" ht="12.75" x14ac:dyDescent="0.2">
      <c r="A892" s="256"/>
      <c r="B892" s="256"/>
      <c r="C892" s="256"/>
      <c r="D892" s="256"/>
      <c r="E892" s="256"/>
      <c r="F892" s="256"/>
      <c r="G892" s="256"/>
      <c r="H892" s="256"/>
      <c r="I892" s="256"/>
      <c r="J892" s="256"/>
      <c r="K892" s="256"/>
    </row>
    <row r="893" spans="1:11" ht="12.75" x14ac:dyDescent="0.2">
      <c r="A893" s="256"/>
      <c r="B893" s="256"/>
      <c r="C893" s="256"/>
      <c r="D893" s="256"/>
      <c r="E893" s="256"/>
      <c r="F893" s="256"/>
      <c r="G893" s="256"/>
      <c r="H893" s="256"/>
      <c r="I893" s="256"/>
      <c r="J893" s="256"/>
      <c r="K893" s="256"/>
    </row>
    <row r="894" spans="1:11" ht="12.75" x14ac:dyDescent="0.2">
      <c r="A894" s="256"/>
      <c r="B894" s="256"/>
      <c r="C894" s="256"/>
      <c r="D894" s="256"/>
      <c r="E894" s="256"/>
      <c r="F894" s="256"/>
      <c r="G894" s="256"/>
      <c r="H894" s="256"/>
      <c r="I894" s="256"/>
      <c r="J894" s="256"/>
      <c r="K894" s="256"/>
    </row>
    <row r="895" spans="1:11" ht="12.75" x14ac:dyDescent="0.2">
      <c r="A895" s="256"/>
      <c r="B895" s="256"/>
      <c r="C895" s="256"/>
      <c r="D895" s="256"/>
      <c r="E895" s="256"/>
      <c r="F895" s="256"/>
      <c r="G895" s="256"/>
      <c r="H895" s="256"/>
      <c r="I895" s="256"/>
      <c r="J895" s="256"/>
      <c r="K895" s="256"/>
    </row>
    <row r="896" spans="1:11" ht="12.75" x14ac:dyDescent="0.2">
      <c r="A896" s="256"/>
      <c r="B896" s="256"/>
      <c r="C896" s="256"/>
      <c r="D896" s="256"/>
      <c r="E896" s="256"/>
      <c r="F896" s="256"/>
      <c r="G896" s="256"/>
      <c r="H896" s="256"/>
      <c r="I896" s="256"/>
      <c r="J896" s="256"/>
      <c r="K896" s="256"/>
    </row>
    <row r="897" spans="1:11" ht="12.75" x14ac:dyDescent="0.2">
      <c r="A897" s="256"/>
      <c r="B897" s="256"/>
      <c r="C897" s="256"/>
      <c r="D897" s="256"/>
      <c r="E897" s="256"/>
      <c r="F897" s="256"/>
      <c r="G897" s="256"/>
      <c r="H897" s="256"/>
      <c r="I897" s="256"/>
      <c r="J897" s="256"/>
      <c r="K897" s="256"/>
    </row>
    <row r="898" spans="1:11" ht="12.75" x14ac:dyDescent="0.2">
      <c r="A898" s="256"/>
      <c r="B898" s="256"/>
      <c r="C898" s="256"/>
      <c r="D898" s="256"/>
      <c r="E898" s="256"/>
      <c r="F898" s="256"/>
      <c r="G898" s="256"/>
      <c r="H898" s="256"/>
      <c r="I898" s="256"/>
      <c r="J898" s="256"/>
      <c r="K898" s="256"/>
    </row>
    <row r="899" spans="1:11" ht="12.75" x14ac:dyDescent="0.2">
      <c r="A899" s="256"/>
      <c r="B899" s="256"/>
      <c r="C899" s="256"/>
      <c r="D899" s="256"/>
      <c r="E899" s="256"/>
      <c r="F899" s="256"/>
      <c r="G899" s="256"/>
      <c r="H899" s="256"/>
      <c r="I899" s="256"/>
      <c r="J899" s="256"/>
      <c r="K899" s="256"/>
    </row>
    <row r="900" spans="1:11" ht="12.75" x14ac:dyDescent="0.2">
      <c r="A900" s="256"/>
      <c r="B900" s="256"/>
      <c r="C900" s="256"/>
      <c r="D900" s="256"/>
      <c r="E900" s="256"/>
      <c r="F900" s="256"/>
      <c r="G900" s="256"/>
      <c r="H900" s="256"/>
      <c r="I900" s="256"/>
      <c r="J900" s="256"/>
      <c r="K900" s="256"/>
    </row>
    <row r="901" spans="1:11" ht="12.75" x14ac:dyDescent="0.2">
      <c r="A901" s="256"/>
      <c r="B901" s="256"/>
      <c r="C901" s="256"/>
      <c r="D901" s="256"/>
      <c r="E901" s="256"/>
      <c r="F901" s="256"/>
      <c r="G901" s="256"/>
      <c r="H901" s="256"/>
      <c r="I901" s="256"/>
      <c r="J901" s="256"/>
      <c r="K901" s="256"/>
    </row>
    <row r="902" spans="1:11" ht="12.75" x14ac:dyDescent="0.2">
      <c r="A902" s="256"/>
      <c r="B902" s="256"/>
      <c r="C902" s="256"/>
      <c r="D902" s="256"/>
      <c r="E902" s="256"/>
      <c r="F902" s="256"/>
      <c r="G902" s="256"/>
      <c r="H902" s="256"/>
      <c r="I902" s="256"/>
      <c r="J902" s="256"/>
      <c r="K902" s="256"/>
    </row>
    <row r="903" spans="1:11" ht="12.75" x14ac:dyDescent="0.2">
      <c r="A903" s="256"/>
      <c r="B903" s="256"/>
      <c r="C903" s="256"/>
      <c r="D903" s="256"/>
      <c r="E903" s="256"/>
      <c r="F903" s="256"/>
      <c r="G903" s="256"/>
      <c r="H903" s="256"/>
      <c r="I903" s="256"/>
      <c r="J903" s="256"/>
      <c r="K903" s="256"/>
    </row>
    <row r="904" spans="1:11" ht="12.75" x14ac:dyDescent="0.2">
      <c r="A904" s="256"/>
      <c r="B904" s="256"/>
      <c r="C904" s="256"/>
      <c r="D904" s="256"/>
      <c r="E904" s="256"/>
      <c r="F904" s="256"/>
      <c r="G904" s="256"/>
      <c r="H904" s="256"/>
      <c r="I904" s="256"/>
      <c r="J904" s="256"/>
      <c r="K904" s="256"/>
    </row>
    <row r="905" spans="1:11" ht="12.75" x14ac:dyDescent="0.2">
      <c r="A905" s="256"/>
      <c r="B905" s="256"/>
      <c r="C905" s="256"/>
      <c r="D905" s="256"/>
      <c r="E905" s="256"/>
      <c r="F905" s="256"/>
      <c r="G905" s="256"/>
      <c r="H905" s="256"/>
      <c r="I905" s="256"/>
      <c r="J905" s="256"/>
      <c r="K905" s="256"/>
    </row>
    <row r="906" spans="1:11" ht="12.75" x14ac:dyDescent="0.2">
      <c r="A906" s="256"/>
      <c r="B906" s="256"/>
      <c r="C906" s="256"/>
      <c r="D906" s="256"/>
      <c r="E906" s="256"/>
      <c r="F906" s="256"/>
      <c r="G906" s="256"/>
      <c r="H906" s="256"/>
      <c r="I906" s="256"/>
      <c r="J906" s="256"/>
      <c r="K906" s="256"/>
    </row>
    <row r="907" spans="1:11" ht="12.75" x14ac:dyDescent="0.2">
      <c r="A907" s="256"/>
      <c r="B907" s="256"/>
      <c r="C907" s="256"/>
      <c r="D907" s="256"/>
      <c r="E907" s="256"/>
      <c r="F907" s="256"/>
      <c r="G907" s="256"/>
      <c r="H907" s="256"/>
      <c r="I907" s="256"/>
      <c r="J907" s="256"/>
      <c r="K907" s="256"/>
    </row>
    <row r="908" spans="1:11" ht="12.75" x14ac:dyDescent="0.2">
      <c r="A908" s="256"/>
      <c r="B908" s="256"/>
      <c r="C908" s="256"/>
      <c r="D908" s="256"/>
      <c r="E908" s="256"/>
      <c r="F908" s="256"/>
      <c r="G908" s="256"/>
      <c r="H908" s="256"/>
      <c r="I908" s="256"/>
      <c r="J908" s="256"/>
      <c r="K908" s="256"/>
    </row>
    <row r="909" spans="1:11" ht="12.75" x14ac:dyDescent="0.2">
      <c r="A909" s="256"/>
      <c r="B909" s="256"/>
      <c r="C909" s="256"/>
      <c r="D909" s="256"/>
      <c r="E909" s="256"/>
      <c r="F909" s="256"/>
      <c r="G909" s="256"/>
      <c r="H909" s="256"/>
      <c r="I909" s="256"/>
      <c r="J909" s="256"/>
      <c r="K909" s="256"/>
    </row>
    <row r="910" spans="1:11" ht="12.75" x14ac:dyDescent="0.2">
      <c r="A910" s="256"/>
      <c r="B910" s="256"/>
      <c r="C910" s="256"/>
      <c r="D910" s="256"/>
      <c r="E910" s="256"/>
      <c r="F910" s="256"/>
      <c r="G910" s="256"/>
      <c r="H910" s="256"/>
      <c r="I910" s="256"/>
      <c r="J910" s="256"/>
      <c r="K910" s="256"/>
    </row>
    <row r="911" spans="1:11" ht="12.75" x14ac:dyDescent="0.2">
      <c r="A911" s="256"/>
      <c r="B911" s="256"/>
      <c r="C911" s="256"/>
      <c r="D911" s="256"/>
      <c r="E911" s="256"/>
      <c r="F911" s="256"/>
      <c r="G911" s="256"/>
      <c r="H911" s="256"/>
      <c r="I911" s="256"/>
      <c r="J911" s="256"/>
      <c r="K911" s="256"/>
    </row>
    <row r="912" spans="1:11" ht="12.75" x14ac:dyDescent="0.2">
      <c r="A912" s="256"/>
      <c r="B912" s="256"/>
      <c r="C912" s="256"/>
      <c r="D912" s="256"/>
      <c r="E912" s="256"/>
      <c r="F912" s="256"/>
      <c r="G912" s="256"/>
      <c r="H912" s="256"/>
      <c r="I912" s="256"/>
      <c r="J912" s="256"/>
      <c r="K912" s="256"/>
    </row>
    <row r="913" spans="1:11" ht="12.75" x14ac:dyDescent="0.2">
      <c r="A913" s="256"/>
      <c r="B913" s="256"/>
      <c r="C913" s="256"/>
      <c r="D913" s="256"/>
      <c r="E913" s="256"/>
      <c r="F913" s="256"/>
      <c r="G913" s="256"/>
      <c r="H913" s="256"/>
      <c r="I913" s="256"/>
      <c r="J913" s="256"/>
      <c r="K913" s="256"/>
    </row>
    <row r="914" spans="1:11" ht="12.75" x14ac:dyDescent="0.2">
      <c r="A914" s="256"/>
      <c r="B914" s="256"/>
      <c r="C914" s="256"/>
      <c r="D914" s="256"/>
      <c r="E914" s="256"/>
      <c r="F914" s="256"/>
      <c r="G914" s="256"/>
      <c r="H914" s="256"/>
      <c r="I914" s="256"/>
      <c r="J914" s="256"/>
      <c r="K914" s="256"/>
    </row>
    <row r="915" spans="1:11" ht="12.75" x14ac:dyDescent="0.2">
      <c r="A915" s="256"/>
      <c r="B915" s="256"/>
      <c r="C915" s="256"/>
      <c r="D915" s="256"/>
      <c r="E915" s="256"/>
      <c r="F915" s="256"/>
      <c r="G915" s="256"/>
      <c r="H915" s="256"/>
      <c r="I915" s="256"/>
      <c r="J915" s="256"/>
      <c r="K915" s="256"/>
    </row>
    <row r="916" spans="1:11" ht="12.75" x14ac:dyDescent="0.2">
      <c r="A916" s="256"/>
      <c r="B916" s="256"/>
      <c r="C916" s="256"/>
      <c r="D916" s="256"/>
      <c r="E916" s="256"/>
      <c r="F916" s="256"/>
      <c r="G916" s="256"/>
      <c r="H916" s="256"/>
      <c r="I916" s="256"/>
      <c r="J916" s="256"/>
      <c r="K916" s="256"/>
    </row>
    <row r="917" spans="1:11" ht="12.75" x14ac:dyDescent="0.2">
      <c r="A917" s="256"/>
      <c r="B917" s="256"/>
      <c r="C917" s="256"/>
      <c r="D917" s="256"/>
      <c r="E917" s="256"/>
      <c r="F917" s="256"/>
      <c r="G917" s="256"/>
      <c r="H917" s="256"/>
      <c r="I917" s="256"/>
      <c r="J917" s="256"/>
      <c r="K917" s="256"/>
    </row>
    <row r="918" spans="1:11" ht="12.75" x14ac:dyDescent="0.2">
      <c r="A918" s="256"/>
      <c r="B918" s="256"/>
      <c r="C918" s="256"/>
      <c r="D918" s="256"/>
      <c r="E918" s="256"/>
      <c r="F918" s="256"/>
      <c r="G918" s="256"/>
      <c r="H918" s="256"/>
      <c r="I918" s="256"/>
      <c r="J918" s="256"/>
      <c r="K918" s="256"/>
    </row>
    <row r="919" spans="1:11" ht="12.75" x14ac:dyDescent="0.2">
      <c r="A919" s="256"/>
      <c r="B919" s="256"/>
      <c r="C919" s="256"/>
      <c r="D919" s="256"/>
      <c r="E919" s="256"/>
      <c r="F919" s="256"/>
      <c r="G919" s="256"/>
      <c r="H919" s="256"/>
      <c r="I919" s="256"/>
      <c r="J919" s="256"/>
      <c r="K919" s="256"/>
    </row>
    <row r="920" spans="1:11" ht="12.75" x14ac:dyDescent="0.2">
      <c r="A920" s="256"/>
      <c r="B920" s="256"/>
      <c r="C920" s="256"/>
      <c r="D920" s="256"/>
      <c r="E920" s="256"/>
      <c r="F920" s="256"/>
      <c r="G920" s="256"/>
      <c r="H920" s="256"/>
      <c r="I920" s="256"/>
      <c r="J920" s="256"/>
      <c r="K920" s="256"/>
    </row>
    <row r="921" spans="1:11" ht="12.75" x14ac:dyDescent="0.2">
      <c r="A921" s="256"/>
      <c r="B921" s="256"/>
      <c r="C921" s="256"/>
      <c r="D921" s="256"/>
      <c r="E921" s="256"/>
      <c r="F921" s="256"/>
      <c r="G921" s="256"/>
      <c r="H921" s="256"/>
      <c r="I921" s="256"/>
      <c r="J921" s="256"/>
      <c r="K921" s="256"/>
    </row>
    <row r="922" spans="1:11" ht="12.75" x14ac:dyDescent="0.2">
      <c r="A922" s="256"/>
      <c r="B922" s="256"/>
      <c r="C922" s="256"/>
      <c r="D922" s="256"/>
      <c r="E922" s="256"/>
      <c r="F922" s="256"/>
      <c r="G922" s="256"/>
      <c r="H922" s="256"/>
      <c r="I922" s="256"/>
      <c r="J922" s="256"/>
      <c r="K922" s="256"/>
    </row>
    <row r="923" spans="1:11" ht="12.75" x14ac:dyDescent="0.2">
      <c r="A923" s="256"/>
      <c r="B923" s="256"/>
      <c r="C923" s="256"/>
      <c r="D923" s="256"/>
      <c r="E923" s="256"/>
      <c r="F923" s="256"/>
      <c r="G923" s="256"/>
      <c r="H923" s="256"/>
      <c r="I923" s="256"/>
      <c r="J923" s="256"/>
      <c r="K923" s="256"/>
    </row>
    <row r="924" spans="1:11" ht="12.75" x14ac:dyDescent="0.2">
      <c r="A924" s="256"/>
      <c r="B924" s="256"/>
      <c r="C924" s="256"/>
      <c r="D924" s="256"/>
      <c r="E924" s="256"/>
      <c r="F924" s="256"/>
      <c r="G924" s="256"/>
      <c r="H924" s="256"/>
      <c r="I924" s="256"/>
      <c r="J924" s="256"/>
      <c r="K924" s="256"/>
    </row>
    <row r="925" spans="1:11" ht="12.75" x14ac:dyDescent="0.2">
      <c r="A925" s="256"/>
      <c r="B925" s="256"/>
      <c r="C925" s="256"/>
      <c r="D925" s="256"/>
      <c r="E925" s="256"/>
      <c r="F925" s="256"/>
      <c r="G925" s="256"/>
      <c r="H925" s="256"/>
      <c r="I925" s="256"/>
      <c r="J925" s="256"/>
      <c r="K925" s="256"/>
    </row>
    <row r="926" spans="1:11" ht="12.75" x14ac:dyDescent="0.2">
      <c r="A926" s="256"/>
      <c r="B926" s="256"/>
      <c r="C926" s="256"/>
      <c r="D926" s="256"/>
      <c r="E926" s="256"/>
      <c r="F926" s="256"/>
      <c r="G926" s="256"/>
      <c r="H926" s="256"/>
      <c r="I926" s="256"/>
      <c r="J926" s="256"/>
      <c r="K926" s="256"/>
    </row>
    <row r="927" spans="1:11" ht="12.75" x14ac:dyDescent="0.2">
      <c r="A927" s="256"/>
      <c r="B927" s="256"/>
      <c r="C927" s="256"/>
      <c r="D927" s="256"/>
      <c r="E927" s="256"/>
      <c r="F927" s="256"/>
      <c r="G927" s="256"/>
      <c r="H927" s="256"/>
      <c r="I927" s="256"/>
      <c r="J927" s="256"/>
      <c r="K927" s="256"/>
    </row>
    <row r="928" spans="1:11" ht="12.75" x14ac:dyDescent="0.2">
      <c r="A928" s="256"/>
      <c r="B928" s="256"/>
      <c r="C928" s="256"/>
      <c r="D928" s="256"/>
      <c r="E928" s="256"/>
      <c r="F928" s="256"/>
      <c r="G928" s="256"/>
      <c r="H928" s="256"/>
      <c r="I928" s="256"/>
      <c r="J928" s="256"/>
      <c r="K928" s="256"/>
    </row>
    <row r="929" spans="1:11" ht="12.75" x14ac:dyDescent="0.2">
      <c r="A929" s="256"/>
      <c r="B929" s="256"/>
      <c r="C929" s="256"/>
      <c r="D929" s="256"/>
      <c r="E929" s="256"/>
      <c r="F929" s="256"/>
      <c r="G929" s="256"/>
      <c r="H929" s="256"/>
      <c r="I929" s="256"/>
      <c r="J929" s="256"/>
      <c r="K929" s="256"/>
    </row>
    <row r="930" spans="1:11" ht="12.75" x14ac:dyDescent="0.2">
      <c r="A930" s="256"/>
      <c r="B930" s="256"/>
      <c r="C930" s="256"/>
      <c r="D930" s="256"/>
      <c r="E930" s="256"/>
      <c r="F930" s="256"/>
      <c r="G930" s="256"/>
      <c r="H930" s="256"/>
      <c r="I930" s="256"/>
      <c r="J930" s="256"/>
      <c r="K930" s="256"/>
    </row>
    <row r="931" spans="1:11" ht="12.75" x14ac:dyDescent="0.2">
      <c r="A931" s="256"/>
      <c r="B931" s="256"/>
      <c r="C931" s="256"/>
      <c r="D931" s="256"/>
      <c r="E931" s="256"/>
      <c r="F931" s="256"/>
      <c r="G931" s="256"/>
      <c r="H931" s="256"/>
      <c r="I931" s="256"/>
      <c r="J931" s="256"/>
      <c r="K931" s="256"/>
    </row>
    <row r="932" spans="1:11" ht="12.75" x14ac:dyDescent="0.2">
      <c r="A932" s="256"/>
      <c r="B932" s="256"/>
      <c r="C932" s="256"/>
      <c r="D932" s="256"/>
      <c r="E932" s="256"/>
      <c r="F932" s="256"/>
      <c r="G932" s="256"/>
      <c r="H932" s="256"/>
      <c r="I932" s="256"/>
      <c r="J932" s="256"/>
      <c r="K932" s="256"/>
    </row>
    <row r="933" spans="1:11" ht="12.75" x14ac:dyDescent="0.2">
      <c r="A933" s="256"/>
      <c r="B933" s="256"/>
      <c r="C933" s="256"/>
      <c r="D933" s="256"/>
      <c r="E933" s="256"/>
      <c r="F933" s="256"/>
      <c r="G933" s="256"/>
      <c r="H933" s="256"/>
      <c r="I933" s="256"/>
      <c r="J933" s="256"/>
      <c r="K933" s="256"/>
    </row>
    <row r="934" spans="1:11" ht="12.75" x14ac:dyDescent="0.2">
      <c r="A934" s="256"/>
      <c r="B934" s="256"/>
      <c r="C934" s="256"/>
      <c r="D934" s="256"/>
      <c r="E934" s="256"/>
      <c r="F934" s="256"/>
      <c r="G934" s="256"/>
      <c r="H934" s="256"/>
      <c r="I934" s="256"/>
      <c r="J934" s="256"/>
      <c r="K934" s="256"/>
    </row>
    <row r="935" spans="1:11" ht="12.75" x14ac:dyDescent="0.2">
      <c r="A935" s="256"/>
      <c r="B935" s="256"/>
      <c r="C935" s="256"/>
      <c r="D935" s="256"/>
      <c r="E935" s="256"/>
      <c r="F935" s="256"/>
      <c r="G935" s="256"/>
      <c r="H935" s="256"/>
      <c r="I935" s="256"/>
      <c r="J935" s="256"/>
      <c r="K935" s="256"/>
    </row>
    <row r="936" spans="1:11" ht="12.75" x14ac:dyDescent="0.2">
      <c r="A936" s="256"/>
      <c r="B936" s="256"/>
      <c r="C936" s="256"/>
      <c r="D936" s="256"/>
      <c r="E936" s="256"/>
      <c r="F936" s="256"/>
      <c r="G936" s="256"/>
      <c r="H936" s="256"/>
      <c r="I936" s="256"/>
      <c r="J936" s="256"/>
      <c r="K936" s="256"/>
    </row>
    <row r="937" spans="1:11" ht="12.75" x14ac:dyDescent="0.2">
      <c r="A937" s="256"/>
      <c r="B937" s="256"/>
      <c r="C937" s="256"/>
      <c r="D937" s="256"/>
      <c r="E937" s="256"/>
      <c r="F937" s="256"/>
      <c r="G937" s="256"/>
      <c r="H937" s="256"/>
      <c r="I937" s="256"/>
      <c r="J937" s="256"/>
      <c r="K937" s="256"/>
    </row>
    <row r="938" spans="1:11" ht="12.75" x14ac:dyDescent="0.2">
      <c r="A938" s="256"/>
      <c r="B938" s="256"/>
      <c r="C938" s="256"/>
      <c r="D938" s="256"/>
      <c r="E938" s="256"/>
      <c r="F938" s="256"/>
      <c r="G938" s="256"/>
      <c r="H938" s="256"/>
      <c r="I938" s="256"/>
      <c r="J938" s="256"/>
      <c r="K938" s="256"/>
    </row>
    <row r="939" spans="1:11" ht="12.75" x14ac:dyDescent="0.2">
      <c r="A939" s="256"/>
      <c r="B939" s="256"/>
      <c r="C939" s="256"/>
      <c r="D939" s="256"/>
      <c r="E939" s="256"/>
      <c r="F939" s="256"/>
      <c r="G939" s="256"/>
      <c r="H939" s="256"/>
      <c r="I939" s="256"/>
      <c r="J939" s="256"/>
      <c r="K939" s="256"/>
    </row>
    <row r="940" spans="1:11" ht="12.75" x14ac:dyDescent="0.2">
      <c r="A940" s="256"/>
      <c r="B940" s="256"/>
      <c r="C940" s="256"/>
      <c r="D940" s="256"/>
      <c r="E940" s="256"/>
      <c r="F940" s="256"/>
      <c r="G940" s="256"/>
      <c r="H940" s="256"/>
      <c r="I940" s="256"/>
      <c r="J940" s="256"/>
      <c r="K940" s="256"/>
    </row>
    <row r="941" spans="1:11" ht="12.75" x14ac:dyDescent="0.2">
      <c r="A941" s="256"/>
      <c r="B941" s="256"/>
      <c r="C941" s="256"/>
      <c r="D941" s="256"/>
      <c r="E941" s="256"/>
      <c r="F941" s="256"/>
      <c r="G941" s="256"/>
      <c r="H941" s="256"/>
      <c r="I941" s="256"/>
      <c r="J941" s="256"/>
      <c r="K941" s="256"/>
    </row>
    <row r="942" spans="1:11" ht="12.75" x14ac:dyDescent="0.2">
      <c r="A942" s="256"/>
      <c r="B942" s="256"/>
      <c r="C942" s="256"/>
      <c r="D942" s="256"/>
      <c r="E942" s="256"/>
      <c r="F942" s="256"/>
      <c r="G942" s="256"/>
      <c r="H942" s="256"/>
      <c r="I942" s="256"/>
      <c r="J942" s="256"/>
      <c r="K942" s="256"/>
    </row>
    <row r="943" spans="1:11" ht="12.75" x14ac:dyDescent="0.2">
      <c r="A943" s="256"/>
      <c r="B943" s="256"/>
      <c r="C943" s="256"/>
      <c r="D943" s="256"/>
      <c r="E943" s="256"/>
      <c r="F943" s="256"/>
      <c r="G943" s="256"/>
      <c r="H943" s="256"/>
      <c r="I943" s="256"/>
      <c r="J943" s="256"/>
      <c r="K943" s="256"/>
    </row>
    <row r="944" spans="1:11" ht="12.75" x14ac:dyDescent="0.2">
      <c r="A944" s="256"/>
      <c r="B944" s="256"/>
      <c r="C944" s="256"/>
      <c r="D944" s="256"/>
      <c r="E944" s="256"/>
      <c r="F944" s="256"/>
      <c r="G944" s="256"/>
      <c r="H944" s="256"/>
      <c r="I944" s="256"/>
      <c r="J944" s="256"/>
      <c r="K944" s="256"/>
    </row>
    <row r="945" spans="1:11" ht="12.75" x14ac:dyDescent="0.2">
      <c r="A945" s="256"/>
      <c r="B945" s="256"/>
      <c r="C945" s="256"/>
      <c r="D945" s="256"/>
      <c r="E945" s="256"/>
      <c r="F945" s="256"/>
      <c r="G945" s="256"/>
      <c r="H945" s="256"/>
      <c r="I945" s="256"/>
      <c r="J945" s="256"/>
      <c r="K945" s="256"/>
    </row>
    <row r="946" spans="1:11" ht="12.75" x14ac:dyDescent="0.2">
      <c r="A946" s="256"/>
      <c r="B946" s="256"/>
      <c r="C946" s="256"/>
      <c r="D946" s="256"/>
      <c r="E946" s="256"/>
      <c r="F946" s="256"/>
      <c r="G946" s="256"/>
      <c r="H946" s="256"/>
      <c r="I946" s="256"/>
      <c r="J946" s="256"/>
      <c r="K946" s="256"/>
    </row>
    <row r="947" spans="1:11" ht="12.75" x14ac:dyDescent="0.2">
      <c r="A947" s="256"/>
      <c r="B947" s="256"/>
      <c r="C947" s="256"/>
      <c r="D947" s="256"/>
      <c r="E947" s="256"/>
      <c r="F947" s="256"/>
      <c r="G947" s="256"/>
      <c r="H947" s="256"/>
      <c r="I947" s="256"/>
      <c r="J947" s="256"/>
      <c r="K947" s="256"/>
    </row>
    <row r="948" spans="1:11" ht="12.75" x14ac:dyDescent="0.2">
      <c r="A948" s="256"/>
      <c r="B948" s="256"/>
      <c r="C948" s="256"/>
      <c r="D948" s="256"/>
      <c r="E948" s="256"/>
      <c r="F948" s="256"/>
      <c r="G948" s="256"/>
      <c r="H948" s="256"/>
      <c r="I948" s="256"/>
      <c r="J948" s="256"/>
      <c r="K948" s="256"/>
    </row>
    <row r="949" spans="1:11" ht="12.75" x14ac:dyDescent="0.2">
      <c r="A949" s="256"/>
      <c r="B949" s="256"/>
      <c r="C949" s="256"/>
      <c r="D949" s="256"/>
      <c r="E949" s="256"/>
      <c r="F949" s="256"/>
      <c r="G949" s="256"/>
      <c r="H949" s="256"/>
      <c r="I949" s="256"/>
      <c r="J949" s="256"/>
      <c r="K949" s="256"/>
    </row>
    <row r="950" spans="1:11" ht="12.75" x14ac:dyDescent="0.2">
      <c r="A950" s="256"/>
      <c r="B950" s="256"/>
      <c r="C950" s="256"/>
      <c r="D950" s="256"/>
      <c r="E950" s="256"/>
      <c r="F950" s="256"/>
      <c r="G950" s="256"/>
      <c r="H950" s="256"/>
      <c r="I950" s="256"/>
      <c r="J950" s="256"/>
      <c r="K950" s="256"/>
    </row>
    <row r="951" spans="1:11" ht="12.75" x14ac:dyDescent="0.2">
      <c r="A951" s="256"/>
      <c r="B951" s="256"/>
      <c r="C951" s="256"/>
      <c r="D951" s="256"/>
      <c r="E951" s="256"/>
      <c r="F951" s="256"/>
      <c r="G951" s="256"/>
      <c r="H951" s="256"/>
      <c r="I951" s="256"/>
      <c r="J951" s="256"/>
      <c r="K951" s="256"/>
    </row>
    <row r="952" spans="1:11" ht="12.75" x14ac:dyDescent="0.2">
      <c r="A952" s="256"/>
      <c r="B952" s="256"/>
      <c r="C952" s="256"/>
      <c r="D952" s="256"/>
      <c r="E952" s="256"/>
      <c r="F952" s="256"/>
      <c r="G952" s="256"/>
      <c r="H952" s="256"/>
      <c r="I952" s="256"/>
      <c r="J952" s="256"/>
      <c r="K952" s="256"/>
    </row>
    <row r="953" spans="1:11" ht="12.75" x14ac:dyDescent="0.2">
      <c r="A953" s="256"/>
      <c r="B953" s="256"/>
      <c r="C953" s="256"/>
      <c r="D953" s="256"/>
      <c r="E953" s="256"/>
      <c r="F953" s="256"/>
      <c r="G953" s="256"/>
      <c r="H953" s="256"/>
      <c r="I953" s="256"/>
      <c r="J953" s="256"/>
      <c r="K953" s="256"/>
    </row>
    <row r="954" spans="1:11" ht="12.75" x14ac:dyDescent="0.2">
      <c r="A954" s="256"/>
      <c r="B954" s="256"/>
      <c r="C954" s="256"/>
      <c r="D954" s="256"/>
      <c r="E954" s="256"/>
      <c r="F954" s="256"/>
      <c r="G954" s="256"/>
      <c r="H954" s="256"/>
      <c r="I954" s="256"/>
      <c r="J954" s="256"/>
      <c r="K954" s="256"/>
    </row>
    <row r="955" spans="1:11" ht="12.75" x14ac:dyDescent="0.2">
      <c r="A955" s="256"/>
      <c r="B955" s="256"/>
      <c r="C955" s="256"/>
      <c r="D955" s="256"/>
      <c r="E955" s="256"/>
      <c r="F955" s="256"/>
      <c r="G955" s="256"/>
      <c r="H955" s="256"/>
      <c r="I955" s="256"/>
      <c r="J955" s="256"/>
      <c r="K955" s="256"/>
    </row>
    <row r="956" spans="1:11" ht="12.75" x14ac:dyDescent="0.2">
      <c r="A956" s="256"/>
      <c r="B956" s="256"/>
      <c r="C956" s="256"/>
      <c r="D956" s="256"/>
      <c r="E956" s="256"/>
      <c r="F956" s="256"/>
      <c r="G956" s="256"/>
      <c r="H956" s="256"/>
      <c r="I956" s="256"/>
      <c r="J956" s="256"/>
      <c r="K956" s="256"/>
    </row>
    <row r="957" spans="1:11" ht="12.75" x14ac:dyDescent="0.2">
      <c r="A957" s="256"/>
      <c r="B957" s="256"/>
      <c r="C957" s="256"/>
      <c r="D957" s="256"/>
      <c r="E957" s="256"/>
      <c r="F957" s="256"/>
      <c r="G957" s="256"/>
      <c r="H957" s="256"/>
      <c r="I957" s="256"/>
      <c r="J957" s="256"/>
      <c r="K957" s="256"/>
    </row>
    <row r="958" spans="1:11" ht="12.75" x14ac:dyDescent="0.2">
      <c r="A958" s="256"/>
      <c r="B958" s="256"/>
      <c r="C958" s="256"/>
      <c r="D958" s="256"/>
      <c r="E958" s="256"/>
      <c r="F958" s="256"/>
      <c r="G958" s="256"/>
      <c r="H958" s="256"/>
      <c r="I958" s="256"/>
      <c r="J958" s="256"/>
      <c r="K958" s="256"/>
    </row>
    <row r="959" spans="1:11" ht="12.75" x14ac:dyDescent="0.2">
      <c r="A959" s="256"/>
      <c r="B959" s="256"/>
      <c r="C959" s="256"/>
      <c r="D959" s="256"/>
      <c r="E959" s="256"/>
      <c r="F959" s="256"/>
      <c r="G959" s="256"/>
      <c r="H959" s="256"/>
      <c r="I959" s="256"/>
      <c r="J959" s="256"/>
      <c r="K959" s="256"/>
    </row>
    <row r="960" spans="1:11" ht="12.75" x14ac:dyDescent="0.2">
      <c r="A960" s="256"/>
      <c r="B960" s="256"/>
      <c r="C960" s="256"/>
      <c r="D960" s="256"/>
      <c r="E960" s="256"/>
      <c r="F960" s="256"/>
      <c r="G960" s="256"/>
      <c r="H960" s="256"/>
      <c r="I960" s="256"/>
      <c r="J960" s="256"/>
      <c r="K960" s="256"/>
    </row>
    <row r="961" spans="1:11" ht="12.75" x14ac:dyDescent="0.2">
      <c r="A961" s="256"/>
      <c r="B961" s="256"/>
      <c r="C961" s="256"/>
      <c r="D961" s="256"/>
      <c r="E961" s="256"/>
      <c r="F961" s="256"/>
      <c r="G961" s="256"/>
      <c r="H961" s="256"/>
      <c r="I961" s="256"/>
      <c r="J961" s="256"/>
      <c r="K961" s="256"/>
    </row>
    <row r="962" spans="1:11" ht="12.75" x14ac:dyDescent="0.2">
      <c r="A962" s="256"/>
      <c r="B962" s="256"/>
      <c r="C962" s="256"/>
      <c r="D962" s="256"/>
      <c r="E962" s="256"/>
      <c r="F962" s="256"/>
      <c r="G962" s="256"/>
      <c r="H962" s="256"/>
      <c r="I962" s="256"/>
      <c r="J962" s="256"/>
      <c r="K962" s="256"/>
    </row>
    <row r="963" spans="1:11" ht="12.75" x14ac:dyDescent="0.2">
      <c r="A963" s="256"/>
      <c r="B963" s="256"/>
      <c r="C963" s="256"/>
      <c r="D963" s="256"/>
      <c r="E963" s="256"/>
      <c r="F963" s="256"/>
      <c r="G963" s="256"/>
      <c r="H963" s="256"/>
      <c r="I963" s="256"/>
      <c r="J963" s="256"/>
      <c r="K963" s="256"/>
    </row>
    <row r="964" spans="1:11" ht="12.75" x14ac:dyDescent="0.2">
      <c r="A964" s="256"/>
      <c r="B964" s="256"/>
      <c r="C964" s="256"/>
      <c r="D964" s="256"/>
      <c r="E964" s="256"/>
      <c r="F964" s="256"/>
      <c r="G964" s="256"/>
      <c r="H964" s="256"/>
      <c r="I964" s="256"/>
      <c r="J964" s="256"/>
      <c r="K964" s="256"/>
    </row>
    <row r="965" spans="1:11" ht="12.75" x14ac:dyDescent="0.2">
      <c r="A965" s="256"/>
      <c r="B965" s="256"/>
      <c r="C965" s="256"/>
      <c r="D965" s="256"/>
      <c r="E965" s="256"/>
      <c r="F965" s="256"/>
      <c r="G965" s="256"/>
      <c r="H965" s="256"/>
      <c r="I965" s="256"/>
      <c r="J965" s="256"/>
      <c r="K965" s="256"/>
    </row>
    <row r="966" spans="1:11" ht="12.75" x14ac:dyDescent="0.2">
      <c r="A966" s="256"/>
      <c r="B966" s="256"/>
      <c r="C966" s="256"/>
      <c r="D966" s="256"/>
      <c r="E966" s="256"/>
      <c r="F966" s="256"/>
      <c r="G966" s="256"/>
      <c r="H966" s="256"/>
      <c r="I966" s="256"/>
      <c r="J966" s="256"/>
      <c r="K966" s="256"/>
    </row>
    <row r="967" spans="1:11" ht="12.75" x14ac:dyDescent="0.2">
      <c r="A967" s="256"/>
      <c r="B967" s="256"/>
      <c r="C967" s="256"/>
      <c r="D967" s="256"/>
      <c r="E967" s="256"/>
      <c r="F967" s="256"/>
      <c r="G967" s="256"/>
      <c r="H967" s="256"/>
      <c r="I967" s="256"/>
      <c r="J967" s="256"/>
      <c r="K967" s="256"/>
    </row>
    <row r="968" spans="1:11" ht="12.75" x14ac:dyDescent="0.2">
      <c r="A968" s="256"/>
      <c r="B968" s="256"/>
      <c r="C968" s="256"/>
      <c r="D968" s="256"/>
      <c r="E968" s="256"/>
      <c r="F968" s="256"/>
      <c r="G968" s="256"/>
      <c r="H968" s="256"/>
      <c r="I968" s="256"/>
      <c r="J968" s="256"/>
      <c r="K968" s="256"/>
    </row>
    <row r="969" spans="1:11" ht="12.75" x14ac:dyDescent="0.2">
      <c r="A969" s="256"/>
      <c r="B969" s="256"/>
      <c r="C969" s="256"/>
      <c r="D969" s="256"/>
      <c r="E969" s="256"/>
      <c r="F969" s="256"/>
      <c r="G969" s="256"/>
      <c r="H969" s="256"/>
      <c r="I969" s="256"/>
      <c r="J969" s="256"/>
      <c r="K969" s="256"/>
    </row>
    <row r="970" spans="1:11" ht="12.75" x14ac:dyDescent="0.2">
      <c r="A970" s="256"/>
      <c r="B970" s="256"/>
      <c r="C970" s="256"/>
      <c r="D970" s="256"/>
      <c r="E970" s="256"/>
      <c r="F970" s="256"/>
      <c r="G970" s="256"/>
      <c r="H970" s="256"/>
      <c r="I970" s="256"/>
      <c r="J970" s="256"/>
      <c r="K970" s="256"/>
    </row>
    <row r="971" spans="1:11" ht="12.75" x14ac:dyDescent="0.2">
      <c r="A971" s="256"/>
      <c r="B971" s="256"/>
      <c r="C971" s="256"/>
      <c r="D971" s="256"/>
      <c r="E971" s="256"/>
      <c r="F971" s="256"/>
      <c r="G971" s="256"/>
      <c r="H971" s="256"/>
      <c r="I971" s="256"/>
      <c r="J971" s="256"/>
      <c r="K971" s="256"/>
    </row>
    <row r="972" spans="1:11" ht="12.75" x14ac:dyDescent="0.2">
      <c r="A972" s="256"/>
      <c r="B972" s="256"/>
      <c r="C972" s="256"/>
      <c r="D972" s="256"/>
      <c r="E972" s="256"/>
      <c r="F972" s="256"/>
      <c r="G972" s="256"/>
      <c r="H972" s="256"/>
      <c r="I972" s="256"/>
      <c r="J972" s="256"/>
      <c r="K972" s="256"/>
    </row>
    <row r="973" spans="1:11" ht="12.75" x14ac:dyDescent="0.2">
      <c r="A973" s="256"/>
      <c r="B973" s="256"/>
      <c r="C973" s="256"/>
      <c r="D973" s="256"/>
      <c r="E973" s="256"/>
      <c r="F973" s="256"/>
      <c r="G973" s="256"/>
      <c r="H973" s="256"/>
      <c r="I973" s="256"/>
      <c r="J973" s="256"/>
      <c r="K973" s="256"/>
    </row>
    <row r="974" spans="1:11" ht="12.75" x14ac:dyDescent="0.2">
      <c r="A974" s="256"/>
      <c r="B974" s="256"/>
      <c r="C974" s="256"/>
      <c r="D974" s="256"/>
      <c r="E974" s="256"/>
      <c r="F974" s="256"/>
      <c r="G974" s="256"/>
      <c r="H974" s="256"/>
      <c r="I974" s="256"/>
      <c r="J974" s="256"/>
      <c r="K974" s="256"/>
    </row>
    <row r="975" spans="1:11" ht="12.75" x14ac:dyDescent="0.2">
      <c r="A975" s="256"/>
      <c r="B975" s="256"/>
      <c r="C975" s="256"/>
      <c r="D975" s="256"/>
      <c r="E975" s="256"/>
      <c r="F975" s="256"/>
      <c r="G975" s="256"/>
      <c r="H975" s="256"/>
      <c r="I975" s="256"/>
      <c r="J975" s="256"/>
      <c r="K975" s="256"/>
    </row>
    <row r="976" spans="1:11" ht="12.75" x14ac:dyDescent="0.2">
      <c r="A976" s="256"/>
      <c r="B976" s="256"/>
      <c r="C976" s="256"/>
      <c r="D976" s="256"/>
      <c r="E976" s="256"/>
      <c r="F976" s="256"/>
      <c r="G976" s="256"/>
      <c r="H976" s="256"/>
      <c r="I976" s="256"/>
      <c r="J976" s="256"/>
      <c r="K976" s="256"/>
    </row>
    <row r="977" spans="1:11" ht="12.75" x14ac:dyDescent="0.2">
      <c r="A977" s="256"/>
      <c r="B977" s="256"/>
      <c r="C977" s="256"/>
      <c r="D977" s="256"/>
      <c r="E977" s="256"/>
      <c r="F977" s="256"/>
      <c r="G977" s="256"/>
      <c r="H977" s="256"/>
      <c r="I977" s="256"/>
      <c r="J977" s="256"/>
      <c r="K977" s="256"/>
    </row>
    <row r="978" spans="1:11" ht="12.75" x14ac:dyDescent="0.2">
      <c r="A978" s="256"/>
      <c r="B978" s="256"/>
      <c r="C978" s="256"/>
      <c r="D978" s="256"/>
      <c r="E978" s="256"/>
      <c r="F978" s="256"/>
      <c r="G978" s="256"/>
      <c r="H978" s="256"/>
      <c r="I978" s="256"/>
      <c r="J978" s="256"/>
      <c r="K978" s="256"/>
    </row>
    <row r="979" spans="1:11" ht="12.75" x14ac:dyDescent="0.2">
      <c r="A979" s="256"/>
      <c r="B979" s="256"/>
      <c r="C979" s="256"/>
      <c r="D979" s="256"/>
      <c r="E979" s="256"/>
      <c r="F979" s="256"/>
      <c r="G979" s="256"/>
      <c r="H979" s="256"/>
      <c r="I979" s="256"/>
      <c r="J979" s="256"/>
      <c r="K979" s="256"/>
    </row>
    <row r="980" spans="1:11" ht="12.75" x14ac:dyDescent="0.2">
      <c r="A980" s="256"/>
      <c r="B980" s="256"/>
      <c r="C980" s="256"/>
      <c r="D980" s="256"/>
      <c r="E980" s="256"/>
      <c r="F980" s="256"/>
      <c r="G980" s="256"/>
      <c r="H980" s="256"/>
      <c r="I980" s="256"/>
      <c r="J980" s="256"/>
      <c r="K980" s="256"/>
    </row>
    <row r="981" spans="1:11" ht="12.75" x14ac:dyDescent="0.2">
      <c r="A981" s="256"/>
      <c r="B981" s="256"/>
      <c r="C981" s="256"/>
      <c r="D981" s="256"/>
      <c r="E981" s="256"/>
      <c r="F981" s="256"/>
      <c r="G981" s="256"/>
      <c r="H981" s="256"/>
      <c r="I981" s="256"/>
      <c r="J981" s="256"/>
      <c r="K981" s="256"/>
    </row>
    <row r="982" spans="1:11" ht="12.75" x14ac:dyDescent="0.2">
      <c r="A982" s="256"/>
      <c r="B982" s="256"/>
      <c r="C982" s="256"/>
      <c r="D982" s="256"/>
      <c r="E982" s="256"/>
      <c r="F982" s="256"/>
      <c r="G982" s="256"/>
      <c r="H982" s="256"/>
      <c r="I982" s="256"/>
      <c r="J982" s="256"/>
      <c r="K982" s="256"/>
    </row>
    <row r="983" spans="1:11" ht="12.75" x14ac:dyDescent="0.2">
      <c r="A983" s="256"/>
      <c r="B983" s="256"/>
      <c r="C983" s="256"/>
      <c r="D983" s="256"/>
      <c r="E983" s="256"/>
      <c r="F983" s="256"/>
      <c r="G983" s="256"/>
      <c r="H983" s="256"/>
      <c r="I983" s="256"/>
      <c r="J983" s="256"/>
      <c r="K983" s="256"/>
    </row>
    <row r="984" spans="1:11" ht="12.75" x14ac:dyDescent="0.2">
      <c r="A984" s="256"/>
      <c r="B984" s="256"/>
      <c r="C984" s="256"/>
      <c r="D984" s="256"/>
      <c r="E984" s="256"/>
      <c r="F984" s="256"/>
      <c r="G984" s="256"/>
      <c r="H984" s="256"/>
      <c r="I984" s="256"/>
      <c r="J984" s="256"/>
      <c r="K984" s="256"/>
    </row>
    <row r="985" spans="1:11" ht="12.75" x14ac:dyDescent="0.2">
      <c r="A985" s="256"/>
      <c r="B985" s="256"/>
      <c r="C985" s="256"/>
      <c r="D985" s="256"/>
      <c r="E985" s="256"/>
      <c r="F985" s="256"/>
      <c r="G985" s="256"/>
      <c r="H985" s="256"/>
      <c r="I985" s="256"/>
      <c r="J985" s="256"/>
      <c r="K985" s="256"/>
    </row>
    <row r="986" spans="1:11" ht="12.75" x14ac:dyDescent="0.2">
      <c r="A986" s="256"/>
      <c r="B986" s="256"/>
      <c r="C986" s="256"/>
      <c r="D986" s="256"/>
      <c r="E986" s="256"/>
      <c r="F986" s="256"/>
      <c r="G986" s="256"/>
      <c r="H986" s="256"/>
      <c r="I986" s="256"/>
      <c r="J986" s="256"/>
      <c r="K986" s="256"/>
    </row>
    <row r="987" spans="1:11" ht="12.75" x14ac:dyDescent="0.2">
      <c r="A987" s="256"/>
      <c r="B987" s="256"/>
      <c r="C987" s="256"/>
      <c r="D987" s="256"/>
      <c r="E987" s="256"/>
      <c r="F987" s="256"/>
      <c r="G987" s="256"/>
      <c r="H987" s="256"/>
      <c r="I987" s="256"/>
      <c r="J987" s="256"/>
      <c r="K987" s="256"/>
    </row>
    <row r="988" spans="1:11" ht="12.75" x14ac:dyDescent="0.2">
      <c r="A988" s="256"/>
      <c r="B988" s="256"/>
      <c r="C988" s="256"/>
      <c r="D988" s="256"/>
      <c r="E988" s="256"/>
      <c r="F988" s="256"/>
      <c r="G988" s="256"/>
      <c r="H988" s="256"/>
      <c r="I988" s="256"/>
      <c r="J988" s="256"/>
      <c r="K988" s="256"/>
    </row>
    <row r="989" spans="1:11" ht="12.75" x14ac:dyDescent="0.2">
      <c r="A989" s="256"/>
      <c r="B989" s="256"/>
      <c r="C989" s="256"/>
      <c r="D989" s="256"/>
      <c r="E989" s="256"/>
      <c r="F989" s="256"/>
      <c r="G989" s="256"/>
      <c r="H989" s="256"/>
      <c r="I989" s="256"/>
      <c r="J989" s="256"/>
      <c r="K989" s="256"/>
    </row>
    <row r="990" spans="1:11" ht="12.75" x14ac:dyDescent="0.2">
      <c r="A990" s="256"/>
      <c r="B990" s="256"/>
      <c r="C990" s="256"/>
      <c r="D990" s="256"/>
      <c r="E990" s="256"/>
      <c r="F990" s="256"/>
      <c r="G990" s="256"/>
      <c r="H990" s="256"/>
      <c r="I990" s="256"/>
      <c r="J990" s="256"/>
      <c r="K990" s="256"/>
    </row>
    <row r="991" spans="1:11" ht="12.75" x14ac:dyDescent="0.2">
      <c r="A991" s="256"/>
      <c r="B991" s="256"/>
      <c r="C991" s="256"/>
      <c r="D991" s="256"/>
      <c r="E991" s="256"/>
      <c r="F991" s="256"/>
      <c r="G991" s="256"/>
      <c r="H991" s="256"/>
      <c r="I991" s="256"/>
      <c r="J991" s="256"/>
      <c r="K991" s="256"/>
    </row>
    <row r="992" spans="1:11" ht="12.75" x14ac:dyDescent="0.2">
      <c r="A992" s="256"/>
      <c r="B992" s="256"/>
      <c r="C992" s="256"/>
      <c r="D992" s="256"/>
      <c r="E992" s="256"/>
      <c r="F992" s="256"/>
      <c r="G992" s="256"/>
      <c r="H992" s="256"/>
      <c r="I992" s="256"/>
      <c r="J992" s="256"/>
      <c r="K992" s="256"/>
    </row>
    <row r="993" spans="1:11" ht="12.75" x14ac:dyDescent="0.2">
      <c r="A993" s="256"/>
      <c r="B993" s="256"/>
      <c r="C993" s="256"/>
      <c r="D993" s="256"/>
      <c r="E993" s="256"/>
      <c r="F993" s="256"/>
      <c r="G993" s="256"/>
      <c r="H993" s="256"/>
      <c r="I993" s="256"/>
      <c r="J993" s="256"/>
      <c r="K993" s="256"/>
    </row>
    <row r="994" spans="1:11" ht="12.75" x14ac:dyDescent="0.2">
      <c r="A994" s="256"/>
      <c r="B994" s="256"/>
      <c r="C994" s="256"/>
      <c r="D994" s="256"/>
      <c r="E994" s="256"/>
      <c r="F994" s="256"/>
      <c r="G994" s="256"/>
      <c r="H994" s="256"/>
      <c r="I994" s="256"/>
      <c r="J994" s="256"/>
      <c r="K994" s="256"/>
    </row>
    <row r="995" spans="1:11" ht="12.75" x14ac:dyDescent="0.2">
      <c r="A995" s="256"/>
      <c r="B995" s="256"/>
      <c r="C995" s="256"/>
      <c r="D995" s="256"/>
      <c r="E995" s="256"/>
      <c r="F995" s="256"/>
      <c r="G995" s="256"/>
      <c r="H995" s="256"/>
      <c r="I995" s="256"/>
      <c r="J995" s="256"/>
      <c r="K995" s="256"/>
    </row>
    <row r="996" spans="1:11" ht="12.75" x14ac:dyDescent="0.2">
      <c r="A996" s="256"/>
      <c r="B996" s="256"/>
      <c r="C996" s="256"/>
      <c r="D996" s="256"/>
      <c r="E996" s="256"/>
      <c r="F996" s="256"/>
      <c r="G996" s="256"/>
      <c r="H996" s="256"/>
      <c r="I996" s="256"/>
      <c r="J996" s="256"/>
      <c r="K996" s="256"/>
    </row>
    <row r="997" spans="1:11" ht="12.75" x14ac:dyDescent="0.2">
      <c r="A997" s="256"/>
      <c r="B997" s="256"/>
      <c r="C997" s="256"/>
      <c r="D997" s="256"/>
      <c r="E997" s="256"/>
      <c r="F997" s="256"/>
      <c r="G997" s="256"/>
      <c r="H997" s="256"/>
      <c r="I997" s="256"/>
      <c r="J997" s="256"/>
      <c r="K997" s="256"/>
    </row>
    <row r="998" spans="1:11" ht="12.75" x14ac:dyDescent="0.2">
      <c r="A998" s="256"/>
      <c r="B998" s="256"/>
      <c r="C998" s="256"/>
      <c r="D998" s="256"/>
      <c r="E998" s="256"/>
      <c r="F998" s="256"/>
      <c r="G998" s="256"/>
      <c r="H998" s="256"/>
      <c r="I998" s="256"/>
      <c r="J998" s="256"/>
      <c r="K998" s="256"/>
    </row>
    <row r="999" spans="1:11" ht="12.75" x14ac:dyDescent="0.2">
      <c r="A999" s="256"/>
      <c r="B999" s="256"/>
      <c r="C999" s="256"/>
      <c r="D999" s="256"/>
      <c r="E999" s="256"/>
      <c r="F999" s="256"/>
      <c r="G999" s="256"/>
      <c r="H999" s="256"/>
      <c r="I999" s="256"/>
      <c r="J999" s="256"/>
      <c r="K999" s="256"/>
    </row>
    <row r="1000" spans="1:11" ht="12.75" x14ac:dyDescent="0.2">
      <c r="A1000" s="256"/>
      <c r="B1000" s="256"/>
      <c r="C1000" s="256"/>
      <c r="D1000" s="256"/>
      <c r="E1000" s="256"/>
      <c r="F1000" s="256"/>
      <c r="G1000" s="256"/>
      <c r="H1000" s="256"/>
      <c r="I1000" s="256"/>
      <c r="J1000" s="256"/>
      <c r="K1000" s="256"/>
    </row>
    <row r="1001" spans="1:11" ht="12.75" x14ac:dyDescent="0.2">
      <c r="A1001" s="256"/>
      <c r="B1001" s="256"/>
      <c r="C1001" s="256"/>
      <c r="D1001" s="256"/>
      <c r="E1001" s="256"/>
      <c r="F1001" s="256"/>
      <c r="G1001" s="256"/>
      <c r="H1001" s="256"/>
      <c r="I1001" s="256"/>
      <c r="J1001" s="256"/>
      <c r="K1001" s="256"/>
    </row>
    <row r="1002" spans="1:11" ht="12.75" x14ac:dyDescent="0.2">
      <c r="A1002" s="256"/>
      <c r="B1002" s="256"/>
      <c r="C1002" s="256"/>
      <c r="D1002" s="256"/>
      <c r="E1002" s="256"/>
      <c r="F1002" s="256"/>
      <c r="G1002" s="256"/>
      <c r="H1002" s="256"/>
      <c r="I1002" s="256"/>
      <c r="J1002" s="256"/>
      <c r="K1002" s="256"/>
    </row>
    <row r="1003" spans="1:11" ht="12.75" x14ac:dyDescent="0.2">
      <c r="A1003" s="256"/>
      <c r="B1003" s="256"/>
      <c r="C1003" s="256"/>
      <c r="D1003" s="256"/>
      <c r="E1003" s="256"/>
      <c r="F1003" s="256"/>
      <c r="G1003" s="256"/>
      <c r="H1003" s="256"/>
      <c r="I1003" s="256"/>
      <c r="J1003" s="256"/>
      <c r="K1003" s="256"/>
    </row>
    <row r="1004" spans="1:11" ht="12.75" x14ac:dyDescent="0.2">
      <c r="A1004" s="256"/>
      <c r="B1004" s="256"/>
      <c r="C1004" s="256"/>
      <c r="D1004" s="256"/>
      <c r="E1004" s="256"/>
      <c r="F1004" s="256"/>
      <c r="G1004" s="256"/>
      <c r="H1004" s="256"/>
      <c r="I1004" s="256"/>
      <c r="J1004" s="256"/>
      <c r="K1004" s="256"/>
    </row>
    <row r="1005" spans="1:11" ht="12.75" x14ac:dyDescent="0.2">
      <c r="A1005" s="256"/>
      <c r="B1005" s="256"/>
      <c r="C1005" s="256"/>
      <c r="D1005" s="256"/>
      <c r="E1005" s="256"/>
      <c r="F1005" s="256"/>
      <c r="G1005" s="256"/>
      <c r="H1005" s="256"/>
      <c r="I1005" s="256"/>
      <c r="J1005" s="256"/>
      <c r="K1005" s="256"/>
    </row>
    <row r="1006" spans="1:11" ht="12.75" x14ac:dyDescent="0.2">
      <c r="A1006" s="256"/>
      <c r="B1006" s="256"/>
      <c r="C1006" s="256"/>
      <c r="D1006" s="256"/>
      <c r="E1006" s="256"/>
      <c r="F1006" s="256"/>
      <c r="G1006" s="256"/>
      <c r="H1006" s="256"/>
      <c r="I1006" s="256"/>
      <c r="J1006" s="256"/>
      <c r="K1006" s="256"/>
    </row>
    <row r="1007" spans="1:11" ht="12.75" x14ac:dyDescent="0.2">
      <c r="A1007" s="256"/>
      <c r="B1007" s="256"/>
      <c r="C1007" s="256"/>
      <c r="D1007" s="256"/>
      <c r="E1007" s="256"/>
      <c r="F1007" s="256"/>
      <c r="G1007" s="256"/>
      <c r="H1007" s="256"/>
      <c r="I1007" s="256"/>
      <c r="J1007" s="256"/>
      <c r="K1007" s="256"/>
    </row>
    <row r="1008" spans="1:11" ht="12.75" x14ac:dyDescent="0.2">
      <c r="A1008" s="256"/>
      <c r="B1008" s="256"/>
      <c r="C1008" s="256"/>
      <c r="D1008" s="256"/>
      <c r="E1008" s="256"/>
      <c r="F1008" s="256"/>
      <c r="G1008" s="256"/>
      <c r="H1008" s="256"/>
      <c r="I1008" s="256"/>
      <c r="J1008" s="256"/>
      <c r="K1008" s="256"/>
    </row>
    <row r="1009" spans="1:11" ht="12.75" x14ac:dyDescent="0.2">
      <c r="A1009" s="256"/>
      <c r="B1009" s="256"/>
      <c r="C1009" s="256"/>
      <c r="D1009" s="256"/>
      <c r="E1009" s="256"/>
      <c r="F1009" s="256"/>
      <c r="G1009" s="256"/>
      <c r="H1009" s="256"/>
      <c r="I1009" s="256"/>
      <c r="J1009" s="256"/>
      <c r="K1009" s="256"/>
    </row>
    <row r="1010" spans="1:11" ht="12.75" x14ac:dyDescent="0.2">
      <c r="A1010" s="256"/>
      <c r="B1010" s="256"/>
      <c r="C1010" s="256"/>
      <c r="D1010" s="256"/>
      <c r="E1010" s="256"/>
      <c r="F1010" s="256"/>
      <c r="G1010" s="256"/>
      <c r="H1010" s="256"/>
      <c r="I1010" s="256"/>
      <c r="J1010" s="256"/>
      <c r="K1010" s="256"/>
    </row>
    <row r="1011" spans="1:11" ht="12.75" x14ac:dyDescent="0.2">
      <c r="A1011" s="256"/>
      <c r="B1011" s="256"/>
      <c r="C1011" s="256"/>
      <c r="D1011" s="256"/>
      <c r="E1011" s="256"/>
      <c r="F1011" s="256"/>
      <c r="G1011" s="256"/>
      <c r="H1011" s="256"/>
      <c r="I1011" s="256"/>
      <c r="J1011" s="256"/>
      <c r="K1011" s="256"/>
    </row>
    <row r="1012" spans="1:11" ht="12.75" x14ac:dyDescent="0.2">
      <c r="A1012" s="256"/>
      <c r="B1012" s="256"/>
      <c r="C1012" s="256"/>
      <c r="D1012" s="256"/>
      <c r="E1012" s="256"/>
      <c r="F1012" s="256"/>
      <c r="G1012" s="256"/>
      <c r="H1012" s="256"/>
      <c r="I1012" s="256"/>
      <c r="J1012" s="256"/>
      <c r="K1012" s="256"/>
    </row>
    <row r="1013" spans="1:11" ht="12.75" x14ac:dyDescent="0.2">
      <c r="A1013" s="256"/>
      <c r="B1013" s="256"/>
      <c r="C1013" s="256"/>
      <c r="D1013" s="256"/>
      <c r="E1013" s="256"/>
      <c r="F1013" s="256"/>
      <c r="G1013" s="256"/>
      <c r="H1013" s="256"/>
      <c r="I1013" s="256"/>
      <c r="J1013" s="256"/>
      <c r="K1013" s="256"/>
    </row>
    <row r="1014" spans="1:11" ht="12.75" x14ac:dyDescent="0.2">
      <c r="A1014" s="256"/>
      <c r="B1014" s="256"/>
      <c r="C1014" s="256"/>
      <c r="D1014" s="256"/>
      <c r="E1014" s="256"/>
      <c r="F1014" s="256"/>
      <c r="G1014" s="256"/>
      <c r="H1014" s="256"/>
      <c r="I1014" s="256"/>
      <c r="J1014" s="256"/>
      <c r="K1014" s="256"/>
    </row>
    <row r="1015" spans="1:11" ht="12.75" x14ac:dyDescent="0.2">
      <c r="A1015" s="256"/>
      <c r="B1015" s="256"/>
      <c r="C1015" s="256"/>
      <c r="D1015" s="256"/>
      <c r="E1015" s="256"/>
      <c r="F1015" s="256"/>
      <c r="G1015" s="256"/>
      <c r="H1015" s="256"/>
      <c r="I1015" s="256"/>
      <c r="J1015" s="256"/>
      <c r="K1015" s="256"/>
    </row>
    <row r="1016" spans="1:11" ht="12.75" x14ac:dyDescent="0.2">
      <c r="A1016" s="256"/>
      <c r="B1016" s="256"/>
      <c r="C1016" s="256"/>
      <c r="D1016" s="256"/>
      <c r="E1016" s="256"/>
      <c r="F1016" s="256"/>
      <c r="G1016" s="256"/>
      <c r="H1016" s="256"/>
      <c r="I1016" s="256"/>
      <c r="J1016" s="256"/>
      <c r="K1016" s="256"/>
    </row>
    <row r="1017" spans="1:11" ht="12.75" x14ac:dyDescent="0.2">
      <c r="A1017" s="256"/>
      <c r="B1017" s="256"/>
      <c r="C1017" s="256"/>
      <c r="D1017" s="256"/>
      <c r="E1017" s="256"/>
      <c r="F1017" s="256"/>
      <c r="G1017" s="256"/>
      <c r="H1017" s="256"/>
      <c r="I1017" s="256"/>
      <c r="J1017" s="256"/>
      <c r="K1017" s="256"/>
    </row>
    <row r="1018" spans="1:11" ht="12.75" x14ac:dyDescent="0.2">
      <c r="A1018" s="256"/>
      <c r="B1018" s="256"/>
      <c r="C1018" s="256"/>
      <c r="D1018" s="256"/>
      <c r="E1018" s="256"/>
      <c r="F1018" s="256"/>
      <c r="G1018" s="256"/>
      <c r="H1018" s="256"/>
      <c r="I1018" s="256"/>
      <c r="J1018" s="256"/>
      <c r="K1018" s="256"/>
    </row>
    <row r="1019" spans="1:11" ht="12.75" x14ac:dyDescent="0.2">
      <c r="A1019" s="256"/>
      <c r="B1019" s="256"/>
      <c r="C1019" s="256"/>
      <c r="D1019" s="256"/>
      <c r="E1019" s="256"/>
      <c r="F1019" s="256"/>
      <c r="G1019" s="256"/>
      <c r="H1019" s="256"/>
      <c r="I1019" s="256"/>
      <c r="J1019" s="256"/>
      <c r="K1019" s="256"/>
    </row>
    <row r="1020" spans="1:11" ht="12.75" x14ac:dyDescent="0.2">
      <c r="A1020" s="256"/>
      <c r="B1020" s="256"/>
      <c r="C1020" s="256"/>
      <c r="D1020" s="256"/>
      <c r="E1020" s="256"/>
      <c r="F1020" s="256"/>
      <c r="G1020" s="256"/>
      <c r="H1020" s="256"/>
      <c r="I1020" s="256"/>
      <c r="J1020" s="256"/>
      <c r="K1020" s="256"/>
    </row>
    <row r="1021" spans="1:11" ht="12.75" x14ac:dyDescent="0.2">
      <c r="A1021" s="256"/>
      <c r="B1021" s="256"/>
      <c r="C1021" s="256"/>
      <c r="D1021" s="256"/>
      <c r="E1021" s="256"/>
      <c r="F1021" s="256"/>
      <c r="G1021" s="256"/>
      <c r="H1021" s="256"/>
      <c r="I1021" s="256"/>
      <c r="J1021" s="256"/>
      <c r="K1021" s="256"/>
    </row>
    <row r="1022" spans="1:11" ht="12.75" x14ac:dyDescent="0.2">
      <c r="A1022" s="256"/>
      <c r="B1022" s="256"/>
      <c r="C1022" s="256"/>
      <c r="D1022" s="256"/>
      <c r="E1022" s="256"/>
      <c r="F1022" s="256"/>
      <c r="G1022" s="256"/>
      <c r="H1022" s="256"/>
      <c r="I1022" s="256"/>
      <c r="J1022" s="256"/>
      <c r="K1022" s="256"/>
    </row>
    <row r="1023" spans="1:11" ht="12.75" x14ac:dyDescent="0.2">
      <c r="A1023" s="256"/>
      <c r="B1023" s="256"/>
      <c r="C1023" s="256"/>
      <c r="D1023" s="256"/>
      <c r="E1023" s="256"/>
      <c r="F1023" s="256"/>
      <c r="G1023" s="256"/>
      <c r="H1023" s="256"/>
      <c r="I1023" s="256"/>
      <c r="J1023" s="256"/>
      <c r="K1023" s="256"/>
    </row>
    <row r="1024" spans="1:11" ht="12.75" x14ac:dyDescent="0.2">
      <c r="A1024" s="256"/>
      <c r="B1024" s="256"/>
      <c r="C1024" s="256"/>
      <c r="D1024" s="256"/>
      <c r="E1024" s="256"/>
      <c r="F1024" s="256"/>
      <c r="G1024" s="256"/>
      <c r="H1024" s="256"/>
      <c r="I1024" s="256"/>
      <c r="J1024" s="256"/>
      <c r="K1024" s="256"/>
    </row>
    <row r="1025" spans="1:11" ht="12.75" x14ac:dyDescent="0.2">
      <c r="A1025" s="256"/>
      <c r="B1025" s="256"/>
      <c r="C1025" s="256"/>
      <c r="D1025" s="256"/>
      <c r="E1025" s="256"/>
      <c r="F1025" s="256"/>
      <c r="G1025" s="256"/>
      <c r="H1025" s="256"/>
      <c r="I1025" s="256"/>
      <c r="J1025" s="256"/>
      <c r="K1025" s="256"/>
    </row>
    <row r="1026" spans="1:11" ht="12.75" x14ac:dyDescent="0.2">
      <c r="A1026" s="256"/>
      <c r="B1026" s="256"/>
      <c r="C1026" s="256"/>
      <c r="D1026" s="256"/>
      <c r="E1026" s="256"/>
      <c r="F1026" s="256"/>
      <c r="G1026" s="256"/>
      <c r="H1026" s="256"/>
      <c r="I1026" s="256"/>
      <c r="J1026" s="256"/>
      <c r="K1026" s="256"/>
    </row>
    <row r="1027" spans="1:11" ht="12.75" x14ac:dyDescent="0.2">
      <c r="A1027" s="256"/>
      <c r="B1027" s="256"/>
      <c r="C1027" s="256"/>
      <c r="D1027" s="256"/>
      <c r="E1027" s="256"/>
      <c r="F1027" s="256"/>
      <c r="G1027" s="256"/>
      <c r="H1027" s="256"/>
      <c r="I1027" s="256"/>
      <c r="J1027" s="256"/>
      <c r="K1027" s="256"/>
    </row>
    <row r="1028" spans="1:11" ht="12.75" x14ac:dyDescent="0.2">
      <c r="A1028" s="256"/>
      <c r="B1028" s="256"/>
      <c r="C1028" s="256"/>
      <c r="D1028" s="256"/>
      <c r="E1028" s="256"/>
      <c r="F1028" s="256"/>
      <c r="G1028" s="256"/>
      <c r="H1028" s="256"/>
      <c r="I1028" s="256"/>
      <c r="J1028" s="256"/>
      <c r="K1028" s="256"/>
    </row>
    <row r="1029" spans="1:11" ht="12.75" x14ac:dyDescent="0.2">
      <c r="A1029" s="256"/>
      <c r="B1029" s="256"/>
      <c r="C1029" s="256"/>
      <c r="D1029" s="256"/>
      <c r="E1029" s="256"/>
      <c r="F1029" s="256"/>
      <c r="G1029" s="256"/>
      <c r="H1029" s="256"/>
      <c r="I1029" s="256"/>
      <c r="J1029" s="256"/>
      <c r="K1029" s="256"/>
    </row>
    <row r="1030" spans="1:11" ht="12.75" x14ac:dyDescent="0.2">
      <c r="A1030" s="256"/>
      <c r="B1030" s="256"/>
      <c r="C1030" s="256"/>
      <c r="D1030" s="256"/>
      <c r="E1030" s="256"/>
      <c r="F1030" s="256"/>
      <c r="G1030" s="256"/>
      <c r="H1030" s="256"/>
      <c r="I1030" s="256"/>
      <c r="J1030" s="256"/>
      <c r="K1030" s="256"/>
    </row>
    <row r="1031" spans="1:11" ht="12.75" x14ac:dyDescent="0.2">
      <c r="A1031" s="256"/>
      <c r="B1031" s="256"/>
      <c r="C1031" s="256"/>
      <c r="D1031" s="256"/>
      <c r="E1031" s="256"/>
      <c r="F1031" s="256"/>
      <c r="G1031" s="256"/>
      <c r="H1031" s="256"/>
      <c r="I1031" s="256"/>
      <c r="J1031" s="256"/>
      <c r="K1031" s="256"/>
    </row>
    <row r="1032" spans="1:11" ht="12.75" x14ac:dyDescent="0.2">
      <c r="A1032" s="256"/>
      <c r="B1032" s="256"/>
      <c r="C1032" s="256"/>
      <c r="D1032" s="256"/>
      <c r="E1032" s="256"/>
      <c r="F1032" s="256"/>
      <c r="G1032" s="256"/>
      <c r="H1032" s="256"/>
      <c r="I1032" s="256"/>
      <c r="J1032" s="256"/>
      <c r="K1032" s="256"/>
    </row>
    <row r="1033" spans="1:11" ht="12.75" x14ac:dyDescent="0.2">
      <c r="A1033" s="256"/>
      <c r="B1033" s="256"/>
      <c r="C1033" s="256"/>
      <c r="D1033" s="256"/>
      <c r="E1033" s="256"/>
      <c r="F1033" s="256"/>
      <c r="G1033" s="256"/>
      <c r="H1033" s="256"/>
      <c r="I1033" s="256"/>
      <c r="J1033" s="256"/>
      <c r="K1033" s="256"/>
    </row>
    <row r="1034" spans="1:11" ht="12.75" x14ac:dyDescent="0.2">
      <c r="A1034" s="256"/>
      <c r="B1034" s="256"/>
      <c r="C1034" s="256"/>
      <c r="D1034" s="256"/>
      <c r="E1034" s="256"/>
      <c r="F1034" s="256"/>
      <c r="G1034" s="256"/>
      <c r="H1034" s="256"/>
      <c r="I1034" s="256"/>
      <c r="J1034" s="256"/>
      <c r="K1034" s="256"/>
    </row>
    <row r="1035" spans="1:11" ht="12.75" x14ac:dyDescent="0.2">
      <c r="A1035" s="256"/>
      <c r="B1035" s="256"/>
      <c r="C1035" s="256"/>
      <c r="D1035" s="256"/>
      <c r="E1035" s="256"/>
      <c r="F1035" s="256"/>
      <c r="G1035" s="256"/>
      <c r="H1035" s="256"/>
      <c r="I1035" s="256"/>
      <c r="J1035" s="256"/>
      <c r="K1035" s="256"/>
    </row>
    <row r="1036" spans="1:11" ht="12.75" x14ac:dyDescent="0.2">
      <c r="A1036" s="256"/>
      <c r="B1036" s="256"/>
      <c r="C1036" s="256"/>
      <c r="D1036" s="256"/>
      <c r="E1036" s="256"/>
      <c r="F1036" s="256"/>
      <c r="G1036" s="256"/>
      <c r="H1036" s="256"/>
      <c r="I1036" s="256"/>
      <c r="J1036" s="256"/>
      <c r="K1036" s="256"/>
    </row>
    <row r="1037" spans="1:11" ht="12.75" x14ac:dyDescent="0.2">
      <c r="A1037" s="256"/>
      <c r="B1037" s="256"/>
      <c r="C1037" s="256"/>
      <c r="D1037" s="256"/>
      <c r="E1037" s="256"/>
      <c r="F1037" s="256"/>
      <c r="G1037" s="256"/>
      <c r="H1037" s="256"/>
      <c r="I1037" s="256"/>
      <c r="J1037" s="256"/>
      <c r="K1037" s="256"/>
    </row>
    <row r="1038" spans="1:11" ht="12.75" x14ac:dyDescent="0.2">
      <c r="A1038" s="256"/>
      <c r="B1038" s="256"/>
      <c r="C1038" s="256"/>
      <c r="D1038" s="256"/>
      <c r="E1038" s="256"/>
      <c r="F1038" s="256"/>
      <c r="G1038" s="256"/>
      <c r="H1038" s="256"/>
      <c r="I1038" s="256"/>
      <c r="J1038" s="256"/>
      <c r="K1038" s="256"/>
    </row>
    <row r="1039" spans="1:11" ht="12.75" x14ac:dyDescent="0.2">
      <c r="A1039" s="256"/>
      <c r="B1039" s="256"/>
      <c r="C1039" s="256"/>
      <c r="D1039" s="256"/>
      <c r="E1039" s="256"/>
      <c r="F1039" s="256"/>
      <c r="G1039" s="256"/>
      <c r="H1039" s="256"/>
      <c r="I1039" s="256"/>
      <c r="J1039" s="256"/>
      <c r="K1039" s="256"/>
    </row>
    <row r="1040" spans="1:11" ht="12.75" x14ac:dyDescent="0.2">
      <c r="A1040" s="256"/>
      <c r="B1040" s="256"/>
      <c r="C1040" s="256"/>
      <c r="D1040" s="256"/>
      <c r="E1040" s="256"/>
      <c r="F1040" s="256"/>
      <c r="G1040" s="256"/>
      <c r="H1040" s="256"/>
      <c r="I1040" s="256"/>
      <c r="J1040" s="256"/>
      <c r="K1040" s="256"/>
    </row>
    <row r="1041" spans="1:11" ht="12.75" x14ac:dyDescent="0.2">
      <c r="A1041" s="256"/>
      <c r="B1041" s="256"/>
      <c r="C1041" s="256"/>
      <c r="D1041" s="256"/>
      <c r="E1041" s="256"/>
      <c r="F1041" s="256"/>
      <c r="G1041" s="256"/>
      <c r="H1041" s="256"/>
      <c r="I1041" s="256"/>
      <c r="J1041" s="256"/>
      <c r="K1041" s="256"/>
    </row>
    <row r="1042" spans="1:11" ht="12.75" x14ac:dyDescent="0.2">
      <c r="A1042" s="256"/>
      <c r="B1042" s="256"/>
      <c r="C1042" s="256"/>
      <c r="D1042" s="256"/>
      <c r="E1042" s="256"/>
      <c r="F1042" s="256"/>
      <c r="G1042" s="256"/>
      <c r="H1042" s="256"/>
      <c r="I1042" s="256"/>
      <c r="J1042" s="256"/>
      <c r="K1042" s="256"/>
    </row>
    <row r="1043" spans="1:11" ht="12.75" x14ac:dyDescent="0.2">
      <c r="A1043" s="256"/>
      <c r="B1043" s="256"/>
      <c r="C1043" s="256"/>
      <c r="D1043" s="256"/>
      <c r="E1043" s="256"/>
      <c r="F1043" s="256"/>
      <c r="G1043" s="256"/>
      <c r="H1043" s="256"/>
      <c r="I1043" s="256"/>
      <c r="J1043" s="256"/>
      <c r="K1043" s="256"/>
    </row>
    <row r="1044" spans="1:11" ht="12.75" x14ac:dyDescent="0.2">
      <c r="A1044" s="256"/>
      <c r="B1044" s="256"/>
      <c r="C1044" s="256"/>
      <c r="D1044" s="256"/>
      <c r="E1044" s="256"/>
      <c r="F1044" s="256"/>
      <c r="G1044" s="256"/>
      <c r="H1044" s="256"/>
      <c r="I1044" s="256"/>
      <c r="J1044" s="256"/>
      <c r="K1044" s="256"/>
    </row>
    <row r="1045" spans="1:11" ht="12.75" x14ac:dyDescent="0.2">
      <c r="A1045" s="256"/>
      <c r="B1045" s="256"/>
      <c r="C1045" s="256"/>
      <c r="D1045" s="256"/>
      <c r="E1045" s="256"/>
      <c r="F1045" s="256"/>
      <c r="G1045" s="256"/>
      <c r="H1045" s="256"/>
      <c r="I1045" s="256"/>
      <c r="J1045" s="256"/>
      <c r="K1045" s="256"/>
    </row>
    <row r="1046" spans="1:11" ht="12.75" x14ac:dyDescent="0.2">
      <c r="A1046" s="256"/>
      <c r="B1046" s="256"/>
      <c r="C1046" s="256"/>
      <c r="D1046" s="256"/>
      <c r="E1046" s="256"/>
      <c r="F1046" s="256"/>
      <c r="G1046" s="256"/>
      <c r="H1046" s="256"/>
      <c r="I1046" s="256"/>
      <c r="J1046" s="256"/>
      <c r="K1046" s="256"/>
    </row>
    <row r="1047" spans="1:11" ht="12.75" x14ac:dyDescent="0.2">
      <c r="A1047" s="256"/>
      <c r="B1047" s="256"/>
      <c r="C1047" s="256"/>
      <c r="D1047" s="256"/>
      <c r="E1047" s="256"/>
      <c r="F1047" s="256"/>
      <c r="G1047" s="256"/>
      <c r="H1047" s="256"/>
      <c r="I1047" s="256"/>
      <c r="J1047" s="256"/>
      <c r="K1047" s="256"/>
    </row>
    <row r="1048" spans="1:11" ht="12.75" x14ac:dyDescent="0.2">
      <c r="A1048" s="256"/>
      <c r="B1048" s="256"/>
      <c r="C1048" s="256"/>
      <c r="D1048" s="256"/>
      <c r="E1048" s="256"/>
      <c r="F1048" s="256"/>
      <c r="G1048" s="256"/>
      <c r="H1048" s="256"/>
      <c r="I1048" s="256"/>
      <c r="J1048" s="256"/>
      <c r="K1048" s="256"/>
    </row>
    <row r="1049" spans="1:11" ht="12.75" x14ac:dyDescent="0.2">
      <c r="A1049" s="256"/>
      <c r="B1049" s="256"/>
      <c r="C1049" s="256"/>
      <c r="D1049" s="256"/>
      <c r="E1049" s="256"/>
      <c r="F1049" s="256"/>
      <c r="G1049" s="256"/>
      <c r="H1049" s="256"/>
      <c r="I1049" s="256"/>
      <c r="J1049" s="256"/>
      <c r="K1049" s="256"/>
    </row>
    <row r="1050" spans="1:11" ht="12.75" x14ac:dyDescent="0.2">
      <c r="A1050" s="256"/>
      <c r="B1050" s="256"/>
      <c r="C1050" s="256"/>
      <c r="D1050" s="256"/>
      <c r="E1050" s="256"/>
      <c r="F1050" s="256"/>
      <c r="G1050" s="256"/>
      <c r="H1050" s="256"/>
      <c r="I1050" s="256"/>
      <c r="J1050" s="256"/>
      <c r="K1050" s="256"/>
    </row>
    <row r="1051" spans="1:11" ht="12.75" x14ac:dyDescent="0.2">
      <c r="A1051" s="256"/>
      <c r="B1051" s="256"/>
      <c r="C1051" s="256"/>
      <c r="D1051" s="256"/>
      <c r="E1051" s="256"/>
      <c r="F1051" s="256"/>
      <c r="G1051" s="256"/>
      <c r="H1051" s="256"/>
      <c r="I1051" s="256"/>
      <c r="J1051" s="256"/>
      <c r="K1051" s="256"/>
    </row>
    <row r="1052" spans="1:11" ht="12.75" x14ac:dyDescent="0.2">
      <c r="A1052" s="256"/>
      <c r="B1052" s="256"/>
      <c r="C1052" s="256"/>
      <c r="D1052" s="256"/>
      <c r="E1052" s="256"/>
      <c r="F1052" s="256"/>
      <c r="G1052" s="256"/>
      <c r="H1052" s="256"/>
      <c r="I1052" s="256"/>
      <c r="J1052" s="256"/>
      <c r="K1052" s="256"/>
    </row>
    <row r="1053" spans="1:11" ht="12.75" x14ac:dyDescent="0.2">
      <c r="A1053" s="256"/>
      <c r="B1053" s="256"/>
      <c r="C1053" s="256"/>
      <c r="D1053" s="256"/>
      <c r="E1053" s="256"/>
      <c r="F1053" s="256"/>
      <c r="G1053" s="256"/>
      <c r="H1053" s="256"/>
      <c r="I1053" s="256"/>
      <c r="J1053" s="256"/>
      <c r="K1053" s="256"/>
    </row>
    <row r="1054" spans="1:11" ht="12.75" x14ac:dyDescent="0.2">
      <c r="A1054" s="256"/>
      <c r="B1054" s="256"/>
      <c r="C1054" s="256"/>
      <c r="D1054" s="256"/>
      <c r="E1054" s="256"/>
      <c r="F1054" s="256"/>
      <c r="G1054" s="256"/>
      <c r="H1054" s="256"/>
      <c r="I1054" s="256"/>
      <c r="J1054" s="256"/>
      <c r="K1054" s="256"/>
    </row>
    <row r="1055" spans="1:11" ht="12.75" x14ac:dyDescent="0.2">
      <c r="A1055" s="256"/>
      <c r="B1055" s="256"/>
      <c r="C1055" s="256"/>
      <c r="D1055" s="256"/>
      <c r="E1055" s="256"/>
      <c r="F1055" s="256"/>
      <c r="G1055" s="256"/>
      <c r="H1055" s="256"/>
      <c r="I1055" s="256"/>
      <c r="J1055" s="256"/>
      <c r="K1055" s="256"/>
    </row>
    <row r="1056" spans="1:11" ht="12.75" x14ac:dyDescent="0.2">
      <c r="A1056" s="256"/>
      <c r="B1056" s="256"/>
      <c r="C1056" s="256"/>
      <c r="D1056" s="256"/>
      <c r="E1056" s="256"/>
      <c r="F1056" s="256"/>
      <c r="G1056" s="256"/>
      <c r="H1056" s="256"/>
      <c r="I1056" s="256"/>
      <c r="J1056" s="256"/>
      <c r="K1056" s="256"/>
    </row>
    <row r="1057" spans="1:11" ht="12.75" x14ac:dyDescent="0.2">
      <c r="A1057" s="256"/>
      <c r="B1057" s="256"/>
      <c r="C1057" s="256"/>
      <c r="D1057" s="256"/>
      <c r="E1057" s="256"/>
      <c r="F1057" s="256"/>
      <c r="G1057" s="256"/>
      <c r="H1057" s="256"/>
      <c r="I1057" s="256"/>
      <c r="J1057" s="256"/>
      <c r="K1057" s="256"/>
    </row>
    <row r="1058" spans="1:11" ht="12.75" x14ac:dyDescent="0.2">
      <c r="A1058" s="256"/>
      <c r="B1058" s="256"/>
      <c r="C1058" s="256"/>
      <c r="D1058" s="256"/>
      <c r="E1058" s="256"/>
      <c r="F1058" s="256"/>
      <c r="G1058" s="256"/>
      <c r="H1058" s="256"/>
      <c r="I1058" s="256"/>
      <c r="J1058" s="256"/>
      <c r="K1058" s="256"/>
    </row>
    <row r="1059" spans="1:11" ht="12.75" x14ac:dyDescent="0.2">
      <c r="A1059" s="256"/>
      <c r="B1059" s="256"/>
      <c r="C1059" s="256"/>
      <c r="D1059" s="256"/>
      <c r="E1059" s="256"/>
      <c r="F1059" s="256"/>
      <c r="G1059" s="256"/>
      <c r="H1059" s="256"/>
      <c r="I1059" s="256"/>
      <c r="J1059" s="256"/>
      <c r="K1059" s="256"/>
    </row>
    <row r="1060" spans="1:11" ht="12.75" x14ac:dyDescent="0.2">
      <c r="A1060" s="256"/>
      <c r="B1060" s="256"/>
      <c r="C1060" s="256"/>
      <c r="D1060" s="256"/>
      <c r="E1060" s="256"/>
      <c r="F1060" s="256"/>
      <c r="G1060" s="256"/>
      <c r="H1060" s="256"/>
      <c r="I1060" s="256"/>
      <c r="J1060" s="256"/>
      <c r="K1060" s="256"/>
    </row>
    <row r="1061" spans="1:11" ht="12.75" x14ac:dyDescent="0.2">
      <c r="A1061" s="256"/>
      <c r="B1061" s="256"/>
      <c r="C1061" s="256"/>
      <c r="D1061" s="256"/>
      <c r="E1061" s="256"/>
      <c r="F1061" s="256"/>
      <c r="G1061" s="256"/>
      <c r="H1061" s="256"/>
      <c r="I1061" s="256"/>
      <c r="J1061" s="256"/>
      <c r="K1061" s="256"/>
    </row>
    <row r="1062" spans="1:11" ht="12.75" x14ac:dyDescent="0.2">
      <c r="A1062" s="256"/>
      <c r="B1062" s="256"/>
      <c r="C1062" s="256"/>
      <c r="D1062" s="256"/>
      <c r="E1062" s="256"/>
      <c r="F1062" s="256"/>
      <c r="G1062" s="256"/>
      <c r="H1062" s="256"/>
      <c r="I1062" s="256"/>
      <c r="J1062" s="256"/>
      <c r="K1062" s="256"/>
    </row>
    <row r="1063" spans="1:11" ht="12.75" x14ac:dyDescent="0.2">
      <c r="A1063" s="256"/>
      <c r="B1063" s="256"/>
      <c r="C1063" s="256"/>
      <c r="D1063" s="256"/>
      <c r="E1063" s="256"/>
      <c r="F1063" s="256"/>
      <c r="G1063" s="256"/>
      <c r="H1063" s="256"/>
      <c r="I1063" s="256"/>
      <c r="J1063" s="256"/>
      <c r="K1063" s="256"/>
    </row>
    <row r="1064" spans="1:11" ht="12.75" x14ac:dyDescent="0.2">
      <c r="A1064" s="256"/>
      <c r="B1064" s="256"/>
      <c r="C1064" s="256"/>
      <c r="D1064" s="256"/>
      <c r="E1064" s="256"/>
      <c r="F1064" s="256"/>
      <c r="G1064" s="256"/>
      <c r="H1064" s="256"/>
      <c r="I1064" s="256"/>
      <c r="J1064" s="256"/>
      <c r="K1064" s="256"/>
    </row>
    <row r="1065" spans="1:11" ht="12.75" x14ac:dyDescent="0.2">
      <c r="A1065" s="256"/>
      <c r="B1065" s="256"/>
      <c r="C1065" s="256"/>
      <c r="D1065" s="256"/>
      <c r="E1065" s="256"/>
      <c r="F1065" s="256"/>
      <c r="G1065" s="256"/>
      <c r="H1065" s="256"/>
      <c r="I1065" s="256"/>
      <c r="J1065" s="256"/>
      <c r="K1065" s="256"/>
    </row>
    <row r="1066" spans="1:11" ht="12.75" x14ac:dyDescent="0.2">
      <c r="A1066" s="256"/>
      <c r="B1066" s="256"/>
      <c r="C1066" s="256"/>
      <c r="D1066" s="256"/>
      <c r="E1066" s="256"/>
      <c r="F1066" s="256"/>
      <c r="G1066" s="256"/>
      <c r="H1066" s="256"/>
      <c r="I1066" s="256"/>
      <c r="J1066" s="256"/>
      <c r="K1066" s="256"/>
    </row>
    <row r="1067" spans="1:11" ht="12.75" x14ac:dyDescent="0.2">
      <c r="A1067" s="256"/>
      <c r="B1067" s="256"/>
      <c r="C1067" s="256"/>
      <c r="D1067" s="256"/>
      <c r="E1067" s="256"/>
      <c r="F1067" s="256"/>
      <c r="G1067" s="256"/>
      <c r="H1067" s="256"/>
      <c r="I1067" s="256"/>
      <c r="J1067" s="256"/>
      <c r="K1067" s="256"/>
    </row>
    <row r="1068" spans="1:11" ht="12.75" x14ac:dyDescent="0.2">
      <c r="A1068" s="256"/>
      <c r="B1068" s="256"/>
      <c r="C1068" s="256"/>
      <c r="D1068" s="256"/>
      <c r="E1068" s="256"/>
      <c r="F1068" s="256"/>
      <c r="G1068" s="256"/>
      <c r="H1068" s="256"/>
      <c r="I1068" s="256"/>
      <c r="J1068" s="256"/>
      <c r="K1068" s="256"/>
    </row>
    <row r="1069" spans="1:11" ht="12.75" x14ac:dyDescent="0.2">
      <c r="A1069" s="256"/>
      <c r="B1069" s="256"/>
      <c r="C1069" s="256"/>
      <c r="D1069" s="256"/>
      <c r="E1069" s="256"/>
      <c r="F1069" s="256"/>
      <c r="G1069" s="256"/>
      <c r="H1069" s="256"/>
      <c r="I1069" s="256"/>
      <c r="J1069" s="256"/>
      <c r="K1069" s="256"/>
    </row>
    <row r="1070" spans="1:11" ht="12.75" x14ac:dyDescent="0.2">
      <c r="A1070" s="256"/>
      <c r="B1070" s="256"/>
      <c r="C1070" s="256"/>
      <c r="D1070" s="256"/>
      <c r="E1070" s="256"/>
      <c r="F1070" s="256"/>
      <c r="G1070" s="256"/>
      <c r="H1070" s="256"/>
      <c r="I1070" s="256"/>
      <c r="J1070" s="256"/>
      <c r="K1070" s="256"/>
    </row>
    <row r="1071" spans="1:11" ht="12.75" x14ac:dyDescent="0.2">
      <c r="A1071" s="256"/>
      <c r="B1071" s="256"/>
      <c r="C1071" s="256"/>
      <c r="D1071" s="256"/>
      <c r="E1071" s="256"/>
      <c r="F1071" s="256"/>
      <c r="G1071" s="256"/>
      <c r="H1071" s="256"/>
      <c r="I1071" s="256"/>
      <c r="J1071" s="256"/>
      <c r="K1071" s="256"/>
    </row>
    <row r="1072" spans="1:11" ht="12.75" x14ac:dyDescent="0.2">
      <c r="A1072" s="256"/>
      <c r="B1072" s="256"/>
      <c r="C1072" s="256"/>
      <c r="D1072" s="256"/>
      <c r="E1072" s="256"/>
      <c r="F1072" s="256"/>
      <c r="G1072" s="256"/>
      <c r="H1072" s="256"/>
      <c r="I1072" s="256"/>
      <c r="J1072" s="256"/>
      <c r="K1072" s="256"/>
    </row>
    <row r="1073" spans="1:11" ht="12.75" x14ac:dyDescent="0.2">
      <c r="A1073" s="256"/>
      <c r="B1073" s="256"/>
      <c r="C1073" s="256"/>
      <c r="D1073" s="256"/>
      <c r="E1073" s="256"/>
      <c r="F1073" s="256"/>
      <c r="G1073" s="256"/>
      <c r="H1073" s="256"/>
      <c r="I1073" s="256"/>
      <c r="J1073" s="256"/>
      <c r="K1073" s="256"/>
    </row>
    <row r="1074" spans="1:11" ht="12.75" x14ac:dyDescent="0.2">
      <c r="A1074" s="256"/>
      <c r="B1074" s="256"/>
      <c r="C1074" s="256"/>
      <c r="D1074" s="256"/>
      <c r="E1074" s="256"/>
      <c r="F1074" s="256"/>
      <c r="G1074" s="256"/>
      <c r="H1074" s="256"/>
      <c r="I1074" s="256"/>
      <c r="J1074" s="256"/>
      <c r="K1074" s="256"/>
    </row>
    <row r="1075" spans="1:11" ht="12.75" x14ac:dyDescent="0.2">
      <c r="A1075" s="256"/>
      <c r="B1075" s="256"/>
      <c r="C1075" s="256"/>
      <c r="D1075" s="256"/>
      <c r="E1075" s="256"/>
      <c r="F1075" s="256"/>
      <c r="G1075" s="256"/>
      <c r="H1075" s="256"/>
      <c r="I1075" s="256"/>
      <c r="J1075" s="256"/>
      <c r="K1075" s="256"/>
    </row>
    <row r="1076" spans="1:11" ht="12.75" x14ac:dyDescent="0.2">
      <c r="A1076" s="256"/>
      <c r="B1076" s="256"/>
      <c r="C1076" s="256"/>
      <c r="D1076" s="256"/>
      <c r="E1076" s="256"/>
      <c r="F1076" s="256"/>
      <c r="G1076" s="256"/>
      <c r="H1076" s="256"/>
      <c r="I1076" s="256"/>
      <c r="J1076" s="256"/>
      <c r="K1076" s="256"/>
    </row>
    <row r="1077" spans="1:11" ht="12.75" x14ac:dyDescent="0.2">
      <c r="A1077" s="256"/>
      <c r="B1077" s="256"/>
      <c r="C1077" s="256"/>
      <c r="D1077" s="256"/>
      <c r="E1077" s="256"/>
      <c r="F1077" s="256"/>
      <c r="G1077" s="256"/>
      <c r="H1077" s="256"/>
      <c r="I1077" s="256"/>
      <c r="J1077" s="256"/>
      <c r="K1077" s="256"/>
    </row>
    <row r="1078" spans="1:11" ht="12.75" x14ac:dyDescent="0.2">
      <c r="A1078" s="256"/>
      <c r="B1078" s="256"/>
      <c r="C1078" s="256"/>
      <c r="D1078" s="256"/>
      <c r="E1078" s="256"/>
      <c r="F1078" s="256"/>
      <c r="G1078" s="256"/>
      <c r="H1078" s="256"/>
      <c r="I1078" s="256"/>
      <c r="J1078" s="256"/>
      <c r="K1078" s="256"/>
    </row>
    <row r="1079" spans="1:11" ht="12.75" x14ac:dyDescent="0.2">
      <c r="A1079" s="256"/>
      <c r="B1079" s="256"/>
      <c r="C1079" s="256"/>
      <c r="D1079" s="256"/>
      <c r="E1079" s="256"/>
      <c r="F1079" s="256"/>
      <c r="G1079" s="256"/>
      <c r="H1079" s="256"/>
      <c r="I1079" s="256"/>
      <c r="J1079" s="256"/>
      <c r="K1079" s="256"/>
    </row>
    <row r="1080" spans="1:11" ht="12.75" x14ac:dyDescent="0.2">
      <c r="A1080" s="256"/>
      <c r="B1080" s="256"/>
      <c r="C1080" s="256"/>
      <c r="D1080" s="256"/>
      <c r="E1080" s="256"/>
      <c r="F1080" s="256"/>
      <c r="G1080" s="256"/>
      <c r="H1080" s="256"/>
      <c r="I1080" s="256"/>
      <c r="J1080" s="256"/>
      <c r="K1080" s="256"/>
    </row>
    <row r="1081" spans="1:11" ht="12.75" x14ac:dyDescent="0.2">
      <c r="A1081" s="256"/>
      <c r="B1081" s="256"/>
      <c r="C1081" s="256"/>
      <c r="D1081" s="256"/>
      <c r="E1081" s="256"/>
      <c r="F1081" s="256"/>
      <c r="G1081" s="256"/>
      <c r="H1081" s="256"/>
      <c r="I1081" s="256"/>
      <c r="J1081" s="256"/>
      <c r="K1081" s="256"/>
    </row>
    <row r="1082" spans="1:11" ht="12.75" x14ac:dyDescent="0.2">
      <c r="A1082" s="256"/>
      <c r="B1082" s="256"/>
      <c r="C1082" s="256"/>
      <c r="D1082" s="256"/>
      <c r="E1082" s="256"/>
      <c r="F1082" s="256"/>
      <c r="G1082" s="256"/>
      <c r="H1082" s="256"/>
      <c r="I1082" s="256"/>
      <c r="J1082" s="256"/>
      <c r="K1082" s="256"/>
    </row>
    <row r="1083" spans="1:11" ht="12.75" x14ac:dyDescent="0.2">
      <c r="A1083" s="256"/>
      <c r="B1083" s="256"/>
      <c r="C1083" s="256"/>
      <c r="D1083" s="256"/>
      <c r="E1083" s="256"/>
      <c r="F1083" s="256"/>
      <c r="G1083" s="256"/>
      <c r="H1083" s="256"/>
      <c r="I1083" s="256"/>
      <c r="J1083" s="256"/>
      <c r="K1083" s="256"/>
    </row>
    <row r="1084" spans="1:11" ht="12.75" x14ac:dyDescent="0.2">
      <c r="A1084" s="256"/>
      <c r="B1084" s="256"/>
      <c r="C1084" s="256"/>
      <c r="D1084" s="256"/>
      <c r="E1084" s="256"/>
      <c r="F1084" s="256"/>
      <c r="G1084" s="256"/>
      <c r="H1084" s="256"/>
      <c r="I1084" s="256"/>
      <c r="J1084" s="256"/>
      <c r="K1084" s="256"/>
    </row>
    <row r="1085" spans="1:11" ht="12.75" x14ac:dyDescent="0.2">
      <c r="A1085" s="256"/>
      <c r="B1085" s="256"/>
      <c r="C1085" s="256"/>
      <c r="D1085" s="256"/>
      <c r="E1085" s="256"/>
      <c r="F1085" s="256"/>
      <c r="G1085" s="256"/>
      <c r="H1085" s="256"/>
      <c r="I1085" s="256"/>
      <c r="J1085" s="256"/>
      <c r="K1085" s="256"/>
    </row>
    <row r="1086" spans="1:11" ht="12.75" x14ac:dyDescent="0.2">
      <c r="A1086" s="256"/>
      <c r="B1086" s="256"/>
      <c r="C1086" s="256"/>
      <c r="D1086" s="256"/>
      <c r="E1086" s="256"/>
      <c r="F1086" s="256"/>
      <c r="G1086" s="256"/>
      <c r="H1086" s="256"/>
      <c r="I1086" s="256"/>
      <c r="J1086" s="256"/>
      <c r="K1086" s="256"/>
    </row>
    <row r="1087" spans="1:11" ht="12.75" x14ac:dyDescent="0.2">
      <c r="A1087" s="256"/>
      <c r="B1087" s="256"/>
      <c r="C1087" s="256"/>
      <c r="D1087" s="256"/>
      <c r="E1087" s="256"/>
      <c r="F1087" s="256"/>
      <c r="G1087" s="256"/>
      <c r="H1087" s="256"/>
      <c r="I1087" s="256"/>
      <c r="J1087" s="256"/>
      <c r="K1087" s="256"/>
    </row>
    <row r="1088" spans="1:11" ht="12.75" x14ac:dyDescent="0.2">
      <c r="A1088" s="256"/>
      <c r="B1088" s="256"/>
      <c r="C1088" s="256"/>
      <c r="D1088" s="256"/>
      <c r="E1088" s="256"/>
      <c r="F1088" s="256"/>
      <c r="G1088" s="256"/>
      <c r="H1088" s="256"/>
      <c r="I1088" s="256"/>
      <c r="J1088" s="256"/>
      <c r="K1088" s="256"/>
    </row>
    <row r="1089" spans="1:11" ht="12.75" x14ac:dyDescent="0.2">
      <c r="A1089" s="256"/>
      <c r="B1089" s="256"/>
      <c r="C1089" s="256"/>
      <c r="D1089" s="256"/>
      <c r="E1089" s="256"/>
      <c r="F1089" s="256"/>
      <c r="G1089" s="256"/>
      <c r="H1089" s="256"/>
      <c r="I1089" s="256"/>
      <c r="J1089" s="256"/>
      <c r="K1089" s="256"/>
    </row>
    <row r="1090" spans="1:11" ht="12.75" x14ac:dyDescent="0.2">
      <c r="A1090" s="256"/>
      <c r="B1090" s="256"/>
      <c r="C1090" s="256"/>
      <c r="D1090" s="256"/>
      <c r="E1090" s="256"/>
      <c r="F1090" s="256"/>
      <c r="G1090" s="256"/>
      <c r="H1090" s="256"/>
      <c r="I1090" s="256"/>
      <c r="J1090" s="256"/>
      <c r="K1090" s="256"/>
    </row>
    <row r="1091" spans="1:11" ht="12.75" x14ac:dyDescent="0.2">
      <c r="A1091" s="256"/>
      <c r="B1091" s="256"/>
      <c r="C1091" s="256"/>
      <c r="D1091" s="256"/>
      <c r="E1091" s="256"/>
      <c r="F1091" s="256"/>
      <c r="G1091" s="256"/>
      <c r="H1091" s="256"/>
      <c r="I1091" s="256"/>
      <c r="J1091" s="256"/>
      <c r="K1091" s="256"/>
    </row>
    <row r="1092" spans="1:11" ht="12.75" x14ac:dyDescent="0.2">
      <c r="A1092" s="256"/>
      <c r="B1092" s="256"/>
      <c r="C1092" s="256"/>
      <c r="D1092" s="256"/>
      <c r="E1092" s="256"/>
      <c r="F1092" s="256"/>
      <c r="G1092" s="256"/>
      <c r="H1092" s="256"/>
      <c r="I1092" s="256"/>
      <c r="J1092" s="256"/>
      <c r="K1092" s="256"/>
    </row>
    <row r="1093" spans="1:11" ht="12.75" x14ac:dyDescent="0.2">
      <c r="A1093" s="256"/>
      <c r="B1093" s="256"/>
      <c r="C1093" s="256"/>
      <c r="D1093" s="256"/>
      <c r="E1093" s="256"/>
      <c r="F1093" s="256"/>
      <c r="G1093" s="256"/>
      <c r="H1093" s="256"/>
      <c r="I1093" s="256"/>
      <c r="J1093" s="256"/>
      <c r="K1093" s="256"/>
    </row>
    <row r="1094" spans="1:11" ht="12.75" x14ac:dyDescent="0.2">
      <c r="A1094" s="256"/>
      <c r="B1094" s="256"/>
      <c r="C1094" s="256"/>
      <c r="D1094" s="256"/>
      <c r="E1094" s="256"/>
      <c r="F1094" s="256"/>
      <c r="G1094" s="256"/>
      <c r="H1094" s="256"/>
      <c r="I1094" s="256"/>
      <c r="J1094" s="256"/>
      <c r="K1094" s="256"/>
    </row>
    <row r="1095" spans="1:11" ht="12.75" x14ac:dyDescent="0.2">
      <c r="A1095" s="256"/>
      <c r="B1095" s="256"/>
      <c r="C1095" s="256"/>
      <c r="D1095" s="256"/>
      <c r="E1095" s="256"/>
      <c r="F1095" s="256"/>
      <c r="G1095" s="256"/>
      <c r="H1095" s="256"/>
      <c r="I1095" s="256"/>
      <c r="J1095" s="256"/>
      <c r="K1095" s="256"/>
    </row>
    <row r="1096" spans="1:11" ht="12.75" x14ac:dyDescent="0.2">
      <c r="A1096" s="256"/>
      <c r="B1096" s="256"/>
      <c r="C1096" s="256"/>
      <c r="D1096" s="256"/>
      <c r="E1096" s="256"/>
      <c r="F1096" s="256"/>
      <c r="G1096" s="256"/>
      <c r="H1096" s="256"/>
      <c r="I1096" s="256"/>
      <c r="J1096" s="256"/>
      <c r="K1096" s="256"/>
    </row>
    <row r="1097" spans="1:11" ht="12.75" x14ac:dyDescent="0.2">
      <c r="A1097" s="256"/>
      <c r="B1097" s="256"/>
      <c r="C1097" s="256"/>
      <c r="D1097" s="256"/>
      <c r="E1097" s="256"/>
      <c r="F1097" s="256"/>
      <c r="G1097" s="256"/>
      <c r="H1097" s="256"/>
      <c r="I1097" s="256"/>
      <c r="J1097" s="256"/>
      <c r="K1097" s="256"/>
    </row>
    <row r="1098" spans="1:11" ht="12.75" x14ac:dyDescent="0.2">
      <c r="A1098" s="256"/>
      <c r="B1098" s="256"/>
      <c r="C1098" s="256"/>
      <c r="D1098" s="256"/>
      <c r="E1098" s="256"/>
      <c r="F1098" s="256"/>
      <c r="G1098" s="256"/>
      <c r="H1098" s="256"/>
      <c r="I1098" s="256"/>
      <c r="J1098" s="256"/>
      <c r="K1098" s="256"/>
    </row>
    <row r="1099" spans="1:11" ht="12.75" x14ac:dyDescent="0.2">
      <c r="A1099" s="256"/>
      <c r="B1099" s="256"/>
      <c r="C1099" s="256"/>
      <c r="D1099" s="256"/>
      <c r="E1099" s="256"/>
      <c r="F1099" s="256"/>
      <c r="G1099" s="256"/>
      <c r="H1099" s="256"/>
      <c r="I1099" s="256"/>
      <c r="J1099" s="256"/>
      <c r="K1099" s="256"/>
    </row>
    <row r="1100" spans="1:11" ht="12.75" x14ac:dyDescent="0.2">
      <c r="A1100" s="256"/>
      <c r="B1100" s="256"/>
      <c r="C1100" s="256"/>
      <c r="D1100" s="256"/>
      <c r="E1100" s="256"/>
      <c r="F1100" s="256"/>
      <c r="G1100" s="256"/>
      <c r="H1100" s="256"/>
      <c r="I1100" s="256"/>
      <c r="J1100" s="256"/>
      <c r="K1100" s="256"/>
    </row>
    <row r="1101" spans="1:11" ht="12.75" x14ac:dyDescent="0.2">
      <c r="A1101" s="256"/>
      <c r="B1101" s="256"/>
      <c r="C1101" s="256"/>
      <c r="D1101" s="256"/>
      <c r="E1101" s="256"/>
      <c r="F1101" s="256"/>
      <c r="G1101" s="256"/>
      <c r="H1101" s="256"/>
      <c r="I1101" s="256"/>
      <c r="J1101" s="256"/>
      <c r="K1101" s="256"/>
    </row>
    <row r="1102" spans="1:11" ht="12.75" x14ac:dyDescent="0.2">
      <c r="A1102" s="256"/>
      <c r="B1102" s="256"/>
      <c r="C1102" s="256"/>
      <c r="D1102" s="256"/>
      <c r="E1102" s="256"/>
      <c r="F1102" s="256"/>
      <c r="G1102" s="256"/>
      <c r="H1102" s="256"/>
      <c r="I1102" s="256"/>
      <c r="J1102" s="256"/>
      <c r="K1102" s="256"/>
    </row>
    <row r="1103" spans="1:11" ht="12.75" x14ac:dyDescent="0.2">
      <c r="A1103" s="256"/>
      <c r="B1103" s="256"/>
      <c r="C1103" s="256"/>
      <c r="D1103" s="256"/>
      <c r="E1103" s="256"/>
      <c r="F1103" s="256"/>
      <c r="G1103" s="256"/>
      <c r="H1103" s="256"/>
      <c r="I1103" s="256"/>
      <c r="J1103" s="256"/>
      <c r="K1103" s="256"/>
    </row>
    <row r="1104" spans="1:11" ht="12.75" x14ac:dyDescent="0.2">
      <c r="A1104" s="256"/>
      <c r="B1104" s="256"/>
      <c r="C1104" s="256"/>
      <c r="D1104" s="256"/>
      <c r="E1104" s="256"/>
      <c r="F1104" s="256"/>
      <c r="G1104" s="256"/>
      <c r="H1104" s="256"/>
      <c r="I1104" s="256"/>
      <c r="J1104" s="256"/>
      <c r="K1104" s="256"/>
    </row>
    <row r="1105" spans="1:11" ht="12.75" x14ac:dyDescent="0.2">
      <c r="A1105" s="256"/>
      <c r="B1105" s="256"/>
      <c r="C1105" s="256"/>
      <c r="D1105" s="256"/>
      <c r="E1105" s="256"/>
      <c r="F1105" s="256"/>
      <c r="G1105" s="256"/>
      <c r="H1105" s="256"/>
      <c r="I1105" s="256"/>
      <c r="J1105" s="256"/>
      <c r="K1105" s="256"/>
    </row>
    <row r="1106" spans="1:11" ht="12.75" x14ac:dyDescent="0.2">
      <c r="A1106" s="256"/>
      <c r="B1106" s="256"/>
      <c r="C1106" s="256"/>
      <c r="D1106" s="256"/>
      <c r="E1106" s="256"/>
      <c r="F1106" s="256"/>
      <c r="G1106" s="256"/>
      <c r="H1106" s="256"/>
      <c r="I1106" s="256"/>
      <c r="J1106" s="256"/>
      <c r="K1106" s="256"/>
    </row>
    <row r="1107" spans="1:11" ht="12.75" x14ac:dyDescent="0.2">
      <c r="A1107" s="256"/>
      <c r="B1107" s="256"/>
      <c r="C1107" s="256"/>
      <c r="D1107" s="256"/>
      <c r="E1107" s="256"/>
      <c r="F1107" s="256"/>
      <c r="G1107" s="256"/>
      <c r="H1107" s="256"/>
      <c r="I1107" s="256"/>
      <c r="J1107" s="256"/>
      <c r="K1107" s="256"/>
    </row>
    <row r="1108" spans="1:11" ht="12.75" x14ac:dyDescent="0.2">
      <c r="A1108" s="256"/>
      <c r="B1108" s="256"/>
      <c r="C1108" s="256"/>
      <c r="D1108" s="256"/>
      <c r="E1108" s="256"/>
      <c r="F1108" s="256"/>
      <c r="G1108" s="256"/>
      <c r="H1108" s="256"/>
      <c r="I1108" s="256"/>
      <c r="J1108" s="256"/>
      <c r="K1108" s="256"/>
    </row>
    <row r="1109" spans="1:11" ht="12.75" x14ac:dyDescent="0.2">
      <c r="A1109" s="256"/>
      <c r="B1109" s="256"/>
      <c r="C1109" s="256"/>
      <c r="D1109" s="256"/>
      <c r="E1109" s="256"/>
      <c r="F1109" s="256"/>
      <c r="G1109" s="256"/>
      <c r="H1109" s="256"/>
      <c r="I1109" s="256"/>
      <c r="J1109" s="256"/>
      <c r="K1109" s="256"/>
    </row>
    <row r="1110" spans="1:11" ht="12.75" x14ac:dyDescent="0.2">
      <c r="A1110" s="256"/>
      <c r="B1110" s="256"/>
      <c r="C1110" s="256"/>
      <c r="D1110" s="256"/>
      <c r="E1110" s="256"/>
      <c r="F1110" s="256"/>
      <c r="G1110" s="256"/>
      <c r="H1110" s="256"/>
      <c r="I1110" s="256"/>
      <c r="J1110" s="256"/>
      <c r="K1110" s="256"/>
    </row>
    <row r="1111" spans="1:11" ht="12.75" x14ac:dyDescent="0.2">
      <c r="A1111" s="256"/>
      <c r="B1111" s="256"/>
      <c r="C1111" s="256"/>
      <c r="D1111" s="256"/>
      <c r="E1111" s="256"/>
      <c r="F1111" s="256"/>
      <c r="G1111" s="256"/>
      <c r="H1111" s="256"/>
      <c r="I1111" s="256"/>
      <c r="J1111" s="256"/>
      <c r="K1111" s="256"/>
    </row>
    <row r="1112" spans="1:11" ht="12.75" x14ac:dyDescent="0.2">
      <c r="A1112" s="256"/>
      <c r="B1112" s="256"/>
      <c r="C1112" s="256"/>
      <c r="D1112" s="256"/>
      <c r="E1112" s="256"/>
      <c r="F1112" s="256"/>
      <c r="G1112" s="256"/>
      <c r="H1112" s="256"/>
      <c r="I1112" s="256"/>
      <c r="J1112" s="256"/>
      <c r="K1112" s="256"/>
    </row>
    <row r="1113" spans="1:11" ht="12.75" x14ac:dyDescent="0.2">
      <c r="A1113" s="256"/>
      <c r="B1113" s="256"/>
      <c r="C1113" s="256"/>
      <c r="D1113" s="256"/>
      <c r="E1113" s="256"/>
      <c r="F1113" s="256"/>
      <c r="G1113" s="256"/>
      <c r="H1113" s="256"/>
      <c r="I1113" s="256"/>
      <c r="J1113" s="256"/>
      <c r="K1113" s="256"/>
    </row>
    <row r="1114" spans="1:11" ht="12.75" x14ac:dyDescent="0.2">
      <c r="A1114" s="256"/>
      <c r="B1114" s="256"/>
      <c r="C1114" s="256"/>
      <c r="D1114" s="256"/>
      <c r="E1114" s="256"/>
      <c r="F1114" s="256"/>
      <c r="G1114" s="256"/>
      <c r="H1114" s="256"/>
      <c r="I1114" s="256"/>
      <c r="J1114" s="256"/>
      <c r="K1114" s="256"/>
    </row>
    <row r="1115" spans="1:11" ht="12.75" x14ac:dyDescent="0.2">
      <c r="A1115" s="256"/>
      <c r="B1115" s="256"/>
      <c r="C1115" s="256"/>
      <c r="D1115" s="256"/>
      <c r="E1115" s="256"/>
      <c r="F1115" s="256"/>
      <c r="G1115" s="256"/>
      <c r="H1115" s="256"/>
      <c r="I1115" s="256"/>
      <c r="J1115" s="256"/>
      <c r="K1115" s="256"/>
    </row>
    <row r="1116" spans="1:11" ht="12.75" x14ac:dyDescent="0.2">
      <c r="A1116" s="256"/>
      <c r="B1116" s="256"/>
      <c r="C1116" s="256"/>
      <c r="D1116" s="256"/>
      <c r="E1116" s="256"/>
      <c r="F1116" s="256"/>
      <c r="G1116" s="256"/>
      <c r="H1116" s="256"/>
      <c r="I1116" s="256"/>
      <c r="J1116" s="256"/>
      <c r="K1116" s="256"/>
    </row>
    <row r="1117" spans="1:11" ht="12.75" x14ac:dyDescent="0.2">
      <c r="A1117" s="256"/>
      <c r="B1117" s="256"/>
      <c r="C1117" s="256"/>
      <c r="D1117" s="256"/>
      <c r="E1117" s="256"/>
      <c r="F1117" s="256"/>
      <c r="G1117" s="256"/>
      <c r="H1117" s="256"/>
      <c r="I1117" s="256"/>
      <c r="J1117" s="256"/>
      <c r="K1117" s="256"/>
    </row>
    <row r="1118" spans="1:11" ht="12.75" x14ac:dyDescent="0.2">
      <c r="A1118" s="256"/>
      <c r="B1118" s="256"/>
      <c r="C1118" s="256"/>
      <c r="D1118" s="256"/>
      <c r="E1118" s="256"/>
      <c r="F1118" s="256"/>
      <c r="G1118" s="256"/>
      <c r="H1118" s="256"/>
      <c r="I1118" s="256"/>
      <c r="J1118" s="256"/>
      <c r="K1118" s="256"/>
    </row>
    <row r="1119" spans="1:11" ht="12.75" x14ac:dyDescent="0.2">
      <c r="A1119" s="256"/>
      <c r="B1119" s="256"/>
      <c r="C1119" s="256"/>
      <c r="D1119" s="256"/>
      <c r="E1119" s="256"/>
      <c r="F1119" s="256"/>
      <c r="G1119" s="256"/>
      <c r="H1119" s="256"/>
      <c r="I1119" s="256"/>
      <c r="J1119" s="256"/>
      <c r="K1119" s="256"/>
    </row>
    <row r="1120" spans="1:11" ht="12.75" x14ac:dyDescent="0.2">
      <c r="A1120" s="256"/>
      <c r="B1120" s="256"/>
      <c r="C1120" s="256"/>
      <c r="D1120" s="256"/>
      <c r="E1120" s="256"/>
      <c r="F1120" s="256"/>
      <c r="G1120" s="256"/>
      <c r="H1120" s="256"/>
      <c r="I1120" s="256"/>
      <c r="J1120" s="256"/>
      <c r="K1120" s="256"/>
    </row>
    <row r="1121" spans="1:11" ht="12.75" x14ac:dyDescent="0.2">
      <c r="A1121" s="256"/>
      <c r="B1121" s="256"/>
      <c r="C1121" s="256"/>
      <c r="D1121" s="256"/>
      <c r="E1121" s="256"/>
      <c r="F1121" s="256"/>
      <c r="G1121" s="256"/>
      <c r="H1121" s="256"/>
      <c r="I1121" s="256"/>
      <c r="J1121" s="256"/>
      <c r="K1121" s="256"/>
    </row>
    <row r="1122" spans="1:11" ht="12.75" x14ac:dyDescent="0.2">
      <c r="A1122" s="256"/>
      <c r="B1122" s="256"/>
      <c r="C1122" s="256"/>
      <c r="D1122" s="256"/>
      <c r="E1122" s="256"/>
      <c r="F1122" s="256"/>
      <c r="G1122" s="256"/>
      <c r="H1122" s="256"/>
      <c r="I1122" s="256"/>
      <c r="J1122" s="256"/>
      <c r="K1122" s="256"/>
    </row>
    <row r="1123" spans="1:11" ht="12.75" x14ac:dyDescent="0.2">
      <c r="A1123" s="256"/>
      <c r="B1123" s="256"/>
      <c r="C1123" s="256"/>
      <c r="D1123" s="256"/>
      <c r="E1123" s="256"/>
      <c r="F1123" s="256"/>
      <c r="G1123" s="256"/>
      <c r="H1123" s="256"/>
      <c r="I1123" s="256"/>
      <c r="J1123" s="256"/>
      <c r="K1123" s="256"/>
    </row>
    <row r="1124" spans="1:11" ht="12.75" x14ac:dyDescent="0.2">
      <c r="A1124" s="256"/>
      <c r="B1124" s="256"/>
      <c r="C1124" s="256"/>
      <c r="D1124" s="256"/>
      <c r="E1124" s="256"/>
      <c r="F1124" s="256"/>
      <c r="G1124" s="256"/>
      <c r="H1124" s="256"/>
      <c r="I1124" s="256"/>
      <c r="J1124" s="256"/>
      <c r="K1124" s="256"/>
    </row>
    <row r="1125" spans="1:11" ht="12.75" x14ac:dyDescent="0.2">
      <c r="A1125" s="256"/>
      <c r="B1125" s="256"/>
      <c r="C1125" s="256"/>
      <c r="D1125" s="256"/>
      <c r="E1125" s="256"/>
      <c r="F1125" s="256"/>
      <c r="G1125" s="256"/>
      <c r="H1125" s="256"/>
      <c r="I1125" s="256"/>
      <c r="J1125" s="256"/>
      <c r="K1125" s="256"/>
    </row>
    <row r="1126" spans="1:11" ht="12.75" x14ac:dyDescent="0.2">
      <c r="A1126" s="256"/>
      <c r="B1126" s="256"/>
      <c r="C1126" s="256"/>
      <c r="D1126" s="256"/>
      <c r="E1126" s="256"/>
      <c r="F1126" s="256"/>
      <c r="G1126" s="256"/>
      <c r="H1126" s="256"/>
      <c r="I1126" s="256"/>
      <c r="J1126" s="256"/>
      <c r="K1126" s="256"/>
    </row>
    <row r="1127" spans="1:11" ht="12.75" x14ac:dyDescent="0.2">
      <c r="A1127" s="256"/>
      <c r="B1127" s="256"/>
      <c r="C1127" s="256"/>
      <c r="D1127" s="256"/>
      <c r="E1127" s="256"/>
      <c r="F1127" s="256"/>
      <c r="G1127" s="256"/>
      <c r="H1127" s="256"/>
      <c r="I1127" s="256"/>
      <c r="J1127" s="256"/>
      <c r="K1127" s="256"/>
    </row>
    <row r="1128" spans="1:11" ht="12.75" x14ac:dyDescent="0.2">
      <c r="A1128" s="256"/>
      <c r="B1128" s="256"/>
      <c r="C1128" s="256"/>
      <c r="D1128" s="256"/>
      <c r="E1128" s="256"/>
      <c r="F1128" s="256"/>
      <c r="G1128" s="256"/>
      <c r="H1128" s="256"/>
      <c r="I1128" s="256"/>
      <c r="J1128" s="256"/>
      <c r="K1128" s="256"/>
    </row>
    <row r="1129" spans="1:11" ht="12.75" x14ac:dyDescent="0.2">
      <c r="A1129" s="256"/>
      <c r="B1129" s="256"/>
      <c r="C1129" s="256"/>
      <c r="D1129" s="256"/>
      <c r="E1129" s="256"/>
      <c r="F1129" s="256"/>
      <c r="G1129" s="256"/>
      <c r="H1129" s="256"/>
      <c r="I1129" s="256"/>
      <c r="J1129" s="256"/>
      <c r="K1129" s="256"/>
    </row>
    <row r="1130" spans="1:11" ht="12.75" x14ac:dyDescent="0.2">
      <c r="A1130" s="256"/>
      <c r="B1130" s="256"/>
      <c r="C1130" s="256"/>
      <c r="D1130" s="256"/>
      <c r="E1130" s="256"/>
      <c r="F1130" s="256"/>
      <c r="G1130" s="256"/>
      <c r="H1130" s="256"/>
      <c r="I1130" s="256"/>
      <c r="J1130" s="256"/>
      <c r="K1130" s="256"/>
    </row>
    <row r="1131" spans="1:11" ht="12.75" x14ac:dyDescent="0.2">
      <c r="A1131" s="256"/>
      <c r="B1131" s="256"/>
      <c r="C1131" s="256"/>
      <c r="D1131" s="256"/>
      <c r="E1131" s="256"/>
      <c r="F1131" s="256"/>
      <c r="G1131" s="256"/>
      <c r="H1131" s="256"/>
      <c r="I1131" s="256"/>
      <c r="J1131" s="256"/>
      <c r="K1131" s="256"/>
    </row>
    <row r="1132" spans="1:11" ht="12.75" x14ac:dyDescent="0.2">
      <c r="A1132" s="256"/>
      <c r="B1132" s="256"/>
      <c r="C1132" s="256"/>
      <c r="D1132" s="256"/>
      <c r="E1132" s="256"/>
      <c r="F1132" s="256"/>
      <c r="G1132" s="256"/>
      <c r="H1132" s="256"/>
      <c r="I1132" s="256"/>
      <c r="J1132" s="256"/>
      <c r="K1132" s="256"/>
    </row>
    <row r="1133" spans="1:11" ht="12.75" x14ac:dyDescent="0.2">
      <c r="A1133" s="256"/>
      <c r="B1133" s="256"/>
      <c r="C1133" s="256"/>
      <c r="D1133" s="256"/>
      <c r="E1133" s="256"/>
      <c r="F1133" s="256"/>
      <c r="G1133" s="256"/>
      <c r="H1133" s="256"/>
      <c r="I1133" s="256"/>
      <c r="J1133" s="256"/>
      <c r="K1133" s="256"/>
    </row>
    <row r="1134" spans="1:11" ht="12.75" x14ac:dyDescent="0.2">
      <c r="A1134" s="256"/>
      <c r="B1134" s="256"/>
      <c r="C1134" s="256"/>
      <c r="D1134" s="256"/>
      <c r="E1134" s="256"/>
      <c r="F1134" s="256"/>
      <c r="G1134" s="256"/>
      <c r="H1134" s="256"/>
      <c r="I1134" s="256"/>
      <c r="J1134" s="256"/>
      <c r="K1134" s="256"/>
    </row>
    <row r="1135" spans="1:11" ht="12.75" x14ac:dyDescent="0.2">
      <c r="A1135" s="256"/>
      <c r="B1135" s="256"/>
      <c r="C1135" s="256"/>
      <c r="D1135" s="256"/>
      <c r="E1135" s="256"/>
      <c r="F1135" s="256"/>
      <c r="G1135" s="256"/>
      <c r="H1135" s="256"/>
      <c r="I1135" s="256"/>
      <c r="J1135" s="256"/>
      <c r="K1135" s="256"/>
    </row>
    <row r="1136" spans="1:11" ht="12.75" x14ac:dyDescent="0.2">
      <c r="A1136" s="256"/>
      <c r="B1136" s="256"/>
      <c r="C1136" s="256"/>
      <c r="D1136" s="256"/>
      <c r="E1136" s="256"/>
      <c r="F1136" s="256"/>
      <c r="G1136" s="256"/>
      <c r="H1136" s="256"/>
      <c r="I1136" s="256"/>
      <c r="J1136" s="256"/>
      <c r="K1136" s="256"/>
    </row>
    <row r="1137" spans="1:11" ht="12.75" x14ac:dyDescent="0.2">
      <c r="A1137" s="256"/>
      <c r="B1137" s="256"/>
      <c r="C1137" s="256"/>
      <c r="D1137" s="256"/>
      <c r="E1137" s="256"/>
      <c r="F1137" s="256"/>
      <c r="G1137" s="256"/>
      <c r="H1137" s="256"/>
      <c r="I1137" s="256"/>
      <c r="J1137" s="256"/>
      <c r="K1137" s="256"/>
    </row>
    <row r="1138" spans="1:11" ht="12.75" x14ac:dyDescent="0.2">
      <c r="A1138" s="256"/>
      <c r="B1138" s="256"/>
      <c r="C1138" s="256"/>
      <c r="D1138" s="256"/>
      <c r="E1138" s="256"/>
      <c r="F1138" s="256"/>
      <c r="G1138" s="256"/>
      <c r="H1138" s="256"/>
      <c r="I1138" s="256"/>
      <c r="J1138" s="256"/>
      <c r="K1138" s="256"/>
    </row>
    <row r="1139" spans="1:11" ht="12.75" x14ac:dyDescent="0.2">
      <c r="A1139" s="256"/>
      <c r="B1139" s="256"/>
      <c r="C1139" s="256"/>
      <c r="D1139" s="256"/>
      <c r="E1139" s="256"/>
      <c r="F1139" s="256"/>
      <c r="G1139" s="256"/>
      <c r="H1139" s="256"/>
      <c r="I1139" s="256"/>
      <c r="J1139" s="256"/>
      <c r="K1139" s="256"/>
    </row>
    <row r="1140" spans="1:11" ht="12.75" x14ac:dyDescent="0.2">
      <c r="A1140" s="256"/>
      <c r="B1140" s="256"/>
      <c r="C1140" s="256"/>
      <c r="D1140" s="256"/>
      <c r="E1140" s="256"/>
      <c r="F1140" s="256"/>
      <c r="G1140" s="256"/>
      <c r="H1140" s="256"/>
      <c r="I1140" s="256"/>
      <c r="J1140" s="256"/>
      <c r="K1140" s="256"/>
    </row>
    <row r="1141" spans="1:11" ht="12.75" x14ac:dyDescent="0.2">
      <c r="A1141" s="256"/>
      <c r="B1141" s="256"/>
      <c r="C1141" s="256"/>
      <c r="D1141" s="256"/>
      <c r="E1141" s="256"/>
      <c r="F1141" s="256"/>
      <c r="G1141" s="256"/>
      <c r="H1141" s="256"/>
      <c r="I1141" s="256"/>
      <c r="J1141" s="256"/>
      <c r="K1141" s="256"/>
    </row>
    <row r="1142" spans="1:11" ht="12.75" x14ac:dyDescent="0.2">
      <c r="A1142" s="256"/>
      <c r="B1142" s="256"/>
      <c r="C1142" s="256"/>
      <c r="D1142" s="256"/>
      <c r="E1142" s="256"/>
      <c r="F1142" s="256"/>
      <c r="G1142" s="256"/>
      <c r="H1142" s="256"/>
      <c r="I1142" s="256"/>
      <c r="J1142" s="256"/>
      <c r="K1142" s="256"/>
    </row>
    <row r="1143" spans="1:11" ht="12.75" x14ac:dyDescent="0.2">
      <c r="A1143" s="256"/>
      <c r="B1143" s="256"/>
      <c r="C1143" s="256"/>
      <c r="D1143" s="256"/>
      <c r="E1143" s="256"/>
      <c r="F1143" s="256"/>
      <c r="G1143" s="256"/>
      <c r="H1143" s="256"/>
      <c r="I1143" s="256"/>
      <c r="J1143" s="256"/>
      <c r="K1143" s="256"/>
    </row>
    <row r="1144" spans="1:11" ht="12.75" x14ac:dyDescent="0.2">
      <c r="A1144" s="256"/>
      <c r="B1144" s="256"/>
      <c r="C1144" s="256"/>
      <c r="D1144" s="256"/>
      <c r="E1144" s="256"/>
      <c r="F1144" s="256"/>
      <c r="G1144" s="256"/>
      <c r="H1144" s="256"/>
      <c r="I1144" s="256"/>
      <c r="J1144" s="256"/>
      <c r="K1144" s="256"/>
    </row>
    <row r="1145" spans="1:11" ht="12.75" x14ac:dyDescent="0.2">
      <c r="A1145" s="256"/>
      <c r="B1145" s="256"/>
      <c r="C1145" s="256"/>
      <c r="D1145" s="256"/>
      <c r="E1145" s="256"/>
      <c r="F1145" s="256"/>
      <c r="G1145" s="256"/>
      <c r="H1145" s="256"/>
      <c r="I1145" s="256"/>
      <c r="J1145" s="256"/>
      <c r="K1145" s="256"/>
    </row>
    <row r="1146" spans="1:11" ht="12.75" x14ac:dyDescent="0.2">
      <c r="A1146" s="256"/>
      <c r="B1146" s="256"/>
      <c r="C1146" s="256"/>
      <c r="D1146" s="256"/>
      <c r="E1146" s="256"/>
      <c r="F1146" s="256"/>
      <c r="G1146" s="256"/>
      <c r="H1146" s="256"/>
      <c r="I1146" s="256"/>
      <c r="J1146" s="256"/>
      <c r="K1146" s="256"/>
    </row>
    <row r="1147" spans="1:11" ht="12.75" x14ac:dyDescent="0.2">
      <c r="A1147" s="256"/>
      <c r="B1147" s="256"/>
      <c r="C1147" s="256"/>
      <c r="D1147" s="256"/>
      <c r="E1147" s="256"/>
      <c r="F1147" s="256"/>
      <c r="G1147" s="256"/>
      <c r="H1147" s="256"/>
      <c r="I1147" s="256"/>
      <c r="J1147" s="256"/>
      <c r="K1147" s="256"/>
    </row>
    <row r="1148" spans="1:11" ht="12.75" x14ac:dyDescent="0.2">
      <c r="A1148" s="256"/>
      <c r="B1148" s="256"/>
      <c r="C1148" s="256"/>
      <c r="D1148" s="256"/>
      <c r="E1148" s="256"/>
      <c r="F1148" s="256"/>
      <c r="G1148" s="256"/>
      <c r="H1148" s="256"/>
      <c r="I1148" s="256"/>
      <c r="J1148" s="256"/>
      <c r="K1148" s="256"/>
    </row>
    <row r="1149" spans="1:11" ht="12.75" x14ac:dyDescent="0.2">
      <c r="A1149" s="256"/>
      <c r="B1149" s="256"/>
      <c r="C1149" s="256"/>
      <c r="D1149" s="256"/>
      <c r="E1149" s="256"/>
      <c r="F1149" s="256"/>
      <c r="G1149" s="256"/>
      <c r="H1149" s="256"/>
      <c r="I1149" s="256"/>
      <c r="J1149" s="256"/>
      <c r="K1149" s="256"/>
    </row>
    <row r="1150" spans="1:11" ht="12.75" x14ac:dyDescent="0.2">
      <c r="A1150" s="256"/>
      <c r="B1150" s="256"/>
      <c r="C1150" s="256"/>
      <c r="D1150" s="256"/>
      <c r="E1150" s="256"/>
      <c r="F1150" s="256"/>
      <c r="G1150" s="256"/>
      <c r="H1150" s="256"/>
      <c r="I1150" s="256"/>
      <c r="J1150" s="256"/>
      <c r="K1150" s="256"/>
    </row>
    <row r="1151" spans="1:11" ht="12.75" x14ac:dyDescent="0.2">
      <c r="A1151" s="256"/>
      <c r="B1151" s="256"/>
      <c r="C1151" s="256"/>
      <c r="D1151" s="256"/>
      <c r="E1151" s="256"/>
      <c r="F1151" s="256"/>
      <c r="G1151" s="256"/>
      <c r="H1151" s="256"/>
      <c r="I1151" s="256"/>
      <c r="J1151" s="256"/>
      <c r="K1151" s="256"/>
    </row>
    <row r="1152" spans="1:11" ht="12.75" x14ac:dyDescent="0.2">
      <c r="A1152" s="256"/>
      <c r="B1152" s="256"/>
      <c r="C1152" s="256"/>
      <c r="D1152" s="256"/>
      <c r="E1152" s="256"/>
      <c r="F1152" s="256"/>
      <c r="G1152" s="256"/>
      <c r="H1152" s="256"/>
      <c r="I1152" s="256"/>
      <c r="J1152" s="256"/>
      <c r="K1152" s="256"/>
    </row>
    <row r="1153" spans="1:11" ht="12.75" x14ac:dyDescent="0.2">
      <c r="A1153" s="256"/>
      <c r="B1153" s="256"/>
      <c r="C1153" s="256"/>
      <c r="D1153" s="256"/>
      <c r="E1153" s="256"/>
      <c r="F1153" s="256"/>
      <c r="G1153" s="256"/>
      <c r="H1153" s="256"/>
      <c r="I1153" s="256"/>
      <c r="J1153" s="256"/>
      <c r="K1153" s="256"/>
    </row>
    <row r="1154" spans="1:11" ht="12.75" x14ac:dyDescent="0.2">
      <c r="A1154" s="256"/>
      <c r="B1154" s="256"/>
      <c r="C1154" s="256"/>
      <c r="D1154" s="256"/>
      <c r="E1154" s="256"/>
      <c r="F1154" s="256"/>
      <c r="G1154" s="256"/>
      <c r="H1154" s="256"/>
      <c r="I1154" s="256"/>
      <c r="J1154" s="256"/>
      <c r="K1154" s="256"/>
    </row>
    <row r="1155" spans="1:11" ht="12.75" x14ac:dyDescent="0.2">
      <c r="A1155" s="256"/>
      <c r="B1155" s="256"/>
      <c r="C1155" s="256"/>
      <c r="D1155" s="256"/>
      <c r="E1155" s="256"/>
      <c r="F1155" s="256"/>
      <c r="G1155" s="256"/>
      <c r="H1155" s="256"/>
      <c r="I1155" s="256"/>
      <c r="J1155" s="256"/>
      <c r="K1155" s="256"/>
    </row>
    <row r="1156" spans="1:11" ht="12.75" x14ac:dyDescent="0.2">
      <c r="A1156" s="256"/>
      <c r="B1156" s="256"/>
      <c r="C1156" s="256"/>
      <c r="D1156" s="256"/>
      <c r="E1156" s="256"/>
      <c r="F1156" s="256"/>
      <c r="G1156" s="256"/>
      <c r="H1156" s="256"/>
      <c r="I1156" s="256"/>
      <c r="J1156" s="256"/>
      <c r="K1156" s="256"/>
    </row>
    <row r="1157" spans="1:11" ht="12.75" x14ac:dyDescent="0.2">
      <c r="A1157" s="256"/>
      <c r="B1157" s="256"/>
      <c r="C1157" s="256"/>
      <c r="D1157" s="256"/>
      <c r="E1157" s="256"/>
      <c r="F1157" s="256"/>
      <c r="G1157" s="256"/>
      <c r="H1157" s="256"/>
      <c r="I1157" s="256"/>
      <c r="J1157" s="256"/>
      <c r="K1157" s="256"/>
    </row>
    <row r="1158" spans="1:11" ht="12.75" x14ac:dyDescent="0.2">
      <c r="A1158" s="256"/>
      <c r="B1158" s="256"/>
      <c r="C1158" s="256"/>
      <c r="D1158" s="256"/>
      <c r="E1158" s="256"/>
      <c r="F1158" s="256"/>
      <c r="G1158" s="256"/>
      <c r="H1158" s="256"/>
      <c r="I1158" s="256"/>
      <c r="J1158" s="256"/>
      <c r="K1158" s="256"/>
    </row>
    <row r="1159" spans="1:11" ht="12.75" x14ac:dyDescent="0.2">
      <c r="A1159" s="256"/>
      <c r="B1159" s="256"/>
      <c r="C1159" s="256"/>
      <c r="D1159" s="256"/>
      <c r="E1159" s="256"/>
      <c r="F1159" s="256"/>
      <c r="G1159" s="256"/>
      <c r="H1159" s="256"/>
      <c r="I1159" s="256"/>
      <c r="J1159" s="256"/>
      <c r="K1159" s="256"/>
    </row>
    <row r="1160" spans="1:11" ht="12.75" x14ac:dyDescent="0.2">
      <c r="A1160" s="256"/>
      <c r="B1160" s="256"/>
      <c r="C1160" s="256"/>
      <c r="D1160" s="256"/>
      <c r="E1160" s="256"/>
      <c r="F1160" s="256"/>
      <c r="G1160" s="256"/>
      <c r="H1160" s="256"/>
      <c r="I1160" s="256"/>
      <c r="J1160" s="256"/>
      <c r="K1160" s="256"/>
    </row>
    <row r="1161" spans="1:11" ht="12.75" x14ac:dyDescent="0.2">
      <c r="A1161" s="256"/>
      <c r="B1161" s="256"/>
      <c r="C1161" s="256"/>
      <c r="D1161" s="256"/>
      <c r="E1161" s="256"/>
      <c r="F1161" s="256"/>
      <c r="G1161" s="256"/>
      <c r="H1161" s="256"/>
      <c r="I1161" s="256"/>
      <c r="J1161" s="256"/>
      <c r="K1161" s="256"/>
    </row>
    <row r="1162" spans="1:11" ht="12.75" x14ac:dyDescent="0.2">
      <c r="A1162" s="256"/>
      <c r="B1162" s="256"/>
      <c r="C1162" s="256"/>
      <c r="D1162" s="256"/>
      <c r="E1162" s="256"/>
      <c r="F1162" s="256"/>
      <c r="G1162" s="256"/>
      <c r="H1162" s="256"/>
      <c r="I1162" s="256"/>
      <c r="J1162" s="256"/>
      <c r="K1162" s="256"/>
    </row>
    <row r="1163" spans="1:11" ht="12.75" x14ac:dyDescent="0.2">
      <c r="A1163" s="256"/>
      <c r="B1163" s="256"/>
      <c r="C1163" s="256"/>
      <c r="D1163" s="256"/>
      <c r="E1163" s="256"/>
      <c r="F1163" s="256"/>
      <c r="G1163" s="256"/>
      <c r="H1163" s="256"/>
      <c r="I1163" s="256"/>
      <c r="J1163" s="256"/>
      <c r="K1163" s="256"/>
    </row>
    <row r="1164" spans="1:11" ht="12.75" x14ac:dyDescent="0.2">
      <c r="A1164" s="256"/>
      <c r="B1164" s="256"/>
      <c r="C1164" s="256"/>
      <c r="D1164" s="256"/>
      <c r="E1164" s="256"/>
      <c r="F1164" s="256"/>
      <c r="G1164" s="256"/>
      <c r="H1164" s="256"/>
      <c r="I1164" s="256"/>
      <c r="J1164" s="256"/>
      <c r="K1164" s="256"/>
    </row>
    <row r="1165" spans="1:11" ht="12.75" x14ac:dyDescent="0.2">
      <c r="A1165" s="256"/>
      <c r="B1165" s="256"/>
      <c r="C1165" s="256"/>
      <c r="D1165" s="256"/>
      <c r="E1165" s="256"/>
      <c r="F1165" s="256"/>
      <c r="G1165" s="256"/>
      <c r="H1165" s="256"/>
      <c r="I1165" s="256"/>
      <c r="J1165" s="256"/>
      <c r="K1165" s="256"/>
    </row>
    <row r="1166" spans="1:11" ht="12.75" x14ac:dyDescent="0.2">
      <c r="A1166" s="256"/>
      <c r="B1166" s="256"/>
      <c r="C1166" s="256"/>
      <c r="D1166" s="256"/>
      <c r="E1166" s="256"/>
      <c r="F1166" s="256"/>
      <c r="G1166" s="256"/>
      <c r="H1166" s="256"/>
      <c r="I1166" s="256"/>
      <c r="J1166" s="256"/>
      <c r="K1166" s="256"/>
    </row>
    <row r="1167" spans="1:11" ht="12.75" x14ac:dyDescent="0.2">
      <c r="A1167" s="256"/>
      <c r="B1167" s="256"/>
      <c r="C1167" s="256"/>
      <c r="D1167" s="256"/>
      <c r="E1167" s="256"/>
      <c r="F1167" s="256"/>
      <c r="G1167" s="256"/>
      <c r="H1167" s="256"/>
      <c r="I1167" s="256"/>
      <c r="J1167" s="256"/>
      <c r="K1167" s="256"/>
    </row>
    <row r="1168" spans="1:11" ht="12.75" x14ac:dyDescent="0.2">
      <c r="A1168" s="256"/>
      <c r="B1168" s="256"/>
      <c r="C1168" s="256"/>
      <c r="D1168" s="256"/>
      <c r="E1168" s="256"/>
      <c r="F1168" s="256"/>
      <c r="G1168" s="256"/>
      <c r="H1168" s="256"/>
      <c r="I1168" s="256"/>
      <c r="J1168" s="256"/>
      <c r="K1168" s="256"/>
    </row>
    <row r="1169" spans="1:11" ht="12.75" x14ac:dyDescent="0.2">
      <c r="A1169" s="256"/>
      <c r="B1169" s="256"/>
      <c r="C1169" s="256"/>
      <c r="D1169" s="256"/>
      <c r="E1169" s="256"/>
      <c r="F1169" s="256"/>
      <c r="G1169" s="256"/>
      <c r="H1169" s="256"/>
      <c r="I1169" s="256"/>
      <c r="J1169" s="256"/>
      <c r="K1169" s="256"/>
    </row>
    <row r="1170" spans="1:11" ht="12.75" x14ac:dyDescent="0.2">
      <c r="A1170" s="256"/>
      <c r="B1170" s="256"/>
      <c r="C1170" s="256"/>
      <c r="D1170" s="256"/>
      <c r="E1170" s="256"/>
      <c r="F1170" s="256"/>
      <c r="G1170" s="256"/>
      <c r="H1170" s="256"/>
      <c r="I1170" s="256"/>
      <c r="J1170" s="256"/>
      <c r="K1170" s="256"/>
    </row>
    <row r="1171" spans="1:11" ht="12.75" x14ac:dyDescent="0.2">
      <c r="A1171" s="256"/>
      <c r="B1171" s="256"/>
      <c r="C1171" s="256"/>
      <c r="D1171" s="256"/>
      <c r="E1171" s="256"/>
      <c r="F1171" s="256"/>
      <c r="G1171" s="256"/>
      <c r="H1171" s="256"/>
      <c r="I1171" s="256"/>
      <c r="J1171" s="256"/>
      <c r="K1171" s="256"/>
    </row>
    <row r="1172" spans="1:11" ht="12.75" x14ac:dyDescent="0.2">
      <c r="A1172" s="256"/>
      <c r="B1172" s="256"/>
      <c r="C1172" s="256"/>
      <c r="D1172" s="256"/>
      <c r="E1172" s="256"/>
      <c r="F1172" s="256"/>
      <c r="G1172" s="256"/>
      <c r="H1172" s="256"/>
      <c r="I1172" s="256"/>
      <c r="J1172" s="256"/>
      <c r="K1172" s="256"/>
    </row>
    <row r="1173" spans="1:11" ht="12.75" x14ac:dyDescent="0.2">
      <c r="A1173" s="256"/>
      <c r="B1173" s="256"/>
      <c r="C1173" s="256"/>
      <c r="D1173" s="256"/>
      <c r="E1173" s="256"/>
      <c r="F1173" s="256"/>
      <c r="G1173" s="256"/>
      <c r="H1173" s="256"/>
      <c r="I1173" s="256"/>
      <c r="J1173" s="256"/>
      <c r="K1173" s="256"/>
    </row>
    <row r="1174" spans="1:11" ht="12.75" x14ac:dyDescent="0.2">
      <c r="A1174" s="256"/>
      <c r="B1174" s="256"/>
      <c r="C1174" s="256"/>
      <c r="D1174" s="256"/>
      <c r="E1174" s="256"/>
      <c r="F1174" s="256"/>
      <c r="G1174" s="256"/>
      <c r="H1174" s="256"/>
      <c r="I1174" s="256"/>
      <c r="J1174" s="256"/>
      <c r="K1174" s="256"/>
    </row>
    <row r="1175" spans="1:11" ht="12.75" x14ac:dyDescent="0.2">
      <c r="A1175" s="256"/>
      <c r="B1175" s="256"/>
      <c r="C1175" s="256"/>
      <c r="D1175" s="256"/>
      <c r="E1175" s="256"/>
      <c r="F1175" s="256"/>
      <c r="G1175" s="256"/>
      <c r="H1175" s="256"/>
      <c r="I1175" s="256"/>
      <c r="J1175" s="256"/>
      <c r="K1175" s="256"/>
    </row>
    <row r="1176" spans="1:11" ht="12.75" x14ac:dyDescent="0.2">
      <c r="A1176" s="256"/>
      <c r="B1176" s="256"/>
      <c r="C1176" s="256"/>
      <c r="D1176" s="256"/>
      <c r="E1176" s="256"/>
      <c r="F1176" s="256"/>
      <c r="G1176" s="256"/>
      <c r="H1176" s="256"/>
      <c r="I1176" s="256"/>
      <c r="J1176" s="256"/>
      <c r="K1176" s="256"/>
    </row>
    <row r="1177" spans="1:11" ht="12.75" x14ac:dyDescent="0.2">
      <c r="A1177" s="256"/>
      <c r="B1177" s="256"/>
      <c r="C1177" s="256"/>
      <c r="D1177" s="256"/>
      <c r="E1177" s="256"/>
      <c r="F1177" s="256"/>
      <c r="G1177" s="256"/>
      <c r="H1177" s="256"/>
      <c r="I1177" s="256"/>
      <c r="J1177" s="256"/>
      <c r="K1177" s="256"/>
    </row>
    <row r="1178" spans="1:11" ht="12.75" x14ac:dyDescent="0.2">
      <c r="A1178" s="256"/>
      <c r="B1178" s="256"/>
      <c r="C1178" s="256"/>
      <c r="D1178" s="256"/>
      <c r="E1178" s="256"/>
      <c r="F1178" s="256"/>
      <c r="G1178" s="256"/>
      <c r="H1178" s="256"/>
      <c r="I1178" s="256"/>
      <c r="J1178" s="256"/>
      <c r="K1178" s="256"/>
    </row>
    <row r="1179" spans="1:11" ht="12.75" x14ac:dyDescent="0.2">
      <c r="A1179" s="256"/>
      <c r="B1179" s="256"/>
      <c r="C1179" s="256"/>
      <c r="D1179" s="256"/>
      <c r="E1179" s="256"/>
      <c r="F1179" s="256"/>
      <c r="G1179" s="256"/>
      <c r="H1179" s="256"/>
      <c r="I1179" s="256"/>
      <c r="J1179" s="256"/>
      <c r="K1179" s="256"/>
    </row>
    <row r="1180" spans="1:11" ht="12.75" x14ac:dyDescent="0.2">
      <c r="A1180" s="256"/>
      <c r="B1180" s="256"/>
      <c r="C1180" s="256"/>
      <c r="D1180" s="256"/>
      <c r="E1180" s="256"/>
      <c r="F1180" s="256"/>
      <c r="G1180" s="256"/>
      <c r="H1180" s="256"/>
      <c r="I1180" s="256"/>
      <c r="J1180" s="256"/>
      <c r="K1180" s="256"/>
    </row>
    <row r="1181" spans="1:11" ht="12.75" x14ac:dyDescent="0.2">
      <c r="A1181" s="256"/>
      <c r="B1181" s="256"/>
      <c r="C1181" s="256"/>
      <c r="D1181" s="256"/>
      <c r="E1181" s="256"/>
      <c r="F1181" s="256"/>
      <c r="G1181" s="256"/>
      <c r="H1181" s="256"/>
      <c r="I1181" s="256"/>
      <c r="J1181" s="256"/>
      <c r="K1181" s="256"/>
    </row>
    <row r="1182" spans="1:11" ht="12.75" x14ac:dyDescent="0.2">
      <c r="A1182" s="256"/>
      <c r="B1182" s="256"/>
      <c r="C1182" s="256"/>
      <c r="D1182" s="256"/>
      <c r="E1182" s="256"/>
      <c r="F1182" s="256"/>
      <c r="G1182" s="256"/>
      <c r="H1182" s="256"/>
      <c r="I1182" s="256"/>
      <c r="J1182" s="256"/>
      <c r="K1182" s="256"/>
    </row>
    <row r="1183" spans="1:11" ht="12.75" x14ac:dyDescent="0.2">
      <c r="A1183" s="256"/>
      <c r="B1183" s="256"/>
      <c r="C1183" s="256"/>
      <c r="D1183" s="256"/>
      <c r="E1183" s="256"/>
      <c r="F1183" s="256"/>
      <c r="G1183" s="256"/>
      <c r="H1183" s="256"/>
      <c r="I1183" s="256"/>
      <c r="J1183" s="256"/>
      <c r="K1183" s="256"/>
    </row>
    <row r="1184" spans="1:11" ht="12.75" x14ac:dyDescent="0.2">
      <c r="A1184" s="256"/>
      <c r="B1184" s="256"/>
      <c r="C1184" s="256"/>
      <c r="D1184" s="256"/>
      <c r="E1184" s="256"/>
      <c r="F1184" s="256"/>
      <c r="G1184" s="256"/>
      <c r="H1184" s="256"/>
      <c r="I1184" s="256"/>
      <c r="J1184" s="256"/>
      <c r="K1184" s="256"/>
    </row>
    <row r="1185" spans="1:11" ht="12.75" x14ac:dyDescent="0.2">
      <c r="A1185" s="256"/>
      <c r="B1185" s="256"/>
      <c r="C1185" s="256"/>
      <c r="D1185" s="256"/>
      <c r="E1185" s="256"/>
      <c r="F1185" s="256"/>
      <c r="G1185" s="256"/>
      <c r="H1185" s="256"/>
      <c r="I1185" s="256"/>
      <c r="J1185" s="256"/>
      <c r="K1185" s="256"/>
    </row>
    <row r="1186" spans="1:11" ht="12.75" x14ac:dyDescent="0.2">
      <c r="A1186" s="256"/>
      <c r="B1186" s="256"/>
      <c r="C1186" s="256"/>
      <c r="D1186" s="256"/>
      <c r="E1186" s="256"/>
      <c r="F1186" s="256"/>
      <c r="G1186" s="256"/>
      <c r="H1186" s="256"/>
      <c r="I1186" s="256"/>
      <c r="J1186" s="256"/>
      <c r="K1186" s="256"/>
    </row>
    <row r="1187" spans="1:11" ht="12.75" x14ac:dyDescent="0.2">
      <c r="A1187" s="256"/>
      <c r="B1187" s="256"/>
      <c r="C1187" s="256"/>
      <c r="D1187" s="256"/>
      <c r="E1187" s="256"/>
      <c r="F1187" s="256"/>
      <c r="G1187" s="256"/>
      <c r="H1187" s="256"/>
      <c r="I1187" s="256"/>
      <c r="J1187" s="256"/>
      <c r="K1187" s="256"/>
    </row>
    <row r="1188" spans="1:11" ht="12.75" x14ac:dyDescent="0.2">
      <c r="A1188" s="256"/>
      <c r="B1188" s="256"/>
      <c r="C1188" s="256"/>
      <c r="D1188" s="256"/>
      <c r="E1188" s="256"/>
      <c r="F1188" s="256"/>
      <c r="G1188" s="256"/>
      <c r="H1188" s="256"/>
      <c r="I1188" s="256"/>
      <c r="J1188" s="256"/>
      <c r="K1188" s="256"/>
    </row>
    <row r="1189" spans="1:11" ht="12.75" x14ac:dyDescent="0.2">
      <c r="A1189" s="256"/>
      <c r="B1189" s="256"/>
      <c r="C1189" s="256"/>
      <c r="D1189" s="256"/>
      <c r="E1189" s="256"/>
      <c r="F1189" s="256"/>
      <c r="G1189" s="256"/>
      <c r="H1189" s="256"/>
      <c r="I1189" s="256"/>
      <c r="J1189" s="256"/>
      <c r="K1189" s="256"/>
    </row>
    <row r="1190" spans="1:11" ht="12.75" x14ac:dyDescent="0.2">
      <c r="A1190" s="256"/>
      <c r="B1190" s="256"/>
      <c r="C1190" s="256"/>
      <c r="D1190" s="256"/>
      <c r="E1190" s="256"/>
      <c r="F1190" s="256"/>
      <c r="G1190" s="256"/>
      <c r="H1190" s="256"/>
      <c r="I1190" s="256"/>
      <c r="J1190" s="256"/>
      <c r="K1190" s="256"/>
    </row>
    <row r="1191" spans="1:11" ht="12.75" x14ac:dyDescent="0.2">
      <c r="A1191" s="256"/>
      <c r="B1191" s="256"/>
      <c r="C1191" s="256"/>
      <c r="D1191" s="256"/>
      <c r="E1191" s="256"/>
      <c r="F1191" s="256"/>
      <c r="G1191" s="256"/>
      <c r="H1191" s="256"/>
      <c r="I1191" s="256"/>
      <c r="J1191" s="256"/>
      <c r="K1191" s="256"/>
    </row>
    <row r="1192" spans="1:11" ht="12.75" x14ac:dyDescent="0.2">
      <c r="A1192" s="256"/>
      <c r="B1192" s="256"/>
      <c r="C1192" s="256"/>
      <c r="D1192" s="256"/>
      <c r="E1192" s="256"/>
      <c r="F1192" s="256"/>
      <c r="G1192" s="256"/>
      <c r="H1192" s="256"/>
      <c r="I1192" s="256"/>
      <c r="J1192" s="256"/>
      <c r="K1192" s="256"/>
    </row>
    <row r="1193" spans="1:11" ht="12.75" x14ac:dyDescent="0.2">
      <c r="A1193" s="256"/>
      <c r="B1193" s="256"/>
      <c r="C1193" s="256"/>
      <c r="D1193" s="256"/>
      <c r="E1193" s="256"/>
      <c r="F1193" s="256"/>
      <c r="G1193" s="256"/>
      <c r="H1193" s="256"/>
      <c r="I1193" s="256"/>
      <c r="J1193" s="256"/>
      <c r="K1193" s="256"/>
    </row>
    <row r="1194" spans="1:11" ht="12.75" x14ac:dyDescent="0.2">
      <c r="A1194" s="256"/>
      <c r="B1194" s="256"/>
      <c r="C1194" s="256"/>
      <c r="D1194" s="256"/>
      <c r="E1194" s="256"/>
      <c r="F1194" s="256"/>
      <c r="G1194" s="256"/>
      <c r="H1194" s="256"/>
      <c r="I1194" s="256"/>
      <c r="J1194" s="256"/>
      <c r="K1194" s="256"/>
    </row>
    <row r="1195" spans="1:11" ht="12.75" x14ac:dyDescent="0.2">
      <c r="A1195" s="256"/>
      <c r="B1195" s="256"/>
      <c r="C1195" s="256"/>
      <c r="D1195" s="256"/>
      <c r="E1195" s="256"/>
      <c r="F1195" s="256"/>
      <c r="G1195" s="256"/>
      <c r="H1195" s="256"/>
      <c r="I1195" s="256"/>
      <c r="J1195" s="256"/>
      <c r="K1195" s="256"/>
    </row>
    <row r="1196" spans="1:11" ht="12.75" x14ac:dyDescent="0.2">
      <c r="A1196" s="256"/>
      <c r="B1196" s="256"/>
      <c r="C1196" s="256"/>
      <c r="D1196" s="256"/>
      <c r="E1196" s="256"/>
      <c r="F1196" s="256"/>
      <c r="G1196" s="256"/>
      <c r="H1196" s="256"/>
      <c r="I1196" s="256"/>
      <c r="J1196" s="256"/>
      <c r="K1196" s="256"/>
    </row>
    <row r="1197" spans="1:11" ht="12.75" x14ac:dyDescent="0.2">
      <c r="A1197" s="256"/>
      <c r="B1197" s="256"/>
      <c r="C1197" s="256"/>
      <c r="D1197" s="256"/>
      <c r="E1197" s="256"/>
      <c r="F1197" s="256"/>
      <c r="G1197" s="256"/>
      <c r="H1197" s="256"/>
      <c r="I1197" s="256"/>
      <c r="J1197" s="256"/>
      <c r="K1197" s="256"/>
    </row>
    <row r="1198" spans="1:11" ht="12.75" x14ac:dyDescent="0.2">
      <c r="A1198" s="256"/>
      <c r="B1198" s="256"/>
      <c r="C1198" s="256"/>
      <c r="D1198" s="256"/>
      <c r="E1198" s="256"/>
      <c r="F1198" s="256"/>
      <c r="G1198" s="256"/>
      <c r="H1198" s="256"/>
      <c r="I1198" s="256"/>
      <c r="J1198" s="256"/>
      <c r="K1198" s="256"/>
    </row>
    <row r="1199" spans="1:11" ht="12.75" x14ac:dyDescent="0.2">
      <c r="A1199" s="256"/>
      <c r="B1199" s="256"/>
      <c r="C1199" s="256"/>
      <c r="D1199" s="256"/>
      <c r="E1199" s="256"/>
      <c r="F1199" s="256"/>
      <c r="G1199" s="256"/>
      <c r="H1199" s="256"/>
      <c r="I1199" s="256"/>
      <c r="J1199" s="256"/>
      <c r="K1199" s="256"/>
    </row>
    <row r="1200" spans="1:11" ht="12.75" x14ac:dyDescent="0.2">
      <c r="A1200" s="256"/>
      <c r="B1200" s="256"/>
      <c r="C1200" s="256"/>
      <c r="D1200" s="256"/>
      <c r="E1200" s="256"/>
      <c r="F1200" s="256"/>
      <c r="G1200" s="256"/>
      <c r="H1200" s="256"/>
      <c r="I1200" s="256"/>
      <c r="J1200" s="256"/>
      <c r="K1200" s="256"/>
    </row>
    <row r="1201" spans="1:11" ht="12.75" x14ac:dyDescent="0.2">
      <c r="A1201" s="256"/>
      <c r="B1201" s="256"/>
      <c r="C1201" s="256"/>
      <c r="D1201" s="256"/>
      <c r="E1201" s="256"/>
      <c r="F1201" s="256"/>
      <c r="G1201" s="256"/>
      <c r="H1201" s="256"/>
      <c r="I1201" s="256"/>
      <c r="J1201" s="256"/>
      <c r="K1201" s="256"/>
    </row>
    <row r="1202" spans="1:11" ht="12.75" x14ac:dyDescent="0.2">
      <c r="A1202" s="256"/>
      <c r="B1202" s="256"/>
      <c r="C1202" s="256"/>
      <c r="D1202" s="256"/>
      <c r="E1202" s="256"/>
      <c r="F1202" s="256"/>
      <c r="G1202" s="256"/>
      <c r="H1202" s="256"/>
      <c r="I1202" s="256"/>
      <c r="J1202" s="256"/>
      <c r="K1202" s="256"/>
    </row>
    <row r="1203" spans="1:11" ht="12.75" x14ac:dyDescent="0.2">
      <c r="A1203" s="256"/>
      <c r="B1203" s="256"/>
      <c r="C1203" s="256"/>
      <c r="D1203" s="256"/>
      <c r="E1203" s="256"/>
      <c r="F1203" s="256"/>
      <c r="G1203" s="256"/>
      <c r="H1203" s="256"/>
      <c r="I1203" s="256"/>
      <c r="J1203" s="256"/>
      <c r="K1203" s="256"/>
    </row>
    <row r="1204" spans="1:11" ht="12.75" x14ac:dyDescent="0.2">
      <c r="A1204" s="256"/>
      <c r="B1204" s="256"/>
      <c r="C1204" s="256"/>
      <c r="D1204" s="256"/>
      <c r="E1204" s="256"/>
      <c r="F1204" s="256"/>
      <c r="G1204" s="256"/>
      <c r="H1204" s="256"/>
      <c r="I1204" s="256"/>
      <c r="J1204" s="256"/>
      <c r="K1204" s="256"/>
    </row>
    <row r="1205" spans="1:11" ht="12.75" x14ac:dyDescent="0.2">
      <c r="A1205" s="256"/>
      <c r="B1205" s="256"/>
      <c r="C1205" s="256"/>
      <c r="D1205" s="256"/>
      <c r="E1205" s="256"/>
      <c r="F1205" s="256"/>
      <c r="G1205" s="256"/>
      <c r="H1205" s="256"/>
      <c r="I1205" s="256"/>
      <c r="J1205" s="256"/>
      <c r="K1205" s="256"/>
    </row>
    <row r="1206" spans="1:11" ht="12.75" x14ac:dyDescent="0.2">
      <c r="A1206" s="256"/>
      <c r="B1206" s="256"/>
      <c r="C1206" s="256"/>
      <c r="D1206" s="256"/>
      <c r="E1206" s="256"/>
      <c r="F1206" s="256"/>
      <c r="G1206" s="256"/>
      <c r="H1206" s="256"/>
      <c r="I1206" s="256"/>
      <c r="J1206" s="256"/>
      <c r="K1206" s="256"/>
    </row>
    <row r="1207" spans="1:11" ht="12.75" x14ac:dyDescent="0.2">
      <c r="A1207" s="256"/>
      <c r="B1207" s="256"/>
      <c r="C1207" s="256"/>
      <c r="D1207" s="256"/>
      <c r="E1207" s="256"/>
      <c r="F1207" s="256"/>
      <c r="G1207" s="256"/>
      <c r="H1207" s="256"/>
      <c r="I1207" s="256"/>
      <c r="J1207" s="256"/>
      <c r="K1207" s="256"/>
    </row>
    <row r="1208" spans="1:11" ht="12.75" x14ac:dyDescent="0.2">
      <c r="A1208" s="256"/>
      <c r="B1208" s="256"/>
      <c r="C1208" s="256"/>
      <c r="D1208" s="256"/>
      <c r="E1208" s="256"/>
      <c r="F1208" s="256"/>
      <c r="G1208" s="256"/>
      <c r="H1208" s="256"/>
      <c r="I1208" s="256"/>
      <c r="J1208" s="256"/>
      <c r="K1208" s="256"/>
    </row>
    <row r="1209" spans="1:11" ht="12.75" x14ac:dyDescent="0.2">
      <c r="A1209" s="256"/>
      <c r="B1209" s="256"/>
      <c r="C1209" s="256"/>
      <c r="D1209" s="256"/>
      <c r="E1209" s="256"/>
      <c r="F1209" s="256"/>
      <c r="G1209" s="256"/>
      <c r="H1209" s="256"/>
      <c r="I1209" s="256"/>
      <c r="J1209" s="256"/>
      <c r="K1209" s="256"/>
    </row>
    <row r="1210" spans="1:11" ht="12.75" x14ac:dyDescent="0.2">
      <c r="A1210" s="256"/>
      <c r="B1210" s="256"/>
      <c r="C1210" s="256"/>
      <c r="D1210" s="256"/>
      <c r="E1210" s="256"/>
      <c r="F1210" s="256"/>
      <c r="G1210" s="256"/>
      <c r="H1210" s="256"/>
      <c r="I1210" s="256"/>
      <c r="J1210" s="256"/>
      <c r="K1210" s="256"/>
    </row>
    <row r="1211" spans="1:11" ht="12.75" x14ac:dyDescent="0.2">
      <c r="A1211" s="256"/>
      <c r="B1211" s="256"/>
      <c r="C1211" s="256"/>
      <c r="D1211" s="256"/>
      <c r="E1211" s="256"/>
      <c r="F1211" s="256"/>
      <c r="G1211" s="256"/>
      <c r="H1211" s="256"/>
      <c r="I1211" s="256"/>
      <c r="J1211" s="256"/>
      <c r="K1211" s="256"/>
    </row>
    <row r="1212" spans="1:11" ht="12.75" x14ac:dyDescent="0.2">
      <c r="A1212" s="256"/>
      <c r="B1212" s="256"/>
      <c r="C1212" s="256"/>
      <c r="D1212" s="256"/>
      <c r="E1212" s="256"/>
      <c r="F1212" s="256"/>
      <c r="G1212" s="256"/>
      <c r="H1212" s="256"/>
      <c r="I1212" s="256"/>
      <c r="J1212" s="256"/>
      <c r="K1212" s="256"/>
    </row>
    <row r="1213" spans="1:11" ht="12.75" x14ac:dyDescent="0.2">
      <c r="A1213" s="256"/>
      <c r="B1213" s="256"/>
      <c r="C1213" s="256"/>
      <c r="D1213" s="256"/>
      <c r="E1213" s="256"/>
      <c r="F1213" s="256"/>
      <c r="G1213" s="256"/>
      <c r="H1213" s="256"/>
      <c r="I1213" s="256"/>
      <c r="J1213" s="256"/>
      <c r="K1213" s="256"/>
    </row>
    <row r="1214" spans="1:11" ht="12.75" x14ac:dyDescent="0.2">
      <c r="A1214" s="256"/>
      <c r="B1214" s="256"/>
      <c r="C1214" s="256"/>
      <c r="D1214" s="256"/>
      <c r="E1214" s="256"/>
      <c r="F1214" s="256"/>
      <c r="G1214" s="256"/>
      <c r="H1214" s="256"/>
      <c r="I1214" s="256"/>
      <c r="J1214" s="256"/>
      <c r="K1214" s="256"/>
    </row>
    <row r="1215" spans="1:11" ht="12.75" x14ac:dyDescent="0.2">
      <c r="A1215" s="256"/>
      <c r="B1215" s="256"/>
      <c r="C1215" s="256"/>
      <c r="D1215" s="256"/>
      <c r="E1215" s="256"/>
      <c r="F1215" s="256"/>
      <c r="G1215" s="256"/>
      <c r="H1215" s="256"/>
      <c r="I1215" s="256"/>
      <c r="J1215" s="256"/>
      <c r="K1215" s="256"/>
    </row>
    <row r="1216" spans="1:11" ht="12.75" x14ac:dyDescent="0.2">
      <c r="A1216" s="256"/>
      <c r="B1216" s="256"/>
      <c r="C1216" s="256"/>
      <c r="D1216" s="256"/>
      <c r="E1216" s="256"/>
      <c r="F1216" s="256"/>
      <c r="G1216" s="256"/>
      <c r="H1216" s="256"/>
      <c r="I1216" s="256"/>
      <c r="J1216" s="256"/>
      <c r="K1216" s="256"/>
    </row>
    <row r="1217" spans="1:11" ht="12.75" x14ac:dyDescent="0.2">
      <c r="A1217" s="256"/>
      <c r="B1217" s="256"/>
      <c r="C1217" s="256"/>
      <c r="D1217" s="256"/>
      <c r="E1217" s="256"/>
      <c r="F1217" s="256"/>
      <c r="G1217" s="256"/>
      <c r="H1217" s="256"/>
      <c r="I1217" s="256"/>
      <c r="J1217" s="256"/>
      <c r="K1217" s="256"/>
    </row>
    <row r="1218" spans="1:11" ht="12.75" x14ac:dyDescent="0.2">
      <c r="A1218" s="256"/>
      <c r="B1218" s="256"/>
      <c r="C1218" s="256"/>
      <c r="D1218" s="256"/>
      <c r="E1218" s="256"/>
      <c r="F1218" s="256"/>
      <c r="G1218" s="256"/>
      <c r="H1218" s="256"/>
      <c r="I1218" s="256"/>
      <c r="J1218" s="256"/>
      <c r="K1218" s="256"/>
    </row>
    <row r="1219" spans="1:11" ht="12.75" x14ac:dyDescent="0.2">
      <c r="A1219" s="256"/>
      <c r="B1219" s="256"/>
      <c r="C1219" s="256"/>
      <c r="D1219" s="256"/>
      <c r="E1219" s="256"/>
      <c r="F1219" s="256"/>
      <c r="G1219" s="256"/>
      <c r="H1219" s="256"/>
      <c r="I1219" s="256"/>
      <c r="J1219" s="256"/>
      <c r="K1219" s="256"/>
    </row>
    <row r="1220" spans="1:11" ht="12.75" x14ac:dyDescent="0.2">
      <c r="A1220" s="256"/>
      <c r="B1220" s="256"/>
      <c r="C1220" s="256"/>
      <c r="D1220" s="256"/>
      <c r="E1220" s="256"/>
      <c r="F1220" s="256"/>
      <c r="G1220" s="256"/>
      <c r="H1220" s="256"/>
      <c r="I1220" s="256"/>
      <c r="J1220" s="256"/>
      <c r="K1220" s="256"/>
    </row>
    <row r="1221" spans="1:11" ht="12.75" x14ac:dyDescent="0.2">
      <c r="A1221" s="256"/>
      <c r="B1221" s="256"/>
      <c r="C1221" s="256"/>
      <c r="D1221" s="256"/>
      <c r="E1221" s="256"/>
      <c r="F1221" s="256"/>
      <c r="G1221" s="256"/>
      <c r="H1221" s="256"/>
      <c r="I1221" s="256"/>
      <c r="J1221" s="256"/>
      <c r="K1221" s="256"/>
    </row>
    <row r="1222" spans="1:11" ht="12.75" x14ac:dyDescent="0.2">
      <c r="A1222" s="256"/>
      <c r="B1222" s="256"/>
      <c r="C1222" s="256"/>
      <c r="D1222" s="256"/>
      <c r="E1222" s="256"/>
      <c r="F1222" s="256"/>
      <c r="G1222" s="256"/>
      <c r="H1222" s="256"/>
      <c r="I1222" s="256"/>
      <c r="J1222" s="256"/>
      <c r="K1222" s="256"/>
    </row>
    <row r="1223" spans="1:11" ht="12.75" x14ac:dyDescent="0.2">
      <c r="A1223" s="256"/>
      <c r="B1223" s="256"/>
      <c r="C1223" s="256"/>
      <c r="D1223" s="256"/>
      <c r="E1223" s="256"/>
      <c r="F1223" s="256"/>
      <c r="G1223" s="256"/>
      <c r="H1223" s="256"/>
      <c r="I1223" s="256"/>
      <c r="J1223" s="256"/>
      <c r="K1223" s="256"/>
    </row>
    <row r="1224" spans="1:11" ht="12.75" x14ac:dyDescent="0.2">
      <c r="A1224" s="256"/>
      <c r="B1224" s="256"/>
      <c r="C1224" s="256"/>
      <c r="D1224" s="256"/>
      <c r="E1224" s="256"/>
      <c r="F1224" s="256"/>
      <c r="G1224" s="256"/>
      <c r="H1224" s="256"/>
      <c r="I1224" s="256"/>
      <c r="J1224" s="256"/>
      <c r="K1224" s="256"/>
    </row>
    <row r="1225" spans="1:11" ht="12.75" x14ac:dyDescent="0.2">
      <c r="A1225" s="256"/>
      <c r="B1225" s="256"/>
      <c r="C1225" s="256"/>
      <c r="D1225" s="256"/>
      <c r="E1225" s="256"/>
      <c r="F1225" s="256"/>
      <c r="G1225" s="256"/>
      <c r="H1225" s="256"/>
      <c r="I1225" s="256"/>
      <c r="J1225" s="256"/>
      <c r="K1225" s="256"/>
    </row>
    <row r="1226" spans="1:11" ht="12.75" x14ac:dyDescent="0.2">
      <c r="A1226" s="256"/>
      <c r="B1226" s="256"/>
      <c r="C1226" s="256"/>
      <c r="D1226" s="256"/>
      <c r="E1226" s="256"/>
      <c r="F1226" s="256"/>
      <c r="G1226" s="256"/>
      <c r="H1226" s="256"/>
      <c r="I1226" s="256"/>
      <c r="J1226" s="256"/>
      <c r="K1226" s="256"/>
    </row>
    <row r="1227" spans="1:11" ht="12.75" x14ac:dyDescent="0.2">
      <c r="A1227" s="256"/>
      <c r="B1227" s="256"/>
      <c r="C1227" s="256"/>
      <c r="D1227" s="256"/>
      <c r="E1227" s="256"/>
      <c r="F1227" s="256"/>
      <c r="G1227" s="256"/>
      <c r="H1227" s="256"/>
      <c r="I1227" s="256"/>
      <c r="J1227" s="256"/>
      <c r="K1227" s="256"/>
    </row>
    <row r="1228" spans="1:11" ht="12.75" x14ac:dyDescent="0.2">
      <c r="A1228" s="256"/>
      <c r="B1228" s="256"/>
      <c r="C1228" s="256"/>
      <c r="D1228" s="256"/>
      <c r="E1228" s="256"/>
      <c r="F1228" s="256"/>
      <c r="G1228" s="256"/>
      <c r="H1228" s="256"/>
      <c r="I1228" s="256"/>
      <c r="J1228" s="256"/>
      <c r="K1228" s="256"/>
    </row>
    <row r="1229" spans="1:11" ht="12.75" x14ac:dyDescent="0.2">
      <c r="A1229" s="256"/>
      <c r="B1229" s="256"/>
      <c r="C1229" s="256"/>
      <c r="D1229" s="256"/>
      <c r="E1229" s="256"/>
      <c r="F1229" s="256"/>
      <c r="G1229" s="256"/>
      <c r="H1229" s="256"/>
      <c r="I1229" s="256"/>
      <c r="J1229" s="256"/>
      <c r="K1229" s="256"/>
    </row>
    <row r="1230" spans="1:11" ht="12.75" x14ac:dyDescent="0.2">
      <c r="A1230" s="256"/>
      <c r="B1230" s="256"/>
      <c r="C1230" s="256"/>
      <c r="D1230" s="256"/>
      <c r="E1230" s="256"/>
      <c r="F1230" s="256"/>
      <c r="G1230" s="256"/>
      <c r="H1230" s="256"/>
      <c r="I1230" s="256"/>
      <c r="J1230" s="256"/>
      <c r="K1230" s="256"/>
    </row>
    <row r="1231" spans="1:11" ht="12.75" x14ac:dyDescent="0.2">
      <c r="A1231" s="256"/>
      <c r="B1231" s="256"/>
      <c r="C1231" s="256"/>
      <c r="D1231" s="256"/>
      <c r="E1231" s="256"/>
      <c r="F1231" s="256"/>
      <c r="G1231" s="256"/>
      <c r="H1231" s="256"/>
      <c r="I1231" s="256"/>
      <c r="J1231" s="256"/>
      <c r="K1231" s="256"/>
    </row>
    <row r="1232" spans="1:11" ht="12.75" x14ac:dyDescent="0.2">
      <c r="A1232" s="256"/>
      <c r="B1232" s="256"/>
      <c r="C1232" s="256"/>
      <c r="D1232" s="256"/>
      <c r="E1232" s="256"/>
      <c r="F1232" s="256"/>
      <c r="G1232" s="256"/>
      <c r="H1232" s="256"/>
      <c r="I1232" s="256"/>
      <c r="J1232" s="256"/>
      <c r="K1232" s="256"/>
    </row>
    <row r="1233" spans="1:11" ht="12.75" x14ac:dyDescent="0.2">
      <c r="A1233" s="256"/>
      <c r="B1233" s="256"/>
      <c r="C1233" s="256"/>
      <c r="D1233" s="256"/>
      <c r="E1233" s="256"/>
      <c r="F1233" s="256"/>
      <c r="G1233" s="256"/>
      <c r="H1233" s="256"/>
      <c r="I1233" s="256"/>
      <c r="J1233" s="256"/>
      <c r="K1233" s="256"/>
    </row>
    <row r="1234" spans="1:11" ht="12.75" x14ac:dyDescent="0.2">
      <c r="A1234" s="256"/>
      <c r="B1234" s="256"/>
      <c r="C1234" s="256"/>
      <c r="D1234" s="256"/>
      <c r="E1234" s="256"/>
      <c r="F1234" s="256"/>
      <c r="G1234" s="256"/>
      <c r="H1234" s="256"/>
      <c r="I1234" s="256"/>
      <c r="J1234" s="256"/>
      <c r="K1234" s="256"/>
    </row>
    <row r="1235" spans="1:11" ht="12.75" x14ac:dyDescent="0.2">
      <c r="A1235" s="256"/>
      <c r="B1235" s="256"/>
      <c r="C1235" s="256"/>
      <c r="D1235" s="256"/>
      <c r="E1235" s="256"/>
      <c r="F1235" s="256"/>
      <c r="G1235" s="256"/>
      <c r="H1235" s="256"/>
      <c r="I1235" s="256"/>
      <c r="J1235" s="256"/>
      <c r="K1235" s="256"/>
    </row>
    <row r="1236" spans="1:11" ht="12.75" x14ac:dyDescent="0.2">
      <c r="A1236" s="256"/>
      <c r="B1236" s="256"/>
      <c r="C1236" s="256"/>
      <c r="D1236" s="256"/>
      <c r="E1236" s="256"/>
      <c r="F1236" s="256"/>
      <c r="G1236" s="256"/>
      <c r="H1236" s="256"/>
      <c r="I1236" s="256"/>
      <c r="J1236" s="256"/>
      <c r="K1236" s="256"/>
    </row>
    <row r="1237" spans="1:11" ht="12.75" x14ac:dyDescent="0.2">
      <c r="A1237" s="256"/>
      <c r="B1237" s="256"/>
      <c r="C1237" s="256"/>
      <c r="D1237" s="256"/>
      <c r="E1237" s="256"/>
      <c r="F1237" s="256"/>
      <c r="G1237" s="256"/>
      <c r="H1237" s="256"/>
      <c r="I1237" s="256"/>
      <c r="J1237" s="256"/>
      <c r="K1237" s="256"/>
    </row>
    <row r="1238" spans="1:11" ht="12.75" x14ac:dyDescent="0.2">
      <c r="A1238" s="256"/>
      <c r="B1238" s="256"/>
      <c r="C1238" s="256"/>
      <c r="D1238" s="256"/>
      <c r="E1238" s="256"/>
      <c r="F1238" s="256"/>
      <c r="G1238" s="256"/>
      <c r="H1238" s="256"/>
      <c r="I1238" s="256"/>
      <c r="J1238" s="256"/>
      <c r="K1238" s="256"/>
    </row>
    <row r="1239" spans="1:11" ht="12.75" x14ac:dyDescent="0.2">
      <c r="A1239" s="256"/>
      <c r="B1239" s="256"/>
      <c r="C1239" s="256"/>
      <c r="D1239" s="256"/>
      <c r="E1239" s="256"/>
      <c r="F1239" s="256"/>
      <c r="G1239" s="256"/>
      <c r="H1239" s="256"/>
      <c r="I1239" s="256"/>
      <c r="J1239" s="256"/>
      <c r="K1239" s="256"/>
    </row>
    <row r="1240" spans="1:11" ht="12.75" x14ac:dyDescent="0.2">
      <c r="A1240" s="256"/>
      <c r="B1240" s="256"/>
      <c r="C1240" s="256"/>
      <c r="D1240" s="256"/>
      <c r="E1240" s="256"/>
      <c r="F1240" s="256"/>
      <c r="G1240" s="256"/>
      <c r="H1240" s="256"/>
      <c r="I1240" s="256"/>
      <c r="J1240" s="256"/>
      <c r="K1240" s="256"/>
    </row>
    <row r="1241" spans="1:11" ht="12.75" x14ac:dyDescent="0.2">
      <c r="A1241" s="256"/>
      <c r="B1241" s="256"/>
      <c r="C1241" s="256"/>
      <c r="D1241" s="256"/>
      <c r="E1241" s="256"/>
      <c r="F1241" s="256"/>
      <c r="G1241" s="256"/>
      <c r="H1241" s="256"/>
      <c r="I1241" s="256"/>
      <c r="J1241" s="256"/>
      <c r="K1241" s="256"/>
    </row>
    <row r="1242" spans="1:11" ht="12.75" x14ac:dyDescent="0.2">
      <c r="A1242" s="256"/>
      <c r="B1242" s="256"/>
      <c r="C1242" s="256"/>
      <c r="D1242" s="256"/>
      <c r="E1242" s="256"/>
      <c r="F1242" s="256"/>
      <c r="G1242" s="256"/>
      <c r="H1242" s="256"/>
      <c r="I1242" s="256"/>
      <c r="J1242" s="256"/>
      <c r="K1242" s="256"/>
    </row>
    <row r="1243" spans="1:11" ht="12.75" x14ac:dyDescent="0.2">
      <c r="A1243" s="256"/>
      <c r="B1243" s="256"/>
      <c r="C1243" s="256"/>
      <c r="D1243" s="256"/>
      <c r="E1243" s="256"/>
      <c r="F1243" s="256"/>
      <c r="G1243" s="256"/>
      <c r="H1243" s="256"/>
      <c r="I1243" s="256"/>
      <c r="J1243" s="256"/>
      <c r="K1243" s="256"/>
    </row>
    <row r="1244" spans="1:11" ht="12.75" x14ac:dyDescent="0.2">
      <c r="A1244" s="256"/>
      <c r="B1244" s="256"/>
      <c r="C1244" s="256"/>
      <c r="D1244" s="256"/>
      <c r="E1244" s="256"/>
      <c r="F1244" s="256"/>
      <c r="G1244" s="256"/>
      <c r="H1244" s="256"/>
      <c r="I1244" s="256"/>
      <c r="J1244" s="256"/>
      <c r="K1244" s="256"/>
    </row>
    <row r="1245" spans="1:11" ht="12.75" x14ac:dyDescent="0.2">
      <c r="A1245" s="256"/>
      <c r="B1245" s="256"/>
      <c r="C1245" s="256"/>
      <c r="D1245" s="256"/>
      <c r="E1245" s="256"/>
      <c r="F1245" s="256"/>
      <c r="G1245" s="256"/>
      <c r="H1245" s="256"/>
      <c r="I1245" s="256"/>
      <c r="J1245" s="256"/>
      <c r="K1245" s="256"/>
    </row>
    <row r="1246" spans="1:11" ht="12.75" x14ac:dyDescent="0.2">
      <c r="A1246" s="256"/>
      <c r="B1246" s="256"/>
      <c r="C1246" s="256"/>
      <c r="D1246" s="256"/>
      <c r="E1246" s="256"/>
      <c r="F1246" s="256"/>
      <c r="G1246" s="256"/>
      <c r="H1246" s="256"/>
      <c r="I1246" s="256"/>
      <c r="J1246" s="256"/>
      <c r="K1246" s="256"/>
    </row>
    <row r="1247" spans="1:11" ht="12.75" x14ac:dyDescent="0.2">
      <c r="A1247" s="256"/>
      <c r="B1247" s="256"/>
      <c r="C1247" s="256"/>
      <c r="D1247" s="256"/>
      <c r="E1247" s="256"/>
      <c r="F1247" s="256"/>
      <c r="G1247" s="256"/>
      <c r="H1247" s="256"/>
      <c r="I1247" s="256"/>
      <c r="J1247" s="256"/>
      <c r="K1247" s="256"/>
    </row>
    <row r="1248" spans="1:11" ht="12.75" x14ac:dyDescent="0.2">
      <c r="A1248" s="256"/>
      <c r="B1248" s="256"/>
      <c r="C1248" s="256"/>
      <c r="D1248" s="256"/>
      <c r="E1248" s="256"/>
      <c r="F1248" s="256"/>
      <c r="G1248" s="256"/>
      <c r="H1248" s="256"/>
      <c r="I1248" s="256"/>
      <c r="J1248" s="256"/>
      <c r="K1248" s="256"/>
    </row>
    <row r="1249" spans="1:11" ht="12.75" x14ac:dyDescent="0.2">
      <c r="A1249" s="256"/>
      <c r="B1249" s="256"/>
      <c r="C1249" s="256"/>
      <c r="D1249" s="256"/>
      <c r="E1249" s="256"/>
      <c r="F1249" s="256"/>
      <c r="G1249" s="256"/>
      <c r="H1249" s="256"/>
      <c r="I1249" s="256"/>
      <c r="J1249" s="256"/>
      <c r="K1249" s="256"/>
    </row>
    <row r="1250" spans="1:11" ht="12.75" x14ac:dyDescent="0.2">
      <c r="A1250" s="256"/>
      <c r="B1250" s="256"/>
      <c r="C1250" s="256"/>
      <c r="D1250" s="256"/>
      <c r="E1250" s="256"/>
      <c r="F1250" s="256"/>
      <c r="G1250" s="256"/>
      <c r="H1250" s="256"/>
      <c r="I1250" s="256"/>
      <c r="J1250" s="256"/>
      <c r="K1250" s="256"/>
    </row>
    <row r="1251" spans="1:11" ht="12.75" x14ac:dyDescent="0.2">
      <c r="A1251" s="256"/>
      <c r="B1251" s="256"/>
      <c r="C1251" s="256"/>
      <c r="D1251" s="256"/>
      <c r="E1251" s="256"/>
      <c r="F1251" s="256"/>
      <c r="G1251" s="256"/>
      <c r="H1251" s="256"/>
      <c r="I1251" s="256"/>
      <c r="J1251" s="256"/>
      <c r="K1251" s="256"/>
    </row>
    <row r="1252" spans="1:11" ht="12.75" x14ac:dyDescent="0.2">
      <c r="A1252" s="256"/>
      <c r="B1252" s="256"/>
      <c r="C1252" s="256"/>
      <c r="D1252" s="256"/>
      <c r="E1252" s="256"/>
      <c r="F1252" s="256"/>
      <c r="G1252" s="256"/>
      <c r="H1252" s="256"/>
      <c r="I1252" s="256"/>
      <c r="J1252" s="256"/>
      <c r="K1252" s="256"/>
    </row>
    <row r="1253" spans="1:11" ht="12.75" x14ac:dyDescent="0.2">
      <c r="A1253" s="256"/>
      <c r="B1253" s="256"/>
      <c r="C1253" s="256"/>
      <c r="D1253" s="256"/>
      <c r="E1253" s="256"/>
      <c r="F1253" s="256"/>
      <c r="G1253" s="256"/>
      <c r="H1253" s="256"/>
      <c r="I1253" s="256"/>
      <c r="J1253" s="256"/>
      <c r="K1253" s="256"/>
    </row>
    <row r="1254" spans="1:11" ht="12.75" x14ac:dyDescent="0.2">
      <c r="A1254" s="256"/>
      <c r="B1254" s="256"/>
      <c r="C1254" s="256"/>
      <c r="D1254" s="256"/>
      <c r="E1254" s="256"/>
      <c r="F1254" s="256"/>
      <c r="G1254" s="256"/>
      <c r="H1254" s="256"/>
      <c r="I1254" s="256"/>
      <c r="J1254" s="256"/>
      <c r="K1254" s="256"/>
    </row>
    <row r="1255" spans="1:11" ht="12.75" x14ac:dyDescent="0.2">
      <c r="A1255" s="256"/>
      <c r="B1255" s="256"/>
      <c r="C1255" s="256"/>
      <c r="D1255" s="256"/>
      <c r="E1255" s="256"/>
      <c r="F1255" s="256"/>
      <c r="G1255" s="256"/>
      <c r="H1255" s="256"/>
      <c r="I1255" s="256"/>
      <c r="J1255" s="256"/>
      <c r="K1255" s="256"/>
    </row>
    <row r="1256" spans="1:11" ht="12.75" x14ac:dyDescent="0.2">
      <c r="A1256" s="256"/>
      <c r="B1256" s="256"/>
      <c r="C1256" s="256"/>
      <c r="D1256" s="256"/>
      <c r="E1256" s="256"/>
      <c r="F1256" s="256"/>
      <c r="G1256" s="256"/>
      <c r="H1256" s="256"/>
      <c r="I1256" s="256"/>
      <c r="J1256" s="256"/>
      <c r="K1256" s="256"/>
    </row>
    <row r="1257" spans="1:11" ht="12.75" x14ac:dyDescent="0.2">
      <c r="A1257" s="256"/>
      <c r="B1257" s="256"/>
      <c r="C1257" s="256"/>
      <c r="D1257" s="256"/>
      <c r="E1257" s="256"/>
      <c r="F1257" s="256"/>
      <c r="G1257" s="256"/>
      <c r="H1257" s="256"/>
      <c r="I1257" s="256"/>
      <c r="J1257" s="256"/>
      <c r="K1257" s="256"/>
    </row>
    <row r="1258" spans="1:11" ht="12.75" x14ac:dyDescent="0.2">
      <c r="A1258" s="256"/>
      <c r="B1258" s="256"/>
      <c r="C1258" s="256"/>
      <c r="D1258" s="256"/>
      <c r="E1258" s="256"/>
      <c r="F1258" s="256"/>
      <c r="G1258" s="256"/>
      <c r="H1258" s="256"/>
      <c r="I1258" s="256"/>
      <c r="J1258" s="256"/>
      <c r="K1258" s="256"/>
    </row>
    <row r="1259" spans="1:11" ht="12.75" x14ac:dyDescent="0.2">
      <c r="A1259" s="256"/>
      <c r="B1259" s="256"/>
      <c r="C1259" s="256"/>
      <c r="D1259" s="256"/>
      <c r="E1259" s="256"/>
      <c r="F1259" s="256"/>
      <c r="G1259" s="256"/>
      <c r="H1259" s="256"/>
      <c r="I1259" s="256"/>
      <c r="J1259" s="256"/>
      <c r="K1259" s="256"/>
    </row>
    <row r="1260" spans="1:11" ht="12.75" x14ac:dyDescent="0.2">
      <c r="A1260" s="256"/>
      <c r="B1260" s="256"/>
      <c r="C1260" s="256"/>
      <c r="D1260" s="256"/>
      <c r="E1260" s="256"/>
      <c r="F1260" s="256"/>
      <c r="G1260" s="256"/>
      <c r="H1260" s="256"/>
      <c r="I1260" s="256"/>
      <c r="J1260" s="256"/>
      <c r="K1260" s="256"/>
    </row>
    <row r="1261" spans="1:11" ht="12.75" x14ac:dyDescent="0.2">
      <c r="A1261" s="256"/>
      <c r="B1261" s="256"/>
      <c r="C1261" s="256"/>
      <c r="D1261" s="256"/>
      <c r="E1261" s="256"/>
      <c r="F1261" s="256"/>
      <c r="G1261" s="256"/>
      <c r="H1261" s="256"/>
      <c r="I1261" s="256"/>
      <c r="J1261" s="256"/>
      <c r="K1261" s="256"/>
    </row>
    <row r="1262" spans="1:11" ht="12.75" x14ac:dyDescent="0.2">
      <c r="A1262" s="256"/>
      <c r="B1262" s="256"/>
      <c r="C1262" s="256"/>
      <c r="D1262" s="256"/>
      <c r="E1262" s="256"/>
      <c r="F1262" s="256"/>
      <c r="G1262" s="256"/>
      <c r="H1262" s="256"/>
      <c r="I1262" s="256"/>
      <c r="J1262" s="256"/>
      <c r="K1262" s="256"/>
    </row>
    <row r="1263" spans="1:11" ht="12.75" x14ac:dyDescent="0.2">
      <c r="A1263" s="256"/>
      <c r="B1263" s="256"/>
      <c r="C1263" s="256"/>
      <c r="D1263" s="256"/>
      <c r="E1263" s="256"/>
      <c r="F1263" s="256"/>
      <c r="G1263" s="256"/>
      <c r="H1263" s="256"/>
      <c r="I1263" s="256"/>
      <c r="J1263" s="256"/>
      <c r="K1263" s="256"/>
    </row>
    <row r="1264" spans="1:11" ht="12.75" x14ac:dyDescent="0.2">
      <c r="A1264" s="256"/>
      <c r="B1264" s="256"/>
      <c r="C1264" s="256"/>
      <c r="D1264" s="256"/>
      <c r="E1264" s="256"/>
      <c r="F1264" s="256"/>
      <c r="G1264" s="256"/>
      <c r="H1264" s="256"/>
      <c r="I1264" s="256"/>
      <c r="J1264" s="256"/>
      <c r="K1264" s="256"/>
    </row>
    <row r="1265" spans="1:11" ht="12.75" x14ac:dyDescent="0.2">
      <c r="A1265" s="256"/>
      <c r="B1265" s="256"/>
      <c r="C1265" s="256"/>
      <c r="D1265" s="256"/>
      <c r="E1265" s="256"/>
      <c r="F1265" s="256"/>
      <c r="G1265" s="256"/>
      <c r="H1265" s="256"/>
      <c r="I1265" s="256"/>
      <c r="J1265" s="256"/>
      <c r="K1265" s="256"/>
    </row>
    <row r="1266" spans="1:11" ht="12.75" x14ac:dyDescent="0.2">
      <c r="A1266" s="256"/>
      <c r="B1266" s="256"/>
      <c r="C1266" s="256"/>
      <c r="D1266" s="256"/>
      <c r="E1266" s="256"/>
      <c r="F1266" s="256"/>
      <c r="G1266" s="256"/>
      <c r="H1266" s="256"/>
      <c r="I1266" s="256"/>
      <c r="J1266" s="256"/>
      <c r="K1266" s="256"/>
    </row>
    <row r="1267" spans="1:11" ht="12.75" x14ac:dyDescent="0.2">
      <c r="A1267" s="256"/>
      <c r="B1267" s="256"/>
      <c r="C1267" s="256"/>
      <c r="D1267" s="256"/>
      <c r="E1267" s="256"/>
      <c r="F1267" s="256"/>
      <c r="G1267" s="256"/>
      <c r="H1267" s="256"/>
      <c r="I1267" s="256"/>
      <c r="J1267" s="256"/>
      <c r="K1267" s="256"/>
    </row>
    <row r="1268" spans="1:11" ht="12.75" x14ac:dyDescent="0.2">
      <c r="A1268" s="256"/>
      <c r="B1268" s="256"/>
      <c r="C1268" s="256"/>
      <c r="D1268" s="256"/>
      <c r="E1268" s="256"/>
      <c r="F1268" s="256"/>
      <c r="G1268" s="256"/>
      <c r="H1268" s="256"/>
      <c r="I1268" s="256"/>
      <c r="J1268" s="256"/>
      <c r="K1268" s="256"/>
    </row>
    <row r="1269" spans="1:11" ht="12.75" x14ac:dyDescent="0.2">
      <c r="A1269" s="256"/>
      <c r="B1269" s="256"/>
      <c r="C1269" s="256"/>
      <c r="D1269" s="256"/>
      <c r="E1269" s="256"/>
      <c r="F1269" s="256"/>
      <c r="G1269" s="256"/>
      <c r="H1269" s="256"/>
      <c r="I1269" s="256"/>
      <c r="J1269" s="256"/>
      <c r="K1269" s="256"/>
    </row>
    <row r="1270" spans="1:11" ht="12.75" x14ac:dyDescent="0.2">
      <c r="A1270" s="256"/>
      <c r="B1270" s="256"/>
      <c r="C1270" s="256"/>
      <c r="D1270" s="256"/>
      <c r="E1270" s="256"/>
      <c r="F1270" s="256"/>
      <c r="G1270" s="256"/>
      <c r="H1270" s="256"/>
      <c r="I1270" s="256"/>
      <c r="J1270" s="256"/>
      <c r="K1270" s="256"/>
    </row>
    <row r="1271" spans="1:11" ht="12.75" x14ac:dyDescent="0.2">
      <c r="A1271" s="256"/>
      <c r="B1271" s="256"/>
      <c r="C1271" s="256"/>
      <c r="D1271" s="256"/>
      <c r="E1271" s="256"/>
      <c r="F1271" s="256"/>
      <c r="G1271" s="256"/>
      <c r="H1271" s="256"/>
      <c r="I1271" s="256"/>
      <c r="J1271" s="256"/>
      <c r="K1271" s="256"/>
    </row>
    <row r="1272" spans="1:11" ht="12.75" x14ac:dyDescent="0.2">
      <c r="A1272" s="256"/>
      <c r="B1272" s="256"/>
      <c r="C1272" s="256"/>
      <c r="D1272" s="256"/>
      <c r="E1272" s="256"/>
      <c r="F1272" s="256"/>
      <c r="G1272" s="256"/>
      <c r="H1272" s="256"/>
      <c r="I1272" s="256"/>
      <c r="J1272" s="256"/>
      <c r="K1272" s="256"/>
    </row>
    <row r="1273" spans="1:11" ht="12.75" x14ac:dyDescent="0.2">
      <c r="A1273" s="256"/>
      <c r="B1273" s="256"/>
      <c r="C1273" s="256"/>
      <c r="D1273" s="256"/>
      <c r="E1273" s="256"/>
      <c r="F1273" s="256"/>
      <c r="G1273" s="256"/>
      <c r="H1273" s="256"/>
      <c r="I1273" s="256"/>
      <c r="J1273" s="256"/>
      <c r="K1273" s="256"/>
    </row>
    <row r="1274" spans="1:11" ht="12.75" x14ac:dyDescent="0.2">
      <c r="A1274" s="256"/>
      <c r="B1274" s="256"/>
      <c r="C1274" s="256"/>
      <c r="D1274" s="256"/>
      <c r="E1274" s="256"/>
      <c r="F1274" s="256"/>
      <c r="G1274" s="256"/>
      <c r="H1274" s="256"/>
      <c r="I1274" s="256"/>
      <c r="J1274" s="256"/>
      <c r="K1274" s="256"/>
    </row>
    <row r="1275" spans="1:11" ht="12.75" x14ac:dyDescent="0.2">
      <c r="A1275" s="256"/>
      <c r="B1275" s="256"/>
      <c r="C1275" s="256"/>
      <c r="D1275" s="256"/>
      <c r="E1275" s="256"/>
      <c r="F1275" s="256"/>
      <c r="G1275" s="256"/>
      <c r="H1275" s="256"/>
      <c r="I1275" s="256"/>
      <c r="J1275" s="256"/>
      <c r="K1275" s="256"/>
    </row>
    <row r="1276" spans="1:11" ht="12.75" x14ac:dyDescent="0.2">
      <c r="A1276" s="256"/>
      <c r="B1276" s="256"/>
      <c r="C1276" s="256"/>
      <c r="D1276" s="256"/>
      <c r="E1276" s="256"/>
      <c r="F1276" s="256"/>
      <c r="G1276" s="256"/>
      <c r="H1276" s="256"/>
      <c r="I1276" s="256"/>
      <c r="J1276" s="256"/>
      <c r="K1276" s="256"/>
    </row>
    <row r="1277" spans="1:11" ht="12.75" x14ac:dyDescent="0.2">
      <c r="A1277" s="256"/>
      <c r="B1277" s="256"/>
      <c r="C1277" s="256"/>
      <c r="D1277" s="256"/>
      <c r="E1277" s="256"/>
      <c r="F1277" s="256"/>
      <c r="G1277" s="256"/>
      <c r="H1277" s="256"/>
      <c r="I1277" s="256"/>
      <c r="J1277" s="256"/>
      <c r="K1277" s="256"/>
    </row>
    <row r="1278" spans="1:11" ht="12.75" x14ac:dyDescent="0.2">
      <c r="A1278" s="256"/>
      <c r="B1278" s="256"/>
      <c r="C1278" s="256"/>
      <c r="D1278" s="256"/>
      <c r="E1278" s="256"/>
      <c r="F1278" s="256"/>
      <c r="G1278" s="256"/>
      <c r="H1278" s="256"/>
      <c r="I1278" s="256"/>
      <c r="J1278" s="256"/>
      <c r="K1278" s="256"/>
    </row>
    <row r="1279" spans="1:11" ht="12.75" x14ac:dyDescent="0.2">
      <c r="A1279" s="256"/>
      <c r="B1279" s="256"/>
      <c r="C1279" s="256"/>
      <c r="D1279" s="256"/>
      <c r="E1279" s="256"/>
      <c r="F1279" s="256"/>
      <c r="G1279" s="256"/>
      <c r="H1279" s="256"/>
      <c r="I1279" s="256"/>
      <c r="J1279" s="256"/>
      <c r="K1279" s="256"/>
    </row>
    <row r="1280" spans="1:11" ht="12.75" x14ac:dyDescent="0.2">
      <c r="A1280" s="256"/>
      <c r="B1280" s="256"/>
      <c r="C1280" s="256"/>
      <c r="D1280" s="256"/>
      <c r="E1280" s="256"/>
      <c r="F1280" s="256"/>
      <c r="G1280" s="256"/>
      <c r="H1280" s="256"/>
      <c r="I1280" s="256"/>
      <c r="J1280" s="256"/>
      <c r="K1280" s="256"/>
    </row>
    <row r="1281" spans="1:11" ht="12.75" x14ac:dyDescent="0.2">
      <c r="A1281" s="256"/>
      <c r="B1281" s="256"/>
      <c r="C1281" s="256"/>
      <c r="D1281" s="256"/>
      <c r="E1281" s="256"/>
      <c r="F1281" s="256"/>
      <c r="G1281" s="256"/>
      <c r="H1281" s="256"/>
      <c r="I1281" s="256"/>
      <c r="J1281" s="256"/>
      <c r="K1281" s="256"/>
    </row>
    <row r="1282" spans="1:11" ht="12.75" x14ac:dyDescent="0.2">
      <c r="A1282" s="256"/>
      <c r="B1282" s="256"/>
      <c r="C1282" s="256"/>
      <c r="D1282" s="256"/>
      <c r="E1282" s="256"/>
      <c r="F1282" s="256"/>
      <c r="G1282" s="256"/>
      <c r="H1282" s="256"/>
      <c r="I1282" s="256"/>
      <c r="J1282" s="256"/>
      <c r="K1282" s="256"/>
    </row>
    <row r="1283" spans="1:11" ht="12.75" x14ac:dyDescent="0.2">
      <c r="A1283" s="256"/>
      <c r="B1283" s="256"/>
      <c r="C1283" s="256"/>
      <c r="D1283" s="256"/>
      <c r="E1283" s="256"/>
      <c r="F1283" s="256"/>
      <c r="G1283" s="256"/>
      <c r="H1283" s="256"/>
      <c r="I1283" s="256"/>
      <c r="J1283" s="256"/>
      <c r="K1283" s="256"/>
    </row>
    <row r="1284" spans="1:11" ht="12.75" x14ac:dyDescent="0.2">
      <c r="A1284" s="256"/>
      <c r="B1284" s="256"/>
      <c r="C1284" s="256"/>
      <c r="D1284" s="256"/>
      <c r="E1284" s="256"/>
      <c r="F1284" s="256"/>
      <c r="G1284" s="256"/>
      <c r="H1284" s="256"/>
      <c r="I1284" s="256"/>
      <c r="J1284" s="256"/>
      <c r="K1284" s="256"/>
    </row>
    <row r="1285" spans="1:11" ht="12.75" x14ac:dyDescent="0.2">
      <c r="A1285" s="256"/>
      <c r="B1285" s="256"/>
      <c r="C1285" s="256"/>
      <c r="D1285" s="256"/>
      <c r="E1285" s="256"/>
      <c r="F1285" s="256"/>
      <c r="G1285" s="256"/>
      <c r="H1285" s="256"/>
      <c r="I1285" s="256"/>
      <c r="J1285" s="256"/>
      <c r="K1285" s="256"/>
    </row>
    <row r="1286" spans="1:11" ht="12.75" x14ac:dyDescent="0.2">
      <c r="A1286" s="256"/>
      <c r="B1286" s="256"/>
      <c r="C1286" s="256"/>
      <c r="D1286" s="256"/>
      <c r="E1286" s="256"/>
      <c r="F1286" s="256"/>
      <c r="G1286" s="256"/>
      <c r="H1286" s="256"/>
      <c r="I1286" s="256"/>
      <c r="J1286" s="256"/>
      <c r="K1286" s="256"/>
    </row>
    <row r="1287" spans="1:11" ht="12.75" x14ac:dyDescent="0.2">
      <c r="A1287" s="256"/>
      <c r="B1287" s="256"/>
      <c r="C1287" s="256"/>
      <c r="D1287" s="256"/>
      <c r="E1287" s="256"/>
      <c r="F1287" s="256"/>
      <c r="G1287" s="256"/>
      <c r="H1287" s="256"/>
      <c r="I1287" s="256"/>
      <c r="J1287" s="256"/>
      <c r="K1287" s="256"/>
    </row>
    <row r="1288" spans="1:11" ht="12.75" x14ac:dyDescent="0.2">
      <c r="A1288" s="256"/>
      <c r="B1288" s="256"/>
      <c r="C1288" s="256"/>
      <c r="D1288" s="256"/>
      <c r="E1288" s="256"/>
      <c r="F1288" s="256"/>
      <c r="G1288" s="256"/>
      <c r="H1288" s="256"/>
      <c r="I1288" s="256"/>
      <c r="J1288" s="256"/>
      <c r="K1288" s="256"/>
    </row>
    <row r="1289" spans="1:11" ht="12.75" x14ac:dyDescent="0.2">
      <c r="A1289" s="256"/>
      <c r="B1289" s="256"/>
      <c r="C1289" s="256"/>
      <c r="D1289" s="256"/>
      <c r="E1289" s="256"/>
      <c r="F1289" s="256"/>
      <c r="G1289" s="256"/>
      <c r="H1289" s="256"/>
      <c r="I1289" s="256"/>
      <c r="J1289" s="256"/>
      <c r="K1289" s="256"/>
    </row>
    <row r="1290" spans="1:11" ht="12.75" x14ac:dyDescent="0.2">
      <c r="A1290" s="256"/>
      <c r="B1290" s="256"/>
      <c r="C1290" s="256"/>
      <c r="D1290" s="256"/>
      <c r="E1290" s="256"/>
      <c r="F1290" s="256"/>
      <c r="G1290" s="256"/>
      <c r="H1290" s="256"/>
      <c r="I1290" s="256"/>
      <c r="J1290" s="256"/>
      <c r="K1290" s="256"/>
    </row>
    <row r="1291" spans="1:11" ht="12.75" x14ac:dyDescent="0.2">
      <c r="A1291" s="256"/>
      <c r="B1291" s="256"/>
      <c r="C1291" s="256"/>
      <c r="D1291" s="256"/>
      <c r="E1291" s="256"/>
      <c r="F1291" s="256"/>
      <c r="G1291" s="256"/>
      <c r="H1291" s="256"/>
      <c r="I1291" s="256"/>
      <c r="J1291" s="256"/>
      <c r="K1291" s="256"/>
    </row>
    <row r="1292" spans="1:11" ht="12.75" x14ac:dyDescent="0.2">
      <c r="A1292" s="256"/>
      <c r="B1292" s="256"/>
      <c r="C1292" s="256"/>
      <c r="D1292" s="256"/>
      <c r="E1292" s="256"/>
      <c r="F1292" s="256"/>
      <c r="G1292" s="256"/>
      <c r="H1292" s="256"/>
      <c r="I1292" s="256"/>
      <c r="J1292" s="256"/>
      <c r="K1292" s="256"/>
    </row>
    <row r="1293" spans="1:11" ht="12.75" x14ac:dyDescent="0.2">
      <c r="A1293" s="256"/>
      <c r="B1293" s="256"/>
      <c r="C1293" s="256"/>
      <c r="D1293" s="256"/>
      <c r="E1293" s="256"/>
      <c r="F1293" s="256"/>
      <c r="G1293" s="256"/>
      <c r="H1293" s="256"/>
      <c r="I1293" s="256"/>
      <c r="J1293" s="256"/>
      <c r="K1293" s="256"/>
    </row>
    <row r="1294" spans="1:11" ht="12.75" x14ac:dyDescent="0.2">
      <c r="A1294" s="256"/>
      <c r="B1294" s="256"/>
      <c r="C1294" s="256"/>
      <c r="D1294" s="256"/>
      <c r="E1294" s="256"/>
      <c r="F1294" s="256"/>
      <c r="G1294" s="256"/>
      <c r="H1294" s="256"/>
      <c r="I1294" s="256"/>
      <c r="J1294" s="256"/>
      <c r="K1294" s="256"/>
    </row>
    <row r="1295" spans="1:11" ht="12.75" x14ac:dyDescent="0.2">
      <c r="A1295" s="256"/>
      <c r="B1295" s="256"/>
      <c r="C1295" s="256"/>
      <c r="D1295" s="256"/>
      <c r="E1295" s="256"/>
      <c r="F1295" s="256"/>
      <c r="G1295" s="256"/>
      <c r="H1295" s="256"/>
      <c r="I1295" s="256"/>
      <c r="J1295" s="256"/>
      <c r="K1295" s="256"/>
    </row>
    <row r="1296" spans="1:11" ht="12.75" x14ac:dyDescent="0.2">
      <c r="A1296" s="256"/>
      <c r="B1296" s="256"/>
      <c r="C1296" s="256"/>
      <c r="D1296" s="256"/>
      <c r="E1296" s="256"/>
      <c r="F1296" s="256"/>
      <c r="G1296" s="256"/>
      <c r="H1296" s="256"/>
      <c r="I1296" s="256"/>
      <c r="J1296" s="256"/>
      <c r="K1296" s="256"/>
    </row>
    <row r="1297" spans="1:11" ht="12.75" x14ac:dyDescent="0.2">
      <c r="A1297" s="256"/>
      <c r="B1297" s="256"/>
      <c r="C1297" s="256"/>
      <c r="D1297" s="256"/>
      <c r="E1297" s="256"/>
      <c r="F1297" s="256"/>
      <c r="G1297" s="256"/>
      <c r="H1297" s="256"/>
      <c r="I1297" s="256"/>
      <c r="J1297" s="256"/>
      <c r="K1297" s="256"/>
    </row>
    <row r="1298" spans="1:11" ht="12.75" x14ac:dyDescent="0.2">
      <c r="A1298" s="256"/>
      <c r="B1298" s="256"/>
      <c r="C1298" s="256"/>
      <c r="D1298" s="256"/>
      <c r="E1298" s="256"/>
      <c r="F1298" s="256"/>
      <c r="G1298" s="256"/>
      <c r="H1298" s="256"/>
      <c r="I1298" s="256"/>
      <c r="J1298" s="256"/>
      <c r="K1298" s="256"/>
    </row>
    <row r="1299" spans="1:11" ht="12.75" x14ac:dyDescent="0.2">
      <c r="A1299" s="256"/>
      <c r="B1299" s="256"/>
      <c r="C1299" s="256"/>
      <c r="D1299" s="256"/>
      <c r="E1299" s="256"/>
      <c r="F1299" s="256"/>
      <c r="G1299" s="256"/>
      <c r="H1299" s="256"/>
      <c r="I1299" s="256"/>
      <c r="J1299" s="256"/>
      <c r="K1299" s="256"/>
    </row>
    <row r="1300" spans="1:11" ht="12.75" x14ac:dyDescent="0.2">
      <c r="A1300" s="256"/>
      <c r="B1300" s="256"/>
      <c r="C1300" s="256"/>
      <c r="D1300" s="256"/>
      <c r="E1300" s="256"/>
      <c r="F1300" s="256"/>
      <c r="G1300" s="256"/>
      <c r="H1300" s="256"/>
      <c r="I1300" s="256"/>
      <c r="J1300" s="256"/>
      <c r="K1300" s="256"/>
    </row>
    <row r="1301" spans="1:11" ht="12.75" x14ac:dyDescent="0.2">
      <c r="A1301" s="256"/>
      <c r="B1301" s="256"/>
      <c r="C1301" s="256"/>
      <c r="D1301" s="256"/>
      <c r="E1301" s="256"/>
      <c r="F1301" s="256"/>
      <c r="G1301" s="256"/>
      <c r="H1301" s="256"/>
      <c r="I1301" s="256"/>
      <c r="J1301" s="256"/>
      <c r="K1301" s="256"/>
    </row>
    <row r="1302" spans="1:11" ht="12.75" x14ac:dyDescent="0.2">
      <c r="A1302" s="256"/>
      <c r="B1302" s="256"/>
      <c r="C1302" s="256"/>
      <c r="D1302" s="256"/>
      <c r="E1302" s="256"/>
      <c r="F1302" s="256"/>
      <c r="G1302" s="256"/>
      <c r="H1302" s="256"/>
      <c r="I1302" s="256"/>
      <c r="J1302" s="256"/>
      <c r="K1302" s="256"/>
    </row>
    <row r="1303" spans="1:11" ht="12.75" x14ac:dyDescent="0.2">
      <c r="A1303" s="256"/>
      <c r="B1303" s="256"/>
      <c r="C1303" s="256"/>
      <c r="D1303" s="256"/>
      <c r="E1303" s="256"/>
      <c r="F1303" s="256"/>
      <c r="G1303" s="256"/>
      <c r="H1303" s="256"/>
      <c r="I1303" s="256"/>
      <c r="J1303" s="256"/>
      <c r="K1303" s="256"/>
    </row>
    <row r="1304" spans="1:11" ht="12.75" x14ac:dyDescent="0.2">
      <c r="A1304" s="256"/>
      <c r="B1304" s="256"/>
      <c r="C1304" s="256"/>
      <c r="D1304" s="256"/>
      <c r="E1304" s="256"/>
      <c r="F1304" s="256"/>
      <c r="G1304" s="256"/>
      <c r="H1304" s="256"/>
      <c r="I1304" s="256"/>
      <c r="J1304" s="256"/>
      <c r="K1304" s="256"/>
    </row>
    <row r="1305" spans="1:11" ht="12.75" x14ac:dyDescent="0.2">
      <c r="A1305" s="256"/>
      <c r="B1305" s="256"/>
      <c r="C1305" s="256"/>
      <c r="D1305" s="256"/>
      <c r="E1305" s="256"/>
      <c r="F1305" s="256"/>
      <c r="G1305" s="256"/>
      <c r="H1305" s="256"/>
      <c r="I1305" s="256"/>
      <c r="J1305" s="256"/>
      <c r="K1305" s="256"/>
    </row>
    <row r="1306" spans="1:11" ht="12.75" x14ac:dyDescent="0.2">
      <c r="A1306" s="256"/>
      <c r="B1306" s="256"/>
      <c r="C1306" s="256"/>
      <c r="D1306" s="256"/>
      <c r="E1306" s="256"/>
      <c r="F1306" s="256"/>
      <c r="G1306" s="256"/>
      <c r="H1306" s="256"/>
      <c r="I1306" s="256"/>
      <c r="J1306" s="256"/>
      <c r="K1306" s="256"/>
    </row>
    <row r="1307" spans="1:11" ht="12.75" x14ac:dyDescent="0.2">
      <c r="A1307" s="256"/>
      <c r="B1307" s="256"/>
      <c r="C1307" s="256"/>
      <c r="D1307" s="256"/>
      <c r="E1307" s="256"/>
      <c r="F1307" s="256"/>
      <c r="G1307" s="256"/>
      <c r="H1307" s="256"/>
      <c r="I1307" s="256"/>
      <c r="J1307" s="256"/>
      <c r="K1307" s="256"/>
    </row>
    <row r="1308" spans="1:11" ht="12.75" x14ac:dyDescent="0.2">
      <c r="A1308" s="256"/>
      <c r="B1308" s="256"/>
      <c r="C1308" s="256"/>
      <c r="D1308" s="256"/>
      <c r="E1308" s="256"/>
      <c r="F1308" s="256"/>
      <c r="G1308" s="256"/>
      <c r="H1308" s="256"/>
      <c r="I1308" s="256"/>
      <c r="J1308" s="256"/>
      <c r="K1308" s="256"/>
    </row>
    <row r="1309" spans="1:11" ht="12.75" x14ac:dyDescent="0.2">
      <c r="A1309" s="256"/>
      <c r="B1309" s="256"/>
      <c r="C1309" s="256"/>
      <c r="D1309" s="256"/>
      <c r="E1309" s="256"/>
      <c r="F1309" s="256"/>
      <c r="G1309" s="256"/>
      <c r="H1309" s="256"/>
      <c r="I1309" s="256"/>
      <c r="J1309" s="256"/>
      <c r="K1309" s="256"/>
    </row>
    <row r="1310" spans="1:11" ht="12.75" x14ac:dyDescent="0.2">
      <c r="A1310" s="256"/>
      <c r="B1310" s="256"/>
      <c r="C1310" s="256"/>
      <c r="D1310" s="256"/>
      <c r="E1310" s="256"/>
      <c r="F1310" s="256"/>
      <c r="G1310" s="256"/>
      <c r="H1310" s="256"/>
      <c r="I1310" s="256"/>
      <c r="J1310" s="256"/>
      <c r="K1310" s="256"/>
    </row>
    <row r="1311" spans="1:11" ht="12.75" x14ac:dyDescent="0.2">
      <c r="A1311" s="256"/>
      <c r="B1311" s="256"/>
      <c r="C1311" s="256"/>
      <c r="D1311" s="256"/>
      <c r="E1311" s="256"/>
      <c r="F1311" s="256"/>
      <c r="G1311" s="256"/>
      <c r="H1311" s="256"/>
      <c r="I1311" s="256"/>
      <c r="J1311" s="256"/>
      <c r="K1311" s="256"/>
    </row>
    <row r="1312" spans="1:11" ht="12.75" x14ac:dyDescent="0.2">
      <c r="A1312" s="256"/>
      <c r="B1312" s="256"/>
      <c r="C1312" s="256"/>
      <c r="D1312" s="256"/>
      <c r="E1312" s="256"/>
      <c r="F1312" s="256"/>
      <c r="G1312" s="256"/>
      <c r="H1312" s="256"/>
      <c r="I1312" s="256"/>
      <c r="J1312" s="256"/>
      <c r="K1312" s="256"/>
    </row>
    <row r="1313" spans="1:11" ht="12.75" x14ac:dyDescent="0.2">
      <c r="A1313" s="256"/>
      <c r="B1313" s="256"/>
      <c r="C1313" s="256"/>
      <c r="D1313" s="256"/>
      <c r="E1313" s="256"/>
      <c r="F1313" s="256"/>
      <c r="G1313" s="256"/>
      <c r="H1313" s="256"/>
      <c r="I1313" s="256"/>
      <c r="J1313" s="256"/>
      <c r="K1313" s="256"/>
    </row>
    <row r="1314" spans="1:11" ht="12.75" x14ac:dyDescent="0.2">
      <c r="A1314" s="256"/>
      <c r="B1314" s="256"/>
      <c r="C1314" s="256"/>
      <c r="D1314" s="256"/>
      <c r="E1314" s="256"/>
      <c r="F1314" s="256"/>
      <c r="G1314" s="256"/>
      <c r="H1314" s="256"/>
      <c r="I1314" s="256"/>
      <c r="J1314" s="256"/>
      <c r="K1314" s="256"/>
    </row>
    <row r="1315" spans="1:11" ht="12.75" x14ac:dyDescent="0.2">
      <c r="A1315" s="256"/>
      <c r="B1315" s="256"/>
      <c r="C1315" s="256"/>
      <c r="D1315" s="256"/>
      <c r="E1315" s="256"/>
      <c r="F1315" s="256"/>
      <c r="G1315" s="256"/>
      <c r="H1315" s="256"/>
      <c r="I1315" s="256"/>
      <c r="J1315" s="256"/>
      <c r="K1315" s="256"/>
    </row>
    <row r="1316" spans="1:11" ht="12.75" x14ac:dyDescent="0.2">
      <c r="A1316" s="256"/>
      <c r="B1316" s="256"/>
      <c r="C1316" s="256"/>
      <c r="D1316" s="256"/>
      <c r="E1316" s="256"/>
      <c r="F1316" s="256"/>
      <c r="G1316" s="256"/>
      <c r="H1316" s="256"/>
      <c r="I1316" s="256"/>
      <c r="J1316" s="256"/>
      <c r="K1316" s="256"/>
    </row>
    <row r="1317" spans="1:11" ht="12.75" x14ac:dyDescent="0.2">
      <c r="A1317" s="256"/>
      <c r="B1317" s="256"/>
      <c r="C1317" s="256"/>
      <c r="D1317" s="256"/>
      <c r="E1317" s="256"/>
      <c r="F1317" s="256"/>
      <c r="G1317" s="256"/>
      <c r="H1317" s="256"/>
      <c r="I1317" s="256"/>
      <c r="J1317" s="256"/>
      <c r="K1317" s="256"/>
    </row>
    <row r="1318" spans="1:11" ht="12.75" x14ac:dyDescent="0.2">
      <c r="A1318" s="256"/>
      <c r="B1318" s="256"/>
      <c r="C1318" s="256"/>
      <c r="D1318" s="256"/>
      <c r="E1318" s="256"/>
      <c r="F1318" s="256"/>
      <c r="G1318" s="256"/>
      <c r="H1318" s="256"/>
      <c r="I1318" s="256"/>
      <c r="J1318" s="256"/>
      <c r="K1318" s="256"/>
    </row>
    <row r="1319" spans="1:11" ht="12.75" x14ac:dyDescent="0.2">
      <c r="A1319" s="256"/>
      <c r="B1319" s="256"/>
      <c r="C1319" s="256"/>
      <c r="D1319" s="256"/>
      <c r="E1319" s="256"/>
      <c r="F1319" s="256"/>
      <c r="G1319" s="256"/>
      <c r="H1319" s="256"/>
      <c r="I1319" s="256"/>
      <c r="J1319" s="256"/>
      <c r="K1319" s="256"/>
    </row>
    <row r="1320" spans="1:11" ht="12.75" x14ac:dyDescent="0.2">
      <c r="A1320" s="256"/>
      <c r="B1320" s="256"/>
      <c r="C1320" s="256"/>
      <c r="D1320" s="256"/>
      <c r="E1320" s="256"/>
      <c r="F1320" s="256"/>
      <c r="G1320" s="256"/>
      <c r="H1320" s="256"/>
      <c r="I1320" s="256"/>
      <c r="J1320" s="256"/>
      <c r="K1320" s="256"/>
    </row>
    <row r="1321" spans="1:11" ht="12.75" x14ac:dyDescent="0.2">
      <c r="A1321" s="256"/>
      <c r="B1321" s="256"/>
      <c r="C1321" s="256"/>
      <c r="D1321" s="256"/>
      <c r="E1321" s="256"/>
      <c r="F1321" s="256"/>
      <c r="G1321" s="256"/>
      <c r="H1321" s="256"/>
      <c r="I1321" s="256"/>
      <c r="J1321" s="256"/>
      <c r="K1321" s="256"/>
    </row>
    <row r="1322" spans="1:11" ht="12.75" x14ac:dyDescent="0.2">
      <c r="A1322" s="256"/>
      <c r="B1322" s="256"/>
      <c r="C1322" s="256"/>
      <c r="D1322" s="256"/>
      <c r="E1322" s="256"/>
      <c r="F1322" s="256"/>
      <c r="G1322" s="256"/>
      <c r="H1322" s="256"/>
      <c r="I1322" s="256"/>
      <c r="J1322" s="256"/>
      <c r="K1322" s="256"/>
    </row>
    <row r="1323" spans="1:11" ht="12.75" x14ac:dyDescent="0.2">
      <c r="A1323" s="256"/>
      <c r="B1323" s="256"/>
      <c r="C1323" s="256"/>
      <c r="D1323" s="256"/>
      <c r="E1323" s="256"/>
      <c r="F1323" s="256"/>
      <c r="G1323" s="256"/>
      <c r="H1323" s="256"/>
      <c r="I1323" s="256"/>
      <c r="J1323" s="256"/>
      <c r="K1323" s="256"/>
    </row>
    <row r="1324" spans="1:11" ht="12.75" x14ac:dyDescent="0.2">
      <c r="A1324" s="256"/>
      <c r="B1324" s="256"/>
      <c r="C1324" s="256"/>
      <c r="D1324" s="256"/>
      <c r="E1324" s="256"/>
      <c r="F1324" s="256"/>
      <c r="G1324" s="256"/>
      <c r="H1324" s="256"/>
      <c r="I1324" s="256"/>
      <c r="J1324" s="256"/>
      <c r="K1324" s="256"/>
    </row>
    <row r="1325" spans="1:11" ht="12.75" x14ac:dyDescent="0.2">
      <c r="A1325" s="256"/>
      <c r="B1325" s="256"/>
      <c r="C1325" s="256"/>
      <c r="D1325" s="256"/>
      <c r="E1325" s="256"/>
      <c r="F1325" s="256"/>
      <c r="G1325" s="256"/>
      <c r="H1325" s="256"/>
      <c r="I1325" s="256"/>
      <c r="J1325" s="256"/>
      <c r="K1325" s="256"/>
    </row>
    <row r="1326" spans="1:11" ht="12.75" x14ac:dyDescent="0.2">
      <c r="A1326" s="256"/>
      <c r="B1326" s="256"/>
      <c r="C1326" s="256"/>
      <c r="D1326" s="256"/>
      <c r="E1326" s="256"/>
      <c r="F1326" s="256"/>
      <c r="G1326" s="256"/>
      <c r="H1326" s="256"/>
      <c r="I1326" s="256"/>
      <c r="J1326" s="256"/>
      <c r="K1326" s="256"/>
    </row>
    <row r="1327" spans="1:11" ht="12.75" x14ac:dyDescent="0.2">
      <c r="A1327" s="256"/>
      <c r="B1327" s="256"/>
      <c r="C1327" s="256"/>
      <c r="D1327" s="256"/>
      <c r="E1327" s="256"/>
      <c r="F1327" s="256"/>
      <c r="G1327" s="256"/>
      <c r="H1327" s="256"/>
      <c r="I1327" s="256"/>
      <c r="J1327" s="256"/>
      <c r="K1327" s="256"/>
    </row>
    <row r="1328" spans="1:11" ht="12.75" x14ac:dyDescent="0.2">
      <c r="A1328" s="256"/>
      <c r="B1328" s="256"/>
      <c r="C1328" s="256"/>
      <c r="D1328" s="256"/>
      <c r="E1328" s="256"/>
      <c r="F1328" s="256"/>
      <c r="G1328" s="256"/>
      <c r="H1328" s="256"/>
      <c r="I1328" s="256"/>
      <c r="J1328" s="256"/>
      <c r="K1328" s="256"/>
    </row>
    <row r="1329" spans="1:11" ht="12.75" x14ac:dyDescent="0.2">
      <c r="A1329" s="256"/>
      <c r="B1329" s="256"/>
      <c r="C1329" s="256"/>
      <c r="D1329" s="256"/>
      <c r="E1329" s="256"/>
      <c r="F1329" s="256"/>
      <c r="G1329" s="256"/>
      <c r="H1329" s="256"/>
      <c r="I1329" s="256"/>
      <c r="J1329" s="256"/>
      <c r="K1329" s="256"/>
    </row>
    <row r="1330" spans="1:11" ht="12.75" x14ac:dyDescent="0.2">
      <c r="A1330" s="256"/>
      <c r="B1330" s="256"/>
      <c r="C1330" s="256"/>
      <c r="D1330" s="256"/>
      <c r="E1330" s="256"/>
      <c r="F1330" s="256"/>
      <c r="G1330" s="256"/>
      <c r="H1330" s="256"/>
      <c r="I1330" s="256"/>
      <c r="J1330" s="256"/>
      <c r="K1330" s="256"/>
    </row>
    <row r="1331" spans="1:11" ht="12.75" x14ac:dyDescent="0.2">
      <c r="A1331" s="256"/>
      <c r="B1331" s="256"/>
      <c r="C1331" s="256"/>
      <c r="D1331" s="256"/>
      <c r="E1331" s="256"/>
      <c r="F1331" s="256"/>
      <c r="G1331" s="256"/>
      <c r="H1331" s="256"/>
      <c r="I1331" s="256"/>
      <c r="J1331" s="256"/>
      <c r="K1331" s="256"/>
    </row>
    <row r="1332" spans="1:11" ht="12.75" x14ac:dyDescent="0.2">
      <c r="A1332" s="256"/>
      <c r="B1332" s="256"/>
      <c r="C1332" s="256"/>
      <c r="D1332" s="256"/>
      <c r="E1332" s="256"/>
      <c r="F1332" s="256"/>
      <c r="G1332" s="256"/>
      <c r="H1332" s="256"/>
      <c r="I1332" s="256"/>
      <c r="J1332" s="256"/>
      <c r="K1332" s="256"/>
    </row>
    <row r="1333" spans="1:11" ht="12.75" x14ac:dyDescent="0.2">
      <c r="A1333" s="256"/>
      <c r="B1333" s="256"/>
      <c r="C1333" s="256"/>
      <c r="D1333" s="256"/>
      <c r="E1333" s="256"/>
      <c r="F1333" s="256"/>
      <c r="G1333" s="256"/>
      <c r="H1333" s="256"/>
      <c r="I1333" s="256"/>
      <c r="J1333" s="256"/>
      <c r="K1333" s="256"/>
    </row>
    <row r="1334" spans="1:11" ht="12.75" x14ac:dyDescent="0.2">
      <c r="A1334" s="256"/>
      <c r="B1334" s="256"/>
      <c r="C1334" s="256"/>
      <c r="D1334" s="256"/>
      <c r="E1334" s="256"/>
      <c r="F1334" s="256"/>
      <c r="G1334" s="256"/>
      <c r="H1334" s="256"/>
      <c r="I1334" s="256"/>
      <c r="J1334" s="256"/>
      <c r="K1334" s="256"/>
    </row>
    <row r="1335" spans="1:11" ht="12.75" x14ac:dyDescent="0.2">
      <c r="A1335" s="256"/>
      <c r="B1335" s="256"/>
      <c r="C1335" s="256"/>
      <c r="D1335" s="256"/>
      <c r="E1335" s="256"/>
      <c r="F1335" s="256"/>
      <c r="G1335" s="256"/>
      <c r="H1335" s="256"/>
      <c r="I1335" s="256"/>
      <c r="J1335" s="256"/>
      <c r="K1335" s="256"/>
    </row>
    <row r="1336" spans="1:11" ht="12.75" x14ac:dyDescent="0.2">
      <c r="A1336" s="256"/>
      <c r="B1336" s="256"/>
      <c r="C1336" s="256"/>
      <c r="D1336" s="256"/>
      <c r="E1336" s="256"/>
      <c r="F1336" s="256"/>
      <c r="G1336" s="256"/>
      <c r="H1336" s="256"/>
      <c r="I1336" s="256"/>
      <c r="J1336" s="256"/>
      <c r="K1336" s="256"/>
    </row>
    <row r="1337" spans="1:11" ht="12.75" x14ac:dyDescent="0.2">
      <c r="A1337" s="256"/>
      <c r="B1337" s="256"/>
      <c r="C1337" s="256"/>
      <c r="D1337" s="256"/>
      <c r="E1337" s="256"/>
      <c r="F1337" s="256"/>
      <c r="G1337" s="256"/>
      <c r="H1337" s="256"/>
      <c r="I1337" s="256"/>
      <c r="J1337" s="256"/>
      <c r="K1337" s="256"/>
    </row>
    <row r="1338" spans="1:11" ht="12.75" x14ac:dyDescent="0.2">
      <c r="A1338" s="256"/>
      <c r="B1338" s="256"/>
      <c r="C1338" s="256"/>
      <c r="D1338" s="256"/>
      <c r="E1338" s="256"/>
      <c r="F1338" s="256"/>
      <c r="G1338" s="256"/>
      <c r="H1338" s="256"/>
      <c r="I1338" s="256"/>
      <c r="J1338" s="256"/>
      <c r="K1338" s="256"/>
    </row>
    <row r="1339" spans="1:11" ht="12.75" x14ac:dyDescent="0.2">
      <c r="A1339" s="256"/>
      <c r="B1339" s="256"/>
      <c r="C1339" s="256"/>
      <c r="D1339" s="256"/>
      <c r="E1339" s="256"/>
      <c r="F1339" s="256"/>
      <c r="G1339" s="256"/>
      <c r="H1339" s="256"/>
      <c r="I1339" s="256"/>
      <c r="J1339" s="256"/>
      <c r="K1339" s="256"/>
    </row>
    <row r="1340" spans="1:11" ht="12.75" x14ac:dyDescent="0.2">
      <c r="A1340" s="256"/>
      <c r="B1340" s="256"/>
      <c r="C1340" s="256"/>
      <c r="D1340" s="256"/>
      <c r="E1340" s="256"/>
      <c r="F1340" s="256"/>
      <c r="G1340" s="256"/>
      <c r="H1340" s="256"/>
      <c r="I1340" s="256"/>
      <c r="J1340" s="256"/>
      <c r="K1340" s="256"/>
    </row>
    <row r="1341" spans="1:11" ht="12.75" x14ac:dyDescent="0.2">
      <c r="A1341" s="256"/>
      <c r="B1341" s="256"/>
      <c r="C1341" s="256"/>
      <c r="D1341" s="256"/>
      <c r="E1341" s="256"/>
      <c r="F1341" s="256"/>
      <c r="G1341" s="256"/>
      <c r="H1341" s="256"/>
      <c r="I1341" s="256"/>
      <c r="J1341" s="256"/>
      <c r="K1341" s="256"/>
    </row>
    <row r="1342" spans="1:11" ht="12.75" x14ac:dyDescent="0.2">
      <c r="A1342" s="256"/>
      <c r="B1342" s="256"/>
      <c r="C1342" s="256"/>
      <c r="D1342" s="256"/>
      <c r="E1342" s="256"/>
      <c r="F1342" s="256"/>
      <c r="G1342" s="256"/>
      <c r="H1342" s="256"/>
      <c r="I1342" s="256"/>
      <c r="J1342" s="256"/>
      <c r="K1342" s="256"/>
    </row>
    <row r="1343" spans="1:11" ht="12.75" x14ac:dyDescent="0.2">
      <c r="A1343" s="256"/>
      <c r="B1343" s="256"/>
      <c r="C1343" s="256"/>
      <c r="D1343" s="256"/>
      <c r="E1343" s="256"/>
      <c r="F1343" s="256"/>
      <c r="G1343" s="256"/>
      <c r="H1343" s="256"/>
      <c r="I1343" s="256"/>
      <c r="J1343" s="256"/>
      <c r="K1343" s="256"/>
    </row>
    <row r="1344" spans="1:11" ht="12.75" x14ac:dyDescent="0.2">
      <c r="A1344" s="256"/>
      <c r="B1344" s="256"/>
      <c r="C1344" s="256"/>
      <c r="D1344" s="256"/>
      <c r="E1344" s="256"/>
      <c r="F1344" s="256"/>
      <c r="G1344" s="256"/>
      <c r="H1344" s="256"/>
      <c r="I1344" s="256"/>
      <c r="J1344" s="256"/>
      <c r="K1344" s="256"/>
    </row>
    <row r="1345" spans="1:11" ht="12.75" x14ac:dyDescent="0.2">
      <c r="A1345" s="256"/>
      <c r="B1345" s="256"/>
      <c r="C1345" s="256"/>
      <c r="D1345" s="256"/>
      <c r="E1345" s="256"/>
      <c r="F1345" s="256"/>
      <c r="G1345" s="256"/>
      <c r="H1345" s="256"/>
      <c r="I1345" s="256"/>
      <c r="J1345" s="256"/>
      <c r="K1345" s="256"/>
    </row>
    <row r="1346" spans="1:11" ht="12.75" x14ac:dyDescent="0.2">
      <c r="A1346" s="256"/>
      <c r="B1346" s="256"/>
      <c r="C1346" s="256"/>
      <c r="D1346" s="256"/>
      <c r="E1346" s="256"/>
      <c r="F1346" s="256"/>
      <c r="G1346" s="256"/>
      <c r="H1346" s="256"/>
      <c r="I1346" s="256"/>
      <c r="J1346" s="256"/>
      <c r="K1346" s="256"/>
    </row>
    <row r="1347" spans="1:11" ht="12.75" x14ac:dyDescent="0.2">
      <c r="A1347" s="256"/>
      <c r="B1347" s="256"/>
      <c r="C1347" s="256"/>
      <c r="D1347" s="256"/>
      <c r="E1347" s="256"/>
      <c r="F1347" s="256"/>
      <c r="G1347" s="256"/>
      <c r="H1347" s="256"/>
      <c r="I1347" s="256"/>
      <c r="J1347" s="256"/>
      <c r="K1347" s="256"/>
    </row>
    <row r="1348" spans="1:11" ht="12.75" x14ac:dyDescent="0.2">
      <c r="A1348" s="256"/>
      <c r="B1348" s="256"/>
      <c r="C1348" s="256"/>
      <c r="D1348" s="256"/>
      <c r="E1348" s="256"/>
      <c r="F1348" s="256"/>
      <c r="G1348" s="256"/>
      <c r="H1348" s="256"/>
      <c r="I1348" s="256"/>
      <c r="J1348" s="256"/>
      <c r="K1348" s="256"/>
    </row>
    <row r="1349" spans="1:11" ht="12.75" x14ac:dyDescent="0.2">
      <c r="A1349" s="256"/>
      <c r="B1349" s="256"/>
      <c r="C1349" s="256"/>
      <c r="D1349" s="256"/>
      <c r="E1349" s="256"/>
      <c r="F1349" s="256"/>
      <c r="G1349" s="256"/>
      <c r="H1349" s="256"/>
      <c r="I1349" s="256"/>
      <c r="J1349" s="256"/>
      <c r="K1349" s="256"/>
    </row>
    <row r="1350" spans="1:11" ht="12.75" x14ac:dyDescent="0.2">
      <c r="A1350" s="256"/>
      <c r="B1350" s="256"/>
      <c r="C1350" s="256"/>
      <c r="D1350" s="256"/>
      <c r="E1350" s="256"/>
      <c r="F1350" s="256"/>
      <c r="G1350" s="256"/>
      <c r="H1350" s="256"/>
      <c r="I1350" s="256"/>
      <c r="J1350" s="256"/>
      <c r="K1350" s="256"/>
    </row>
    <row r="1351" spans="1:11" ht="12.75" x14ac:dyDescent="0.2">
      <c r="A1351" s="256"/>
      <c r="B1351" s="256"/>
      <c r="C1351" s="256"/>
      <c r="D1351" s="256"/>
      <c r="E1351" s="256"/>
      <c r="F1351" s="256"/>
      <c r="G1351" s="256"/>
      <c r="H1351" s="256"/>
      <c r="I1351" s="256"/>
      <c r="J1351" s="256"/>
      <c r="K1351" s="256"/>
    </row>
    <row r="1352" spans="1:11" ht="12.75" x14ac:dyDescent="0.2">
      <c r="A1352" s="256"/>
      <c r="B1352" s="256"/>
      <c r="C1352" s="256"/>
      <c r="D1352" s="256"/>
      <c r="E1352" s="256"/>
      <c r="F1352" s="256"/>
      <c r="G1352" s="256"/>
      <c r="H1352" s="256"/>
      <c r="I1352" s="256"/>
      <c r="J1352" s="256"/>
      <c r="K1352" s="256"/>
    </row>
    <row r="1353" spans="1:11" ht="12.75" x14ac:dyDescent="0.2">
      <c r="A1353" s="256"/>
      <c r="B1353" s="256"/>
      <c r="C1353" s="256"/>
      <c r="D1353" s="256"/>
      <c r="E1353" s="256"/>
      <c r="F1353" s="256"/>
      <c r="G1353" s="256"/>
      <c r="H1353" s="256"/>
      <c r="I1353" s="256"/>
      <c r="J1353" s="256"/>
      <c r="K1353" s="256"/>
    </row>
    <row r="1354" spans="1:11" ht="12.75" x14ac:dyDescent="0.2">
      <c r="A1354" s="256"/>
      <c r="B1354" s="256"/>
      <c r="C1354" s="256"/>
      <c r="D1354" s="256"/>
      <c r="E1354" s="256"/>
      <c r="F1354" s="256"/>
      <c r="G1354" s="256"/>
      <c r="H1354" s="256"/>
      <c r="I1354" s="256"/>
      <c r="J1354" s="256"/>
      <c r="K1354" s="256"/>
    </row>
    <row r="1355" spans="1:11" ht="12.75" x14ac:dyDescent="0.2">
      <c r="A1355" s="256"/>
      <c r="B1355" s="256"/>
      <c r="C1355" s="256"/>
      <c r="D1355" s="256"/>
      <c r="E1355" s="256"/>
      <c r="F1355" s="256"/>
      <c r="G1355" s="256"/>
      <c r="H1355" s="256"/>
      <c r="I1355" s="256"/>
      <c r="J1355" s="256"/>
      <c r="K1355" s="256"/>
    </row>
    <row r="1356" spans="1:11" ht="12.75" x14ac:dyDescent="0.2">
      <c r="A1356" s="256"/>
      <c r="B1356" s="256"/>
      <c r="C1356" s="256"/>
      <c r="D1356" s="256"/>
      <c r="E1356" s="256"/>
      <c r="F1356" s="256"/>
      <c r="G1356" s="256"/>
      <c r="H1356" s="256"/>
      <c r="I1356" s="256"/>
      <c r="J1356" s="256"/>
      <c r="K1356" s="256"/>
    </row>
    <row r="1357" spans="1:11" ht="12.75" x14ac:dyDescent="0.2">
      <c r="A1357" s="256"/>
      <c r="B1357" s="256"/>
      <c r="C1357" s="256"/>
      <c r="D1357" s="256"/>
      <c r="E1357" s="256"/>
      <c r="F1357" s="256"/>
      <c r="G1357" s="256"/>
      <c r="H1357" s="256"/>
      <c r="I1357" s="256"/>
      <c r="J1357" s="256"/>
      <c r="K1357" s="256"/>
    </row>
    <row r="1358" spans="1:11" ht="12.75" x14ac:dyDescent="0.2">
      <c r="A1358" s="256"/>
      <c r="B1358" s="256"/>
      <c r="C1358" s="256"/>
      <c r="D1358" s="256"/>
      <c r="E1358" s="256"/>
      <c r="F1358" s="256"/>
      <c r="G1358" s="256"/>
      <c r="H1358" s="256"/>
      <c r="I1358" s="256"/>
      <c r="J1358" s="256"/>
      <c r="K1358" s="256"/>
    </row>
    <row r="1359" spans="1:11" ht="12.75" x14ac:dyDescent="0.2">
      <c r="A1359" s="256"/>
      <c r="B1359" s="256"/>
      <c r="C1359" s="256"/>
      <c r="D1359" s="256"/>
      <c r="E1359" s="256"/>
      <c r="F1359" s="256"/>
      <c r="G1359" s="256"/>
      <c r="H1359" s="256"/>
      <c r="I1359" s="256"/>
      <c r="J1359" s="256"/>
      <c r="K1359" s="256"/>
    </row>
    <row r="1360" spans="1:11" ht="12.75" x14ac:dyDescent="0.2">
      <c r="A1360" s="256"/>
      <c r="B1360" s="256"/>
      <c r="C1360" s="256"/>
      <c r="D1360" s="256"/>
      <c r="E1360" s="256"/>
      <c r="F1360" s="256"/>
      <c r="G1360" s="256"/>
      <c r="H1360" s="256"/>
      <c r="I1360" s="256"/>
      <c r="J1360" s="256"/>
      <c r="K1360" s="256"/>
    </row>
    <row r="1361" spans="1:11" ht="12.75" x14ac:dyDescent="0.2">
      <c r="A1361" s="256"/>
      <c r="B1361" s="256"/>
      <c r="C1361" s="256"/>
      <c r="D1361" s="256"/>
      <c r="E1361" s="256"/>
      <c r="F1361" s="256"/>
      <c r="G1361" s="256"/>
      <c r="H1361" s="256"/>
      <c r="I1361" s="256"/>
      <c r="J1361" s="256"/>
      <c r="K1361" s="256"/>
    </row>
    <row r="1362" spans="1:11" ht="12.75" x14ac:dyDescent="0.2">
      <c r="A1362" s="256"/>
      <c r="B1362" s="256"/>
      <c r="C1362" s="256"/>
      <c r="D1362" s="256"/>
      <c r="E1362" s="256"/>
      <c r="F1362" s="256"/>
      <c r="G1362" s="256"/>
      <c r="H1362" s="256"/>
      <c r="I1362" s="256"/>
      <c r="J1362" s="256"/>
      <c r="K1362" s="256"/>
    </row>
    <row r="1363" spans="1:11" ht="12.75" x14ac:dyDescent="0.2">
      <c r="A1363" s="256"/>
      <c r="B1363" s="256"/>
      <c r="C1363" s="256"/>
      <c r="D1363" s="256"/>
      <c r="E1363" s="256"/>
      <c r="F1363" s="256"/>
      <c r="G1363" s="256"/>
      <c r="H1363" s="256"/>
      <c r="I1363" s="256"/>
      <c r="J1363" s="256"/>
      <c r="K1363" s="256"/>
    </row>
    <row r="1364" spans="1:11" ht="12.75" x14ac:dyDescent="0.2">
      <c r="A1364" s="256"/>
      <c r="B1364" s="256"/>
      <c r="C1364" s="256"/>
      <c r="D1364" s="256"/>
      <c r="E1364" s="256"/>
      <c r="F1364" s="256"/>
      <c r="G1364" s="256"/>
      <c r="H1364" s="256"/>
      <c r="I1364" s="256"/>
      <c r="J1364" s="256"/>
      <c r="K1364" s="256"/>
    </row>
    <row r="1365" spans="1:11" ht="12.75" x14ac:dyDescent="0.2">
      <c r="A1365" s="256"/>
      <c r="B1365" s="256"/>
      <c r="C1365" s="256"/>
      <c r="D1365" s="256"/>
      <c r="E1365" s="256"/>
      <c r="F1365" s="256"/>
      <c r="G1365" s="256"/>
      <c r="H1365" s="256"/>
      <c r="I1365" s="256"/>
      <c r="J1365" s="256"/>
      <c r="K1365" s="256"/>
    </row>
    <row r="1366" spans="1:11" ht="12.75" x14ac:dyDescent="0.2">
      <c r="A1366" s="256"/>
      <c r="B1366" s="256"/>
      <c r="C1366" s="256"/>
      <c r="D1366" s="256"/>
      <c r="E1366" s="256"/>
      <c r="F1366" s="256"/>
      <c r="G1366" s="256"/>
      <c r="H1366" s="256"/>
      <c r="I1366" s="256"/>
      <c r="J1366" s="256"/>
      <c r="K1366" s="256"/>
    </row>
    <row r="1367" spans="1:11" ht="12.75" x14ac:dyDescent="0.2">
      <c r="A1367" s="256"/>
      <c r="B1367" s="256"/>
      <c r="C1367" s="256"/>
      <c r="D1367" s="256"/>
      <c r="E1367" s="256"/>
      <c r="F1367" s="256"/>
      <c r="G1367" s="256"/>
      <c r="H1367" s="256"/>
      <c r="I1367" s="256"/>
      <c r="J1367" s="256"/>
      <c r="K1367" s="256"/>
    </row>
    <row r="1368" spans="1:11" ht="12.75" x14ac:dyDescent="0.2">
      <c r="A1368" s="256"/>
      <c r="B1368" s="256"/>
      <c r="C1368" s="256"/>
      <c r="D1368" s="256"/>
      <c r="E1368" s="256"/>
      <c r="F1368" s="256"/>
      <c r="G1368" s="256"/>
      <c r="H1368" s="256"/>
      <c r="I1368" s="256"/>
      <c r="J1368" s="256"/>
      <c r="K1368" s="256"/>
    </row>
    <row r="1369" spans="1:11" ht="12.75" x14ac:dyDescent="0.2">
      <c r="A1369" s="256"/>
      <c r="B1369" s="256"/>
      <c r="C1369" s="256"/>
      <c r="D1369" s="256"/>
      <c r="E1369" s="256"/>
      <c r="F1369" s="256"/>
      <c r="G1369" s="256"/>
      <c r="H1369" s="256"/>
      <c r="I1369" s="256"/>
      <c r="J1369" s="256"/>
      <c r="K1369" s="256"/>
    </row>
    <row r="1370" spans="1:11" ht="12.75" x14ac:dyDescent="0.2">
      <c r="A1370" s="256"/>
      <c r="B1370" s="256"/>
      <c r="C1370" s="256"/>
      <c r="D1370" s="256"/>
      <c r="E1370" s="256"/>
      <c r="F1370" s="256"/>
      <c r="G1370" s="256"/>
      <c r="H1370" s="256"/>
      <c r="I1370" s="256"/>
      <c r="J1370" s="256"/>
      <c r="K1370" s="256"/>
    </row>
    <row r="1371" spans="1:11" ht="12.75" x14ac:dyDescent="0.2">
      <c r="A1371" s="256"/>
      <c r="B1371" s="256"/>
      <c r="C1371" s="256"/>
      <c r="D1371" s="256"/>
      <c r="E1371" s="256"/>
      <c r="F1371" s="256"/>
      <c r="G1371" s="256"/>
      <c r="H1371" s="256"/>
      <c r="I1371" s="256"/>
      <c r="J1371" s="256"/>
      <c r="K1371" s="256"/>
    </row>
    <row r="1372" spans="1:11" ht="12.75" x14ac:dyDescent="0.2">
      <c r="A1372" s="256"/>
      <c r="B1372" s="256"/>
      <c r="C1372" s="256"/>
      <c r="D1372" s="256"/>
      <c r="E1372" s="256"/>
      <c r="F1372" s="256"/>
      <c r="G1372" s="256"/>
      <c r="H1372" s="256"/>
      <c r="I1372" s="256"/>
      <c r="J1372" s="256"/>
      <c r="K1372" s="256"/>
    </row>
    <row r="1373" spans="1:11" ht="12.75" x14ac:dyDescent="0.2">
      <c r="A1373" s="256"/>
      <c r="B1373" s="256"/>
      <c r="C1373" s="256"/>
      <c r="D1373" s="256"/>
      <c r="E1373" s="256"/>
      <c r="F1373" s="256"/>
      <c r="G1373" s="256"/>
      <c r="H1373" s="256"/>
      <c r="I1373" s="256"/>
      <c r="J1373" s="256"/>
      <c r="K1373" s="256"/>
    </row>
    <row r="1374" spans="1:11" ht="12.75" x14ac:dyDescent="0.2">
      <c r="A1374" s="256"/>
      <c r="B1374" s="256"/>
      <c r="C1374" s="256"/>
      <c r="D1374" s="256"/>
      <c r="E1374" s="256"/>
      <c r="F1374" s="256"/>
      <c r="G1374" s="256"/>
      <c r="H1374" s="256"/>
      <c r="I1374" s="256"/>
      <c r="J1374" s="256"/>
      <c r="K1374" s="256"/>
    </row>
    <row r="1375" spans="1:11" ht="12.75" x14ac:dyDescent="0.2">
      <c r="A1375" s="256"/>
      <c r="B1375" s="256"/>
      <c r="C1375" s="256"/>
      <c r="D1375" s="256"/>
      <c r="E1375" s="256"/>
      <c r="F1375" s="256"/>
      <c r="G1375" s="256"/>
      <c r="H1375" s="256"/>
      <c r="I1375" s="256"/>
      <c r="J1375" s="256"/>
      <c r="K1375" s="256"/>
    </row>
    <row r="1376" spans="1:11" ht="12.75" x14ac:dyDescent="0.2">
      <c r="A1376" s="256"/>
      <c r="B1376" s="256"/>
      <c r="C1376" s="256"/>
      <c r="D1376" s="256"/>
      <c r="E1376" s="256"/>
      <c r="F1376" s="256"/>
      <c r="G1376" s="256"/>
      <c r="H1376" s="256"/>
      <c r="I1376" s="256"/>
      <c r="J1376" s="256"/>
      <c r="K1376" s="256"/>
    </row>
    <row r="1377" spans="1:11" ht="12.75" x14ac:dyDescent="0.2">
      <c r="A1377" s="256"/>
      <c r="B1377" s="256"/>
      <c r="C1377" s="256"/>
      <c r="D1377" s="256"/>
      <c r="E1377" s="256"/>
      <c r="F1377" s="256"/>
      <c r="G1377" s="256"/>
      <c r="H1377" s="256"/>
      <c r="I1377" s="256"/>
      <c r="J1377" s="256"/>
      <c r="K1377" s="256"/>
    </row>
    <row r="1378" spans="1:11" ht="12.75" x14ac:dyDescent="0.2">
      <c r="A1378" s="256"/>
      <c r="B1378" s="256"/>
      <c r="C1378" s="256"/>
      <c r="D1378" s="256"/>
      <c r="E1378" s="256"/>
      <c r="F1378" s="256"/>
      <c r="G1378" s="256"/>
      <c r="H1378" s="256"/>
      <c r="I1378" s="256"/>
      <c r="J1378" s="256"/>
      <c r="K1378" s="256"/>
    </row>
    <row r="1379" spans="1:11" ht="12.75" x14ac:dyDescent="0.2">
      <c r="A1379" s="256"/>
      <c r="B1379" s="256"/>
      <c r="C1379" s="256"/>
      <c r="D1379" s="256"/>
      <c r="E1379" s="256"/>
      <c r="F1379" s="256"/>
      <c r="G1379" s="256"/>
      <c r="H1379" s="256"/>
      <c r="I1379" s="256"/>
      <c r="J1379" s="256"/>
      <c r="K1379" s="256"/>
    </row>
    <row r="1380" spans="1:11" ht="12.75" x14ac:dyDescent="0.2">
      <c r="A1380" s="256"/>
      <c r="B1380" s="256"/>
      <c r="C1380" s="256"/>
      <c r="D1380" s="256"/>
      <c r="E1380" s="256"/>
      <c r="F1380" s="256"/>
      <c r="G1380" s="256"/>
      <c r="H1380" s="256"/>
      <c r="I1380" s="256"/>
      <c r="J1380" s="256"/>
      <c r="K1380" s="256"/>
    </row>
    <row r="1381" spans="1:11" ht="12.75" x14ac:dyDescent="0.2">
      <c r="A1381" s="256"/>
      <c r="B1381" s="256"/>
      <c r="C1381" s="256"/>
      <c r="D1381" s="256"/>
      <c r="E1381" s="256"/>
      <c r="F1381" s="256"/>
      <c r="G1381" s="256"/>
      <c r="H1381" s="256"/>
      <c r="I1381" s="256"/>
      <c r="J1381" s="256"/>
      <c r="K1381" s="256"/>
    </row>
    <row r="1382" spans="1:11" ht="12.75" x14ac:dyDescent="0.2">
      <c r="A1382" s="256"/>
      <c r="B1382" s="256"/>
      <c r="C1382" s="256"/>
      <c r="D1382" s="256"/>
      <c r="E1382" s="256"/>
      <c r="F1382" s="256"/>
      <c r="G1382" s="256"/>
      <c r="H1382" s="256"/>
      <c r="I1382" s="256"/>
      <c r="J1382" s="256"/>
      <c r="K1382" s="256"/>
    </row>
    <row r="1383" spans="1:11" ht="12.75" x14ac:dyDescent="0.2">
      <c r="A1383" s="256"/>
      <c r="B1383" s="256"/>
      <c r="C1383" s="256"/>
      <c r="D1383" s="256"/>
      <c r="E1383" s="256"/>
      <c r="F1383" s="256"/>
      <c r="G1383" s="256"/>
      <c r="H1383" s="256"/>
      <c r="I1383" s="256"/>
      <c r="J1383" s="256"/>
      <c r="K1383" s="256"/>
    </row>
    <row r="1384" spans="1:11" ht="12.75" x14ac:dyDescent="0.2">
      <c r="A1384" s="256"/>
      <c r="B1384" s="256"/>
      <c r="C1384" s="256"/>
      <c r="D1384" s="256"/>
      <c r="E1384" s="256"/>
      <c r="F1384" s="256"/>
      <c r="G1384" s="256"/>
      <c r="H1384" s="256"/>
      <c r="I1384" s="256"/>
      <c r="J1384" s="256"/>
      <c r="K1384" s="256"/>
    </row>
    <row r="1385" spans="1:11" ht="12.75" x14ac:dyDescent="0.2">
      <c r="A1385" s="256"/>
      <c r="B1385" s="256"/>
      <c r="C1385" s="256"/>
      <c r="D1385" s="256"/>
      <c r="E1385" s="256"/>
      <c r="F1385" s="256"/>
      <c r="G1385" s="256"/>
      <c r="H1385" s="256"/>
      <c r="I1385" s="256"/>
      <c r="J1385" s="256"/>
      <c r="K1385" s="256"/>
    </row>
    <row r="1386" spans="1:11" ht="12.75" x14ac:dyDescent="0.2">
      <c r="A1386" s="256"/>
      <c r="B1386" s="256"/>
      <c r="C1386" s="256"/>
      <c r="D1386" s="256"/>
      <c r="E1386" s="256"/>
      <c r="F1386" s="256"/>
      <c r="G1386" s="256"/>
      <c r="H1386" s="256"/>
      <c r="I1386" s="256"/>
      <c r="J1386" s="256"/>
      <c r="K1386" s="256"/>
    </row>
    <row r="1387" spans="1:11" ht="12.75" x14ac:dyDescent="0.2">
      <c r="A1387" s="256"/>
      <c r="B1387" s="256"/>
      <c r="C1387" s="256"/>
      <c r="D1387" s="256"/>
      <c r="E1387" s="256"/>
      <c r="F1387" s="256"/>
      <c r="G1387" s="256"/>
      <c r="H1387" s="256"/>
      <c r="I1387" s="256"/>
      <c r="J1387" s="256"/>
      <c r="K1387" s="256"/>
    </row>
    <row r="1388" spans="1:11" ht="12.75" x14ac:dyDescent="0.2">
      <c r="A1388" s="256"/>
      <c r="B1388" s="256"/>
      <c r="C1388" s="256"/>
      <c r="D1388" s="256"/>
      <c r="E1388" s="256"/>
      <c r="F1388" s="256"/>
      <c r="G1388" s="256"/>
      <c r="H1388" s="256"/>
      <c r="I1388" s="256"/>
      <c r="J1388" s="256"/>
      <c r="K1388" s="256"/>
    </row>
    <row r="1389" spans="1:11" ht="12.75" x14ac:dyDescent="0.2">
      <c r="A1389" s="256"/>
      <c r="B1389" s="256"/>
      <c r="C1389" s="256"/>
      <c r="D1389" s="256"/>
      <c r="E1389" s="256"/>
      <c r="F1389" s="256"/>
      <c r="G1389" s="256"/>
      <c r="H1389" s="256"/>
      <c r="I1389" s="256"/>
      <c r="J1389" s="256"/>
      <c r="K1389" s="256"/>
    </row>
    <row r="1390" spans="1:11" ht="12.75" x14ac:dyDescent="0.2">
      <c r="A1390" s="256"/>
      <c r="B1390" s="256"/>
      <c r="C1390" s="256"/>
      <c r="D1390" s="256"/>
      <c r="E1390" s="256"/>
      <c r="F1390" s="256"/>
      <c r="G1390" s="256"/>
      <c r="H1390" s="256"/>
      <c r="I1390" s="256"/>
      <c r="J1390" s="256"/>
      <c r="K1390" s="256"/>
    </row>
    <row r="1391" spans="1:11" ht="12.75" x14ac:dyDescent="0.2">
      <c r="A1391" s="256"/>
      <c r="B1391" s="256"/>
      <c r="C1391" s="256"/>
      <c r="D1391" s="256"/>
      <c r="E1391" s="256"/>
      <c r="F1391" s="256"/>
      <c r="G1391" s="256"/>
      <c r="H1391" s="256"/>
      <c r="I1391" s="256"/>
      <c r="J1391" s="256"/>
      <c r="K1391" s="256"/>
    </row>
    <row r="1392" spans="1:11" ht="12.75" x14ac:dyDescent="0.2">
      <c r="A1392" s="256"/>
      <c r="B1392" s="256"/>
      <c r="C1392" s="256"/>
      <c r="D1392" s="256"/>
      <c r="E1392" s="256"/>
      <c r="F1392" s="256"/>
      <c r="G1392" s="256"/>
      <c r="H1392" s="256"/>
      <c r="I1392" s="256"/>
      <c r="J1392" s="256"/>
      <c r="K1392" s="256"/>
    </row>
    <row r="1393" spans="1:11" ht="12.75" x14ac:dyDescent="0.2">
      <c r="A1393" s="256"/>
      <c r="B1393" s="256"/>
      <c r="C1393" s="256"/>
      <c r="D1393" s="256"/>
      <c r="E1393" s="256"/>
      <c r="F1393" s="256"/>
      <c r="G1393" s="256"/>
      <c r="H1393" s="256"/>
      <c r="I1393" s="256"/>
      <c r="J1393" s="256"/>
      <c r="K1393" s="256"/>
    </row>
    <row r="1394" spans="1:11" ht="12.75" x14ac:dyDescent="0.2">
      <c r="A1394" s="256"/>
      <c r="B1394" s="256"/>
      <c r="C1394" s="256"/>
      <c r="D1394" s="256"/>
      <c r="E1394" s="256"/>
      <c r="F1394" s="256"/>
      <c r="G1394" s="256"/>
      <c r="H1394" s="256"/>
      <c r="I1394" s="256"/>
      <c r="J1394" s="256"/>
      <c r="K1394" s="256"/>
    </row>
    <row r="1395" spans="1:11" ht="12.75" x14ac:dyDescent="0.2">
      <c r="A1395" s="256"/>
      <c r="B1395" s="256"/>
      <c r="C1395" s="256"/>
      <c r="D1395" s="256"/>
      <c r="E1395" s="256"/>
      <c r="F1395" s="256"/>
      <c r="G1395" s="256"/>
      <c r="H1395" s="256"/>
      <c r="I1395" s="256"/>
      <c r="J1395" s="256"/>
      <c r="K1395" s="256"/>
    </row>
    <row r="1396" spans="1:11" ht="12.75" x14ac:dyDescent="0.2">
      <c r="A1396" s="256"/>
      <c r="B1396" s="256"/>
      <c r="C1396" s="256"/>
      <c r="D1396" s="256"/>
      <c r="E1396" s="256"/>
      <c r="F1396" s="256"/>
      <c r="G1396" s="256"/>
      <c r="H1396" s="256"/>
      <c r="I1396" s="256"/>
      <c r="J1396" s="256"/>
      <c r="K1396" s="256"/>
    </row>
    <row r="1397" spans="1:11" ht="12.75" x14ac:dyDescent="0.2">
      <c r="A1397" s="256"/>
      <c r="B1397" s="256"/>
      <c r="C1397" s="256"/>
      <c r="D1397" s="256"/>
      <c r="E1397" s="256"/>
      <c r="F1397" s="256"/>
      <c r="G1397" s="256"/>
      <c r="H1397" s="256"/>
      <c r="I1397" s="256"/>
      <c r="J1397" s="256"/>
      <c r="K1397" s="256"/>
    </row>
    <row r="1398" spans="1:11" ht="12.75" x14ac:dyDescent="0.2">
      <c r="A1398" s="256"/>
      <c r="B1398" s="256"/>
      <c r="C1398" s="256"/>
      <c r="D1398" s="256"/>
      <c r="E1398" s="256"/>
      <c r="F1398" s="256"/>
      <c r="G1398" s="256"/>
      <c r="H1398" s="256"/>
      <c r="I1398" s="256"/>
      <c r="J1398" s="256"/>
      <c r="K1398" s="256"/>
    </row>
    <row r="1399" spans="1:11" ht="12.75" x14ac:dyDescent="0.2">
      <c r="A1399" s="256"/>
      <c r="B1399" s="256"/>
      <c r="C1399" s="256"/>
      <c r="D1399" s="256"/>
      <c r="E1399" s="256"/>
      <c r="F1399" s="256"/>
      <c r="G1399" s="256"/>
      <c r="H1399" s="256"/>
      <c r="I1399" s="256"/>
      <c r="J1399" s="256"/>
      <c r="K1399" s="256"/>
    </row>
    <row r="1400" spans="1:11" ht="12.75" x14ac:dyDescent="0.2">
      <c r="A1400" s="256"/>
      <c r="B1400" s="256"/>
      <c r="C1400" s="256"/>
      <c r="D1400" s="256"/>
      <c r="E1400" s="256"/>
      <c r="F1400" s="256"/>
      <c r="G1400" s="256"/>
      <c r="H1400" s="256"/>
      <c r="I1400" s="256"/>
      <c r="J1400" s="256"/>
      <c r="K1400" s="256"/>
    </row>
    <row r="1401" spans="1:11" ht="12.75" x14ac:dyDescent="0.2">
      <c r="A1401" s="256"/>
      <c r="B1401" s="256"/>
      <c r="C1401" s="256"/>
      <c r="D1401" s="256"/>
      <c r="E1401" s="256"/>
      <c r="F1401" s="256"/>
      <c r="G1401" s="256"/>
      <c r="H1401" s="256"/>
      <c r="I1401" s="256"/>
      <c r="J1401" s="256"/>
      <c r="K1401" s="256"/>
    </row>
    <row r="1402" spans="1:11" ht="12.75" x14ac:dyDescent="0.2">
      <c r="A1402" s="256"/>
      <c r="B1402" s="256"/>
      <c r="C1402" s="256"/>
      <c r="D1402" s="256"/>
      <c r="E1402" s="256"/>
      <c r="F1402" s="256"/>
      <c r="G1402" s="256"/>
      <c r="H1402" s="256"/>
      <c r="I1402" s="256"/>
      <c r="J1402" s="256"/>
      <c r="K1402" s="256"/>
    </row>
    <row r="1403" spans="1:11" ht="12.75" x14ac:dyDescent="0.2">
      <c r="A1403" s="256"/>
      <c r="B1403" s="256"/>
      <c r="C1403" s="256"/>
      <c r="D1403" s="256"/>
      <c r="E1403" s="256"/>
      <c r="F1403" s="256"/>
      <c r="G1403" s="256"/>
      <c r="H1403" s="256"/>
      <c r="I1403" s="256"/>
      <c r="J1403" s="256"/>
      <c r="K1403" s="256"/>
    </row>
    <row r="1404" spans="1:11" ht="12.75" x14ac:dyDescent="0.2">
      <c r="A1404" s="256"/>
      <c r="B1404" s="256"/>
      <c r="C1404" s="256"/>
      <c r="D1404" s="256"/>
      <c r="E1404" s="256"/>
      <c r="F1404" s="256"/>
      <c r="G1404" s="256"/>
      <c r="H1404" s="256"/>
      <c r="I1404" s="256"/>
      <c r="J1404" s="256"/>
      <c r="K1404" s="256"/>
    </row>
    <row r="1405" spans="1:11" ht="12.75" x14ac:dyDescent="0.2">
      <c r="A1405" s="256"/>
      <c r="B1405" s="256"/>
      <c r="C1405" s="256"/>
      <c r="D1405" s="256"/>
      <c r="E1405" s="256"/>
      <c r="F1405" s="256"/>
      <c r="G1405" s="256"/>
      <c r="H1405" s="256"/>
      <c r="I1405" s="256"/>
      <c r="J1405" s="256"/>
      <c r="K1405" s="256"/>
    </row>
    <row r="1406" spans="1:11" ht="12.75" x14ac:dyDescent="0.2">
      <c r="A1406" s="256"/>
      <c r="B1406" s="256"/>
      <c r="C1406" s="256"/>
      <c r="D1406" s="256"/>
      <c r="E1406" s="256"/>
      <c r="F1406" s="256"/>
      <c r="G1406" s="256"/>
      <c r="H1406" s="256"/>
      <c r="I1406" s="256"/>
      <c r="J1406" s="256"/>
      <c r="K1406" s="256"/>
    </row>
    <row r="1407" spans="1:11" ht="12.75" x14ac:dyDescent="0.2">
      <c r="A1407" s="256"/>
      <c r="B1407" s="256"/>
      <c r="C1407" s="256"/>
      <c r="D1407" s="256"/>
      <c r="E1407" s="256"/>
      <c r="F1407" s="256"/>
      <c r="G1407" s="256"/>
      <c r="H1407" s="256"/>
      <c r="I1407" s="256"/>
      <c r="J1407" s="256"/>
      <c r="K1407" s="256"/>
    </row>
    <row r="1408" spans="1:11" ht="12.75" x14ac:dyDescent="0.2">
      <c r="A1408" s="256"/>
      <c r="B1408" s="256"/>
      <c r="C1408" s="256"/>
      <c r="D1408" s="256"/>
      <c r="E1408" s="256"/>
      <c r="F1408" s="256"/>
      <c r="G1408" s="256"/>
      <c r="H1408" s="256"/>
      <c r="I1408" s="256"/>
      <c r="J1408" s="256"/>
      <c r="K1408" s="256"/>
    </row>
    <row r="1409" spans="1:11" ht="12.75" x14ac:dyDescent="0.2">
      <c r="A1409" s="256"/>
      <c r="B1409" s="256"/>
      <c r="C1409" s="256"/>
      <c r="D1409" s="256"/>
      <c r="E1409" s="256"/>
      <c r="F1409" s="256"/>
      <c r="G1409" s="256"/>
      <c r="H1409" s="256"/>
      <c r="I1409" s="256"/>
      <c r="J1409" s="256"/>
      <c r="K1409" s="256"/>
    </row>
    <row r="1410" spans="1:11" ht="12.75" x14ac:dyDescent="0.2">
      <c r="A1410" s="256"/>
      <c r="B1410" s="256"/>
      <c r="C1410" s="256"/>
      <c r="D1410" s="256"/>
      <c r="E1410" s="256"/>
      <c r="F1410" s="256"/>
      <c r="G1410" s="256"/>
      <c r="H1410" s="256"/>
      <c r="I1410" s="256"/>
      <c r="J1410" s="256"/>
      <c r="K1410" s="256"/>
    </row>
    <row r="1411" spans="1:11" ht="12.75" x14ac:dyDescent="0.2">
      <c r="A1411" s="256"/>
      <c r="B1411" s="256"/>
      <c r="C1411" s="256"/>
      <c r="D1411" s="256"/>
      <c r="E1411" s="256"/>
      <c r="F1411" s="256"/>
      <c r="G1411" s="256"/>
      <c r="H1411" s="256"/>
      <c r="I1411" s="256"/>
      <c r="J1411" s="256"/>
      <c r="K1411" s="256"/>
    </row>
    <row r="1412" spans="1:11" ht="12.75" x14ac:dyDescent="0.2">
      <c r="A1412" s="256"/>
      <c r="B1412" s="256"/>
      <c r="C1412" s="256"/>
      <c r="D1412" s="256"/>
      <c r="E1412" s="256"/>
      <c r="F1412" s="256"/>
      <c r="G1412" s="256"/>
      <c r="H1412" s="256"/>
      <c r="I1412" s="256"/>
      <c r="J1412" s="256"/>
      <c r="K1412" s="256"/>
    </row>
    <row r="1413" spans="1:11" ht="12.75" x14ac:dyDescent="0.2">
      <c r="A1413" s="256"/>
      <c r="B1413" s="256"/>
      <c r="C1413" s="256"/>
      <c r="D1413" s="256"/>
      <c r="E1413" s="256"/>
      <c r="F1413" s="256"/>
      <c r="G1413" s="256"/>
      <c r="H1413" s="256"/>
      <c r="I1413" s="256"/>
      <c r="J1413" s="256"/>
      <c r="K1413" s="256"/>
    </row>
    <row r="1414" spans="1:11" ht="12.75" x14ac:dyDescent="0.2">
      <c r="A1414" s="256"/>
      <c r="B1414" s="256"/>
      <c r="C1414" s="256"/>
      <c r="D1414" s="256"/>
      <c r="E1414" s="256"/>
      <c r="F1414" s="256"/>
      <c r="G1414" s="256"/>
      <c r="H1414" s="256"/>
      <c r="I1414" s="256"/>
      <c r="J1414" s="256"/>
      <c r="K1414" s="256"/>
    </row>
    <row r="1415" spans="1:11" ht="12.75" x14ac:dyDescent="0.2">
      <c r="A1415" s="256"/>
      <c r="B1415" s="256"/>
      <c r="C1415" s="256"/>
      <c r="D1415" s="256"/>
      <c r="E1415" s="256"/>
      <c r="F1415" s="256"/>
      <c r="G1415" s="256"/>
      <c r="H1415" s="256"/>
      <c r="I1415" s="256"/>
      <c r="J1415" s="256"/>
      <c r="K1415" s="256"/>
    </row>
    <row r="1416" spans="1:11" ht="12.75" x14ac:dyDescent="0.2">
      <c r="A1416" s="256"/>
      <c r="B1416" s="256"/>
      <c r="C1416" s="256"/>
      <c r="D1416" s="256"/>
      <c r="E1416" s="256"/>
      <c r="F1416" s="256"/>
      <c r="G1416" s="256"/>
      <c r="H1416" s="256"/>
      <c r="I1416" s="256"/>
      <c r="J1416" s="256"/>
      <c r="K1416" s="256"/>
    </row>
    <row r="1417" spans="1:11" ht="12.75" x14ac:dyDescent="0.2">
      <c r="A1417" s="256"/>
      <c r="B1417" s="256"/>
      <c r="C1417" s="256"/>
      <c r="D1417" s="256"/>
      <c r="E1417" s="256"/>
      <c r="F1417" s="256"/>
      <c r="G1417" s="256"/>
      <c r="H1417" s="256"/>
      <c r="I1417" s="256"/>
      <c r="J1417" s="256"/>
      <c r="K1417" s="256"/>
    </row>
    <row r="1418" spans="1:11" ht="12.75" x14ac:dyDescent="0.2">
      <c r="A1418" s="256"/>
      <c r="B1418" s="256"/>
      <c r="C1418" s="256"/>
      <c r="D1418" s="256"/>
      <c r="E1418" s="256"/>
      <c r="F1418" s="256"/>
      <c r="G1418" s="256"/>
      <c r="H1418" s="256"/>
      <c r="I1418" s="256"/>
      <c r="J1418" s="256"/>
      <c r="K1418" s="256"/>
    </row>
    <row r="1419" spans="1:11" ht="12.75" x14ac:dyDescent="0.2">
      <c r="A1419" s="256"/>
      <c r="B1419" s="256"/>
      <c r="C1419" s="256"/>
      <c r="D1419" s="256"/>
      <c r="E1419" s="256"/>
      <c r="F1419" s="256"/>
      <c r="G1419" s="256"/>
      <c r="H1419" s="256"/>
      <c r="I1419" s="256"/>
      <c r="J1419" s="256"/>
      <c r="K1419" s="256"/>
    </row>
    <row r="1420" spans="1:11" ht="12.75" x14ac:dyDescent="0.2">
      <c r="A1420" s="256"/>
      <c r="B1420" s="256"/>
      <c r="C1420" s="256"/>
      <c r="D1420" s="256"/>
      <c r="E1420" s="256"/>
      <c r="F1420" s="256"/>
      <c r="G1420" s="256"/>
      <c r="H1420" s="256"/>
      <c r="I1420" s="256"/>
      <c r="J1420" s="256"/>
      <c r="K1420" s="256"/>
    </row>
    <row r="1421" spans="1:11" ht="12.75" x14ac:dyDescent="0.2">
      <c r="A1421" s="256"/>
      <c r="B1421" s="256"/>
      <c r="C1421" s="256"/>
      <c r="D1421" s="256"/>
      <c r="E1421" s="256"/>
      <c r="F1421" s="256"/>
      <c r="G1421" s="256"/>
      <c r="H1421" s="256"/>
      <c r="I1421" s="256"/>
      <c r="J1421" s="256"/>
      <c r="K1421" s="256"/>
    </row>
    <row r="1422" spans="1:11" ht="12.75" x14ac:dyDescent="0.2">
      <c r="A1422" s="256"/>
      <c r="B1422" s="256"/>
      <c r="C1422" s="256"/>
      <c r="D1422" s="256"/>
      <c r="E1422" s="256"/>
      <c r="F1422" s="256"/>
      <c r="G1422" s="256"/>
      <c r="H1422" s="256"/>
      <c r="I1422" s="256"/>
      <c r="J1422" s="256"/>
      <c r="K1422" s="256"/>
    </row>
    <row r="1423" spans="1:11" ht="12.75" x14ac:dyDescent="0.2">
      <c r="A1423" s="256"/>
      <c r="B1423" s="256"/>
      <c r="C1423" s="256"/>
      <c r="D1423" s="256"/>
      <c r="E1423" s="256"/>
      <c r="F1423" s="256"/>
      <c r="G1423" s="256"/>
      <c r="H1423" s="256"/>
      <c r="I1423" s="256"/>
      <c r="J1423" s="256"/>
      <c r="K1423" s="256"/>
    </row>
    <row r="1424" spans="1:11" ht="12.75" x14ac:dyDescent="0.2">
      <c r="A1424" s="256"/>
      <c r="B1424" s="256"/>
      <c r="C1424" s="256"/>
      <c r="D1424" s="256"/>
      <c r="E1424" s="256"/>
      <c r="F1424" s="256"/>
      <c r="G1424" s="256"/>
      <c r="H1424" s="256"/>
      <c r="I1424" s="256"/>
      <c r="J1424" s="256"/>
      <c r="K1424" s="256"/>
    </row>
    <row r="1425" spans="1:11" ht="12.75" x14ac:dyDescent="0.2">
      <c r="A1425" s="256"/>
      <c r="B1425" s="256"/>
      <c r="C1425" s="256"/>
      <c r="D1425" s="256"/>
      <c r="E1425" s="256"/>
      <c r="F1425" s="256"/>
      <c r="G1425" s="256"/>
      <c r="H1425" s="256"/>
      <c r="I1425" s="256"/>
      <c r="J1425" s="256"/>
      <c r="K1425" s="256"/>
    </row>
    <row r="1426" spans="1:11" ht="12.75" x14ac:dyDescent="0.2">
      <c r="A1426" s="256"/>
      <c r="B1426" s="256"/>
      <c r="C1426" s="256"/>
      <c r="D1426" s="256"/>
      <c r="E1426" s="256"/>
      <c r="F1426" s="256"/>
      <c r="G1426" s="256"/>
      <c r="H1426" s="256"/>
      <c r="I1426" s="256"/>
      <c r="J1426" s="256"/>
      <c r="K1426" s="256"/>
    </row>
    <row r="1427" spans="1:11" ht="12.75" x14ac:dyDescent="0.2">
      <c r="A1427" s="256"/>
      <c r="B1427" s="256"/>
      <c r="C1427" s="256"/>
      <c r="D1427" s="256"/>
      <c r="E1427" s="256"/>
      <c r="F1427" s="256"/>
      <c r="G1427" s="256"/>
      <c r="H1427" s="256"/>
      <c r="I1427" s="256"/>
      <c r="J1427" s="256"/>
      <c r="K1427" s="256"/>
    </row>
    <row r="1428" spans="1:11" ht="12.75" x14ac:dyDescent="0.2">
      <c r="A1428" s="256"/>
      <c r="B1428" s="256"/>
      <c r="C1428" s="256"/>
      <c r="D1428" s="256"/>
      <c r="E1428" s="256"/>
      <c r="F1428" s="256"/>
      <c r="G1428" s="256"/>
      <c r="H1428" s="256"/>
      <c r="I1428" s="256"/>
      <c r="J1428" s="256"/>
      <c r="K1428" s="256"/>
    </row>
    <row r="1429" spans="1:11" ht="12.75" x14ac:dyDescent="0.2">
      <c r="A1429" s="256"/>
      <c r="B1429" s="256"/>
      <c r="C1429" s="256"/>
      <c r="D1429" s="256"/>
      <c r="E1429" s="256"/>
      <c r="F1429" s="256"/>
      <c r="G1429" s="256"/>
      <c r="H1429" s="256"/>
      <c r="I1429" s="256"/>
      <c r="J1429" s="256"/>
      <c r="K1429" s="256"/>
    </row>
    <row r="1430" spans="1:11" ht="12.75" x14ac:dyDescent="0.2">
      <c r="A1430" s="256"/>
      <c r="B1430" s="256"/>
      <c r="C1430" s="256"/>
      <c r="D1430" s="256"/>
      <c r="E1430" s="256"/>
      <c r="F1430" s="256"/>
      <c r="G1430" s="256"/>
      <c r="H1430" s="256"/>
      <c r="I1430" s="256"/>
      <c r="J1430" s="256"/>
      <c r="K1430" s="256"/>
    </row>
    <row r="1431" spans="1:11" ht="12.75" x14ac:dyDescent="0.2">
      <c r="A1431" s="256"/>
      <c r="B1431" s="256"/>
      <c r="C1431" s="256"/>
      <c r="D1431" s="256"/>
      <c r="E1431" s="256"/>
      <c r="F1431" s="256"/>
      <c r="G1431" s="256"/>
      <c r="H1431" s="256"/>
      <c r="I1431" s="256"/>
      <c r="J1431" s="256"/>
      <c r="K1431" s="256"/>
    </row>
    <row r="1432" spans="1:11" ht="12.75" x14ac:dyDescent="0.2">
      <c r="A1432" s="256"/>
      <c r="B1432" s="256"/>
      <c r="C1432" s="256"/>
      <c r="D1432" s="256"/>
      <c r="E1432" s="256"/>
      <c r="F1432" s="256"/>
      <c r="G1432" s="256"/>
      <c r="H1432" s="256"/>
      <c r="I1432" s="256"/>
      <c r="J1432" s="256"/>
      <c r="K1432" s="256"/>
    </row>
    <row r="1433" spans="1:11" ht="12.75" x14ac:dyDescent="0.2">
      <c r="A1433" s="256"/>
      <c r="B1433" s="256"/>
      <c r="C1433" s="256"/>
      <c r="D1433" s="256"/>
      <c r="E1433" s="256"/>
      <c r="F1433" s="256"/>
      <c r="G1433" s="256"/>
      <c r="H1433" s="256"/>
      <c r="I1433" s="256"/>
      <c r="J1433" s="256"/>
      <c r="K1433" s="256"/>
    </row>
    <row r="1434" spans="1:11" ht="12.75" x14ac:dyDescent="0.2">
      <c r="A1434" s="256"/>
      <c r="B1434" s="256"/>
      <c r="C1434" s="256"/>
      <c r="D1434" s="256"/>
      <c r="E1434" s="256"/>
      <c r="F1434" s="256"/>
      <c r="G1434" s="256"/>
      <c r="H1434" s="256"/>
      <c r="I1434" s="256"/>
      <c r="J1434" s="256"/>
      <c r="K1434" s="256"/>
    </row>
    <row r="1435" spans="1:11" ht="12.75" x14ac:dyDescent="0.2">
      <c r="A1435" s="256"/>
      <c r="B1435" s="256"/>
      <c r="C1435" s="256"/>
      <c r="D1435" s="256"/>
      <c r="E1435" s="256"/>
      <c r="F1435" s="256"/>
      <c r="G1435" s="256"/>
      <c r="H1435" s="256"/>
      <c r="I1435" s="256"/>
      <c r="J1435" s="256"/>
      <c r="K1435" s="256"/>
    </row>
    <row r="1436" spans="1:11" ht="12.75" x14ac:dyDescent="0.2">
      <c r="A1436" s="256"/>
      <c r="B1436" s="256"/>
      <c r="C1436" s="256"/>
      <c r="D1436" s="256"/>
      <c r="E1436" s="256"/>
      <c r="F1436" s="256"/>
      <c r="G1436" s="256"/>
      <c r="H1436" s="256"/>
      <c r="I1436" s="256"/>
      <c r="J1436" s="256"/>
      <c r="K1436" s="256"/>
    </row>
    <row r="1437" spans="1:11" ht="12.75" x14ac:dyDescent="0.2">
      <c r="A1437" s="256"/>
      <c r="B1437" s="256"/>
      <c r="C1437" s="256"/>
      <c r="D1437" s="256"/>
      <c r="E1437" s="256"/>
      <c r="F1437" s="256"/>
      <c r="G1437" s="256"/>
      <c r="H1437" s="256"/>
      <c r="I1437" s="256"/>
      <c r="J1437" s="256"/>
      <c r="K1437" s="256"/>
    </row>
    <row r="1438" spans="1:11" ht="12.75" x14ac:dyDescent="0.2">
      <c r="A1438" s="256"/>
      <c r="B1438" s="256"/>
      <c r="C1438" s="256"/>
      <c r="D1438" s="256"/>
      <c r="E1438" s="256"/>
      <c r="F1438" s="256"/>
      <c r="G1438" s="256"/>
      <c r="H1438" s="256"/>
      <c r="I1438" s="256"/>
      <c r="J1438" s="256"/>
      <c r="K1438" s="256"/>
    </row>
    <row r="1439" spans="1:11" ht="12.75" x14ac:dyDescent="0.2">
      <c r="A1439" s="256"/>
      <c r="B1439" s="256"/>
      <c r="C1439" s="256"/>
      <c r="D1439" s="256"/>
      <c r="E1439" s="256"/>
      <c r="F1439" s="256"/>
      <c r="G1439" s="256"/>
      <c r="H1439" s="256"/>
      <c r="I1439" s="256"/>
      <c r="J1439" s="256"/>
      <c r="K1439" s="256"/>
    </row>
    <row r="1440" spans="1:11" ht="12.75" x14ac:dyDescent="0.2">
      <c r="A1440" s="256"/>
      <c r="B1440" s="256"/>
      <c r="C1440" s="256"/>
      <c r="D1440" s="256"/>
      <c r="E1440" s="256"/>
      <c r="F1440" s="256"/>
      <c r="G1440" s="256"/>
      <c r="H1440" s="256"/>
      <c r="I1440" s="256"/>
      <c r="J1440" s="256"/>
      <c r="K1440" s="256"/>
    </row>
    <row r="1441" spans="1:11" ht="12.75" x14ac:dyDescent="0.2">
      <c r="A1441" s="256"/>
      <c r="B1441" s="256"/>
      <c r="C1441" s="256"/>
      <c r="D1441" s="256"/>
      <c r="E1441" s="256"/>
      <c r="F1441" s="256"/>
      <c r="G1441" s="256"/>
      <c r="H1441" s="256"/>
      <c r="I1441" s="256"/>
      <c r="J1441" s="256"/>
      <c r="K1441" s="256"/>
    </row>
    <row r="1442" spans="1:11" ht="12.75" x14ac:dyDescent="0.2">
      <c r="A1442" s="256"/>
      <c r="B1442" s="256"/>
      <c r="C1442" s="256"/>
      <c r="D1442" s="256"/>
      <c r="E1442" s="256"/>
      <c r="F1442" s="256"/>
      <c r="G1442" s="256"/>
      <c r="H1442" s="256"/>
      <c r="I1442" s="256"/>
      <c r="J1442" s="256"/>
      <c r="K1442" s="256"/>
    </row>
    <row r="1443" spans="1:11" ht="12.75" x14ac:dyDescent="0.2">
      <c r="A1443" s="256"/>
      <c r="B1443" s="256"/>
      <c r="C1443" s="256"/>
      <c r="D1443" s="256"/>
      <c r="E1443" s="256"/>
      <c r="F1443" s="256"/>
      <c r="G1443" s="256"/>
      <c r="H1443" s="256"/>
      <c r="I1443" s="256"/>
      <c r="J1443" s="256"/>
      <c r="K1443" s="256"/>
    </row>
    <row r="1444" spans="1:11" ht="12.75" x14ac:dyDescent="0.2">
      <c r="A1444" s="256"/>
      <c r="B1444" s="256"/>
      <c r="C1444" s="256"/>
      <c r="D1444" s="256"/>
      <c r="E1444" s="256"/>
      <c r="F1444" s="256"/>
      <c r="G1444" s="256"/>
      <c r="H1444" s="256"/>
      <c r="I1444" s="256"/>
      <c r="J1444" s="256"/>
      <c r="K1444" s="256"/>
    </row>
    <row r="1445" spans="1:11" ht="12.75" x14ac:dyDescent="0.2">
      <c r="A1445" s="256"/>
      <c r="B1445" s="256"/>
      <c r="C1445" s="256"/>
      <c r="D1445" s="256"/>
      <c r="E1445" s="256"/>
      <c r="F1445" s="256"/>
      <c r="G1445" s="256"/>
      <c r="H1445" s="256"/>
      <c r="I1445" s="256"/>
      <c r="J1445" s="256"/>
      <c r="K1445" s="256"/>
    </row>
    <row r="1446" spans="1:11" ht="12.75" x14ac:dyDescent="0.2">
      <c r="A1446" s="256"/>
      <c r="B1446" s="256"/>
      <c r="C1446" s="256"/>
      <c r="D1446" s="256"/>
      <c r="E1446" s="256"/>
      <c r="F1446" s="256"/>
      <c r="G1446" s="256"/>
      <c r="H1446" s="256"/>
      <c r="I1446" s="256"/>
      <c r="J1446" s="256"/>
      <c r="K1446" s="256"/>
    </row>
    <row r="1447" spans="1:11" ht="12.75" x14ac:dyDescent="0.2">
      <c r="A1447" s="256"/>
      <c r="B1447" s="256"/>
      <c r="C1447" s="256"/>
      <c r="D1447" s="256"/>
      <c r="E1447" s="256"/>
      <c r="F1447" s="256"/>
      <c r="G1447" s="256"/>
      <c r="H1447" s="256"/>
      <c r="I1447" s="256"/>
      <c r="J1447" s="256"/>
      <c r="K1447" s="256"/>
    </row>
    <row r="1448" spans="1:11" ht="12.75" x14ac:dyDescent="0.2">
      <c r="A1448" s="256"/>
      <c r="B1448" s="256"/>
      <c r="C1448" s="256"/>
      <c r="D1448" s="256"/>
      <c r="E1448" s="256"/>
      <c r="F1448" s="256"/>
      <c r="G1448" s="256"/>
      <c r="H1448" s="256"/>
      <c r="I1448" s="256"/>
      <c r="J1448" s="256"/>
      <c r="K1448" s="256"/>
    </row>
    <row r="1449" spans="1:11" ht="12.75" x14ac:dyDescent="0.2">
      <c r="A1449" s="256"/>
      <c r="B1449" s="256"/>
      <c r="C1449" s="256"/>
      <c r="D1449" s="256"/>
      <c r="E1449" s="256"/>
      <c r="F1449" s="256"/>
      <c r="G1449" s="256"/>
      <c r="H1449" s="256"/>
      <c r="I1449" s="256"/>
      <c r="J1449" s="256"/>
      <c r="K1449" s="256"/>
    </row>
    <row r="1450" spans="1:11" ht="12.75" x14ac:dyDescent="0.2">
      <c r="A1450" s="256"/>
      <c r="B1450" s="256"/>
      <c r="C1450" s="256"/>
      <c r="D1450" s="256"/>
      <c r="E1450" s="256"/>
      <c r="F1450" s="256"/>
      <c r="G1450" s="256"/>
      <c r="H1450" s="256"/>
      <c r="I1450" s="256"/>
      <c r="J1450" s="256"/>
      <c r="K1450" s="256"/>
    </row>
    <row r="1451" spans="1:11" ht="12.75" x14ac:dyDescent="0.2">
      <c r="A1451" s="256"/>
      <c r="B1451" s="256"/>
      <c r="C1451" s="256"/>
      <c r="D1451" s="256"/>
      <c r="E1451" s="256"/>
      <c r="F1451" s="256"/>
      <c r="G1451" s="256"/>
      <c r="H1451" s="256"/>
      <c r="I1451" s="256"/>
      <c r="J1451" s="256"/>
      <c r="K1451" s="256"/>
    </row>
    <row r="1452" spans="1:11" ht="12.75" x14ac:dyDescent="0.2">
      <c r="A1452" s="256"/>
      <c r="B1452" s="256"/>
      <c r="C1452" s="256"/>
      <c r="D1452" s="256"/>
      <c r="E1452" s="256"/>
      <c r="F1452" s="256"/>
      <c r="G1452" s="256"/>
      <c r="H1452" s="256"/>
      <c r="I1452" s="256"/>
      <c r="J1452" s="256"/>
      <c r="K1452" s="256"/>
    </row>
    <row r="1453" spans="1:11" ht="12.75" x14ac:dyDescent="0.2">
      <c r="A1453" s="256"/>
      <c r="B1453" s="256"/>
      <c r="C1453" s="256"/>
      <c r="D1453" s="256"/>
      <c r="E1453" s="256"/>
      <c r="F1453" s="256"/>
      <c r="G1453" s="256"/>
      <c r="H1453" s="256"/>
      <c r="I1453" s="256"/>
      <c r="J1453" s="256"/>
      <c r="K1453" s="256"/>
    </row>
    <row r="1454" spans="1:11" ht="12.75" x14ac:dyDescent="0.2">
      <c r="A1454" s="256"/>
      <c r="B1454" s="256"/>
      <c r="C1454" s="256"/>
      <c r="D1454" s="256"/>
      <c r="E1454" s="256"/>
      <c r="F1454" s="256"/>
      <c r="G1454" s="256"/>
      <c r="H1454" s="256"/>
      <c r="I1454" s="256"/>
      <c r="J1454" s="256"/>
      <c r="K1454" s="256"/>
    </row>
    <row r="1455" spans="1:11" ht="12.75" x14ac:dyDescent="0.2">
      <c r="A1455" s="256"/>
      <c r="B1455" s="256"/>
      <c r="C1455" s="256"/>
      <c r="D1455" s="256"/>
      <c r="E1455" s="256"/>
      <c r="F1455" s="256"/>
      <c r="G1455" s="256"/>
      <c r="H1455" s="256"/>
      <c r="I1455" s="256"/>
      <c r="J1455" s="256"/>
      <c r="K1455" s="256"/>
    </row>
    <row r="1456" spans="1:11" ht="12.75" x14ac:dyDescent="0.2">
      <c r="A1456" s="256"/>
      <c r="B1456" s="256"/>
      <c r="C1456" s="256"/>
      <c r="D1456" s="256"/>
      <c r="E1456" s="256"/>
      <c r="F1456" s="256"/>
      <c r="G1456" s="256"/>
      <c r="H1456" s="256"/>
      <c r="I1456" s="256"/>
      <c r="J1456" s="256"/>
      <c r="K1456" s="256"/>
    </row>
    <row r="1457" spans="1:11" ht="12.75" x14ac:dyDescent="0.2">
      <c r="A1457" s="256"/>
      <c r="B1457" s="256"/>
      <c r="C1457" s="256"/>
      <c r="D1457" s="256"/>
      <c r="E1457" s="256"/>
      <c r="F1457" s="256"/>
      <c r="G1457" s="256"/>
      <c r="H1457" s="256"/>
      <c r="I1457" s="256"/>
      <c r="J1457" s="256"/>
      <c r="K1457" s="256"/>
    </row>
    <row r="1458" spans="1:11" ht="12.75" x14ac:dyDescent="0.2">
      <c r="A1458" s="256"/>
      <c r="B1458" s="256"/>
      <c r="C1458" s="256"/>
      <c r="D1458" s="256"/>
      <c r="E1458" s="256"/>
      <c r="F1458" s="256"/>
      <c r="G1458" s="256"/>
      <c r="H1458" s="256"/>
      <c r="I1458" s="256"/>
      <c r="J1458" s="256"/>
      <c r="K1458" s="256"/>
    </row>
    <row r="1459" spans="1:11" ht="12.75" x14ac:dyDescent="0.2">
      <c r="A1459" s="256"/>
      <c r="B1459" s="256"/>
      <c r="C1459" s="256"/>
      <c r="D1459" s="256"/>
      <c r="E1459" s="256"/>
      <c r="F1459" s="256"/>
      <c r="G1459" s="256"/>
      <c r="H1459" s="256"/>
      <c r="I1459" s="256"/>
      <c r="J1459" s="256"/>
      <c r="K1459" s="256"/>
    </row>
    <row r="1460" spans="1:11" ht="12.75" x14ac:dyDescent="0.2">
      <c r="A1460" s="256"/>
      <c r="B1460" s="256"/>
      <c r="C1460" s="256"/>
      <c r="D1460" s="256"/>
      <c r="E1460" s="256"/>
      <c r="F1460" s="256"/>
      <c r="G1460" s="256"/>
      <c r="H1460" s="256"/>
      <c r="I1460" s="256"/>
      <c r="J1460" s="256"/>
      <c r="K1460" s="256"/>
    </row>
    <row r="1461" spans="1:11" ht="12.75" x14ac:dyDescent="0.2">
      <c r="A1461" s="256"/>
      <c r="B1461" s="256"/>
      <c r="C1461" s="256"/>
      <c r="D1461" s="256"/>
      <c r="E1461" s="256"/>
      <c r="F1461" s="256"/>
      <c r="G1461" s="256"/>
      <c r="H1461" s="256"/>
      <c r="I1461" s="256"/>
      <c r="J1461" s="256"/>
      <c r="K1461" s="256"/>
    </row>
    <row r="1462" spans="1:11" ht="12.75" x14ac:dyDescent="0.2">
      <c r="A1462" s="256"/>
      <c r="B1462" s="256"/>
      <c r="C1462" s="256"/>
      <c r="D1462" s="256"/>
      <c r="E1462" s="256"/>
      <c r="F1462" s="256"/>
      <c r="G1462" s="256"/>
      <c r="H1462" s="256"/>
      <c r="I1462" s="256"/>
      <c r="J1462" s="256"/>
      <c r="K1462" s="256"/>
    </row>
    <row r="1463" spans="1:11" ht="12.75" x14ac:dyDescent="0.2">
      <c r="A1463" s="256"/>
      <c r="B1463" s="256"/>
      <c r="C1463" s="256"/>
      <c r="D1463" s="256"/>
      <c r="E1463" s="256"/>
      <c r="F1463" s="256"/>
      <c r="G1463" s="256"/>
      <c r="H1463" s="256"/>
      <c r="I1463" s="256"/>
      <c r="J1463" s="256"/>
      <c r="K1463" s="256"/>
    </row>
    <row r="1464" spans="1:11" ht="12.75" x14ac:dyDescent="0.2">
      <c r="A1464" s="256"/>
      <c r="B1464" s="256"/>
      <c r="C1464" s="256"/>
      <c r="D1464" s="256"/>
      <c r="E1464" s="256"/>
      <c r="F1464" s="256"/>
      <c r="G1464" s="256"/>
      <c r="H1464" s="256"/>
      <c r="I1464" s="256"/>
      <c r="J1464" s="256"/>
      <c r="K1464" s="256"/>
    </row>
    <row r="1465" spans="1:11" ht="12.75" x14ac:dyDescent="0.2">
      <c r="A1465" s="256"/>
      <c r="B1465" s="256"/>
      <c r="C1465" s="256"/>
      <c r="D1465" s="256"/>
      <c r="E1465" s="256"/>
      <c r="F1465" s="256"/>
      <c r="G1465" s="256"/>
      <c r="H1465" s="256"/>
      <c r="I1465" s="256"/>
      <c r="J1465" s="256"/>
      <c r="K1465" s="256"/>
    </row>
    <row r="1466" spans="1:11" ht="12.75" x14ac:dyDescent="0.2">
      <c r="A1466" s="256"/>
      <c r="B1466" s="256"/>
      <c r="C1466" s="256"/>
      <c r="D1466" s="256"/>
      <c r="E1466" s="256"/>
      <c r="F1466" s="256"/>
      <c r="G1466" s="256"/>
      <c r="H1466" s="256"/>
      <c r="I1466" s="256"/>
      <c r="J1466" s="256"/>
      <c r="K1466" s="256"/>
    </row>
    <row r="1467" spans="1:11" ht="12.75" x14ac:dyDescent="0.2">
      <c r="A1467" s="256"/>
      <c r="B1467" s="256"/>
      <c r="C1467" s="256"/>
      <c r="D1467" s="256"/>
      <c r="E1467" s="256"/>
      <c r="F1467" s="256"/>
      <c r="G1467" s="256"/>
      <c r="H1467" s="256"/>
      <c r="I1467" s="256"/>
      <c r="J1467" s="256"/>
      <c r="K1467" s="256"/>
    </row>
    <row r="1468" spans="1:11" ht="12.75" x14ac:dyDescent="0.2">
      <c r="A1468" s="256"/>
      <c r="B1468" s="256"/>
      <c r="C1468" s="256"/>
      <c r="D1468" s="256"/>
      <c r="E1468" s="256"/>
      <c r="F1468" s="256"/>
      <c r="G1468" s="256"/>
      <c r="H1468" s="256"/>
      <c r="I1468" s="256"/>
      <c r="J1468" s="256"/>
      <c r="K1468" s="256"/>
    </row>
    <row r="1469" spans="1:11" ht="12.75" x14ac:dyDescent="0.2">
      <c r="A1469" s="256"/>
      <c r="B1469" s="256"/>
      <c r="C1469" s="256"/>
      <c r="D1469" s="256"/>
      <c r="E1469" s="256"/>
      <c r="F1469" s="256"/>
      <c r="G1469" s="256"/>
      <c r="H1469" s="256"/>
      <c r="I1469" s="256"/>
      <c r="J1469" s="256"/>
      <c r="K1469" s="256"/>
    </row>
    <row r="1470" spans="1:11" ht="12.75" x14ac:dyDescent="0.2">
      <c r="A1470" s="256"/>
      <c r="B1470" s="256"/>
      <c r="C1470" s="256"/>
      <c r="D1470" s="256"/>
      <c r="E1470" s="256"/>
      <c r="F1470" s="256"/>
      <c r="G1470" s="256"/>
      <c r="H1470" s="256"/>
      <c r="I1470" s="256"/>
      <c r="J1470" s="256"/>
      <c r="K1470" s="256"/>
    </row>
    <row r="1471" spans="1:11" ht="12.75" x14ac:dyDescent="0.2">
      <c r="A1471" s="256"/>
      <c r="B1471" s="256"/>
      <c r="C1471" s="256"/>
      <c r="D1471" s="256"/>
      <c r="E1471" s="256"/>
      <c r="F1471" s="256"/>
      <c r="G1471" s="256"/>
      <c r="H1471" s="256"/>
      <c r="I1471" s="256"/>
      <c r="J1471" s="256"/>
      <c r="K1471" s="256"/>
    </row>
    <row r="1472" spans="1:11" ht="12.75" x14ac:dyDescent="0.2">
      <c r="A1472" s="256"/>
      <c r="B1472" s="256"/>
      <c r="C1472" s="256"/>
      <c r="D1472" s="256"/>
      <c r="E1472" s="256"/>
      <c r="F1472" s="256"/>
      <c r="G1472" s="256"/>
      <c r="H1472" s="256"/>
      <c r="I1472" s="256"/>
      <c r="J1472" s="256"/>
      <c r="K1472" s="256"/>
    </row>
    <row r="1473" spans="1:11" ht="12.75" x14ac:dyDescent="0.2">
      <c r="A1473" s="256"/>
      <c r="B1473" s="256"/>
      <c r="C1473" s="256"/>
      <c r="D1473" s="256"/>
      <c r="E1473" s="256"/>
      <c r="F1473" s="256"/>
      <c r="G1473" s="256"/>
      <c r="H1473" s="256"/>
      <c r="I1473" s="256"/>
      <c r="J1473" s="256"/>
      <c r="K1473" s="256"/>
    </row>
    <row r="1474" spans="1:11" ht="12.75" x14ac:dyDescent="0.2">
      <c r="A1474" s="256"/>
      <c r="B1474" s="256"/>
      <c r="C1474" s="256"/>
      <c r="D1474" s="256"/>
      <c r="E1474" s="256"/>
      <c r="F1474" s="256"/>
      <c r="G1474" s="256"/>
      <c r="H1474" s="256"/>
      <c r="I1474" s="256"/>
      <c r="J1474" s="256"/>
      <c r="K1474" s="256"/>
    </row>
    <row r="1475" spans="1:11" ht="12.75" x14ac:dyDescent="0.2">
      <c r="A1475" s="256"/>
      <c r="B1475" s="256"/>
      <c r="C1475" s="256"/>
      <c r="D1475" s="256"/>
      <c r="E1475" s="256"/>
      <c r="F1475" s="256"/>
      <c r="G1475" s="256"/>
      <c r="H1475" s="256"/>
      <c r="I1475" s="256"/>
      <c r="J1475" s="256"/>
      <c r="K1475" s="256"/>
    </row>
    <row r="1476" spans="1:11" ht="12.75" x14ac:dyDescent="0.2">
      <c r="A1476" s="256"/>
      <c r="B1476" s="256"/>
      <c r="C1476" s="256"/>
      <c r="D1476" s="256"/>
      <c r="E1476" s="256"/>
      <c r="F1476" s="256"/>
      <c r="G1476" s="256"/>
      <c r="H1476" s="256"/>
      <c r="I1476" s="256"/>
      <c r="J1476" s="256"/>
      <c r="K1476" s="256"/>
    </row>
    <row r="1477" spans="1:11" ht="12.75" x14ac:dyDescent="0.2">
      <c r="A1477" s="256"/>
      <c r="B1477" s="256"/>
      <c r="C1477" s="256"/>
      <c r="D1477" s="256"/>
      <c r="E1477" s="256"/>
      <c r="F1477" s="256"/>
      <c r="G1477" s="256"/>
      <c r="H1477" s="256"/>
      <c r="I1477" s="256"/>
      <c r="J1477" s="256"/>
      <c r="K1477" s="256"/>
    </row>
    <row r="1478" spans="1:11" ht="12.75" x14ac:dyDescent="0.2">
      <c r="A1478" s="256"/>
      <c r="B1478" s="256"/>
      <c r="C1478" s="256"/>
      <c r="D1478" s="256"/>
      <c r="E1478" s="256"/>
      <c r="F1478" s="256"/>
      <c r="G1478" s="256"/>
      <c r="H1478" s="256"/>
      <c r="I1478" s="256"/>
      <c r="J1478" s="256"/>
      <c r="K1478" s="256"/>
    </row>
    <row r="1479" spans="1:11" ht="12.75" x14ac:dyDescent="0.2">
      <c r="A1479" s="256"/>
      <c r="B1479" s="256"/>
      <c r="C1479" s="256"/>
      <c r="D1479" s="256"/>
      <c r="E1479" s="256"/>
      <c r="F1479" s="256"/>
      <c r="G1479" s="256"/>
      <c r="H1479" s="256"/>
      <c r="I1479" s="256"/>
      <c r="J1479" s="256"/>
      <c r="K1479" s="256"/>
    </row>
    <row r="1480" spans="1:11" ht="12.75" x14ac:dyDescent="0.2">
      <c r="A1480" s="256"/>
      <c r="B1480" s="256"/>
      <c r="C1480" s="256"/>
      <c r="D1480" s="256"/>
      <c r="E1480" s="256"/>
      <c r="F1480" s="256"/>
      <c r="G1480" s="256"/>
      <c r="H1480" s="256"/>
      <c r="I1480" s="256"/>
      <c r="J1480" s="256"/>
      <c r="K1480" s="256"/>
    </row>
    <row r="1481" spans="1:11" ht="12.75" x14ac:dyDescent="0.2">
      <c r="A1481" s="256"/>
      <c r="B1481" s="256"/>
      <c r="C1481" s="256"/>
      <c r="D1481" s="256"/>
      <c r="E1481" s="256"/>
      <c r="F1481" s="256"/>
      <c r="G1481" s="256"/>
      <c r="H1481" s="256"/>
      <c r="I1481" s="256"/>
      <c r="J1481" s="256"/>
      <c r="K1481" s="256"/>
    </row>
    <row r="1482" spans="1:11" ht="12.75" x14ac:dyDescent="0.2">
      <c r="A1482" s="256"/>
      <c r="B1482" s="256"/>
      <c r="C1482" s="256"/>
      <c r="D1482" s="256"/>
      <c r="E1482" s="256"/>
      <c r="F1482" s="256"/>
      <c r="G1482" s="256"/>
      <c r="H1482" s="256"/>
      <c r="I1482" s="256"/>
      <c r="J1482" s="256"/>
      <c r="K1482" s="256"/>
    </row>
    <row r="1483" spans="1:11" ht="12.75" x14ac:dyDescent="0.2">
      <c r="A1483" s="256"/>
      <c r="B1483" s="256"/>
      <c r="C1483" s="256"/>
      <c r="D1483" s="256"/>
      <c r="E1483" s="256"/>
      <c r="F1483" s="256"/>
      <c r="G1483" s="256"/>
      <c r="H1483" s="256"/>
      <c r="I1483" s="256"/>
      <c r="J1483" s="256"/>
      <c r="K1483" s="256"/>
    </row>
    <row r="1484" spans="1:11" ht="12.75" x14ac:dyDescent="0.2">
      <c r="A1484" s="256"/>
      <c r="B1484" s="256"/>
      <c r="C1484" s="256"/>
      <c r="D1484" s="256"/>
      <c r="E1484" s="256"/>
      <c r="F1484" s="256"/>
      <c r="G1484" s="256"/>
      <c r="H1484" s="256"/>
      <c r="I1484" s="256"/>
      <c r="J1484" s="256"/>
      <c r="K1484" s="256"/>
    </row>
    <row r="1485" spans="1:11" ht="12.75" x14ac:dyDescent="0.2">
      <c r="A1485" s="256"/>
      <c r="B1485" s="256"/>
      <c r="C1485" s="256"/>
      <c r="D1485" s="256"/>
      <c r="E1485" s="256"/>
      <c r="F1485" s="256"/>
      <c r="G1485" s="256"/>
      <c r="H1485" s="256"/>
      <c r="I1485" s="256"/>
      <c r="J1485" s="256"/>
      <c r="K1485" s="256"/>
    </row>
    <row r="1486" spans="1:11" ht="12.75" x14ac:dyDescent="0.2">
      <c r="A1486" s="256"/>
      <c r="B1486" s="256"/>
      <c r="C1486" s="256"/>
      <c r="D1486" s="256"/>
      <c r="E1486" s="256"/>
      <c r="F1486" s="256"/>
      <c r="G1486" s="256"/>
      <c r="H1486" s="256"/>
      <c r="I1486" s="256"/>
      <c r="J1486" s="256"/>
      <c r="K1486" s="256"/>
    </row>
    <row r="1487" spans="1:11" ht="12.75" x14ac:dyDescent="0.2">
      <c r="A1487" s="256"/>
      <c r="B1487" s="256"/>
      <c r="C1487" s="256"/>
      <c r="D1487" s="256"/>
      <c r="E1487" s="256"/>
      <c r="F1487" s="256"/>
      <c r="G1487" s="256"/>
      <c r="H1487" s="256"/>
      <c r="I1487" s="256"/>
      <c r="J1487" s="256"/>
      <c r="K1487" s="256"/>
    </row>
    <row r="1488" spans="1:11" ht="12.75" x14ac:dyDescent="0.2">
      <c r="A1488" s="256"/>
      <c r="B1488" s="256"/>
      <c r="C1488" s="256"/>
      <c r="D1488" s="256"/>
      <c r="E1488" s="256"/>
      <c r="F1488" s="256"/>
      <c r="G1488" s="256"/>
      <c r="H1488" s="256"/>
      <c r="I1488" s="256"/>
      <c r="J1488" s="256"/>
      <c r="K1488" s="256"/>
    </row>
    <row r="1489" spans="1:11" ht="12.75" x14ac:dyDescent="0.2">
      <c r="A1489" s="256"/>
      <c r="B1489" s="256"/>
      <c r="C1489" s="256"/>
      <c r="D1489" s="256"/>
      <c r="E1489" s="256"/>
      <c r="F1489" s="256"/>
      <c r="G1489" s="256"/>
      <c r="H1489" s="256"/>
      <c r="I1489" s="256"/>
      <c r="J1489" s="256"/>
      <c r="K1489" s="256"/>
    </row>
    <row r="1490" spans="1:11" ht="12.75" x14ac:dyDescent="0.2">
      <c r="A1490" s="256"/>
      <c r="B1490" s="256"/>
      <c r="C1490" s="256"/>
      <c r="D1490" s="256"/>
      <c r="E1490" s="256"/>
      <c r="F1490" s="256"/>
      <c r="G1490" s="256"/>
      <c r="H1490" s="256"/>
      <c r="I1490" s="256"/>
      <c r="J1490" s="256"/>
      <c r="K1490" s="256"/>
    </row>
    <row r="1491" spans="1:11" ht="12.75" x14ac:dyDescent="0.2">
      <c r="A1491" s="256"/>
      <c r="B1491" s="256"/>
      <c r="C1491" s="256"/>
      <c r="D1491" s="256"/>
      <c r="E1491" s="256"/>
      <c r="F1491" s="256"/>
      <c r="G1491" s="256"/>
      <c r="H1491" s="256"/>
      <c r="I1491" s="256"/>
      <c r="J1491" s="256"/>
      <c r="K1491" s="256"/>
    </row>
    <row r="1492" spans="1:11" ht="12.75" x14ac:dyDescent="0.2">
      <c r="A1492" s="256"/>
      <c r="B1492" s="256"/>
      <c r="C1492" s="256"/>
      <c r="D1492" s="256"/>
      <c r="E1492" s="256"/>
      <c r="F1492" s="256"/>
      <c r="G1492" s="256"/>
      <c r="H1492" s="256"/>
      <c r="I1492" s="256"/>
      <c r="J1492" s="256"/>
      <c r="K1492" s="256"/>
    </row>
    <row r="1493" spans="1:11" ht="12.75" x14ac:dyDescent="0.2">
      <c r="A1493" s="256"/>
      <c r="B1493" s="256"/>
      <c r="C1493" s="256"/>
      <c r="D1493" s="256"/>
      <c r="E1493" s="256"/>
      <c r="F1493" s="256"/>
      <c r="G1493" s="256"/>
      <c r="H1493" s="256"/>
      <c r="I1493" s="256"/>
      <c r="J1493" s="256"/>
      <c r="K1493" s="256"/>
    </row>
    <row r="1494" spans="1:11" ht="12.75" x14ac:dyDescent="0.2">
      <c r="A1494" s="256"/>
      <c r="B1494" s="256"/>
      <c r="C1494" s="256"/>
      <c r="D1494" s="256"/>
      <c r="E1494" s="256"/>
      <c r="F1494" s="256"/>
      <c r="G1494" s="256"/>
      <c r="H1494" s="256"/>
      <c r="I1494" s="256"/>
      <c r="J1494" s="256"/>
      <c r="K1494" s="256"/>
    </row>
    <row r="1495" spans="1:11" ht="12.75" x14ac:dyDescent="0.2">
      <c r="A1495" s="256"/>
      <c r="B1495" s="256"/>
      <c r="C1495" s="256"/>
      <c r="D1495" s="256"/>
      <c r="E1495" s="256"/>
      <c r="F1495" s="256"/>
      <c r="G1495" s="256"/>
      <c r="H1495" s="256"/>
      <c r="I1495" s="256"/>
      <c r="J1495" s="256"/>
      <c r="K1495" s="256"/>
    </row>
    <row r="1496" spans="1:11" ht="12.75" x14ac:dyDescent="0.2">
      <c r="A1496" s="256"/>
      <c r="B1496" s="256"/>
      <c r="C1496" s="256"/>
      <c r="D1496" s="256"/>
      <c r="E1496" s="256"/>
      <c r="F1496" s="256"/>
      <c r="G1496" s="256"/>
      <c r="H1496" s="256"/>
      <c r="I1496" s="256"/>
      <c r="J1496" s="256"/>
      <c r="K1496" s="256"/>
    </row>
    <row r="1497" spans="1:11" ht="12.75" x14ac:dyDescent="0.2">
      <c r="A1497" s="256"/>
      <c r="B1497" s="256"/>
      <c r="C1497" s="256"/>
      <c r="D1497" s="256"/>
      <c r="E1497" s="256"/>
      <c r="F1497" s="256"/>
      <c r="G1497" s="256"/>
      <c r="H1497" s="256"/>
      <c r="I1497" s="256"/>
      <c r="J1497" s="256"/>
      <c r="K1497" s="256"/>
    </row>
    <row r="1498" spans="1:11" ht="12.75" x14ac:dyDescent="0.2">
      <c r="A1498" s="256"/>
      <c r="B1498" s="256"/>
      <c r="C1498" s="256"/>
      <c r="D1498" s="256"/>
      <c r="E1498" s="256"/>
      <c r="F1498" s="256"/>
      <c r="G1498" s="256"/>
      <c r="H1498" s="256"/>
      <c r="I1498" s="256"/>
      <c r="J1498" s="256"/>
      <c r="K1498" s="256"/>
    </row>
    <row r="1499" spans="1:11" ht="12.75" x14ac:dyDescent="0.2">
      <c r="A1499" s="256"/>
      <c r="B1499" s="256"/>
      <c r="C1499" s="256"/>
      <c r="D1499" s="256"/>
      <c r="E1499" s="256"/>
      <c r="F1499" s="256"/>
      <c r="G1499" s="256"/>
      <c r="H1499" s="256"/>
      <c r="I1499" s="256"/>
      <c r="J1499" s="256"/>
      <c r="K1499" s="256"/>
    </row>
    <row r="1500" spans="1:11" ht="12.75" x14ac:dyDescent="0.2">
      <c r="A1500" s="256"/>
      <c r="B1500" s="256"/>
      <c r="C1500" s="256"/>
      <c r="D1500" s="256"/>
      <c r="E1500" s="256"/>
      <c r="F1500" s="256"/>
      <c r="G1500" s="256"/>
      <c r="H1500" s="256"/>
      <c r="I1500" s="256"/>
      <c r="J1500" s="256"/>
      <c r="K1500" s="256"/>
    </row>
    <row r="1501" spans="1:11" ht="12.75" x14ac:dyDescent="0.2">
      <c r="A1501" s="256"/>
      <c r="B1501" s="256"/>
      <c r="C1501" s="256"/>
      <c r="D1501" s="256"/>
      <c r="E1501" s="256"/>
      <c r="F1501" s="256"/>
      <c r="G1501" s="256"/>
      <c r="H1501" s="256"/>
      <c r="I1501" s="256"/>
      <c r="J1501" s="256"/>
      <c r="K1501" s="256"/>
    </row>
    <row r="1502" spans="1:11" ht="12.75" x14ac:dyDescent="0.2">
      <c r="A1502" s="256"/>
      <c r="B1502" s="256"/>
      <c r="C1502" s="256"/>
      <c r="D1502" s="256"/>
      <c r="E1502" s="256"/>
      <c r="F1502" s="256"/>
      <c r="G1502" s="256"/>
      <c r="H1502" s="256"/>
      <c r="I1502" s="256"/>
      <c r="J1502" s="256"/>
      <c r="K1502" s="256"/>
    </row>
    <row r="1503" spans="1:11" ht="12.75" x14ac:dyDescent="0.2">
      <c r="A1503" s="256"/>
      <c r="B1503" s="256"/>
      <c r="C1503" s="256"/>
      <c r="D1503" s="256"/>
      <c r="E1503" s="256"/>
      <c r="F1503" s="256"/>
      <c r="G1503" s="256"/>
      <c r="H1503" s="256"/>
      <c r="I1503" s="256"/>
      <c r="J1503" s="256"/>
      <c r="K1503" s="256"/>
    </row>
    <row r="1504" spans="1:11" ht="12.75" x14ac:dyDescent="0.2">
      <c r="A1504" s="256"/>
      <c r="B1504" s="256"/>
      <c r="C1504" s="256"/>
      <c r="D1504" s="256"/>
      <c r="E1504" s="256"/>
      <c r="F1504" s="256"/>
      <c r="G1504" s="256"/>
      <c r="H1504" s="256"/>
      <c r="I1504" s="256"/>
      <c r="J1504" s="256"/>
      <c r="K1504" s="256"/>
    </row>
    <row r="1505" spans="1:11" ht="12.75" x14ac:dyDescent="0.2">
      <c r="A1505" s="256"/>
      <c r="B1505" s="256"/>
      <c r="C1505" s="256"/>
      <c r="D1505" s="256"/>
      <c r="E1505" s="256"/>
      <c r="F1505" s="256"/>
      <c r="G1505" s="256"/>
      <c r="H1505" s="256"/>
      <c r="I1505" s="256"/>
      <c r="J1505" s="256"/>
      <c r="K1505" s="256"/>
    </row>
    <row r="1506" spans="1:11" ht="12.75" x14ac:dyDescent="0.2">
      <c r="A1506" s="256"/>
      <c r="B1506" s="256"/>
      <c r="C1506" s="256"/>
      <c r="D1506" s="256"/>
      <c r="E1506" s="256"/>
      <c r="F1506" s="256"/>
      <c r="G1506" s="256"/>
      <c r="H1506" s="256"/>
      <c r="I1506" s="256"/>
      <c r="J1506" s="256"/>
      <c r="K1506" s="256"/>
    </row>
    <row r="1507" spans="1:11" ht="12.75" x14ac:dyDescent="0.2">
      <c r="A1507" s="256"/>
      <c r="B1507" s="256"/>
      <c r="C1507" s="256"/>
      <c r="D1507" s="256"/>
      <c r="E1507" s="256"/>
      <c r="F1507" s="256"/>
      <c r="G1507" s="256"/>
      <c r="H1507" s="256"/>
      <c r="I1507" s="256"/>
      <c r="J1507" s="256"/>
      <c r="K1507" s="256"/>
    </row>
    <row r="1508" spans="1:11" ht="12.75" x14ac:dyDescent="0.2">
      <c r="A1508" s="256"/>
      <c r="B1508" s="256"/>
      <c r="C1508" s="256"/>
      <c r="D1508" s="256"/>
      <c r="E1508" s="256"/>
      <c r="F1508" s="256"/>
      <c r="G1508" s="256"/>
      <c r="H1508" s="256"/>
      <c r="I1508" s="256"/>
      <c r="J1508" s="256"/>
      <c r="K1508" s="256"/>
    </row>
    <row r="1509" spans="1:11" ht="12.75" x14ac:dyDescent="0.2">
      <c r="A1509" s="256"/>
      <c r="B1509" s="256"/>
      <c r="C1509" s="256"/>
      <c r="D1509" s="256"/>
      <c r="E1509" s="256"/>
      <c r="F1509" s="256"/>
      <c r="G1509" s="256"/>
      <c r="H1509" s="256"/>
      <c r="I1509" s="256"/>
      <c r="J1509" s="256"/>
      <c r="K1509" s="256"/>
    </row>
    <row r="1510" spans="1:11" ht="12.75" x14ac:dyDescent="0.2">
      <c r="A1510" s="256"/>
      <c r="B1510" s="256"/>
      <c r="C1510" s="256"/>
      <c r="D1510" s="256"/>
      <c r="E1510" s="256"/>
      <c r="F1510" s="256"/>
      <c r="G1510" s="256"/>
      <c r="H1510" s="256"/>
      <c r="I1510" s="256"/>
      <c r="J1510" s="256"/>
      <c r="K1510" s="256"/>
    </row>
    <row r="1511" spans="1:11" ht="12.75" x14ac:dyDescent="0.2">
      <c r="A1511" s="256"/>
      <c r="B1511" s="256"/>
      <c r="C1511" s="256"/>
      <c r="D1511" s="256"/>
      <c r="E1511" s="256"/>
      <c r="F1511" s="256"/>
      <c r="G1511" s="256"/>
      <c r="H1511" s="256"/>
      <c r="I1511" s="256"/>
      <c r="J1511" s="256"/>
      <c r="K1511" s="256"/>
    </row>
    <row r="1512" spans="1:11" ht="12.75" x14ac:dyDescent="0.2">
      <c r="A1512" s="256"/>
      <c r="B1512" s="256"/>
      <c r="C1512" s="256"/>
      <c r="D1512" s="256"/>
      <c r="E1512" s="256"/>
      <c r="F1512" s="256"/>
      <c r="G1512" s="256"/>
      <c r="H1512" s="256"/>
      <c r="I1512" s="256"/>
      <c r="J1512" s="256"/>
      <c r="K1512" s="256"/>
    </row>
    <row r="1513" spans="1:11" ht="12.75" x14ac:dyDescent="0.2">
      <c r="A1513" s="256"/>
      <c r="B1513" s="256"/>
      <c r="C1513" s="256"/>
      <c r="D1513" s="256"/>
      <c r="E1513" s="256"/>
      <c r="F1513" s="256"/>
      <c r="G1513" s="256"/>
      <c r="H1513" s="256"/>
      <c r="I1513" s="256"/>
      <c r="J1513" s="256"/>
      <c r="K1513" s="256"/>
    </row>
    <row r="1514" spans="1:11" ht="12.75" x14ac:dyDescent="0.2">
      <c r="A1514" s="256"/>
      <c r="B1514" s="256"/>
      <c r="C1514" s="256"/>
      <c r="D1514" s="256"/>
      <c r="E1514" s="256"/>
      <c r="F1514" s="256"/>
      <c r="G1514" s="256"/>
      <c r="H1514" s="256"/>
      <c r="I1514" s="256"/>
      <c r="J1514" s="256"/>
      <c r="K1514" s="256"/>
    </row>
    <row r="1515" spans="1:11" ht="12.75" x14ac:dyDescent="0.2">
      <c r="A1515" s="256"/>
      <c r="B1515" s="256"/>
      <c r="C1515" s="256"/>
      <c r="D1515" s="256"/>
      <c r="E1515" s="256"/>
      <c r="F1515" s="256"/>
      <c r="G1515" s="256"/>
      <c r="H1515" s="256"/>
      <c r="I1515" s="256"/>
      <c r="J1515" s="256"/>
      <c r="K1515" s="256"/>
    </row>
    <row r="1516" spans="1:11" ht="12.75" x14ac:dyDescent="0.2">
      <c r="A1516" s="256"/>
      <c r="B1516" s="256"/>
      <c r="C1516" s="256"/>
      <c r="D1516" s="256"/>
      <c r="E1516" s="256"/>
      <c r="F1516" s="256"/>
      <c r="G1516" s="256"/>
      <c r="H1516" s="256"/>
      <c r="I1516" s="256"/>
      <c r="J1516" s="256"/>
      <c r="K1516" s="256"/>
    </row>
    <row r="1517" spans="1:11" ht="12.75" x14ac:dyDescent="0.2">
      <c r="A1517" s="256"/>
      <c r="B1517" s="256"/>
      <c r="C1517" s="256"/>
      <c r="D1517" s="256"/>
      <c r="E1517" s="256"/>
      <c r="F1517" s="256"/>
      <c r="G1517" s="256"/>
      <c r="H1517" s="256"/>
      <c r="I1517" s="256"/>
      <c r="J1517" s="256"/>
      <c r="K1517" s="256"/>
    </row>
    <row r="1518" spans="1:11" ht="12.75" x14ac:dyDescent="0.2">
      <c r="A1518" s="256"/>
      <c r="B1518" s="256"/>
      <c r="C1518" s="256"/>
      <c r="D1518" s="256"/>
      <c r="E1518" s="256"/>
      <c r="F1518" s="256"/>
      <c r="G1518" s="256"/>
      <c r="H1518" s="256"/>
      <c r="I1518" s="256"/>
      <c r="J1518" s="256"/>
      <c r="K1518" s="256"/>
    </row>
    <row r="1519" spans="1:11" ht="12.75" x14ac:dyDescent="0.2">
      <c r="A1519" s="256"/>
      <c r="B1519" s="256"/>
      <c r="C1519" s="256"/>
      <c r="D1519" s="256"/>
      <c r="E1519" s="256"/>
      <c r="F1519" s="256"/>
      <c r="G1519" s="256"/>
      <c r="H1519" s="256"/>
      <c r="I1519" s="256"/>
      <c r="J1519" s="256"/>
      <c r="K1519" s="256"/>
    </row>
    <row r="1520" spans="1:11" ht="12.75" x14ac:dyDescent="0.2">
      <c r="A1520" s="256"/>
      <c r="B1520" s="256"/>
      <c r="C1520" s="256"/>
      <c r="D1520" s="256"/>
      <c r="E1520" s="256"/>
      <c r="F1520" s="256"/>
      <c r="G1520" s="256"/>
      <c r="H1520" s="256"/>
      <c r="I1520" s="256"/>
      <c r="J1520" s="256"/>
      <c r="K1520" s="256"/>
    </row>
    <row r="1521" spans="1:11" ht="12.75" x14ac:dyDescent="0.2">
      <c r="A1521" s="256"/>
      <c r="B1521" s="256"/>
      <c r="C1521" s="256"/>
      <c r="D1521" s="256"/>
      <c r="E1521" s="256"/>
      <c r="F1521" s="256"/>
      <c r="G1521" s="256"/>
      <c r="H1521" s="256"/>
      <c r="I1521" s="256"/>
      <c r="J1521" s="256"/>
      <c r="K1521" s="256"/>
    </row>
    <row r="1522" spans="1:11" ht="12.75" x14ac:dyDescent="0.2">
      <c r="A1522" s="256"/>
      <c r="B1522" s="256"/>
      <c r="C1522" s="256"/>
      <c r="D1522" s="256"/>
      <c r="E1522" s="256"/>
      <c r="F1522" s="256"/>
      <c r="G1522" s="256"/>
      <c r="H1522" s="256"/>
      <c r="I1522" s="256"/>
      <c r="J1522" s="256"/>
      <c r="K1522" s="256"/>
    </row>
    <row r="1523" spans="1:11" ht="12.75" x14ac:dyDescent="0.2">
      <c r="A1523" s="256"/>
      <c r="B1523" s="256"/>
      <c r="C1523" s="256"/>
      <c r="D1523" s="256"/>
      <c r="E1523" s="256"/>
      <c r="F1523" s="256"/>
      <c r="G1523" s="256"/>
      <c r="H1523" s="256"/>
      <c r="I1523" s="256"/>
      <c r="J1523" s="256"/>
      <c r="K1523" s="256"/>
    </row>
    <row r="1524" spans="1:11" ht="12.75" x14ac:dyDescent="0.2">
      <c r="A1524" s="256"/>
      <c r="B1524" s="256"/>
      <c r="C1524" s="256"/>
      <c r="D1524" s="256"/>
      <c r="E1524" s="256"/>
      <c r="F1524" s="256"/>
      <c r="G1524" s="256"/>
      <c r="H1524" s="256"/>
      <c r="I1524" s="256"/>
      <c r="J1524" s="256"/>
      <c r="K1524" s="256"/>
    </row>
    <row r="1525" spans="1:11" ht="12.75" x14ac:dyDescent="0.2">
      <c r="A1525" s="256"/>
      <c r="B1525" s="256"/>
      <c r="C1525" s="256"/>
      <c r="D1525" s="256"/>
      <c r="E1525" s="256"/>
      <c r="F1525" s="256"/>
      <c r="G1525" s="256"/>
      <c r="H1525" s="256"/>
      <c r="I1525" s="256"/>
      <c r="J1525" s="256"/>
      <c r="K1525" s="256"/>
    </row>
    <row r="1526" spans="1:11" ht="12.75" x14ac:dyDescent="0.2">
      <c r="A1526" s="256"/>
      <c r="B1526" s="256"/>
      <c r="C1526" s="256"/>
      <c r="D1526" s="256"/>
      <c r="E1526" s="256"/>
      <c r="F1526" s="256"/>
      <c r="G1526" s="256"/>
      <c r="H1526" s="256"/>
      <c r="I1526" s="256"/>
      <c r="J1526" s="256"/>
      <c r="K1526" s="256"/>
    </row>
    <row r="1527" spans="1:11" ht="12.75" x14ac:dyDescent="0.2">
      <c r="A1527" s="256"/>
      <c r="B1527" s="256"/>
      <c r="C1527" s="256"/>
      <c r="D1527" s="256"/>
      <c r="E1527" s="256"/>
      <c r="F1527" s="256"/>
      <c r="G1527" s="256"/>
      <c r="H1527" s="256"/>
      <c r="I1527" s="256"/>
      <c r="J1527" s="256"/>
      <c r="K1527" s="256"/>
    </row>
    <row r="1528" spans="1:11" ht="12.75" x14ac:dyDescent="0.2">
      <c r="A1528" s="256"/>
      <c r="B1528" s="256"/>
      <c r="C1528" s="256"/>
      <c r="D1528" s="256"/>
      <c r="E1528" s="256"/>
      <c r="F1528" s="256"/>
      <c r="G1528" s="256"/>
      <c r="H1528" s="256"/>
      <c r="I1528" s="256"/>
      <c r="J1528" s="256"/>
      <c r="K1528" s="256"/>
    </row>
    <row r="1529" spans="1:11" ht="12.75" x14ac:dyDescent="0.2">
      <c r="A1529" s="256"/>
      <c r="B1529" s="256"/>
      <c r="C1529" s="256"/>
      <c r="D1529" s="256"/>
      <c r="E1529" s="256"/>
      <c r="F1529" s="256"/>
      <c r="G1529" s="256"/>
      <c r="H1529" s="256"/>
      <c r="I1529" s="256"/>
      <c r="J1529" s="256"/>
      <c r="K1529" s="256"/>
    </row>
    <row r="1530" spans="1:11" ht="12.75" x14ac:dyDescent="0.2">
      <c r="A1530" s="256"/>
      <c r="B1530" s="256"/>
      <c r="C1530" s="256"/>
      <c r="D1530" s="256"/>
      <c r="E1530" s="256"/>
      <c r="F1530" s="256"/>
      <c r="G1530" s="256"/>
      <c r="H1530" s="256"/>
      <c r="I1530" s="256"/>
      <c r="J1530" s="256"/>
      <c r="K1530" s="256"/>
    </row>
    <row r="1531" spans="1:11" ht="12.75" x14ac:dyDescent="0.2">
      <c r="A1531" s="256"/>
      <c r="B1531" s="256"/>
      <c r="C1531" s="256"/>
      <c r="D1531" s="256"/>
      <c r="E1531" s="256"/>
      <c r="F1531" s="256"/>
      <c r="G1531" s="256"/>
      <c r="H1531" s="256"/>
      <c r="I1531" s="256"/>
      <c r="J1531" s="256"/>
      <c r="K1531" s="256"/>
    </row>
    <row r="1532" spans="1:11" ht="12.75" x14ac:dyDescent="0.2">
      <c r="A1532" s="256"/>
      <c r="B1532" s="256"/>
      <c r="C1532" s="256"/>
      <c r="D1532" s="256"/>
      <c r="E1532" s="256"/>
      <c r="F1532" s="256"/>
      <c r="G1532" s="256"/>
      <c r="H1532" s="256"/>
      <c r="I1532" s="256"/>
      <c r="J1532" s="256"/>
      <c r="K1532" s="256"/>
    </row>
    <row r="1533" spans="1:11" ht="12.75" x14ac:dyDescent="0.2">
      <c r="A1533" s="256"/>
      <c r="B1533" s="256"/>
      <c r="C1533" s="256"/>
      <c r="D1533" s="256"/>
      <c r="E1533" s="256"/>
      <c r="F1533" s="256"/>
      <c r="G1533" s="256"/>
      <c r="H1533" s="256"/>
      <c r="I1533" s="256"/>
      <c r="J1533" s="256"/>
      <c r="K1533" s="256"/>
    </row>
    <row r="1534" spans="1:11" ht="12.75" x14ac:dyDescent="0.2">
      <c r="A1534" s="256"/>
      <c r="B1534" s="256"/>
      <c r="C1534" s="256"/>
      <c r="D1534" s="256"/>
      <c r="E1534" s="256"/>
      <c r="F1534" s="256"/>
      <c r="G1534" s="256"/>
      <c r="H1534" s="256"/>
      <c r="I1534" s="256"/>
      <c r="J1534" s="256"/>
      <c r="K1534" s="256"/>
    </row>
    <row r="1535" spans="1:11" ht="12.75" x14ac:dyDescent="0.2">
      <c r="A1535" s="256"/>
      <c r="B1535" s="256"/>
      <c r="C1535" s="256"/>
      <c r="D1535" s="256"/>
      <c r="E1535" s="256"/>
      <c r="F1535" s="256"/>
      <c r="G1535" s="256"/>
      <c r="H1535" s="256"/>
      <c r="I1535" s="256"/>
      <c r="J1535" s="256"/>
      <c r="K1535" s="256"/>
    </row>
    <row r="1536" spans="1:11" ht="12.75" x14ac:dyDescent="0.2">
      <c r="A1536" s="256"/>
      <c r="B1536" s="256"/>
      <c r="C1536" s="256"/>
      <c r="D1536" s="256"/>
      <c r="E1536" s="256"/>
      <c r="F1536" s="256"/>
      <c r="G1536" s="256"/>
      <c r="H1536" s="256"/>
      <c r="I1536" s="256"/>
      <c r="J1536" s="256"/>
      <c r="K1536" s="256"/>
    </row>
    <row r="1537" spans="1:11" ht="12.75" x14ac:dyDescent="0.2">
      <c r="A1537" s="256"/>
      <c r="B1537" s="256"/>
      <c r="C1537" s="256"/>
      <c r="D1537" s="256"/>
      <c r="E1537" s="256"/>
      <c r="F1537" s="256"/>
      <c r="G1537" s="256"/>
      <c r="H1537" s="256"/>
      <c r="I1537" s="256"/>
      <c r="J1537" s="256"/>
      <c r="K1537" s="256"/>
    </row>
    <row r="1538" spans="1:11" ht="12.75" x14ac:dyDescent="0.2">
      <c r="A1538" s="256"/>
      <c r="B1538" s="256"/>
      <c r="C1538" s="256"/>
      <c r="D1538" s="256"/>
      <c r="E1538" s="256"/>
      <c r="F1538" s="256"/>
      <c r="G1538" s="256"/>
      <c r="H1538" s="256"/>
      <c r="I1538" s="256"/>
      <c r="J1538" s="256"/>
      <c r="K1538" s="256"/>
    </row>
    <row r="1539" spans="1:11" ht="12.75" x14ac:dyDescent="0.2">
      <c r="A1539" s="256"/>
      <c r="B1539" s="256"/>
      <c r="C1539" s="256"/>
      <c r="D1539" s="256"/>
      <c r="E1539" s="256"/>
      <c r="F1539" s="256"/>
      <c r="G1539" s="256"/>
      <c r="H1539" s="256"/>
      <c r="I1539" s="256"/>
      <c r="J1539" s="256"/>
      <c r="K1539" s="256"/>
    </row>
    <row r="1540" spans="1:11" ht="12.75" x14ac:dyDescent="0.2">
      <c r="A1540" s="256"/>
      <c r="B1540" s="256"/>
      <c r="C1540" s="256"/>
      <c r="D1540" s="256"/>
      <c r="E1540" s="256"/>
      <c r="F1540" s="256"/>
      <c r="G1540" s="256"/>
      <c r="H1540" s="256"/>
      <c r="I1540" s="256"/>
      <c r="J1540" s="256"/>
      <c r="K1540" s="256"/>
    </row>
    <row r="1541" spans="1:11" ht="12.75" x14ac:dyDescent="0.2">
      <c r="A1541" s="256"/>
      <c r="B1541" s="256"/>
      <c r="C1541" s="256"/>
      <c r="D1541" s="256"/>
      <c r="E1541" s="256"/>
      <c r="F1541" s="256"/>
      <c r="G1541" s="256"/>
      <c r="H1541" s="256"/>
      <c r="I1541" s="256"/>
      <c r="J1541" s="256"/>
      <c r="K1541" s="256"/>
    </row>
    <row r="1542" spans="1:11" ht="12.75" x14ac:dyDescent="0.2">
      <c r="A1542" s="256"/>
      <c r="B1542" s="256"/>
      <c r="C1542" s="256"/>
      <c r="D1542" s="256"/>
      <c r="E1542" s="256"/>
      <c r="F1542" s="256"/>
      <c r="G1542" s="256"/>
      <c r="H1542" s="256"/>
      <c r="I1542" s="256"/>
      <c r="J1542" s="256"/>
      <c r="K1542" s="256"/>
    </row>
    <row r="1543" spans="1:11" ht="12.75" x14ac:dyDescent="0.2">
      <c r="A1543" s="256"/>
      <c r="B1543" s="256"/>
      <c r="C1543" s="256"/>
      <c r="D1543" s="256"/>
      <c r="E1543" s="256"/>
      <c r="F1543" s="256"/>
      <c r="G1543" s="256"/>
      <c r="H1543" s="256"/>
      <c r="I1543" s="256"/>
      <c r="J1543" s="256"/>
      <c r="K1543" s="256"/>
    </row>
    <row r="1544" spans="1:11" ht="12.75" x14ac:dyDescent="0.2">
      <c r="A1544" s="256"/>
      <c r="B1544" s="256"/>
      <c r="C1544" s="256"/>
      <c r="D1544" s="256"/>
      <c r="E1544" s="256"/>
      <c r="F1544" s="256"/>
      <c r="G1544" s="256"/>
      <c r="H1544" s="256"/>
      <c r="I1544" s="256"/>
      <c r="J1544" s="256"/>
      <c r="K1544" s="256"/>
    </row>
    <row r="1545" spans="1:11" ht="12.75" x14ac:dyDescent="0.2">
      <c r="A1545" s="256"/>
      <c r="B1545" s="256"/>
      <c r="C1545" s="256"/>
      <c r="D1545" s="256"/>
      <c r="E1545" s="256"/>
      <c r="F1545" s="256"/>
      <c r="G1545" s="256"/>
      <c r="H1545" s="256"/>
      <c r="I1545" s="256"/>
      <c r="J1545" s="256"/>
      <c r="K1545" s="256"/>
    </row>
    <row r="1546" spans="1:11" ht="12.75" x14ac:dyDescent="0.2">
      <c r="A1546" s="256"/>
      <c r="B1546" s="256"/>
      <c r="C1546" s="256"/>
      <c r="D1546" s="256"/>
      <c r="E1546" s="256"/>
      <c r="F1546" s="256"/>
      <c r="G1546" s="256"/>
      <c r="H1546" s="256"/>
      <c r="I1546" s="256"/>
      <c r="J1546" s="256"/>
      <c r="K1546" s="256"/>
    </row>
    <row r="1547" spans="1:11" ht="12.75" x14ac:dyDescent="0.2">
      <c r="A1547" s="256"/>
      <c r="B1547" s="256"/>
      <c r="C1547" s="256"/>
      <c r="D1547" s="256"/>
      <c r="E1547" s="256"/>
      <c r="F1547" s="256"/>
      <c r="G1547" s="256"/>
      <c r="H1547" s="256"/>
      <c r="I1547" s="256"/>
      <c r="J1547" s="256"/>
      <c r="K1547" s="256"/>
    </row>
    <row r="1548" spans="1:11" ht="12.75" x14ac:dyDescent="0.2">
      <c r="A1548" s="256"/>
      <c r="B1548" s="256"/>
      <c r="C1548" s="256"/>
      <c r="D1548" s="256"/>
      <c r="E1548" s="256"/>
      <c r="F1548" s="256"/>
      <c r="G1548" s="256"/>
      <c r="H1548" s="256"/>
      <c r="I1548" s="256"/>
      <c r="J1548" s="256"/>
      <c r="K1548" s="256"/>
    </row>
    <row r="1549" spans="1:11" ht="12.75" x14ac:dyDescent="0.2">
      <c r="A1549" s="256"/>
      <c r="B1549" s="256"/>
      <c r="C1549" s="256"/>
      <c r="D1549" s="256"/>
      <c r="E1549" s="256"/>
      <c r="F1549" s="256"/>
      <c r="G1549" s="256"/>
      <c r="H1549" s="256"/>
      <c r="I1549" s="256"/>
      <c r="J1549" s="256"/>
      <c r="K1549" s="256"/>
    </row>
    <row r="1550" spans="1:11" ht="12.75" x14ac:dyDescent="0.2">
      <c r="A1550" s="256"/>
      <c r="B1550" s="256"/>
      <c r="C1550" s="256"/>
      <c r="D1550" s="256"/>
      <c r="E1550" s="256"/>
      <c r="F1550" s="256"/>
      <c r="G1550" s="256"/>
      <c r="H1550" s="256"/>
      <c r="I1550" s="256"/>
      <c r="J1550" s="256"/>
      <c r="K1550" s="256"/>
    </row>
    <row r="1551" spans="1:11" ht="12.75" x14ac:dyDescent="0.2">
      <c r="A1551" s="256"/>
      <c r="B1551" s="256"/>
      <c r="C1551" s="256"/>
      <c r="D1551" s="256"/>
      <c r="E1551" s="256"/>
      <c r="F1551" s="256"/>
      <c r="G1551" s="256"/>
      <c r="H1551" s="256"/>
      <c r="I1551" s="256"/>
      <c r="J1551" s="256"/>
      <c r="K1551" s="256"/>
    </row>
    <row r="1552" spans="1:11" ht="12.75" x14ac:dyDescent="0.2">
      <c r="A1552" s="256"/>
      <c r="B1552" s="256"/>
      <c r="C1552" s="256"/>
      <c r="D1552" s="256"/>
      <c r="E1552" s="256"/>
      <c r="F1552" s="256"/>
      <c r="G1552" s="256"/>
      <c r="H1552" s="256"/>
      <c r="I1552" s="256"/>
      <c r="J1552" s="256"/>
      <c r="K1552" s="256"/>
    </row>
    <row r="1553" spans="1:11" ht="12.75" x14ac:dyDescent="0.2">
      <c r="A1553" s="256"/>
      <c r="B1553" s="256"/>
      <c r="C1553" s="256"/>
      <c r="D1553" s="256"/>
      <c r="E1553" s="256"/>
      <c r="F1553" s="256"/>
      <c r="G1553" s="256"/>
      <c r="H1553" s="256"/>
      <c r="I1553" s="256"/>
      <c r="J1553" s="256"/>
      <c r="K1553" s="256"/>
    </row>
    <row r="1554" spans="1:11" ht="12.75" x14ac:dyDescent="0.2">
      <c r="A1554" s="256"/>
      <c r="B1554" s="256"/>
      <c r="C1554" s="256"/>
      <c r="D1554" s="256"/>
      <c r="E1554" s="256"/>
      <c r="F1554" s="256"/>
      <c r="G1554" s="256"/>
      <c r="H1554" s="256"/>
      <c r="I1554" s="256"/>
      <c r="J1554" s="256"/>
      <c r="K1554" s="256"/>
    </row>
    <row r="1555" spans="1:11" ht="12.75" x14ac:dyDescent="0.2">
      <c r="A1555" s="256"/>
      <c r="B1555" s="256"/>
      <c r="C1555" s="256"/>
      <c r="D1555" s="256"/>
      <c r="E1555" s="256"/>
      <c r="F1555" s="256"/>
      <c r="G1555" s="256"/>
      <c r="H1555" s="256"/>
      <c r="I1555" s="256"/>
      <c r="J1555" s="256"/>
      <c r="K1555" s="256"/>
    </row>
    <row r="1556" spans="1:11" ht="12.75" x14ac:dyDescent="0.2">
      <c r="A1556" s="256"/>
      <c r="B1556" s="256"/>
      <c r="C1556" s="256"/>
      <c r="D1556" s="256"/>
      <c r="E1556" s="256"/>
      <c r="F1556" s="256"/>
      <c r="G1556" s="256"/>
      <c r="H1556" s="256"/>
      <c r="I1556" s="256"/>
      <c r="J1556" s="256"/>
      <c r="K1556" s="256"/>
    </row>
    <row r="1557" spans="1:11" ht="12.75" x14ac:dyDescent="0.2">
      <c r="A1557" s="256"/>
      <c r="B1557" s="256"/>
      <c r="C1557" s="256"/>
      <c r="D1557" s="256"/>
      <c r="E1557" s="256"/>
      <c r="F1557" s="256"/>
      <c r="G1557" s="256"/>
      <c r="H1557" s="256"/>
      <c r="I1557" s="256"/>
      <c r="J1557" s="256"/>
      <c r="K1557" s="256"/>
    </row>
    <row r="1558" spans="1:11" ht="12.75" x14ac:dyDescent="0.2">
      <c r="A1558" s="256"/>
      <c r="B1558" s="256"/>
      <c r="C1558" s="256"/>
      <c r="D1558" s="256"/>
      <c r="E1558" s="256"/>
      <c r="F1558" s="256"/>
      <c r="G1558" s="256"/>
      <c r="H1558" s="256"/>
      <c r="I1558" s="256"/>
      <c r="J1558" s="256"/>
      <c r="K1558" s="256"/>
    </row>
    <row r="1559" spans="1:11" ht="12.75" x14ac:dyDescent="0.2">
      <c r="A1559" s="256"/>
      <c r="B1559" s="256"/>
      <c r="C1559" s="256"/>
      <c r="D1559" s="256"/>
      <c r="E1559" s="256"/>
      <c r="F1559" s="256"/>
      <c r="G1559" s="256"/>
      <c r="H1559" s="256"/>
      <c r="I1559" s="256"/>
      <c r="J1559" s="256"/>
      <c r="K1559" s="256"/>
    </row>
    <row r="1560" spans="1:11" ht="12.75" x14ac:dyDescent="0.2">
      <c r="A1560" s="256"/>
      <c r="B1560" s="256"/>
      <c r="C1560" s="256"/>
      <c r="D1560" s="256"/>
      <c r="E1560" s="256"/>
      <c r="F1560" s="256"/>
      <c r="G1560" s="256"/>
      <c r="H1560" s="256"/>
      <c r="I1560" s="256"/>
      <c r="J1560" s="256"/>
      <c r="K1560" s="256"/>
    </row>
    <row r="1561" spans="1:11" ht="12.75" x14ac:dyDescent="0.2">
      <c r="A1561" s="256"/>
      <c r="B1561" s="256"/>
      <c r="C1561" s="256"/>
      <c r="D1561" s="256"/>
      <c r="E1561" s="256"/>
      <c r="F1561" s="256"/>
      <c r="G1561" s="256"/>
      <c r="H1561" s="256"/>
      <c r="I1561" s="256"/>
      <c r="J1561" s="256"/>
      <c r="K1561" s="256"/>
    </row>
    <row r="1562" spans="1:11" ht="12.75" x14ac:dyDescent="0.2">
      <c r="A1562" s="256"/>
      <c r="B1562" s="256"/>
      <c r="C1562" s="256"/>
      <c r="D1562" s="256"/>
      <c r="E1562" s="256"/>
      <c r="F1562" s="256"/>
      <c r="G1562" s="256"/>
      <c r="H1562" s="256"/>
      <c r="I1562" s="256"/>
      <c r="J1562" s="256"/>
      <c r="K1562" s="256"/>
    </row>
    <row r="1563" spans="1:11" ht="12.75" x14ac:dyDescent="0.2">
      <c r="A1563" s="256"/>
      <c r="B1563" s="256"/>
      <c r="C1563" s="256"/>
      <c r="D1563" s="256"/>
      <c r="E1563" s="256"/>
      <c r="F1563" s="256"/>
      <c r="G1563" s="256"/>
      <c r="H1563" s="256"/>
      <c r="I1563" s="256"/>
      <c r="J1563" s="256"/>
      <c r="K1563" s="256"/>
    </row>
    <row r="1564" spans="1:11" ht="12.75" x14ac:dyDescent="0.2">
      <c r="A1564" s="256"/>
      <c r="B1564" s="256"/>
      <c r="C1564" s="256"/>
      <c r="D1564" s="256"/>
      <c r="E1564" s="256"/>
      <c r="F1564" s="256"/>
      <c r="G1564" s="256"/>
      <c r="H1564" s="256"/>
      <c r="I1564" s="256"/>
      <c r="J1564" s="256"/>
      <c r="K1564" s="256"/>
    </row>
    <row r="1565" spans="1:11" ht="12.75" x14ac:dyDescent="0.2">
      <c r="A1565" s="256"/>
      <c r="B1565" s="256"/>
      <c r="C1565" s="256"/>
      <c r="D1565" s="256"/>
      <c r="E1565" s="256"/>
      <c r="F1565" s="256"/>
      <c r="G1565" s="256"/>
      <c r="H1565" s="256"/>
      <c r="I1565" s="256"/>
      <c r="J1565" s="256"/>
      <c r="K1565" s="256"/>
    </row>
    <row r="1566" spans="1:11" ht="12.75" x14ac:dyDescent="0.2">
      <c r="A1566" s="256"/>
      <c r="B1566" s="256"/>
      <c r="C1566" s="256"/>
      <c r="D1566" s="256"/>
      <c r="E1566" s="256"/>
      <c r="F1566" s="256"/>
      <c r="G1566" s="256"/>
      <c r="H1566" s="256"/>
      <c r="I1566" s="256"/>
      <c r="J1566" s="256"/>
      <c r="K1566" s="256"/>
    </row>
    <row r="1567" spans="1:11" ht="12.75" x14ac:dyDescent="0.2">
      <c r="A1567" s="256"/>
      <c r="B1567" s="256"/>
      <c r="C1567" s="256"/>
      <c r="D1567" s="256"/>
      <c r="E1567" s="256"/>
      <c r="F1567" s="256"/>
      <c r="G1567" s="256"/>
      <c r="H1567" s="256"/>
      <c r="I1567" s="256"/>
      <c r="J1567" s="256"/>
      <c r="K1567" s="256"/>
    </row>
    <row r="1568" spans="1:11" ht="12.75" x14ac:dyDescent="0.2">
      <c r="A1568" s="256"/>
      <c r="B1568" s="256"/>
      <c r="C1568" s="256"/>
      <c r="D1568" s="256"/>
      <c r="E1568" s="256"/>
      <c r="F1568" s="256"/>
      <c r="G1568" s="256"/>
      <c r="H1568" s="256"/>
      <c r="I1568" s="256"/>
      <c r="J1568" s="256"/>
      <c r="K1568" s="256"/>
    </row>
    <row r="1569" spans="1:11" ht="12.75" x14ac:dyDescent="0.2">
      <c r="A1569" s="256"/>
      <c r="B1569" s="256"/>
      <c r="C1569" s="256"/>
      <c r="D1569" s="256"/>
      <c r="E1569" s="256"/>
      <c r="F1569" s="256"/>
      <c r="G1569" s="256"/>
      <c r="H1569" s="256"/>
      <c r="I1569" s="256"/>
      <c r="J1569" s="256"/>
      <c r="K1569" s="256"/>
    </row>
    <row r="1570" spans="1:11" ht="12.75" x14ac:dyDescent="0.2">
      <c r="A1570" s="256"/>
      <c r="B1570" s="256"/>
      <c r="C1570" s="256"/>
      <c r="D1570" s="256"/>
      <c r="E1570" s="256"/>
      <c r="F1570" s="256"/>
      <c r="G1570" s="256"/>
      <c r="H1570" s="256"/>
      <c r="I1570" s="256"/>
      <c r="J1570" s="256"/>
      <c r="K1570" s="256"/>
    </row>
    <row r="1571" spans="1:11" ht="12.75" x14ac:dyDescent="0.2">
      <c r="A1571" s="256"/>
      <c r="B1571" s="256"/>
      <c r="C1571" s="256"/>
      <c r="D1571" s="256"/>
      <c r="E1571" s="256"/>
      <c r="F1571" s="256"/>
      <c r="G1571" s="256"/>
      <c r="H1571" s="256"/>
      <c r="I1571" s="256"/>
      <c r="J1571" s="256"/>
      <c r="K1571" s="256"/>
    </row>
    <row r="1572" spans="1:11" ht="12.75" x14ac:dyDescent="0.2">
      <c r="A1572" s="256"/>
      <c r="B1572" s="256"/>
      <c r="C1572" s="256"/>
      <c r="D1572" s="256"/>
      <c r="E1572" s="256"/>
      <c r="F1572" s="256"/>
      <c r="G1572" s="256"/>
      <c r="H1572" s="256"/>
      <c r="I1572" s="256"/>
      <c r="J1572" s="256"/>
      <c r="K1572" s="256"/>
    </row>
    <row r="1573" spans="1:11" ht="12.75" x14ac:dyDescent="0.2">
      <c r="A1573" s="256"/>
      <c r="B1573" s="256"/>
      <c r="C1573" s="256"/>
      <c r="D1573" s="256"/>
      <c r="E1573" s="256"/>
      <c r="F1573" s="256"/>
      <c r="G1573" s="256"/>
      <c r="H1573" s="256"/>
      <c r="I1573" s="256"/>
      <c r="J1573" s="256"/>
      <c r="K1573" s="256"/>
    </row>
    <row r="1574" spans="1:11" ht="12.75" x14ac:dyDescent="0.2">
      <c r="A1574" s="256"/>
      <c r="B1574" s="256"/>
      <c r="C1574" s="256"/>
      <c r="D1574" s="256"/>
      <c r="E1574" s="256"/>
      <c r="F1574" s="256"/>
      <c r="G1574" s="256"/>
      <c r="H1574" s="256"/>
      <c r="I1574" s="256"/>
      <c r="J1574" s="256"/>
      <c r="K1574" s="256"/>
    </row>
    <row r="1575" spans="1:11" ht="12.75" x14ac:dyDescent="0.2">
      <c r="A1575" s="256"/>
      <c r="B1575" s="256"/>
      <c r="C1575" s="256"/>
      <c r="D1575" s="256"/>
      <c r="E1575" s="256"/>
      <c r="F1575" s="256"/>
      <c r="G1575" s="256"/>
      <c r="H1575" s="256"/>
      <c r="I1575" s="256"/>
      <c r="J1575" s="256"/>
      <c r="K1575" s="256"/>
    </row>
    <row r="1576" spans="1:11" ht="12.75" x14ac:dyDescent="0.2">
      <c r="A1576" s="256"/>
      <c r="B1576" s="256"/>
      <c r="C1576" s="256"/>
      <c r="D1576" s="256"/>
      <c r="E1576" s="256"/>
      <c r="F1576" s="256"/>
      <c r="G1576" s="256"/>
      <c r="H1576" s="256"/>
      <c r="I1576" s="256"/>
      <c r="J1576" s="256"/>
      <c r="K1576" s="256"/>
    </row>
    <row r="1577" spans="1:11" ht="12.75" x14ac:dyDescent="0.2">
      <c r="A1577" s="256"/>
      <c r="B1577" s="256"/>
      <c r="C1577" s="256"/>
      <c r="D1577" s="256"/>
      <c r="E1577" s="256"/>
      <c r="F1577" s="256"/>
      <c r="G1577" s="256"/>
      <c r="H1577" s="256"/>
      <c r="I1577" s="256"/>
      <c r="J1577" s="256"/>
      <c r="K1577" s="256"/>
    </row>
    <row r="1578" spans="1:11" ht="12.75" x14ac:dyDescent="0.2">
      <c r="A1578" s="256"/>
      <c r="B1578" s="256"/>
      <c r="C1578" s="256"/>
      <c r="D1578" s="256"/>
      <c r="E1578" s="256"/>
      <c r="F1578" s="256"/>
      <c r="G1578" s="256"/>
      <c r="H1578" s="256"/>
      <c r="I1578" s="256"/>
      <c r="J1578" s="256"/>
      <c r="K1578" s="256"/>
    </row>
    <row r="1579" spans="1:11" ht="12.75" x14ac:dyDescent="0.2">
      <c r="A1579" s="256"/>
      <c r="B1579" s="256"/>
      <c r="C1579" s="256"/>
      <c r="D1579" s="256"/>
      <c r="E1579" s="256"/>
      <c r="F1579" s="256"/>
      <c r="G1579" s="256"/>
      <c r="H1579" s="256"/>
      <c r="I1579" s="256"/>
      <c r="J1579" s="256"/>
      <c r="K1579" s="256"/>
    </row>
    <row r="1580" spans="1:11" ht="12.75" x14ac:dyDescent="0.2">
      <c r="A1580" s="256"/>
      <c r="B1580" s="256"/>
      <c r="C1580" s="256"/>
      <c r="D1580" s="256"/>
      <c r="E1580" s="256"/>
      <c r="F1580" s="256"/>
      <c r="G1580" s="256"/>
      <c r="H1580" s="256"/>
      <c r="I1580" s="256"/>
      <c r="J1580" s="256"/>
      <c r="K1580" s="256"/>
    </row>
    <row r="1581" spans="1:11" ht="12.75" x14ac:dyDescent="0.2">
      <c r="A1581" s="256"/>
      <c r="B1581" s="256"/>
      <c r="C1581" s="256"/>
      <c r="D1581" s="256"/>
      <c r="E1581" s="256"/>
      <c r="F1581" s="256"/>
      <c r="G1581" s="256"/>
      <c r="H1581" s="256"/>
      <c r="I1581" s="256"/>
      <c r="J1581" s="256"/>
      <c r="K1581" s="256"/>
    </row>
    <row r="1582" spans="1:11" ht="12.75" x14ac:dyDescent="0.2">
      <c r="A1582" s="256"/>
      <c r="B1582" s="256"/>
      <c r="C1582" s="256"/>
      <c r="D1582" s="256"/>
      <c r="E1582" s="256"/>
      <c r="F1582" s="256"/>
      <c r="G1582" s="256"/>
      <c r="H1582" s="256"/>
      <c r="I1582" s="256"/>
      <c r="J1582" s="256"/>
      <c r="K1582" s="256"/>
    </row>
    <row r="1583" spans="1:11" ht="12.75" x14ac:dyDescent="0.2">
      <c r="A1583" s="256"/>
      <c r="B1583" s="256"/>
      <c r="C1583" s="256"/>
      <c r="D1583" s="256"/>
      <c r="E1583" s="256"/>
      <c r="F1583" s="256"/>
      <c r="G1583" s="256"/>
      <c r="H1583" s="256"/>
      <c r="I1583" s="256"/>
      <c r="J1583" s="256"/>
      <c r="K1583" s="256"/>
    </row>
    <row r="1584" spans="1:11" ht="12.75" x14ac:dyDescent="0.2">
      <c r="A1584" s="256"/>
      <c r="B1584" s="256"/>
      <c r="C1584" s="256"/>
      <c r="D1584" s="256"/>
      <c r="E1584" s="256"/>
      <c r="F1584" s="256"/>
      <c r="G1584" s="256"/>
      <c r="H1584" s="256"/>
      <c r="I1584" s="256"/>
      <c r="J1584" s="256"/>
      <c r="K1584" s="256"/>
    </row>
    <row r="1585" spans="1:11" ht="12.75" x14ac:dyDescent="0.2">
      <c r="A1585" s="256"/>
      <c r="B1585" s="256"/>
      <c r="C1585" s="256"/>
      <c r="D1585" s="256"/>
      <c r="E1585" s="256"/>
      <c r="F1585" s="256"/>
      <c r="G1585" s="256"/>
      <c r="H1585" s="256"/>
      <c r="I1585" s="256"/>
      <c r="J1585" s="256"/>
      <c r="K1585" s="256"/>
    </row>
    <row r="1586" spans="1:11" ht="12.75" x14ac:dyDescent="0.2">
      <c r="A1586" s="256"/>
      <c r="B1586" s="256"/>
      <c r="C1586" s="256"/>
      <c r="D1586" s="256"/>
      <c r="E1586" s="256"/>
      <c r="F1586" s="256"/>
      <c r="G1586" s="256"/>
      <c r="H1586" s="256"/>
      <c r="I1586" s="256"/>
      <c r="J1586" s="256"/>
      <c r="K1586" s="256"/>
    </row>
    <row r="1587" spans="1:11" ht="12.75" x14ac:dyDescent="0.2">
      <c r="A1587" s="256"/>
      <c r="B1587" s="256"/>
      <c r="C1587" s="256"/>
      <c r="D1587" s="256"/>
      <c r="E1587" s="256"/>
      <c r="F1587" s="256"/>
      <c r="G1587" s="256"/>
      <c r="H1587" s="256"/>
      <c r="I1587" s="256"/>
      <c r="J1587" s="256"/>
      <c r="K1587" s="256"/>
    </row>
    <row r="1588" spans="1:11" ht="12.75" x14ac:dyDescent="0.2">
      <c r="A1588" s="256"/>
      <c r="B1588" s="256"/>
      <c r="C1588" s="256"/>
      <c r="D1588" s="256"/>
      <c r="E1588" s="256"/>
      <c r="F1588" s="256"/>
      <c r="G1588" s="256"/>
      <c r="H1588" s="256"/>
      <c r="I1588" s="256"/>
      <c r="J1588" s="256"/>
      <c r="K1588" s="256"/>
    </row>
    <row r="1589" spans="1:11" ht="12.75" x14ac:dyDescent="0.2">
      <c r="A1589" s="256"/>
      <c r="B1589" s="256"/>
      <c r="C1589" s="256"/>
      <c r="D1589" s="256"/>
      <c r="E1589" s="256"/>
      <c r="F1589" s="256"/>
      <c r="G1589" s="256"/>
      <c r="H1589" s="256"/>
      <c r="I1589" s="256"/>
      <c r="J1589" s="256"/>
      <c r="K1589" s="256"/>
    </row>
    <row r="1590" spans="1:11" ht="12.75" x14ac:dyDescent="0.2">
      <c r="A1590" s="256"/>
      <c r="B1590" s="256"/>
      <c r="C1590" s="256"/>
      <c r="D1590" s="256"/>
      <c r="E1590" s="256"/>
      <c r="F1590" s="256"/>
      <c r="G1590" s="256"/>
      <c r="H1590" s="256"/>
      <c r="I1590" s="256"/>
      <c r="J1590" s="256"/>
      <c r="K1590" s="256"/>
    </row>
    <row r="1591" spans="1:11" ht="12.75" x14ac:dyDescent="0.2">
      <c r="A1591" s="256"/>
      <c r="B1591" s="256"/>
      <c r="C1591" s="256"/>
      <c r="D1591" s="256"/>
      <c r="E1591" s="256"/>
      <c r="F1591" s="256"/>
      <c r="G1591" s="256"/>
      <c r="H1591" s="256"/>
      <c r="I1591" s="256"/>
      <c r="J1591" s="256"/>
      <c r="K1591" s="256"/>
    </row>
    <row r="1592" spans="1:11" ht="12.75" x14ac:dyDescent="0.2">
      <c r="A1592" s="256"/>
      <c r="B1592" s="256"/>
      <c r="C1592" s="256"/>
      <c r="D1592" s="256"/>
      <c r="E1592" s="256"/>
      <c r="F1592" s="256"/>
      <c r="G1592" s="256"/>
      <c r="H1592" s="256"/>
      <c r="I1592" s="256"/>
      <c r="J1592" s="256"/>
      <c r="K1592" s="256"/>
    </row>
    <row r="1593" spans="1:11" ht="12.75" x14ac:dyDescent="0.2">
      <c r="A1593" s="256"/>
      <c r="B1593" s="256"/>
      <c r="C1593" s="256"/>
      <c r="D1593" s="256"/>
      <c r="E1593" s="256"/>
      <c r="F1593" s="256"/>
      <c r="G1593" s="256"/>
      <c r="H1593" s="256"/>
      <c r="I1593" s="256"/>
      <c r="J1593" s="256"/>
      <c r="K1593" s="256"/>
    </row>
    <row r="1594" spans="1:11" ht="12.75" x14ac:dyDescent="0.2">
      <c r="A1594" s="256"/>
      <c r="B1594" s="256"/>
      <c r="C1594" s="256"/>
      <c r="D1594" s="256"/>
      <c r="E1594" s="256"/>
      <c r="F1594" s="256"/>
      <c r="G1594" s="256"/>
      <c r="H1594" s="256"/>
      <c r="I1594" s="256"/>
      <c r="J1594" s="256"/>
      <c r="K1594" s="256"/>
    </row>
    <row r="1595" spans="1:11" ht="12.75" x14ac:dyDescent="0.2">
      <c r="A1595" s="256"/>
      <c r="B1595" s="256"/>
      <c r="C1595" s="256"/>
      <c r="D1595" s="256"/>
      <c r="E1595" s="256"/>
      <c r="F1595" s="256"/>
      <c r="G1595" s="256"/>
      <c r="H1595" s="256"/>
      <c r="I1595" s="256"/>
      <c r="J1595" s="256"/>
      <c r="K1595" s="256"/>
    </row>
    <row r="1596" spans="1:11" ht="12.75" x14ac:dyDescent="0.2">
      <c r="A1596" s="256"/>
      <c r="B1596" s="256"/>
      <c r="C1596" s="256"/>
      <c r="D1596" s="256"/>
      <c r="E1596" s="256"/>
      <c r="F1596" s="256"/>
      <c r="G1596" s="256"/>
      <c r="H1596" s="256"/>
      <c r="I1596" s="256"/>
      <c r="J1596" s="256"/>
      <c r="K1596" s="256"/>
    </row>
    <row r="1597" spans="1:11" ht="12.75" x14ac:dyDescent="0.2">
      <c r="A1597" s="256"/>
      <c r="B1597" s="256"/>
      <c r="C1597" s="256"/>
      <c r="D1597" s="256"/>
      <c r="E1597" s="256"/>
      <c r="F1597" s="256"/>
      <c r="G1597" s="256"/>
      <c r="H1597" s="256"/>
      <c r="I1597" s="256"/>
      <c r="J1597" s="256"/>
      <c r="K1597" s="256"/>
    </row>
    <row r="1598" spans="1:11" ht="12.75" x14ac:dyDescent="0.2">
      <c r="A1598" s="256"/>
      <c r="B1598" s="256"/>
      <c r="C1598" s="256"/>
      <c r="D1598" s="256"/>
      <c r="E1598" s="256"/>
      <c r="F1598" s="256"/>
      <c r="G1598" s="256"/>
      <c r="H1598" s="256"/>
      <c r="I1598" s="256"/>
      <c r="J1598" s="256"/>
      <c r="K1598" s="256"/>
    </row>
    <row r="1599" spans="1:11" ht="12.75" x14ac:dyDescent="0.2">
      <c r="A1599" s="256"/>
      <c r="B1599" s="256"/>
      <c r="C1599" s="256"/>
      <c r="D1599" s="256"/>
      <c r="E1599" s="256"/>
      <c r="F1599" s="256"/>
      <c r="G1599" s="256"/>
      <c r="H1599" s="256"/>
      <c r="I1599" s="256"/>
      <c r="J1599" s="256"/>
      <c r="K1599" s="256"/>
    </row>
    <row r="1600" spans="1:11" ht="12.75" x14ac:dyDescent="0.2">
      <c r="A1600" s="256"/>
      <c r="B1600" s="256"/>
      <c r="C1600" s="256"/>
      <c r="D1600" s="256"/>
      <c r="E1600" s="256"/>
      <c r="F1600" s="256"/>
      <c r="G1600" s="256"/>
      <c r="H1600" s="256"/>
      <c r="I1600" s="256"/>
      <c r="J1600" s="256"/>
      <c r="K1600" s="256"/>
    </row>
    <row r="1601" spans="1:11" ht="12.75" x14ac:dyDescent="0.2">
      <c r="A1601" s="256"/>
      <c r="B1601" s="256"/>
      <c r="C1601" s="256"/>
      <c r="D1601" s="256"/>
      <c r="E1601" s="256"/>
      <c r="F1601" s="256"/>
      <c r="G1601" s="256"/>
      <c r="H1601" s="256"/>
      <c r="I1601" s="256"/>
      <c r="J1601" s="256"/>
      <c r="K1601" s="256"/>
    </row>
    <row r="1602" spans="1:11" ht="12.75" x14ac:dyDescent="0.2">
      <c r="A1602" s="256"/>
      <c r="B1602" s="256"/>
      <c r="C1602" s="256"/>
      <c r="D1602" s="256"/>
      <c r="E1602" s="256"/>
      <c r="F1602" s="256"/>
      <c r="G1602" s="256"/>
      <c r="H1602" s="256"/>
      <c r="I1602" s="256"/>
      <c r="J1602" s="256"/>
      <c r="K1602" s="256"/>
    </row>
    <row r="1603" spans="1:11" ht="12.75" x14ac:dyDescent="0.2">
      <c r="A1603" s="256"/>
      <c r="B1603" s="256"/>
      <c r="C1603" s="256"/>
      <c r="D1603" s="256"/>
      <c r="E1603" s="256"/>
      <c r="F1603" s="256"/>
      <c r="G1603" s="256"/>
      <c r="H1603" s="256"/>
      <c r="I1603" s="256"/>
      <c r="J1603" s="256"/>
      <c r="K1603" s="256"/>
    </row>
    <row r="1604" spans="1:11" ht="12.75" x14ac:dyDescent="0.2">
      <c r="A1604" s="256"/>
      <c r="B1604" s="256"/>
      <c r="C1604" s="256"/>
      <c r="D1604" s="256"/>
      <c r="E1604" s="256"/>
      <c r="F1604" s="256"/>
      <c r="G1604" s="256"/>
      <c r="H1604" s="256"/>
      <c r="I1604" s="256"/>
      <c r="J1604" s="256"/>
      <c r="K1604" s="256"/>
    </row>
    <row r="1605" spans="1:11" ht="12.75" x14ac:dyDescent="0.2">
      <c r="A1605" s="256"/>
      <c r="B1605" s="256"/>
      <c r="C1605" s="256"/>
      <c r="D1605" s="256"/>
      <c r="E1605" s="256"/>
      <c r="F1605" s="256"/>
      <c r="G1605" s="256"/>
      <c r="H1605" s="256"/>
      <c r="I1605" s="256"/>
      <c r="J1605" s="256"/>
      <c r="K1605" s="256"/>
    </row>
    <row r="1606" spans="1:11" ht="12.75" x14ac:dyDescent="0.2">
      <c r="A1606" s="256"/>
      <c r="B1606" s="256"/>
      <c r="C1606" s="256"/>
      <c r="D1606" s="256"/>
      <c r="E1606" s="256"/>
      <c r="F1606" s="256"/>
      <c r="G1606" s="256"/>
      <c r="H1606" s="256"/>
      <c r="I1606" s="256"/>
      <c r="J1606" s="256"/>
      <c r="K1606" s="256"/>
    </row>
    <row r="1607" spans="1:11" ht="12.75" x14ac:dyDescent="0.2">
      <c r="A1607" s="256"/>
      <c r="B1607" s="256"/>
      <c r="C1607" s="256"/>
      <c r="D1607" s="256"/>
      <c r="E1607" s="256"/>
      <c r="F1607" s="256"/>
      <c r="G1607" s="256"/>
      <c r="H1607" s="256"/>
      <c r="I1607" s="256"/>
      <c r="J1607" s="256"/>
      <c r="K1607" s="256"/>
    </row>
    <row r="1608" spans="1:11" ht="12.75" x14ac:dyDescent="0.2">
      <c r="A1608" s="256"/>
      <c r="B1608" s="256"/>
      <c r="C1608" s="256"/>
      <c r="D1608" s="256"/>
      <c r="E1608" s="256"/>
      <c r="F1608" s="256"/>
      <c r="G1608" s="256"/>
      <c r="H1608" s="256"/>
      <c r="I1608" s="256"/>
      <c r="J1608" s="256"/>
      <c r="K1608" s="256"/>
    </row>
    <row r="1609" spans="1:11" ht="12.75" x14ac:dyDescent="0.2">
      <c r="A1609" s="256"/>
      <c r="B1609" s="256"/>
      <c r="C1609" s="256"/>
      <c r="D1609" s="256"/>
      <c r="E1609" s="256"/>
      <c r="F1609" s="256"/>
      <c r="G1609" s="256"/>
      <c r="H1609" s="256"/>
      <c r="I1609" s="256"/>
      <c r="J1609" s="256"/>
      <c r="K1609" s="256"/>
    </row>
    <row r="1610" spans="1:11" ht="12.75" x14ac:dyDescent="0.2">
      <c r="A1610" s="256"/>
      <c r="B1610" s="256"/>
      <c r="C1610" s="256"/>
      <c r="D1610" s="256"/>
      <c r="E1610" s="256"/>
      <c r="F1610" s="256"/>
      <c r="G1610" s="256"/>
      <c r="H1610" s="256"/>
      <c r="I1610" s="256"/>
      <c r="J1610" s="256"/>
      <c r="K1610" s="256"/>
    </row>
    <row r="1611" spans="1:11" ht="12.75" x14ac:dyDescent="0.2">
      <c r="A1611" s="256"/>
      <c r="B1611" s="256"/>
      <c r="C1611" s="256"/>
      <c r="D1611" s="256"/>
      <c r="E1611" s="256"/>
      <c r="F1611" s="256"/>
      <c r="G1611" s="256"/>
      <c r="H1611" s="256"/>
      <c r="I1611" s="256"/>
      <c r="J1611" s="256"/>
      <c r="K1611" s="256"/>
    </row>
    <row r="1612" spans="1:11" ht="12.75" x14ac:dyDescent="0.2">
      <c r="A1612" s="256"/>
      <c r="B1612" s="256"/>
      <c r="C1612" s="256"/>
      <c r="D1612" s="256"/>
      <c r="E1612" s="256"/>
      <c r="F1612" s="256"/>
      <c r="G1612" s="256"/>
      <c r="H1612" s="256"/>
      <c r="I1612" s="256"/>
      <c r="J1612" s="256"/>
      <c r="K1612" s="256"/>
    </row>
    <row r="1613" spans="1:11" ht="12.75" x14ac:dyDescent="0.2">
      <c r="A1613" s="256"/>
      <c r="B1613" s="256"/>
      <c r="C1613" s="256"/>
      <c r="D1613" s="256"/>
      <c r="E1613" s="256"/>
      <c r="F1613" s="256"/>
      <c r="G1613" s="256"/>
      <c r="H1613" s="256"/>
      <c r="I1613" s="256"/>
      <c r="J1613" s="256"/>
      <c r="K1613" s="256"/>
    </row>
    <row r="1614" spans="1:11" ht="12.75" x14ac:dyDescent="0.2">
      <c r="A1614" s="256"/>
      <c r="B1614" s="256"/>
      <c r="C1614" s="256"/>
      <c r="D1614" s="256"/>
      <c r="E1614" s="256"/>
      <c r="F1614" s="256"/>
      <c r="G1614" s="256"/>
      <c r="H1614" s="256"/>
      <c r="I1614" s="256"/>
      <c r="J1614" s="256"/>
      <c r="K1614" s="256"/>
    </row>
    <row r="1615" spans="1:11" ht="12.75" x14ac:dyDescent="0.2">
      <c r="A1615" s="256"/>
      <c r="B1615" s="256"/>
      <c r="C1615" s="256"/>
      <c r="D1615" s="256"/>
      <c r="E1615" s="256"/>
      <c r="F1615" s="256"/>
      <c r="G1615" s="256"/>
      <c r="H1615" s="256"/>
      <c r="I1615" s="256"/>
      <c r="J1615" s="256"/>
      <c r="K1615" s="256"/>
    </row>
    <row r="1616" spans="1:11" ht="12.75" x14ac:dyDescent="0.2">
      <c r="A1616" s="256"/>
      <c r="B1616" s="256"/>
      <c r="C1616" s="256"/>
      <c r="D1616" s="256"/>
      <c r="E1616" s="256"/>
      <c r="F1616" s="256"/>
      <c r="G1616" s="256"/>
      <c r="H1616" s="256"/>
      <c r="I1616" s="256"/>
      <c r="J1616" s="256"/>
      <c r="K1616" s="256"/>
    </row>
    <row r="1617" spans="1:11" ht="12.75" x14ac:dyDescent="0.2">
      <c r="A1617" s="256"/>
      <c r="B1617" s="256"/>
      <c r="C1617" s="256"/>
      <c r="D1617" s="256"/>
      <c r="E1617" s="256"/>
      <c r="F1617" s="256"/>
      <c r="G1617" s="256"/>
      <c r="H1617" s="256"/>
      <c r="I1617" s="256"/>
      <c r="J1617" s="256"/>
      <c r="K1617" s="256"/>
    </row>
    <row r="1618" spans="1:11" ht="12.75" x14ac:dyDescent="0.2">
      <c r="A1618" s="256"/>
      <c r="B1618" s="256"/>
      <c r="C1618" s="256"/>
      <c r="D1618" s="256"/>
      <c r="E1618" s="256"/>
      <c r="F1618" s="256"/>
      <c r="G1618" s="256"/>
      <c r="H1618" s="256"/>
      <c r="I1618" s="256"/>
      <c r="J1618" s="256"/>
      <c r="K1618" s="256"/>
    </row>
    <row r="1619" spans="1:11" ht="12.75" x14ac:dyDescent="0.2">
      <c r="A1619" s="256"/>
      <c r="B1619" s="256"/>
      <c r="C1619" s="256"/>
      <c r="D1619" s="256"/>
      <c r="E1619" s="256"/>
      <c r="F1619" s="256"/>
      <c r="G1619" s="256"/>
      <c r="H1619" s="256"/>
      <c r="I1619" s="256"/>
      <c r="J1619" s="256"/>
      <c r="K1619" s="256"/>
    </row>
    <row r="1620" spans="1:11" ht="12.75" x14ac:dyDescent="0.2">
      <c r="A1620" s="256"/>
      <c r="B1620" s="256"/>
      <c r="C1620" s="256"/>
      <c r="D1620" s="256"/>
      <c r="E1620" s="256"/>
      <c r="F1620" s="256"/>
      <c r="G1620" s="256"/>
      <c r="H1620" s="256"/>
      <c r="I1620" s="256"/>
      <c r="J1620" s="256"/>
      <c r="K1620" s="256"/>
    </row>
    <row r="1621" spans="1:11" ht="12.75" x14ac:dyDescent="0.2">
      <c r="A1621" s="256"/>
      <c r="B1621" s="256"/>
      <c r="C1621" s="256"/>
      <c r="D1621" s="256"/>
      <c r="E1621" s="256"/>
      <c r="F1621" s="256"/>
      <c r="G1621" s="256"/>
      <c r="H1621" s="256"/>
      <c r="I1621" s="256"/>
      <c r="J1621" s="256"/>
      <c r="K1621" s="256"/>
    </row>
    <row r="1622" spans="1:11" ht="12.75" x14ac:dyDescent="0.2">
      <c r="A1622" s="256"/>
      <c r="B1622" s="256"/>
      <c r="C1622" s="256"/>
      <c r="D1622" s="256"/>
      <c r="E1622" s="256"/>
      <c r="F1622" s="256"/>
      <c r="G1622" s="256"/>
      <c r="H1622" s="256"/>
      <c r="I1622" s="256"/>
      <c r="J1622" s="256"/>
      <c r="K1622" s="256"/>
    </row>
    <row r="1623" spans="1:11" ht="12.75" x14ac:dyDescent="0.2">
      <c r="A1623" s="256"/>
      <c r="B1623" s="256"/>
      <c r="C1623" s="256"/>
      <c r="D1623" s="256"/>
      <c r="E1623" s="256"/>
      <c r="F1623" s="256"/>
      <c r="G1623" s="256"/>
      <c r="H1623" s="256"/>
      <c r="I1623" s="256"/>
      <c r="J1623" s="256"/>
      <c r="K1623" s="256"/>
    </row>
    <row r="1624" spans="1:11" ht="12.75" x14ac:dyDescent="0.2">
      <c r="A1624" s="256"/>
      <c r="B1624" s="256"/>
      <c r="C1624" s="256"/>
      <c r="D1624" s="256"/>
      <c r="E1624" s="256"/>
      <c r="F1624" s="256"/>
      <c r="G1624" s="256"/>
      <c r="H1624" s="256"/>
      <c r="I1624" s="256"/>
      <c r="J1624" s="256"/>
      <c r="K1624" s="256"/>
    </row>
    <row r="1625" spans="1:11" ht="12.75" x14ac:dyDescent="0.2">
      <c r="A1625" s="256"/>
      <c r="B1625" s="256"/>
      <c r="C1625" s="256"/>
      <c r="D1625" s="256"/>
      <c r="E1625" s="256"/>
      <c r="F1625" s="256"/>
      <c r="G1625" s="256"/>
      <c r="H1625" s="256"/>
      <c r="I1625" s="256"/>
      <c r="J1625" s="256"/>
      <c r="K1625" s="256"/>
    </row>
    <row r="1626" spans="1:11" ht="12.75" x14ac:dyDescent="0.2">
      <c r="A1626" s="256"/>
      <c r="B1626" s="256"/>
      <c r="C1626" s="256"/>
      <c r="D1626" s="256"/>
      <c r="E1626" s="256"/>
      <c r="F1626" s="256"/>
      <c r="G1626" s="256"/>
      <c r="H1626" s="256"/>
      <c r="I1626" s="256"/>
      <c r="J1626" s="256"/>
      <c r="K1626" s="256"/>
    </row>
    <row r="1627" spans="1:11" ht="12.75" x14ac:dyDescent="0.2">
      <c r="A1627" s="256"/>
      <c r="B1627" s="256"/>
      <c r="C1627" s="256"/>
      <c r="D1627" s="256"/>
      <c r="E1627" s="256"/>
      <c r="F1627" s="256"/>
      <c r="G1627" s="256"/>
      <c r="H1627" s="256"/>
      <c r="I1627" s="256"/>
      <c r="J1627" s="256"/>
      <c r="K1627" s="256"/>
    </row>
    <row r="1628" spans="1:11" ht="12.75" x14ac:dyDescent="0.2">
      <c r="A1628" s="256"/>
      <c r="B1628" s="256"/>
      <c r="C1628" s="256"/>
      <c r="D1628" s="256"/>
      <c r="E1628" s="256"/>
      <c r="F1628" s="256"/>
      <c r="G1628" s="256"/>
      <c r="H1628" s="256"/>
      <c r="I1628" s="256"/>
      <c r="J1628" s="256"/>
      <c r="K1628" s="256"/>
    </row>
    <row r="1629" spans="1:11" ht="12.75" x14ac:dyDescent="0.2">
      <c r="A1629" s="256"/>
      <c r="B1629" s="256"/>
      <c r="C1629" s="256"/>
      <c r="D1629" s="256"/>
      <c r="E1629" s="256"/>
      <c r="F1629" s="256"/>
      <c r="G1629" s="256"/>
      <c r="H1629" s="256"/>
      <c r="I1629" s="256"/>
      <c r="J1629" s="256"/>
      <c r="K1629" s="256"/>
    </row>
    <row r="1630" spans="1:11" ht="12.75" x14ac:dyDescent="0.2">
      <c r="A1630" s="256"/>
      <c r="B1630" s="256"/>
      <c r="C1630" s="256"/>
      <c r="D1630" s="256"/>
      <c r="E1630" s="256"/>
      <c r="F1630" s="256"/>
      <c r="G1630" s="256"/>
      <c r="H1630" s="256"/>
      <c r="I1630" s="256"/>
      <c r="J1630" s="256"/>
      <c r="K1630" s="256"/>
    </row>
    <row r="1631" spans="1:11" ht="12.75" x14ac:dyDescent="0.2">
      <c r="A1631" s="256"/>
      <c r="B1631" s="256"/>
      <c r="C1631" s="256"/>
      <c r="D1631" s="256"/>
      <c r="E1631" s="256"/>
      <c r="F1631" s="256"/>
      <c r="G1631" s="256"/>
      <c r="H1631" s="256"/>
      <c r="I1631" s="256"/>
      <c r="J1631" s="256"/>
      <c r="K1631" s="256"/>
    </row>
    <row r="1632" spans="1:11" ht="12.75" x14ac:dyDescent="0.2">
      <c r="A1632" s="256"/>
      <c r="B1632" s="256"/>
      <c r="C1632" s="256"/>
      <c r="D1632" s="256"/>
      <c r="E1632" s="256"/>
      <c r="F1632" s="256"/>
      <c r="G1632" s="256"/>
      <c r="H1632" s="256"/>
      <c r="I1632" s="256"/>
      <c r="J1632" s="256"/>
      <c r="K1632" s="256"/>
    </row>
    <row r="1633" spans="1:11" ht="12.75" x14ac:dyDescent="0.2">
      <c r="A1633" s="256"/>
      <c r="B1633" s="256"/>
      <c r="C1633" s="256"/>
      <c r="D1633" s="256"/>
      <c r="E1633" s="256"/>
      <c r="F1633" s="256"/>
      <c r="G1633" s="256"/>
      <c r="H1633" s="256"/>
      <c r="I1633" s="256"/>
      <c r="J1633" s="256"/>
      <c r="K1633" s="256"/>
    </row>
    <row r="1634" spans="1:11" ht="12.75" x14ac:dyDescent="0.2">
      <c r="A1634" s="256"/>
      <c r="B1634" s="256"/>
      <c r="C1634" s="256"/>
      <c r="D1634" s="256"/>
      <c r="E1634" s="256"/>
      <c r="F1634" s="256"/>
      <c r="G1634" s="256"/>
      <c r="H1634" s="256"/>
      <c r="I1634" s="256"/>
      <c r="J1634" s="256"/>
      <c r="K1634" s="256"/>
    </row>
    <row r="1635" spans="1:11" ht="12.75" x14ac:dyDescent="0.2">
      <c r="A1635" s="256"/>
      <c r="B1635" s="256"/>
      <c r="C1635" s="256"/>
      <c r="D1635" s="256"/>
      <c r="E1635" s="256"/>
      <c r="F1635" s="256"/>
      <c r="G1635" s="256"/>
      <c r="H1635" s="256"/>
      <c r="I1635" s="256"/>
      <c r="J1635" s="256"/>
      <c r="K1635" s="256"/>
    </row>
    <row r="1636" spans="1:11" ht="12.75" x14ac:dyDescent="0.2">
      <c r="A1636" s="256"/>
      <c r="B1636" s="256"/>
      <c r="C1636" s="256"/>
      <c r="D1636" s="256"/>
      <c r="E1636" s="256"/>
      <c r="F1636" s="256"/>
      <c r="G1636" s="256"/>
      <c r="H1636" s="256"/>
      <c r="I1636" s="256"/>
      <c r="J1636" s="256"/>
      <c r="K1636" s="256"/>
    </row>
    <row r="1637" spans="1:11" ht="12.75" x14ac:dyDescent="0.2">
      <c r="A1637" s="256"/>
      <c r="B1637" s="256"/>
      <c r="C1637" s="256"/>
      <c r="D1637" s="256"/>
      <c r="E1637" s="256"/>
      <c r="F1637" s="256"/>
      <c r="G1637" s="256"/>
      <c r="H1637" s="256"/>
      <c r="I1637" s="256"/>
      <c r="J1637" s="256"/>
      <c r="K1637" s="256"/>
    </row>
    <row r="1638" spans="1:11" ht="12.75" x14ac:dyDescent="0.2">
      <c r="A1638" s="256"/>
      <c r="B1638" s="256"/>
      <c r="C1638" s="256"/>
      <c r="D1638" s="256"/>
      <c r="E1638" s="256"/>
      <c r="F1638" s="256"/>
      <c r="G1638" s="256"/>
      <c r="H1638" s="256"/>
      <c r="I1638" s="256"/>
      <c r="J1638" s="256"/>
      <c r="K1638" s="256"/>
    </row>
    <row r="1639" spans="1:11" ht="12.75" x14ac:dyDescent="0.2">
      <c r="A1639" s="256"/>
      <c r="B1639" s="256"/>
      <c r="C1639" s="256"/>
      <c r="D1639" s="256"/>
      <c r="E1639" s="256"/>
      <c r="F1639" s="256"/>
      <c r="G1639" s="256"/>
      <c r="H1639" s="256"/>
      <c r="I1639" s="256"/>
      <c r="J1639" s="256"/>
      <c r="K1639" s="256"/>
    </row>
    <row r="1640" spans="1:11" ht="12.75" x14ac:dyDescent="0.2">
      <c r="A1640" s="256"/>
      <c r="B1640" s="256"/>
      <c r="C1640" s="256"/>
      <c r="D1640" s="256"/>
      <c r="E1640" s="256"/>
      <c r="F1640" s="256"/>
      <c r="G1640" s="256"/>
      <c r="H1640" s="256"/>
      <c r="I1640" s="256"/>
      <c r="J1640" s="256"/>
      <c r="K1640" s="256"/>
    </row>
    <row r="1641" spans="1:11" ht="12.75" x14ac:dyDescent="0.2">
      <c r="A1641" s="256"/>
      <c r="B1641" s="256"/>
      <c r="C1641" s="256"/>
      <c r="D1641" s="256"/>
      <c r="E1641" s="256"/>
      <c r="F1641" s="256"/>
      <c r="G1641" s="256"/>
      <c r="H1641" s="256"/>
      <c r="I1641" s="256"/>
      <c r="J1641" s="256"/>
      <c r="K1641" s="256"/>
    </row>
    <row r="1642" spans="1:11" ht="12.75" x14ac:dyDescent="0.2">
      <c r="A1642" s="256"/>
      <c r="B1642" s="256"/>
      <c r="C1642" s="256"/>
      <c r="D1642" s="256"/>
      <c r="E1642" s="256"/>
      <c r="F1642" s="256"/>
      <c r="G1642" s="256"/>
      <c r="H1642" s="256"/>
      <c r="I1642" s="256"/>
      <c r="J1642" s="256"/>
      <c r="K1642" s="256"/>
    </row>
    <row r="1643" spans="1:11" ht="12.75" x14ac:dyDescent="0.2">
      <c r="A1643" s="256"/>
      <c r="B1643" s="256"/>
      <c r="C1643" s="256"/>
      <c r="D1643" s="256"/>
      <c r="E1643" s="256"/>
      <c r="F1643" s="256"/>
      <c r="G1643" s="256"/>
      <c r="H1643" s="256"/>
      <c r="I1643" s="256"/>
      <c r="J1643" s="256"/>
      <c r="K1643" s="256"/>
    </row>
    <row r="1644" spans="1:11" ht="12.75" x14ac:dyDescent="0.2">
      <c r="A1644" s="256"/>
      <c r="B1644" s="256"/>
      <c r="C1644" s="256"/>
      <c r="D1644" s="256"/>
      <c r="E1644" s="256"/>
      <c r="F1644" s="256"/>
      <c r="G1644" s="256"/>
      <c r="H1644" s="256"/>
      <c r="I1644" s="256"/>
      <c r="J1644" s="256"/>
      <c r="K1644" s="256"/>
    </row>
    <row r="1645" spans="1:11" ht="12.75" x14ac:dyDescent="0.2">
      <c r="A1645" s="256"/>
      <c r="B1645" s="256"/>
      <c r="C1645" s="256"/>
      <c r="D1645" s="256"/>
      <c r="E1645" s="256"/>
      <c r="F1645" s="256"/>
      <c r="G1645" s="256"/>
      <c r="H1645" s="256"/>
      <c r="I1645" s="256"/>
      <c r="J1645" s="256"/>
      <c r="K1645" s="256"/>
    </row>
    <row r="1646" spans="1:11" ht="12.75" x14ac:dyDescent="0.2">
      <c r="A1646" s="256"/>
      <c r="B1646" s="256"/>
      <c r="C1646" s="256"/>
      <c r="D1646" s="256"/>
      <c r="E1646" s="256"/>
      <c r="F1646" s="256"/>
      <c r="G1646" s="256"/>
      <c r="H1646" s="256"/>
      <c r="I1646" s="256"/>
      <c r="J1646" s="256"/>
      <c r="K1646" s="256"/>
    </row>
    <row r="1647" spans="1:11" ht="12.75" x14ac:dyDescent="0.2">
      <c r="A1647" s="256"/>
      <c r="B1647" s="256"/>
      <c r="C1647" s="256"/>
      <c r="D1647" s="256"/>
      <c r="E1647" s="256"/>
      <c r="F1647" s="256"/>
      <c r="G1647" s="256"/>
      <c r="H1647" s="256"/>
      <c r="I1647" s="256"/>
      <c r="J1647" s="256"/>
      <c r="K1647" s="256"/>
    </row>
    <row r="1648" spans="1:11" ht="12.75" x14ac:dyDescent="0.2">
      <c r="A1648" s="256"/>
      <c r="B1648" s="256"/>
      <c r="C1648" s="256"/>
      <c r="D1648" s="256"/>
      <c r="E1648" s="256"/>
      <c r="F1648" s="256"/>
      <c r="G1648" s="256"/>
      <c r="H1648" s="256"/>
      <c r="I1648" s="256"/>
      <c r="J1648" s="256"/>
      <c r="K1648" s="256"/>
    </row>
    <row r="1649" spans="1:11" ht="12.75" x14ac:dyDescent="0.2">
      <c r="A1649" s="256"/>
      <c r="B1649" s="256"/>
      <c r="C1649" s="256"/>
      <c r="D1649" s="256"/>
      <c r="E1649" s="256"/>
      <c r="F1649" s="256"/>
      <c r="G1649" s="256"/>
      <c r="H1649" s="256"/>
      <c r="I1649" s="256"/>
      <c r="J1649" s="256"/>
      <c r="K1649" s="256"/>
    </row>
    <row r="1650" spans="1:11" ht="12.75" x14ac:dyDescent="0.2">
      <c r="A1650" s="256"/>
      <c r="B1650" s="256"/>
      <c r="C1650" s="256"/>
      <c r="D1650" s="256"/>
      <c r="E1650" s="256"/>
      <c r="F1650" s="256"/>
      <c r="G1650" s="256"/>
      <c r="H1650" s="256"/>
      <c r="I1650" s="256"/>
      <c r="J1650" s="256"/>
      <c r="K1650" s="256"/>
    </row>
    <row r="1651" spans="1:11" ht="12.75" x14ac:dyDescent="0.2">
      <c r="A1651" s="256"/>
      <c r="B1651" s="256"/>
      <c r="C1651" s="256"/>
      <c r="D1651" s="256"/>
      <c r="E1651" s="256"/>
      <c r="F1651" s="256"/>
      <c r="G1651" s="256"/>
      <c r="H1651" s="256"/>
      <c r="I1651" s="256"/>
      <c r="J1651" s="256"/>
      <c r="K1651" s="256"/>
    </row>
    <row r="1652" spans="1:11" ht="12.75" x14ac:dyDescent="0.2">
      <c r="A1652" s="256"/>
      <c r="B1652" s="256"/>
      <c r="C1652" s="256"/>
      <c r="D1652" s="256"/>
      <c r="E1652" s="256"/>
      <c r="F1652" s="256"/>
      <c r="G1652" s="256"/>
      <c r="H1652" s="256"/>
      <c r="I1652" s="256"/>
      <c r="J1652" s="256"/>
      <c r="K1652" s="256"/>
    </row>
    <row r="1653" spans="1:11" ht="12.75" x14ac:dyDescent="0.2">
      <c r="A1653" s="256"/>
      <c r="B1653" s="256"/>
      <c r="C1653" s="256"/>
      <c r="D1653" s="256"/>
      <c r="E1653" s="256"/>
      <c r="F1653" s="256"/>
      <c r="G1653" s="256"/>
      <c r="H1653" s="256"/>
      <c r="I1653" s="256"/>
      <c r="J1653" s="256"/>
      <c r="K1653" s="256"/>
    </row>
    <row r="1654" spans="1:11" ht="12.75" x14ac:dyDescent="0.2">
      <c r="A1654" s="256"/>
      <c r="B1654" s="256"/>
      <c r="C1654" s="256"/>
      <c r="D1654" s="256"/>
      <c r="E1654" s="256"/>
      <c r="F1654" s="256"/>
      <c r="G1654" s="256"/>
      <c r="H1654" s="256"/>
      <c r="I1654" s="256"/>
      <c r="J1654" s="256"/>
      <c r="K1654" s="256"/>
    </row>
    <row r="1655" spans="1:11" ht="12.75" x14ac:dyDescent="0.2">
      <c r="A1655" s="256"/>
      <c r="B1655" s="256"/>
      <c r="C1655" s="256"/>
      <c r="D1655" s="256"/>
      <c r="E1655" s="256"/>
      <c r="F1655" s="256"/>
      <c r="G1655" s="256"/>
      <c r="H1655" s="256"/>
      <c r="I1655" s="256"/>
      <c r="J1655" s="256"/>
      <c r="K1655" s="256"/>
    </row>
    <row r="1656" spans="1:11" ht="12.75" x14ac:dyDescent="0.2">
      <c r="A1656" s="256"/>
      <c r="B1656" s="256"/>
      <c r="C1656" s="256"/>
      <c r="D1656" s="256"/>
      <c r="E1656" s="256"/>
      <c r="F1656" s="256"/>
      <c r="G1656" s="256"/>
      <c r="H1656" s="256"/>
      <c r="I1656" s="256"/>
      <c r="J1656" s="256"/>
      <c r="K1656" s="256"/>
    </row>
    <row r="1657" spans="1:11" ht="12.75" x14ac:dyDescent="0.2">
      <c r="A1657" s="256"/>
      <c r="B1657" s="256"/>
      <c r="C1657" s="256"/>
      <c r="D1657" s="256"/>
      <c r="E1657" s="256"/>
      <c r="F1657" s="256"/>
      <c r="G1657" s="256"/>
      <c r="H1657" s="256"/>
      <c r="I1657" s="256"/>
      <c r="J1657" s="256"/>
      <c r="K1657" s="256"/>
    </row>
    <row r="1658" spans="1:11" ht="12.75" x14ac:dyDescent="0.2">
      <c r="A1658" s="256"/>
      <c r="B1658" s="256"/>
      <c r="C1658" s="256"/>
      <c r="D1658" s="256"/>
      <c r="E1658" s="256"/>
      <c r="F1658" s="256"/>
      <c r="G1658" s="256"/>
      <c r="H1658" s="256"/>
      <c r="I1658" s="256"/>
      <c r="J1658" s="256"/>
      <c r="K1658" s="256"/>
    </row>
    <row r="1659" spans="1:11" ht="12.75" x14ac:dyDescent="0.2">
      <c r="A1659" s="256"/>
      <c r="B1659" s="256"/>
      <c r="C1659" s="256"/>
      <c r="D1659" s="256"/>
      <c r="E1659" s="256"/>
      <c r="F1659" s="256"/>
      <c r="G1659" s="256"/>
      <c r="H1659" s="256"/>
      <c r="I1659" s="256"/>
      <c r="J1659" s="256"/>
      <c r="K1659" s="256"/>
    </row>
    <row r="1660" spans="1:11" ht="12.75" x14ac:dyDescent="0.2">
      <c r="A1660" s="256"/>
      <c r="B1660" s="256"/>
      <c r="C1660" s="256"/>
      <c r="D1660" s="256"/>
      <c r="E1660" s="256"/>
      <c r="F1660" s="256"/>
      <c r="G1660" s="256"/>
      <c r="H1660" s="256"/>
      <c r="I1660" s="256"/>
      <c r="J1660" s="256"/>
      <c r="K1660" s="256"/>
    </row>
    <row r="1661" spans="1:11" ht="12.75" x14ac:dyDescent="0.2">
      <c r="A1661" s="256"/>
      <c r="B1661" s="256"/>
      <c r="C1661" s="256"/>
      <c r="D1661" s="256"/>
      <c r="E1661" s="256"/>
      <c r="F1661" s="256"/>
      <c r="G1661" s="256"/>
      <c r="H1661" s="256"/>
      <c r="I1661" s="256"/>
      <c r="J1661" s="256"/>
      <c r="K1661" s="256"/>
    </row>
    <row r="1662" spans="1:11" ht="12.75" x14ac:dyDescent="0.2">
      <c r="A1662" s="256"/>
      <c r="B1662" s="256"/>
      <c r="C1662" s="256"/>
      <c r="D1662" s="256"/>
      <c r="E1662" s="256"/>
      <c r="F1662" s="256"/>
      <c r="G1662" s="256"/>
      <c r="H1662" s="256"/>
      <c r="I1662" s="256"/>
      <c r="J1662" s="256"/>
      <c r="K1662" s="256"/>
    </row>
    <row r="1663" spans="1:11" ht="12.75" x14ac:dyDescent="0.2">
      <c r="A1663" s="256"/>
      <c r="B1663" s="256"/>
      <c r="C1663" s="256"/>
      <c r="D1663" s="256"/>
      <c r="E1663" s="256"/>
      <c r="F1663" s="256"/>
      <c r="G1663" s="256"/>
      <c r="H1663" s="256"/>
      <c r="I1663" s="256"/>
      <c r="J1663" s="256"/>
      <c r="K1663" s="256"/>
    </row>
    <row r="1664" spans="1:11" ht="12.75" x14ac:dyDescent="0.2">
      <c r="A1664" s="256"/>
      <c r="B1664" s="256"/>
      <c r="C1664" s="256"/>
      <c r="D1664" s="256"/>
      <c r="E1664" s="256"/>
      <c r="F1664" s="256"/>
      <c r="G1664" s="256"/>
      <c r="H1664" s="256"/>
      <c r="I1664" s="256"/>
      <c r="J1664" s="256"/>
      <c r="K1664" s="256"/>
    </row>
    <row r="1665" spans="1:11" ht="12.75" x14ac:dyDescent="0.2">
      <c r="A1665" s="256"/>
      <c r="B1665" s="256"/>
      <c r="C1665" s="256"/>
      <c r="D1665" s="256"/>
      <c r="E1665" s="256"/>
      <c r="F1665" s="256"/>
      <c r="G1665" s="256"/>
      <c r="H1665" s="256"/>
      <c r="I1665" s="256"/>
      <c r="J1665" s="256"/>
      <c r="K1665" s="256"/>
    </row>
    <row r="1666" spans="1:11" ht="12.75" x14ac:dyDescent="0.2">
      <c r="A1666" s="256"/>
      <c r="B1666" s="256"/>
      <c r="C1666" s="256"/>
      <c r="D1666" s="256"/>
      <c r="E1666" s="256"/>
      <c r="F1666" s="256"/>
      <c r="G1666" s="256"/>
      <c r="H1666" s="256"/>
      <c r="I1666" s="256"/>
      <c r="J1666" s="256"/>
      <c r="K1666" s="256"/>
    </row>
    <row r="1667" spans="1:11" ht="12.75" x14ac:dyDescent="0.2">
      <c r="A1667" s="256"/>
      <c r="B1667" s="256"/>
      <c r="C1667" s="256"/>
      <c r="D1667" s="256"/>
      <c r="E1667" s="256"/>
      <c r="F1667" s="256"/>
      <c r="G1667" s="256"/>
      <c r="H1667" s="256"/>
      <c r="I1667" s="256"/>
      <c r="J1667" s="256"/>
      <c r="K1667" s="256"/>
    </row>
    <row r="1668" spans="1:11" ht="12.75" x14ac:dyDescent="0.2">
      <c r="A1668" s="256"/>
      <c r="B1668" s="256"/>
      <c r="C1668" s="256"/>
      <c r="D1668" s="256"/>
      <c r="E1668" s="256"/>
      <c r="F1668" s="256"/>
      <c r="G1668" s="256"/>
      <c r="H1668" s="256"/>
      <c r="I1668" s="256"/>
      <c r="J1668" s="256"/>
      <c r="K1668" s="256"/>
    </row>
    <row r="1669" spans="1:11" ht="12.75" x14ac:dyDescent="0.2">
      <c r="A1669" s="256"/>
      <c r="B1669" s="256"/>
      <c r="C1669" s="256"/>
      <c r="D1669" s="256"/>
      <c r="E1669" s="256"/>
      <c r="F1669" s="256"/>
      <c r="G1669" s="256"/>
      <c r="H1669" s="256"/>
      <c r="I1669" s="256"/>
      <c r="J1669" s="256"/>
      <c r="K1669" s="256"/>
    </row>
    <row r="1670" spans="1:11" ht="12.75" x14ac:dyDescent="0.2">
      <c r="A1670" s="256"/>
      <c r="B1670" s="256"/>
      <c r="C1670" s="256"/>
      <c r="D1670" s="256"/>
      <c r="E1670" s="256"/>
      <c r="F1670" s="256"/>
      <c r="G1670" s="256"/>
      <c r="H1670" s="256"/>
      <c r="I1670" s="256"/>
      <c r="J1670" s="256"/>
      <c r="K1670" s="256"/>
    </row>
    <row r="1671" spans="1:11" ht="12.75" x14ac:dyDescent="0.2">
      <c r="A1671" s="256"/>
      <c r="B1671" s="256"/>
      <c r="C1671" s="256"/>
      <c r="D1671" s="256"/>
      <c r="E1671" s="256"/>
      <c r="F1671" s="256"/>
      <c r="G1671" s="256"/>
      <c r="H1671" s="256"/>
      <c r="I1671" s="256"/>
      <c r="J1671" s="256"/>
      <c r="K1671" s="256"/>
    </row>
    <row r="1672" spans="1:11" ht="12.75" x14ac:dyDescent="0.2">
      <c r="A1672" s="256"/>
      <c r="B1672" s="256"/>
      <c r="C1672" s="256"/>
      <c r="D1672" s="256"/>
      <c r="E1672" s="256"/>
      <c r="F1672" s="256"/>
      <c r="G1672" s="256"/>
      <c r="H1672" s="256"/>
      <c r="I1672" s="256"/>
      <c r="J1672" s="256"/>
      <c r="K1672" s="256"/>
    </row>
    <row r="1673" spans="1:11" ht="12.75" x14ac:dyDescent="0.2">
      <c r="A1673" s="256"/>
      <c r="B1673" s="256"/>
      <c r="C1673" s="256"/>
      <c r="D1673" s="256"/>
      <c r="E1673" s="256"/>
      <c r="F1673" s="256"/>
      <c r="G1673" s="256"/>
      <c r="H1673" s="256"/>
      <c r="I1673" s="256"/>
      <c r="J1673" s="256"/>
      <c r="K1673" s="256"/>
    </row>
    <row r="1674" spans="1:11" ht="12.75" x14ac:dyDescent="0.2">
      <c r="A1674" s="256"/>
      <c r="B1674" s="256"/>
      <c r="C1674" s="256"/>
      <c r="D1674" s="256"/>
      <c r="E1674" s="256"/>
      <c r="F1674" s="256"/>
      <c r="G1674" s="256"/>
      <c r="H1674" s="256"/>
      <c r="I1674" s="256"/>
      <c r="J1674" s="256"/>
      <c r="K1674" s="256"/>
    </row>
    <row r="1675" spans="1:11" ht="12.75" x14ac:dyDescent="0.2">
      <c r="A1675" s="256"/>
      <c r="B1675" s="256"/>
      <c r="C1675" s="256"/>
      <c r="D1675" s="256"/>
      <c r="E1675" s="256"/>
      <c r="F1675" s="256"/>
      <c r="G1675" s="256"/>
      <c r="H1675" s="256"/>
      <c r="I1675" s="256"/>
      <c r="J1675" s="256"/>
      <c r="K1675" s="256"/>
    </row>
    <row r="1676" spans="1:11" ht="12.75" x14ac:dyDescent="0.2">
      <c r="A1676" s="256"/>
      <c r="B1676" s="256"/>
      <c r="C1676" s="256"/>
      <c r="D1676" s="256"/>
      <c r="E1676" s="256"/>
      <c r="F1676" s="256"/>
      <c r="G1676" s="256"/>
      <c r="H1676" s="256"/>
      <c r="I1676" s="256"/>
      <c r="J1676" s="256"/>
      <c r="K1676" s="256"/>
    </row>
    <row r="1677" spans="1:11" ht="12.75" x14ac:dyDescent="0.2">
      <c r="A1677" s="256"/>
      <c r="B1677" s="256"/>
      <c r="C1677" s="256"/>
      <c r="D1677" s="256"/>
      <c r="E1677" s="256"/>
      <c r="F1677" s="256"/>
      <c r="G1677" s="256"/>
      <c r="H1677" s="256"/>
      <c r="I1677" s="256"/>
      <c r="J1677" s="256"/>
      <c r="K1677" s="256"/>
    </row>
    <row r="1678" spans="1:11" ht="12.75" x14ac:dyDescent="0.2">
      <c r="A1678" s="256"/>
      <c r="B1678" s="256"/>
      <c r="C1678" s="256"/>
      <c r="D1678" s="256"/>
      <c r="E1678" s="256"/>
      <c r="F1678" s="256"/>
      <c r="G1678" s="256"/>
      <c r="H1678" s="256"/>
      <c r="I1678" s="256"/>
      <c r="J1678" s="256"/>
      <c r="K1678" s="256"/>
    </row>
    <row r="1679" spans="1:11" ht="12.75" x14ac:dyDescent="0.2">
      <c r="A1679" s="256"/>
      <c r="B1679" s="256"/>
      <c r="C1679" s="256"/>
      <c r="D1679" s="256"/>
      <c r="E1679" s="256"/>
      <c r="F1679" s="256"/>
      <c r="G1679" s="256"/>
      <c r="H1679" s="256"/>
      <c r="I1679" s="256"/>
      <c r="J1679" s="256"/>
      <c r="K1679" s="256"/>
    </row>
    <row r="1680" spans="1:11" ht="12.75" x14ac:dyDescent="0.2">
      <c r="A1680" s="256"/>
      <c r="B1680" s="256"/>
      <c r="C1680" s="256"/>
      <c r="D1680" s="256"/>
      <c r="E1680" s="256"/>
      <c r="F1680" s="256"/>
      <c r="G1680" s="256"/>
      <c r="H1680" s="256"/>
      <c r="I1680" s="256"/>
      <c r="J1680" s="256"/>
      <c r="K1680" s="256"/>
    </row>
    <row r="1681" spans="1:11" ht="12.75" x14ac:dyDescent="0.2">
      <c r="A1681" s="256"/>
      <c r="B1681" s="256"/>
      <c r="C1681" s="256"/>
      <c r="D1681" s="256"/>
      <c r="E1681" s="256"/>
      <c r="F1681" s="256"/>
      <c r="G1681" s="256"/>
      <c r="H1681" s="256"/>
      <c r="I1681" s="256"/>
      <c r="J1681" s="256"/>
      <c r="K1681" s="256"/>
    </row>
    <row r="1682" spans="1:11" ht="12.75" x14ac:dyDescent="0.2">
      <c r="A1682" s="256"/>
      <c r="B1682" s="256"/>
      <c r="C1682" s="256"/>
      <c r="D1682" s="256"/>
      <c r="E1682" s="256"/>
      <c r="F1682" s="256"/>
      <c r="G1682" s="256"/>
      <c r="H1682" s="256"/>
      <c r="I1682" s="256"/>
      <c r="J1682" s="256"/>
      <c r="K1682" s="256"/>
    </row>
    <row r="1683" spans="1:11" ht="12.75" x14ac:dyDescent="0.2">
      <c r="A1683" s="256"/>
      <c r="B1683" s="256"/>
      <c r="C1683" s="256"/>
      <c r="D1683" s="256"/>
      <c r="E1683" s="256"/>
      <c r="F1683" s="256"/>
      <c r="G1683" s="256"/>
      <c r="H1683" s="256"/>
      <c r="I1683" s="256"/>
      <c r="J1683" s="256"/>
      <c r="K1683" s="256"/>
    </row>
    <row r="1684" spans="1:11" ht="12.75" x14ac:dyDescent="0.2">
      <c r="A1684" s="256"/>
      <c r="B1684" s="256"/>
      <c r="C1684" s="256"/>
      <c r="D1684" s="256"/>
      <c r="E1684" s="256"/>
      <c r="F1684" s="256"/>
      <c r="G1684" s="256"/>
      <c r="H1684" s="256"/>
      <c r="I1684" s="256"/>
      <c r="J1684" s="256"/>
      <c r="K1684" s="256"/>
    </row>
    <row r="1685" spans="1:11" ht="12.75" x14ac:dyDescent="0.2">
      <c r="A1685" s="256"/>
      <c r="B1685" s="256"/>
      <c r="C1685" s="256"/>
      <c r="D1685" s="256"/>
      <c r="E1685" s="256"/>
      <c r="F1685" s="256"/>
      <c r="G1685" s="256"/>
      <c r="H1685" s="256"/>
      <c r="I1685" s="256"/>
      <c r="J1685" s="256"/>
      <c r="K1685" s="256"/>
    </row>
    <row r="1686" spans="1:11" ht="12.75" x14ac:dyDescent="0.2">
      <c r="A1686" s="256"/>
      <c r="B1686" s="256"/>
      <c r="C1686" s="256"/>
      <c r="D1686" s="256"/>
      <c r="E1686" s="256"/>
      <c r="F1686" s="256"/>
      <c r="G1686" s="256"/>
      <c r="H1686" s="256"/>
      <c r="I1686" s="256"/>
      <c r="J1686" s="256"/>
      <c r="K1686" s="256"/>
    </row>
    <row r="1687" spans="1:11" ht="12.75" x14ac:dyDescent="0.2">
      <c r="A1687" s="256"/>
      <c r="B1687" s="256"/>
      <c r="C1687" s="256"/>
      <c r="D1687" s="256"/>
      <c r="E1687" s="256"/>
      <c r="F1687" s="256"/>
      <c r="G1687" s="256"/>
      <c r="H1687" s="256"/>
      <c r="I1687" s="256"/>
      <c r="J1687" s="256"/>
      <c r="K1687" s="256"/>
    </row>
    <row r="1688" spans="1:11" ht="12.75" x14ac:dyDescent="0.2">
      <c r="A1688" s="256"/>
      <c r="B1688" s="256"/>
      <c r="C1688" s="256"/>
      <c r="D1688" s="256"/>
      <c r="E1688" s="256"/>
      <c r="F1688" s="256"/>
      <c r="G1688" s="256"/>
      <c r="H1688" s="256"/>
      <c r="I1688" s="256"/>
      <c r="J1688" s="256"/>
      <c r="K1688" s="256"/>
    </row>
    <row r="1689" spans="1:11" ht="12.75" x14ac:dyDescent="0.2">
      <c r="A1689" s="256"/>
      <c r="B1689" s="256"/>
      <c r="C1689" s="256"/>
      <c r="D1689" s="256"/>
      <c r="E1689" s="256"/>
      <c r="F1689" s="256"/>
      <c r="G1689" s="256"/>
      <c r="H1689" s="256"/>
      <c r="I1689" s="256"/>
      <c r="J1689" s="256"/>
      <c r="K1689" s="256"/>
    </row>
    <row r="1690" spans="1:11" ht="12.75" x14ac:dyDescent="0.2">
      <c r="A1690" s="256"/>
      <c r="B1690" s="256"/>
      <c r="C1690" s="256"/>
      <c r="D1690" s="256"/>
      <c r="E1690" s="256"/>
      <c r="F1690" s="256"/>
      <c r="G1690" s="256"/>
      <c r="H1690" s="256"/>
      <c r="I1690" s="256"/>
      <c r="J1690" s="256"/>
      <c r="K1690" s="256"/>
    </row>
    <row r="1691" spans="1:11" ht="12.75" x14ac:dyDescent="0.2">
      <c r="A1691" s="256"/>
      <c r="B1691" s="256"/>
      <c r="C1691" s="256"/>
      <c r="D1691" s="256"/>
      <c r="E1691" s="256"/>
      <c r="F1691" s="256"/>
      <c r="G1691" s="256"/>
      <c r="H1691" s="256"/>
      <c r="I1691" s="256"/>
      <c r="J1691" s="256"/>
      <c r="K1691" s="256"/>
    </row>
    <row r="1692" spans="1:11" ht="12.75" x14ac:dyDescent="0.2">
      <c r="A1692" s="256"/>
      <c r="B1692" s="256"/>
      <c r="C1692" s="256"/>
      <c r="D1692" s="256"/>
      <c r="E1692" s="256"/>
      <c r="F1692" s="256"/>
      <c r="G1692" s="256"/>
      <c r="H1692" s="256"/>
      <c r="I1692" s="256"/>
      <c r="J1692" s="256"/>
      <c r="K1692" s="256"/>
    </row>
    <row r="1693" spans="1:11" ht="12.75" x14ac:dyDescent="0.2">
      <c r="A1693" s="256"/>
      <c r="B1693" s="256"/>
      <c r="C1693" s="256"/>
      <c r="D1693" s="256"/>
      <c r="E1693" s="256"/>
      <c r="F1693" s="256"/>
      <c r="G1693" s="256"/>
      <c r="H1693" s="256"/>
      <c r="I1693" s="256"/>
      <c r="J1693" s="256"/>
      <c r="K1693" s="256"/>
    </row>
    <row r="1694" spans="1:11" ht="12.75" x14ac:dyDescent="0.2">
      <c r="A1694" s="256"/>
      <c r="B1694" s="256"/>
      <c r="C1694" s="256"/>
      <c r="D1694" s="256"/>
      <c r="E1694" s="256"/>
      <c r="F1694" s="256"/>
      <c r="G1694" s="256"/>
      <c r="H1694" s="256"/>
      <c r="I1694" s="256"/>
      <c r="J1694" s="256"/>
      <c r="K1694" s="256"/>
    </row>
    <row r="1695" spans="1:11" ht="12.75" x14ac:dyDescent="0.2">
      <c r="A1695" s="256"/>
      <c r="B1695" s="256"/>
      <c r="C1695" s="256"/>
      <c r="D1695" s="256"/>
      <c r="E1695" s="256"/>
      <c r="F1695" s="256"/>
      <c r="G1695" s="256"/>
      <c r="H1695" s="256"/>
      <c r="I1695" s="256"/>
      <c r="J1695" s="256"/>
      <c r="K1695" s="256"/>
    </row>
    <row r="1696" spans="1:11" ht="12.75" x14ac:dyDescent="0.2">
      <c r="A1696" s="256"/>
      <c r="B1696" s="256"/>
      <c r="C1696" s="256"/>
      <c r="D1696" s="256"/>
      <c r="E1696" s="256"/>
      <c r="F1696" s="256"/>
      <c r="G1696" s="256"/>
      <c r="H1696" s="256"/>
      <c r="I1696" s="256"/>
      <c r="J1696" s="256"/>
      <c r="K1696" s="256"/>
    </row>
    <row r="1697" spans="1:11" ht="12.75" x14ac:dyDescent="0.2">
      <c r="A1697" s="256"/>
      <c r="B1697" s="256"/>
      <c r="C1697" s="256"/>
      <c r="D1697" s="256"/>
      <c r="E1697" s="256"/>
      <c r="F1697" s="256"/>
      <c r="G1697" s="256"/>
      <c r="H1697" s="256"/>
      <c r="I1697" s="256"/>
      <c r="J1697" s="256"/>
      <c r="K1697" s="256"/>
    </row>
    <row r="1698" spans="1:11" ht="12.75" x14ac:dyDescent="0.2">
      <c r="A1698" s="256"/>
      <c r="B1698" s="256"/>
      <c r="C1698" s="256"/>
      <c r="D1698" s="256"/>
      <c r="E1698" s="256"/>
      <c r="F1698" s="256"/>
      <c r="G1698" s="256"/>
      <c r="H1698" s="256"/>
      <c r="I1698" s="256"/>
      <c r="J1698" s="256"/>
      <c r="K1698" s="256"/>
    </row>
    <row r="1699" spans="1:11" ht="12.75" x14ac:dyDescent="0.2">
      <c r="A1699" s="256"/>
      <c r="B1699" s="256"/>
      <c r="C1699" s="256"/>
      <c r="D1699" s="256"/>
      <c r="E1699" s="256"/>
      <c r="F1699" s="256"/>
      <c r="G1699" s="256"/>
      <c r="H1699" s="256"/>
      <c r="I1699" s="256"/>
      <c r="J1699" s="256"/>
      <c r="K1699" s="256"/>
    </row>
    <row r="1700" spans="1:11" ht="12.75" x14ac:dyDescent="0.2">
      <c r="A1700" s="256"/>
      <c r="B1700" s="256"/>
      <c r="C1700" s="256"/>
      <c r="D1700" s="256"/>
      <c r="E1700" s="256"/>
      <c r="F1700" s="256"/>
      <c r="G1700" s="256"/>
      <c r="H1700" s="256"/>
      <c r="I1700" s="256"/>
      <c r="J1700" s="256"/>
      <c r="K1700" s="256"/>
    </row>
    <row r="1701" spans="1:11" ht="12.75" x14ac:dyDescent="0.2">
      <c r="A1701" s="256"/>
      <c r="B1701" s="256"/>
      <c r="C1701" s="256"/>
      <c r="D1701" s="256"/>
      <c r="E1701" s="256"/>
      <c r="F1701" s="256"/>
      <c r="G1701" s="256"/>
      <c r="H1701" s="256"/>
      <c r="I1701" s="256"/>
      <c r="J1701" s="256"/>
      <c r="K1701" s="256"/>
    </row>
    <row r="1702" spans="1:11" ht="12.75" x14ac:dyDescent="0.2">
      <c r="A1702" s="256"/>
      <c r="B1702" s="256"/>
      <c r="C1702" s="256"/>
      <c r="D1702" s="256"/>
      <c r="E1702" s="256"/>
      <c r="F1702" s="256"/>
      <c r="G1702" s="256"/>
      <c r="H1702" s="256"/>
      <c r="I1702" s="256"/>
      <c r="J1702" s="256"/>
      <c r="K1702" s="256"/>
    </row>
    <row r="1703" spans="1:11" ht="12.75" x14ac:dyDescent="0.2">
      <c r="A1703" s="256"/>
      <c r="B1703" s="256"/>
      <c r="C1703" s="256"/>
      <c r="D1703" s="256"/>
      <c r="E1703" s="256"/>
      <c r="F1703" s="256"/>
      <c r="G1703" s="256"/>
      <c r="H1703" s="256"/>
      <c r="I1703" s="256"/>
      <c r="J1703" s="256"/>
      <c r="K1703" s="256"/>
    </row>
    <row r="1704" spans="1:11" ht="12.75" x14ac:dyDescent="0.2">
      <c r="A1704" s="256"/>
      <c r="B1704" s="256"/>
      <c r="C1704" s="256"/>
      <c r="D1704" s="256"/>
      <c r="E1704" s="256"/>
      <c r="F1704" s="256"/>
      <c r="G1704" s="256"/>
      <c r="H1704" s="256"/>
      <c r="I1704" s="256"/>
      <c r="J1704" s="256"/>
      <c r="K1704" s="256"/>
    </row>
    <row r="1705" spans="1:11" ht="12.75" x14ac:dyDescent="0.2">
      <c r="A1705" s="256"/>
      <c r="B1705" s="256"/>
      <c r="C1705" s="256"/>
      <c r="D1705" s="256"/>
      <c r="E1705" s="256"/>
      <c r="F1705" s="256"/>
      <c r="G1705" s="256"/>
      <c r="H1705" s="256"/>
      <c r="I1705" s="256"/>
      <c r="J1705" s="256"/>
      <c r="K1705" s="256"/>
    </row>
    <row r="1706" spans="1:11" ht="12.75" x14ac:dyDescent="0.2">
      <c r="A1706" s="256"/>
      <c r="B1706" s="256"/>
      <c r="C1706" s="256"/>
      <c r="D1706" s="256"/>
      <c r="E1706" s="256"/>
      <c r="F1706" s="256"/>
      <c r="G1706" s="256"/>
      <c r="H1706" s="256"/>
      <c r="I1706" s="256"/>
      <c r="J1706" s="256"/>
      <c r="K1706" s="256"/>
    </row>
    <row r="1707" spans="1:11" ht="12.75" x14ac:dyDescent="0.2">
      <c r="A1707" s="256"/>
      <c r="B1707" s="256"/>
      <c r="C1707" s="256"/>
      <c r="D1707" s="256"/>
      <c r="E1707" s="256"/>
      <c r="F1707" s="256"/>
      <c r="G1707" s="256"/>
      <c r="H1707" s="256"/>
      <c r="I1707" s="256"/>
      <c r="J1707" s="256"/>
      <c r="K1707" s="256"/>
    </row>
    <row r="1708" spans="1:11" ht="12.75" x14ac:dyDescent="0.2">
      <c r="A1708" s="256"/>
      <c r="B1708" s="256"/>
      <c r="C1708" s="256"/>
      <c r="D1708" s="256"/>
      <c r="E1708" s="256"/>
      <c r="F1708" s="256"/>
      <c r="G1708" s="256"/>
      <c r="H1708" s="256"/>
      <c r="I1708" s="256"/>
      <c r="J1708" s="256"/>
      <c r="K1708" s="256"/>
    </row>
    <row r="1709" spans="1:11" ht="12.75" x14ac:dyDescent="0.2">
      <c r="A1709" s="256"/>
      <c r="B1709" s="256"/>
      <c r="C1709" s="256"/>
      <c r="D1709" s="256"/>
      <c r="E1709" s="256"/>
      <c r="F1709" s="256"/>
      <c r="G1709" s="256"/>
      <c r="H1709" s="256"/>
      <c r="I1709" s="256"/>
      <c r="J1709" s="256"/>
      <c r="K1709" s="256"/>
    </row>
    <row r="1710" spans="1:11" ht="12.75" x14ac:dyDescent="0.2">
      <c r="A1710" s="256"/>
      <c r="B1710" s="256"/>
      <c r="C1710" s="256"/>
      <c r="D1710" s="256"/>
      <c r="E1710" s="256"/>
      <c r="F1710" s="256"/>
      <c r="G1710" s="256"/>
      <c r="H1710" s="256"/>
      <c r="I1710" s="256"/>
      <c r="J1710" s="256"/>
      <c r="K1710" s="256"/>
    </row>
    <row r="1711" spans="1:11" ht="12.75" x14ac:dyDescent="0.2">
      <c r="A1711" s="256"/>
      <c r="B1711" s="256"/>
      <c r="C1711" s="256"/>
      <c r="D1711" s="256"/>
      <c r="E1711" s="256"/>
      <c r="F1711" s="256"/>
      <c r="G1711" s="256"/>
      <c r="H1711" s="256"/>
      <c r="I1711" s="256"/>
      <c r="J1711" s="256"/>
      <c r="K1711" s="256"/>
    </row>
    <row r="1712" spans="1:11" ht="12.75" x14ac:dyDescent="0.2">
      <c r="A1712" s="256"/>
      <c r="B1712" s="256"/>
      <c r="C1712" s="256"/>
      <c r="D1712" s="256"/>
      <c r="E1712" s="256"/>
      <c r="F1712" s="256"/>
      <c r="G1712" s="256"/>
      <c r="H1712" s="256"/>
      <c r="I1712" s="256"/>
      <c r="J1712" s="256"/>
      <c r="K1712" s="256"/>
    </row>
    <row r="1713" spans="1:11" ht="12.75" x14ac:dyDescent="0.2">
      <c r="A1713" s="256"/>
      <c r="B1713" s="256"/>
      <c r="C1713" s="256"/>
      <c r="D1713" s="256"/>
      <c r="E1713" s="256"/>
      <c r="F1713" s="256"/>
      <c r="G1713" s="256"/>
      <c r="H1713" s="256"/>
      <c r="I1713" s="256"/>
      <c r="J1713" s="256"/>
      <c r="K1713" s="256"/>
    </row>
    <row r="1714" spans="1:11" ht="12.75" x14ac:dyDescent="0.2">
      <c r="A1714" s="256"/>
      <c r="B1714" s="256"/>
      <c r="C1714" s="256"/>
      <c r="D1714" s="256"/>
      <c r="E1714" s="256"/>
      <c r="F1714" s="256"/>
      <c r="G1714" s="256"/>
      <c r="H1714" s="256"/>
      <c r="I1714" s="256"/>
      <c r="J1714" s="256"/>
      <c r="K1714" s="256"/>
    </row>
    <row r="1715" spans="1:11" ht="12.75" x14ac:dyDescent="0.2">
      <c r="A1715" s="256"/>
      <c r="B1715" s="256"/>
      <c r="C1715" s="256"/>
      <c r="D1715" s="256"/>
      <c r="E1715" s="256"/>
      <c r="F1715" s="256"/>
      <c r="G1715" s="256"/>
      <c r="H1715" s="256"/>
      <c r="I1715" s="256"/>
      <c r="J1715" s="256"/>
      <c r="K1715" s="256"/>
    </row>
    <row r="1716" spans="1:11" ht="12.75" x14ac:dyDescent="0.2">
      <c r="A1716" s="256"/>
      <c r="B1716" s="256"/>
      <c r="C1716" s="256"/>
      <c r="D1716" s="256"/>
      <c r="E1716" s="256"/>
      <c r="F1716" s="256"/>
      <c r="G1716" s="256"/>
      <c r="H1716" s="256"/>
      <c r="I1716" s="256"/>
      <c r="J1716" s="256"/>
      <c r="K1716" s="256"/>
    </row>
    <row r="1717" spans="1:11" ht="12.75" x14ac:dyDescent="0.2">
      <c r="A1717" s="256"/>
      <c r="B1717" s="256"/>
      <c r="C1717" s="256"/>
      <c r="D1717" s="256"/>
      <c r="E1717" s="256"/>
      <c r="F1717" s="256"/>
      <c r="G1717" s="256"/>
      <c r="H1717" s="256"/>
      <c r="I1717" s="256"/>
      <c r="J1717" s="256"/>
      <c r="K1717" s="256"/>
    </row>
    <row r="1718" spans="1:11" ht="12.75" x14ac:dyDescent="0.2">
      <c r="A1718" s="256"/>
      <c r="B1718" s="256"/>
      <c r="C1718" s="256"/>
      <c r="D1718" s="256"/>
      <c r="E1718" s="256"/>
      <c r="F1718" s="256"/>
      <c r="G1718" s="256"/>
      <c r="H1718" s="256"/>
      <c r="I1718" s="256"/>
      <c r="J1718" s="256"/>
      <c r="K1718" s="256"/>
    </row>
    <row r="1719" spans="1:11" ht="12.75" x14ac:dyDescent="0.2">
      <c r="A1719" s="256"/>
      <c r="B1719" s="256"/>
      <c r="C1719" s="256"/>
      <c r="D1719" s="256"/>
      <c r="E1719" s="256"/>
      <c r="F1719" s="256"/>
      <c r="G1719" s="256"/>
      <c r="H1719" s="256"/>
      <c r="I1719" s="256"/>
      <c r="J1719" s="256"/>
      <c r="K1719" s="256"/>
    </row>
    <row r="1720" spans="1:11" ht="12.75" x14ac:dyDescent="0.2">
      <c r="A1720" s="256"/>
      <c r="B1720" s="256"/>
      <c r="C1720" s="256"/>
      <c r="D1720" s="256"/>
      <c r="E1720" s="256"/>
      <c r="F1720" s="256"/>
      <c r="G1720" s="256"/>
      <c r="H1720" s="256"/>
      <c r="I1720" s="256"/>
      <c r="J1720" s="256"/>
      <c r="K1720" s="256"/>
    </row>
    <row r="1721" spans="1:11" ht="12.75" x14ac:dyDescent="0.2">
      <c r="A1721" s="256"/>
      <c r="B1721" s="256"/>
      <c r="C1721" s="256"/>
      <c r="D1721" s="256"/>
      <c r="E1721" s="256"/>
      <c r="F1721" s="256"/>
      <c r="G1721" s="256"/>
      <c r="H1721" s="256"/>
      <c r="I1721" s="256"/>
      <c r="J1721" s="256"/>
      <c r="K1721" s="256"/>
    </row>
    <row r="1722" spans="1:11" ht="12.75" x14ac:dyDescent="0.2">
      <c r="A1722" s="256"/>
      <c r="B1722" s="256"/>
      <c r="C1722" s="256"/>
      <c r="D1722" s="256"/>
      <c r="E1722" s="256"/>
      <c r="F1722" s="256"/>
      <c r="G1722" s="256"/>
      <c r="H1722" s="256"/>
      <c r="I1722" s="256"/>
      <c r="J1722" s="256"/>
      <c r="K1722" s="256"/>
    </row>
    <row r="1723" spans="1:11" ht="12.75" x14ac:dyDescent="0.2">
      <c r="A1723" s="256"/>
      <c r="B1723" s="256"/>
      <c r="C1723" s="256"/>
      <c r="D1723" s="256"/>
      <c r="E1723" s="256"/>
      <c r="F1723" s="256"/>
      <c r="G1723" s="256"/>
      <c r="H1723" s="256"/>
      <c r="I1723" s="256"/>
      <c r="J1723" s="256"/>
      <c r="K1723" s="256"/>
    </row>
    <row r="1724" spans="1:11" ht="12.75" x14ac:dyDescent="0.2">
      <c r="A1724" s="256"/>
      <c r="B1724" s="256"/>
      <c r="C1724" s="256"/>
      <c r="D1724" s="256"/>
      <c r="E1724" s="256"/>
      <c r="F1724" s="256"/>
      <c r="G1724" s="256"/>
      <c r="H1724" s="256"/>
      <c r="I1724" s="256"/>
      <c r="J1724" s="256"/>
      <c r="K1724" s="256"/>
    </row>
    <row r="1725" spans="1:11" ht="12.75" x14ac:dyDescent="0.2">
      <c r="A1725" s="256"/>
      <c r="B1725" s="256"/>
      <c r="C1725" s="256"/>
      <c r="D1725" s="256"/>
      <c r="E1725" s="256"/>
      <c r="F1725" s="256"/>
      <c r="G1725" s="256"/>
      <c r="H1725" s="256"/>
      <c r="I1725" s="256"/>
      <c r="J1725" s="256"/>
      <c r="K1725" s="256"/>
    </row>
    <row r="1726" spans="1:11" ht="12.75" x14ac:dyDescent="0.2">
      <c r="A1726" s="256"/>
      <c r="B1726" s="256"/>
      <c r="C1726" s="256"/>
      <c r="D1726" s="256"/>
      <c r="E1726" s="256"/>
      <c r="F1726" s="256"/>
      <c r="G1726" s="256"/>
      <c r="H1726" s="256"/>
      <c r="I1726" s="256"/>
      <c r="J1726" s="256"/>
      <c r="K1726" s="256"/>
    </row>
    <row r="1727" spans="1:11" ht="12.75" x14ac:dyDescent="0.2">
      <c r="A1727" s="256"/>
      <c r="B1727" s="256"/>
      <c r="C1727" s="256"/>
      <c r="D1727" s="256"/>
      <c r="E1727" s="256"/>
      <c r="F1727" s="256"/>
      <c r="G1727" s="256"/>
      <c r="H1727" s="256"/>
      <c r="I1727" s="256"/>
      <c r="J1727" s="256"/>
      <c r="K1727" s="256"/>
    </row>
    <row r="1728" spans="1:11" ht="12.75" x14ac:dyDescent="0.2">
      <c r="A1728" s="256"/>
      <c r="B1728" s="256"/>
      <c r="C1728" s="256"/>
      <c r="D1728" s="256"/>
      <c r="E1728" s="256"/>
      <c r="F1728" s="256"/>
      <c r="G1728" s="256"/>
      <c r="H1728" s="256"/>
      <c r="I1728" s="256"/>
      <c r="J1728" s="256"/>
      <c r="K1728" s="256"/>
    </row>
    <row r="1729" spans="1:11" ht="12.75" x14ac:dyDescent="0.2">
      <c r="A1729" s="256"/>
      <c r="B1729" s="256"/>
      <c r="C1729" s="256"/>
      <c r="D1729" s="256"/>
      <c r="E1729" s="256"/>
      <c r="F1729" s="256"/>
      <c r="G1729" s="256"/>
      <c r="H1729" s="256"/>
      <c r="I1729" s="256"/>
      <c r="J1729" s="256"/>
      <c r="K1729" s="256"/>
    </row>
    <row r="1730" spans="1:11" ht="12.75" x14ac:dyDescent="0.2">
      <c r="A1730" s="256"/>
      <c r="B1730" s="256"/>
      <c r="C1730" s="256"/>
      <c r="D1730" s="256"/>
      <c r="E1730" s="256"/>
      <c r="F1730" s="256"/>
      <c r="G1730" s="256"/>
      <c r="H1730" s="256"/>
      <c r="I1730" s="256"/>
      <c r="J1730" s="256"/>
      <c r="K1730" s="256"/>
    </row>
    <row r="1731" spans="1:11" ht="12.75" x14ac:dyDescent="0.2">
      <c r="A1731" s="256"/>
      <c r="B1731" s="256"/>
      <c r="C1731" s="256"/>
      <c r="D1731" s="256"/>
      <c r="E1731" s="256"/>
      <c r="F1731" s="256"/>
      <c r="G1731" s="256"/>
      <c r="H1731" s="256"/>
      <c r="I1731" s="256"/>
      <c r="J1731" s="256"/>
      <c r="K1731" s="256"/>
    </row>
    <row r="1732" spans="1:11" ht="12.75" x14ac:dyDescent="0.2">
      <c r="A1732" s="256"/>
      <c r="B1732" s="256"/>
      <c r="C1732" s="256"/>
      <c r="D1732" s="256"/>
      <c r="E1732" s="256"/>
      <c r="F1732" s="256"/>
      <c r="G1732" s="256"/>
      <c r="H1732" s="256"/>
      <c r="I1732" s="256"/>
      <c r="J1732" s="256"/>
      <c r="K1732" s="256"/>
    </row>
    <row r="1733" spans="1:11" ht="12.75" x14ac:dyDescent="0.2">
      <c r="A1733" s="256"/>
      <c r="B1733" s="256"/>
      <c r="C1733" s="256"/>
      <c r="D1733" s="256"/>
      <c r="E1733" s="256"/>
      <c r="F1733" s="256"/>
      <c r="G1733" s="256"/>
      <c r="H1733" s="256"/>
      <c r="I1733" s="256"/>
      <c r="J1733" s="256"/>
      <c r="K1733" s="256"/>
    </row>
    <row r="1734" spans="1:11" ht="12.75" x14ac:dyDescent="0.2">
      <c r="A1734" s="256"/>
      <c r="B1734" s="256"/>
      <c r="C1734" s="256"/>
      <c r="D1734" s="256"/>
      <c r="E1734" s="256"/>
      <c r="F1734" s="256"/>
      <c r="G1734" s="256"/>
      <c r="H1734" s="256"/>
      <c r="I1734" s="256"/>
      <c r="J1734" s="256"/>
      <c r="K1734" s="256"/>
    </row>
    <row r="1735" spans="1:11" ht="12.75" x14ac:dyDescent="0.2">
      <c r="A1735" s="256"/>
      <c r="B1735" s="256"/>
      <c r="C1735" s="256"/>
      <c r="D1735" s="256"/>
      <c r="E1735" s="256"/>
      <c r="F1735" s="256"/>
      <c r="G1735" s="256"/>
      <c r="H1735" s="256"/>
      <c r="I1735" s="256"/>
      <c r="J1735" s="256"/>
      <c r="K1735" s="256"/>
    </row>
    <row r="1736" spans="1:11" ht="12.75" x14ac:dyDescent="0.2">
      <c r="A1736" s="256"/>
      <c r="B1736" s="256"/>
      <c r="C1736" s="256"/>
      <c r="D1736" s="256"/>
      <c r="E1736" s="256"/>
      <c r="F1736" s="256"/>
      <c r="G1736" s="256"/>
      <c r="H1736" s="256"/>
      <c r="I1736" s="256"/>
      <c r="J1736" s="256"/>
      <c r="K1736" s="256"/>
    </row>
    <row r="1737" spans="1:11" ht="12.75" x14ac:dyDescent="0.2">
      <c r="A1737" s="256"/>
      <c r="B1737" s="256"/>
      <c r="C1737" s="256"/>
      <c r="D1737" s="256"/>
      <c r="E1737" s="256"/>
      <c r="F1737" s="256"/>
      <c r="G1737" s="256"/>
      <c r="H1737" s="256"/>
      <c r="I1737" s="256"/>
      <c r="J1737" s="256"/>
      <c r="K1737" s="256"/>
    </row>
    <row r="1738" spans="1:11" ht="12.75" x14ac:dyDescent="0.2">
      <c r="A1738" s="256"/>
      <c r="B1738" s="256"/>
      <c r="C1738" s="256"/>
      <c r="D1738" s="256"/>
      <c r="E1738" s="256"/>
      <c r="F1738" s="256"/>
      <c r="G1738" s="256"/>
      <c r="H1738" s="256"/>
      <c r="I1738" s="256"/>
      <c r="J1738" s="256"/>
      <c r="K1738" s="256"/>
    </row>
    <row r="1739" spans="1:11" ht="12.75" x14ac:dyDescent="0.2">
      <c r="A1739" s="256"/>
      <c r="B1739" s="256"/>
      <c r="C1739" s="256"/>
      <c r="D1739" s="256"/>
      <c r="E1739" s="256"/>
      <c r="F1739" s="256"/>
      <c r="G1739" s="256"/>
      <c r="H1739" s="256"/>
      <c r="I1739" s="256"/>
      <c r="J1739" s="256"/>
      <c r="K1739" s="256"/>
    </row>
    <row r="1740" spans="1:11" ht="12.75" x14ac:dyDescent="0.2">
      <c r="A1740" s="256"/>
      <c r="B1740" s="256"/>
      <c r="C1740" s="256"/>
      <c r="D1740" s="256"/>
      <c r="E1740" s="256"/>
      <c r="F1740" s="256"/>
      <c r="G1740" s="256"/>
      <c r="H1740" s="256"/>
      <c r="I1740" s="256"/>
      <c r="J1740" s="256"/>
      <c r="K1740" s="256"/>
    </row>
    <row r="1741" spans="1:11" ht="12.75" x14ac:dyDescent="0.2">
      <c r="A1741" s="256"/>
      <c r="B1741" s="256"/>
      <c r="C1741" s="256"/>
      <c r="D1741" s="256"/>
      <c r="E1741" s="256"/>
      <c r="F1741" s="256"/>
      <c r="G1741" s="256"/>
      <c r="H1741" s="256"/>
      <c r="I1741" s="256"/>
      <c r="J1741" s="256"/>
      <c r="K1741" s="256"/>
    </row>
    <row r="1742" spans="1:11" ht="12.75" x14ac:dyDescent="0.2">
      <c r="A1742" s="256"/>
      <c r="B1742" s="256"/>
      <c r="C1742" s="256"/>
      <c r="D1742" s="256"/>
      <c r="E1742" s="256"/>
      <c r="F1742" s="256"/>
      <c r="G1742" s="256"/>
      <c r="H1742" s="256"/>
      <c r="I1742" s="256"/>
      <c r="J1742" s="256"/>
      <c r="K1742" s="256"/>
    </row>
    <row r="1743" spans="1:11" ht="12.75" x14ac:dyDescent="0.2">
      <c r="A1743" s="256"/>
      <c r="B1743" s="256"/>
      <c r="C1743" s="256"/>
      <c r="D1743" s="256"/>
      <c r="E1743" s="256"/>
      <c r="F1743" s="256"/>
      <c r="G1743" s="256"/>
      <c r="H1743" s="256"/>
      <c r="I1743" s="256"/>
      <c r="J1743" s="256"/>
      <c r="K1743" s="256"/>
    </row>
    <row r="1744" spans="1:11" ht="12.75" x14ac:dyDescent="0.2">
      <c r="A1744" s="256"/>
      <c r="B1744" s="256"/>
      <c r="C1744" s="256"/>
      <c r="D1744" s="256"/>
      <c r="E1744" s="256"/>
      <c r="F1744" s="256"/>
      <c r="G1744" s="256"/>
      <c r="H1744" s="256"/>
      <c r="I1744" s="256"/>
      <c r="J1744" s="256"/>
      <c r="K1744" s="256"/>
    </row>
    <row r="1745" spans="1:11" ht="12.75" x14ac:dyDescent="0.2">
      <c r="A1745" s="256"/>
      <c r="B1745" s="256"/>
      <c r="C1745" s="256"/>
      <c r="D1745" s="256"/>
      <c r="E1745" s="256"/>
      <c r="F1745" s="256"/>
      <c r="G1745" s="256"/>
      <c r="H1745" s="256"/>
      <c r="I1745" s="256"/>
      <c r="J1745" s="256"/>
      <c r="K1745" s="256"/>
    </row>
    <row r="1746" spans="1:11" ht="12.75" x14ac:dyDescent="0.2">
      <c r="A1746" s="256"/>
      <c r="B1746" s="256"/>
      <c r="C1746" s="256"/>
      <c r="D1746" s="256"/>
      <c r="E1746" s="256"/>
      <c r="F1746" s="256"/>
      <c r="G1746" s="256"/>
      <c r="H1746" s="256"/>
      <c r="I1746" s="256"/>
      <c r="J1746" s="256"/>
      <c r="K1746" s="256"/>
    </row>
    <row r="1747" spans="1:11" ht="12.75" x14ac:dyDescent="0.2">
      <c r="A1747" s="256"/>
      <c r="B1747" s="256"/>
      <c r="C1747" s="256"/>
      <c r="D1747" s="256"/>
      <c r="E1747" s="256"/>
      <c r="F1747" s="256"/>
      <c r="G1747" s="256"/>
      <c r="H1747" s="256"/>
      <c r="I1747" s="256"/>
      <c r="J1747" s="256"/>
      <c r="K1747" s="256"/>
    </row>
    <row r="1748" spans="1:11" ht="12.75" x14ac:dyDescent="0.2">
      <c r="A1748" s="256"/>
      <c r="B1748" s="256"/>
      <c r="C1748" s="256"/>
      <c r="D1748" s="256"/>
      <c r="E1748" s="256"/>
      <c r="F1748" s="256"/>
      <c r="G1748" s="256"/>
      <c r="H1748" s="256"/>
      <c r="I1748" s="256"/>
      <c r="J1748" s="256"/>
      <c r="K1748" s="256"/>
    </row>
    <row r="1749" spans="1:11" ht="12.75" x14ac:dyDescent="0.2">
      <c r="A1749" s="256"/>
      <c r="B1749" s="256"/>
      <c r="C1749" s="256"/>
      <c r="D1749" s="256"/>
      <c r="E1749" s="256"/>
      <c r="F1749" s="256"/>
      <c r="G1749" s="256"/>
      <c r="H1749" s="256"/>
      <c r="I1749" s="256"/>
      <c r="J1749" s="256"/>
      <c r="K1749" s="256"/>
    </row>
    <row r="1750" spans="1:11" ht="12.75" x14ac:dyDescent="0.2">
      <c r="A1750" s="256"/>
      <c r="B1750" s="256"/>
      <c r="C1750" s="256"/>
      <c r="D1750" s="256"/>
      <c r="E1750" s="256"/>
      <c r="F1750" s="256"/>
      <c r="G1750" s="256"/>
      <c r="H1750" s="256"/>
      <c r="I1750" s="256"/>
      <c r="J1750" s="256"/>
      <c r="K1750" s="256"/>
    </row>
    <row r="1751" spans="1:11" ht="12.75" x14ac:dyDescent="0.2">
      <c r="A1751" s="256"/>
      <c r="B1751" s="256"/>
      <c r="C1751" s="256"/>
      <c r="D1751" s="256"/>
      <c r="E1751" s="256"/>
      <c r="F1751" s="256"/>
      <c r="G1751" s="256"/>
      <c r="H1751" s="256"/>
      <c r="I1751" s="256"/>
      <c r="J1751" s="256"/>
      <c r="K1751" s="256"/>
    </row>
    <row r="1752" spans="1:11" ht="12.75" x14ac:dyDescent="0.2">
      <c r="A1752" s="256"/>
      <c r="B1752" s="256"/>
      <c r="C1752" s="256"/>
      <c r="D1752" s="256"/>
      <c r="E1752" s="256"/>
      <c r="F1752" s="256"/>
      <c r="G1752" s="256"/>
      <c r="H1752" s="256"/>
      <c r="I1752" s="256"/>
      <c r="J1752" s="256"/>
      <c r="K1752" s="256"/>
    </row>
    <row r="1753" spans="1:11" ht="12.75" x14ac:dyDescent="0.2">
      <c r="A1753" s="256"/>
      <c r="B1753" s="256"/>
      <c r="C1753" s="256"/>
      <c r="D1753" s="256"/>
      <c r="E1753" s="256"/>
      <c r="F1753" s="256"/>
      <c r="G1753" s="256"/>
      <c r="H1753" s="256"/>
      <c r="I1753" s="256"/>
      <c r="J1753" s="256"/>
      <c r="K1753" s="256"/>
    </row>
    <row r="1754" spans="1:11" ht="12.75" x14ac:dyDescent="0.2">
      <c r="A1754" s="256"/>
      <c r="B1754" s="256"/>
      <c r="C1754" s="256"/>
      <c r="D1754" s="256"/>
      <c r="E1754" s="256"/>
      <c r="F1754" s="256"/>
      <c r="G1754" s="256"/>
      <c r="H1754" s="256"/>
      <c r="I1754" s="256"/>
      <c r="J1754" s="256"/>
      <c r="K1754" s="256"/>
    </row>
    <row r="1755" spans="1:11" ht="12.75" x14ac:dyDescent="0.2">
      <c r="A1755" s="256"/>
      <c r="B1755" s="256"/>
      <c r="C1755" s="256"/>
      <c r="D1755" s="256"/>
      <c r="E1755" s="256"/>
      <c r="F1755" s="256"/>
      <c r="G1755" s="256"/>
      <c r="H1755" s="256"/>
      <c r="I1755" s="256"/>
      <c r="J1755" s="256"/>
      <c r="K1755" s="256"/>
    </row>
    <row r="1756" spans="1:11" ht="12.75" x14ac:dyDescent="0.2">
      <c r="A1756" s="256"/>
      <c r="B1756" s="256"/>
      <c r="C1756" s="256"/>
      <c r="D1756" s="256"/>
      <c r="E1756" s="256"/>
      <c r="F1756" s="256"/>
      <c r="G1756" s="256"/>
      <c r="H1756" s="256"/>
      <c r="I1756" s="256"/>
      <c r="J1756" s="256"/>
      <c r="K1756" s="256"/>
    </row>
    <row r="1757" spans="1:11" ht="12.75" x14ac:dyDescent="0.2">
      <c r="A1757" s="256"/>
      <c r="B1757" s="256"/>
      <c r="C1757" s="256"/>
      <c r="D1757" s="256"/>
      <c r="E1757" s="256"/>
      <c r="F1757" s="256"/>
      <c r="G1757" s="256"/>
      <c r="H1757" s="256"/>
      <c r="I1757" s="256"/>
      <c r="J1757" s="256"/>
      <c r="K1757" s="256"/>
    </row>
    <row r="1758" spans="1:11" ht="12.75" x14ac:dyDescent="0.2">
      <c r="A1758" s="256"/>
      <c r="B1758" s="256"/>
      <c r="C1758" s="256"/>
      <c r="D1758" s="256"/>
      <c r="E1758" s="256"/>
      <c r="F1758" s="256"/>
      <c r="G1758" s="256"/>
      <c r="H1758" s="256"/>
      <c r="I1758" s="256"/>
      <c r="J1758" s="256"/>
      <c r="K1758" s="256"/>
    </row>
    <row r="1759" spans="1:11" ht="12.75" x14ac:dyDescent="0.2">
      <c r="A1759" s="256"/>
      <c r="B1759" s="256"/>
      <c r="C1759" s="256"/>
      <c r="D1759" s="256"/>
      <c r="E1759" s="256"/>
      <c r="F1759" s="256"/>
      <c r="G1759" s="256"/>
      <c r="H1759" s="256"/>
      <c r="I1759" s="256"/>
      <c r="J1759" s="256"/>
      <c r="K1759" s="256"/>
    </row>
    <row r="1760" spans="1:11" ht="12.75" x14ac:dyDescent="0.2">
      <c r="A1760" s="256"/>
      <c r="B1760" s="256"/>
      <c r="C1760" s="256"/>
      <c r="D1760" s="256"/>
      <c r="E1760" s="256"/>
      <c r="F1760" s="256"/>
      <c r="G1760" s="256"/>
      <c r="H1760" s="256"/>
      <c r="I1760" s="256"/>
      <c r="J1760" s="256"/>
      <c r="K1760" s="256"/>
    </row>
    <row r="1761" spans="1:11" ht="12.75" x14ac:dyDescent="0.2">
      <c r="A1761" s="256"/>
      <c r="B1761" s="256"/>
      <c r="C1761" s="256"/>
      <c r="D1761" s="256"/>
      <c r="E1761" s="256"/>
      <c r="F1761" s="256"/>
      <c r="G1761" s="256"/>
      <c r="H1761" s="256"/>
      <c r="I1761" s="256"/>
      <c r="J1761" s="256"/>
      <c r="K1761" s="256"/>
    </row>
    <row r="1762" spans="1:11" ht="12.75" x14ac:dyDescent="0.2">
      <c r="A1762" s="256"/>
      <c r="B1762" s="256"/>
      <c r="C1762" s="256"/>
      <c r="D1762" s="256"/>
      <c r="E1762" s="256"/>
      <c r="F1762" s="256"/>
      <c r="G1762" s="256"/>
      <c r="H1762" s="256"/>
      <c r="I1762" s="256"/>
      <c r="J1762" s="256"/>
      <c r="K1762" s="256"/>
    </row>
    <row r="1763" spans="1:11" ht="12.75" x14ac:dyDescent="0.2">
      <c r="A1763" s="256"/>
      <c r="B1763" s="256"/>
      <c r="C1763" s="256"/>
      <c r="D1763" s="256"/>
      <c r="E1763" s="256"/>
      <c r="F1763" s="256"/>
      <c r="G1763" s="256"/>
      <c r="H1763" s="256"/>
      <c r="I1763" s="256"/>
      <c r="J1763" s="256"/>
      <c r="K1763" s="256"/>
    </row>
    <row r="1764" spans="1:11" ht="12.75" x14ac:dyDescent="0.2">
      <c r="A1764" s="256"/>
      <c r="B1764" s="256"/>
      <c r="C1764" s="256"/>
      <c r="D1764" s="256"/>
      <c r="E1764" s="256"/>
      <c r="F1764" s="256"/>
      <c r="G1764" s="256"/>
      <c r="H1764" s="256"/>
      <c r="I1764" s="256"/>
      <c r="J1764" s="256"/>
      <c r="K1764" s="256"/>
    </row>
    <row r="1765" spans="1:11" ht="12.75" x14ac:dyDescent="0.2">
      <c r="A1765" s="256"/>
      <c r="B1765" s="256"/>
      <c r="C1765" s="256"/>
      <c r="D1765" s="256"/>
      <c r="E1765" s="256"/>
      <c r="F1765" s="256"/>
      <c r="G1765" s="256"/>
      <c r="H1765" s="256"/>
      <c r="I1765" s="256"/>
      <c r="J1765" s="256"/>
      <c r="K1765" s="256"/>
    </row>
    <row r="1766" spans="1:11" ht="12.75" x14ac:dyDescent="0.2">
      <c r="A1766" s="256"/>
      <c r="B1766" s="256"/>
      <c r="C1766" s="256"/>
      <c r="D1766" s="256"/>
      <c r="E1766" s="256"/>
      <c r="F1766" s="256"/>
      <c r="G1766" s="256"/>
      <c r="H1766" s="256"/>
      <c r="I1766" s="256"/>
      <c r="J1766" s="256"/>
      <c r="K1766" s="256"/>
    </row>
    <row r="1767" spans="1:11" ht="12.75" x14ac:dyDescent="0.2">
      <c r="A1767" s="256"/>
      <c r="B1767" s="256"/>
      <c r="C1767" s="256"/>
      <c r="D1767" s="256"/>
      <c r="E1767" s="256"/>
      <c r="F1767" s="256"/>
      <c r="G1767" s="256"/>
      <c r="H1767" s="256"/>
      <c r="I1767" s="256"/>
      <c r="J1767" s="256"/>
      <c r="K1767" s="256"/>
    </row>
    <row r="1768" spans="1:11" ht="12.75" x14ac:dyDescent="0.2">
      <c r="A1768" s="256"/>
      <c r="B1768" s="256"/>
      <c r="C1768" s="256"/>
      <c r="D1768" s="256"/>
      <c r="E1768" s="256"/>
      <c r="F1768" s="256"/>
      <c r="G1768" s="256"/>
      <c r="H1768" s="256"/>
      <c r="I1768" s="256"/>
      <c r="J1768" s="256"/>
      <c r="K1768" s="256"/>
    </row>
    <row r="1769" spans="1:11" ht="12.75" x14ac:dyDescent="0.2">
      <c r="A1769" s="256"/>
      <c r="B1769" s="256"/>
      <c r="C1769" s="256"/>
      <c r="D1769" s="256"/>
      <c r="E1769" s="256"/>
      <c r="F1769" s="256"/>
      <c r="G1769" s="256"/>
      <c r="H1769" s="256"/>
      <c r="I1769" s="256"/>
      <c r="J1769" s="256"/>
      <c r="K1769" s="256"/>
    </row>
    <row r="1770" spans="1:11" ht="12.75" x14ac:dyDescent="0.2">
      <c r="A1770" s="256"/>
      <c r="B1770" s="256"/>
      <c r="C1770" s="256"/>
      <c r="D1770" s="256"/>
      <c r="E1770" s="256"/>
      <c r="F1770" s="256"/>
      <c r="G1770" s="256"/>
      <c r="H1770" s="256"/>
      <c r="I1770" s="256"/>
      <c r="J1770" s="256"/>
      <c r="K1770" s="256"/>
    </row>
    <row r="1771" spans="1:11" ht="12.75" x14ac:dyDescent="0.2">
      <c r="A1771" s="256"/>
      <c r="B1771" s="256"/>
      <c r="C1771" s="256"/>
      <c r="D1771" s="256"/>
      <c r="E1771" s="256"/>
      <c r="F1771" s="256"/>
      <c r="G1771" s="256"/>
      <c r="H1771" s="256"/>
      <c r="I1771" s="256"/>
      <c r="J1771" s="256"/>
      <c r="K1771" s="256"/>
    </row>
    <row r="1772" spans="1:11" ht="12.75" x14ac:dyDescent="0.2">
      <c r="A1772" s="256"/>
      <c r="B1772" s="256"/>
      <c r="C1772" s="256"/>
      <c r="D1772" s="256"/>
      <c r="E1772" s="256"/>
      <c r="F1772" s="256"/>
      <c r="G1772" s="256"/>
      <c r="H1772" s="256"/>
      <c r="I1772" s="256"/>
      <c r="J1772" s="256"/>
      <c r="K1772" s="256"/>
    </row>
    <row r="1773" spans="1:11" ht="12.75" x14ac:dyDescent="0.2">
      <c r="A1773" s="256"/>
      <c r="B1773" s="256"/>
      <c r="C1773" s="256"/>
      <c r="D1773" s="256"/>
      <c r="E1773" s="256"/>
      <c r="F1773" s="256"/>
      <c r="G1773" s="256"/>
      <c r="H1773" s="256"/>
      <c r="I1773" s="256"/>
      <c r="J1773" s="256"/>
      <c r="K1773" s="256"/>
    </row>
    <row r="1774" spans="1:11" ht="12.75" x14ac:dyDescent="0.2">
      <c r="A1774" s="256"/>
      <c r="B1774" s="256"/>
      <c r="C1774" s="256"/>
      <c r="D1774" s="256"/>
      <c r="E1774" s="256"/>
      <c r="F1774" s="256"/>
      <c r="G1774" s="256"/>
      <c r="H1774" s="256"/>
      <c r="I1774" s="256"/>
      <c r="J1774" s="256"/>
      <c r="K1774" s="256"/>
    </row>
    <row r="1775" spans="1:11" ht="12.75" x14ac:dyDescent="0.2">
      <c r="A1775" s="256"/>
      <c r="B1775" s="256"/>
      <c r="C1775" s="256"/>
      <c r="D1775" s="256"/>
      <c r="E1775" s="256"/>
      <c r="F1775" s="256"/>
      <c r="G1775" s="256"/>
      <c r="H1775" s="256"/>
      <c r="I1775" s="256"/>
      <c r="J1775" s="256"/>
      <c r="K1775" s="256"/>
    </row>
    <row r="1776" spans="1:11" ht="12.75" x14ac:dyDescent="0.2">
      <c r="A1776" s="256"/>
      <c r="B1776" s="256"/>
      <c r="C1776" s="256"/>
      <c r="D1776" s="256"/>
      <c r="E1776" s="256"/>
      <c r="F1776" s="256"/>
      <c r="G1776" s="256"/>
      <c r="H1776" s="256"/>
      <c r="I1776" s="256"/>
      <c r="J1776" s="256"/>
      <c r="K1776" s="256"/>
    </row>
    <row r="1777" spans="1:11" ht="12.75" x14ac:dyDescent="0.2">
      <c r="A1777" s="256"/>
      <c r="B1777" s="256"/>
      <c r="C1777" s="256"/>
      <c r="D1777" s="256"/>
      <c r="E1777" s="256"/>
      <c r="F1777" s="256"/>
      <c r="G1777" s="256"/>
      <c r="H1777" s="256"/>
      <c r="I1777" s="256"/>
      <c r="J1777" s="256"/>
      <c r="K1777" s="256"/>
    </row>
    <row r="1778" spans="1:11" ht="12.75" x14ac:dyDescent="0.2">
      <c r="A1778" s="256"/>
      <c r="B1778" s="256"/>
      <c r="C1778" s="256"/>
      <c r="D1778" s="256"/>
      <c r="E1778" s="256"/>
      <c r="F1778" s="256"/>
      <c r="G1778" s="256"/>
      <c r="H1778" s="256"/>
      <c r="I1778" s="256"/>
      <c r="J1778" s="256"/>
      <c r="K1778" s="256"/>
    </row>
    <row r="1779" spans="1:11" ht="12.75" x14ac:dyDescent="0.2">
      <c r="A1779" s="256"/>
      <c r="B1779" s="256"/>
      <c r="C1779" s="256"/>
      <c r="D1779" s="256"/>
      <c r="E1779" s="256"/>
      <c r="F1779" s="256"/>
      <c r="G1779" s="256"/>
      <c r="H1779" s="256"/>
      <c r="I1779" s="256"/>
      <c r="J1779" s="256"/>
      <c r="K1779" s="256"/>
    </row>
    <row r="1780" spans="1:11" ht="12.75" x14ac:dyDescent="0.2">
      <c r="A1780" s="256"/>
      <c r="B1780" s="256"/>
      <c r="C1780" s="256"/>
      <c r="D1780" s="256"/>
      <c r="E1780" s="256"/>
      <c r="F1780" s="256"/>
      <c r="G1780" s="256"/>
      <c r="H1780" s="256"/>
      <c r="I1780" s="256"/>
      <c r="J1780" s="256"/>
      <c r="K1780" s="256"/>
    </row>
    <row r="1781" spans="1:11" ht="12.75" x14ac:dyDescent="0.2">
      <c r="A1781" s="256"/>
      <c r="B1781" s="256"/>
      <c r="C1781" s="256"/>
      <c r="D1781" s="256"/>
      <c r="E1781" s="256"/>
      <c r="F1781" s="256"/>
      <c r="G1781" s="256"/>
      <c r="H1781" s="256"/>
      <c r="I1781" s="256"/>
      <c r="J1781" s="256"/>
      <c r="K1781" s="256"/>
    </row>
    <row r="1782" spans="1:11" ht="12.75" x14ac:dyDescent="0.2">
      <c r="A1782" s="256"/>
      <c r="B1782" s="256"/>
      <c r="C1782" s="256"/>
      <c r="D1782" s="256"/>
      <c r="E1782" s="256"/>
      <c r="F1782" s="256"/>
      <c r="G1782" s="256"/>
      <c r="H1782" s="256"/>
      <c r="I1782" s="256"/>
      <c r="J1782" s="256"/>
      <c r="K1782" s="256"/>
    </row>
    <row r="1783" spans="1:11" ht="12.75" x14ac:dyDescent="0.2">
      <c r="A1783" s="256"/>
      <c r="B1783" s="256"/>
      <c r="C1783" s="256"/>
      <c r="D1783" s="256"/>
      <c r="E1783" s="256"/>
      <c r="F1783" s="256"/>
      <c r="G1783" s="256"/>
      <c r="H1783" s="256"/>
      <c r="I1783" s="256"/>
      <c r="J1783" s="256"/>
      <c r="K1783" s="256"/>
    </row>
    <row r="1784" spans="1:11" ht="12.75" x14ac:dyDescent="0.2">
      <c r="A1784" s="256"/>
      <c r="B1784" s="256"/>
      <c r="C1784" s="256"/>
      <c r="D1784" s="256"/>
      <c r="E1784" s="256"/>
      <c r="F1784" s="256"/>
      <c r="G1784" s="256"/>
      <c r="H1784" s="256"/>
      <c r="I1784" s="256"/>
      <c r="J1784" s="256"/>
      <c r="K1784" s="256"/>
    </row>
    <row r="1785" spans="1:11" ht="12.75" x14ac:dyDescent="0.2">
      <c r="A1785" s="256"/>
      <c r="B1785" s="256"/>
      <c r="C1785" s="256"/>
      <c r="D1785" s="256"/>
      <c r="E1785" s="256"/>
      <c r="F1785" s="256"/>
      <c r="G1785" s="256"/>
      <c r="H1785" s="256"/>
      <c r="I1785" s="256"/>
      <c r="J1785" s="256"/>
      <c r="K1785" s="256"/>
    </row>
    <row r="1786" spans="1:11" ht="12.75" x14ac:dyDescent="0.2">
      <c r="A1786" s="256"/>
      <c r="B1786" s="256"/>
      <c r="C1786" s="256"/>
      <c r="D1786" s="256"/>
      <c r="E1786" s="256"/>
      <c r="F1786" s="256"/>
      <c r="G1786" s="256"/>
      <c r="H1786" s="256"/>
      <c r="I1786" s="256"/>
      <c r="J1786" s="256"/>
      <c r="K1786" s="256"/>
    </row>
    <row r="1787" spans="1:11" ht="12.75" x14ac:dyDescent="0.2">
      <c r="A1787" s="256"/>
      <c r="B1787" s="256"/>
      <c r="C1787" s="256"/>
      <c r="D1787" s="256"/>
      <c r="E1787" s="256"/>
      <c r="F1787" s="256"/>
      <c r="G1787" s="256"/>
      <c r="H1787" s="256"/>
      <c r="I1787" s="256"/>
      <c r="J1787" s="256"/>
      <c r="K1787" s="256"/>
    </row>
    <row r="1788" spans="1:11" ht="12.75" x14ac:dyDescent="0.2">
      <c r="A1788" s="256"/>
      <c r="B1788" s="256"/>
      <c r="C1788" s="256"/>
      <c r="D1788" s="256"/>
      <c r="E1788" s="256"/>
      <c r="F1788" s="256"/>
      <c r="G1788" s="256"/>
      <c r="H1788" s="256"/>
      <c r="I1788" s="256"/>
      <c r="J1788" s="256"/>
      <c r="K1788" s="256"/>
    </row>
    <row r="1789" spans="1:11" ht="12.75" x14ac:dyDescent="0.2">
      <c r="A1789" s="256"/>
      <c r="B1789" s="256"/>
      <c r="C1789" s="256"/>
      <c r="D1789" s="256"/>
      <c r="E1789" s="256"/>
      <c r="F1789" s="256"/>
      <c r="G1789" s="256"/>
      <c r="H1789" s="256"/>
      <c r="I1789" s="256"/>
      <c r="J1789" s="256"/>
      <c r="K1789" s="256"/>
    </row>
    <row r="1790" spans="1:11" ht="12.75" x14ac:dyDescent="0.2">
      <c r="A1790" s="256"/>
      <c r="B1790" s="256"/>
      <c r="C1790" s="256"/>
      <c r="D1790" s="256"/>
      <c r="E1790" s="256"/>
      <c r="F1790" s="256"/>
      <c r="G1790" s="256"/>
      <c r="H1790" s="256"/>
      <c r="I1790" s="256"/>
      <c r="J1790" s="256"/>
      <c r="K1790" s="256"/>
    </row>
    <row r="1791" spans="1:11" ht="12.75" x14ac:dyDescent="0.2">
      <c r="A1791" s="256"/>
      <c r="B1791" s="256"/>
      <c r="C1791" s="256"/>
      <c r="D1791" s="256"/>
      <c r="E1791" s="256"/>
      <c r="F1791" s="256"/>
      <c r="G1791" s="256"/>
      <c r="H1791" s="256"/>
      <c r="I1791" s="256"/>
      <c r="J1791" s="256"/>
      <c r="K1791" s="256"/>
    </row>
    <row r="1792" spans="1:11" ht="12.75" x14ac:dyDescent="0.2">
      <c r="A1792" s="256"/>
      <c r="B1792" s="256"/>
      <c r="C1792" s="256"/>
      <c r="D1792" s="256"/>
      <c r="E1792" s="256"/>
      <c r="F1792" s="256"/>
      <c r="G1792" s="256"/>
      <c r="H1792" s="256"/>
      <c r="I1792" s="256"/>
      <c r="J1792" s="256"/>
      <c r="K1792" s="256"/>
    </row>
    <row r="1793" spans="1:11" ht="12.75" x14ac:dyDescent="0.2">
      <c r="A1793" s="256"/>
      <c r="B1793" s="256"/>
      <c r="C1793" s="256"/>
      <c r="D1793" s="256"/>
      <c r="E1793" s="256"/>
      <c r="F1793" s="256"/>
      <c r="G1793" s="256"/>
      <c r="H1793" s="256"/>
      <c r="I1793" s="256"/>
      <c r="J1793" s="256"/>
      <c r="K1793" s="256"/>
    </row>
    <row r="1794" spans="1:11" ht="12.75" x14ac:dyDescent="0.2">
      <c r="A1794" s="256"/>
      <c r="B1794" s="256"/>
      <c r="C1794" s="256"/>
      <c r="D1794" s="256"/>
      <c r="E1794" s="256"/>
      <c r="F1794" s="256"/>
      <c r="G1794" s="256"/>
      <c r="H1794" s="256"/>
      <c r="I1794" s="256"/>
      <c r="J1794" s="256"/>
      <c r="K1794" s="256"/>
    </row>
    <row r="1795" spans="1:11" ht="12.75" x14ac:dyDescent="0.2">
      <c r="A1795" s="256"/>
      <c r="B1795" s="256"/>
      <c r="C1795" s="256"/>
      <c r="D1795" s="256"/>
      <c r="E1795" s="256"/>
      <c r="F1795" s="256"/>
      <c r="G1795" s="256"/>
      <c r="H1795" s="256"/>
      <c r="I1795" s="256"/>
      <c r="J1795" s="256"/>
      <c r="K1795" s="256"/>
    </row>
    <row r="1796" spans="1:11" ht="12.75" x14ac:dyDescent="0.2">
      <c r="A1796" s="256"/>
      <c r="B1796" s="256"/>
      <c r="C1796" s="256"/>
      <c r="D1796" s="256"/>
      <c r="E1796" s="256"/>
      <c r="F1796" s="256"/>
      <c r="G1796" s="256"/>
      <c r="H1796" s="256"/>
      <c r="I1796" s="256"/>
      <c r="J1796" s="256"/>
      <c r="K1796" s="256"/>
    </row>
    <row r="1797" spans="1:11" ht="12.75" x14ac:dyDescent="0.2">
      <c r="A1797" s="256"/>
      <c r="B1797" s="256"/>
      <c r="C1797" s="256"/>
      <c r="D1797" s="256"/>
      <c r="E1797" s="256"/>
      <c r="F1797" s="256"/>
      <c r="G1797" s="256"/>
      <c r="H1797" s="256"/>
      <c r="I1797" s="256"/>
      <c r="J1797" s="256"/>
      <c r="K1797" s="256"/>
    </row>
    <row r="1798" spans="1:11" ht="12.75" x14ac:dyDescent="0.2">
      <c r="A1798" s="256"/>
      <c r="B1798" s="256"/>
      <c r="C1798" s="256"/>
      <c r="D1798" s="256"/>
      <c r="E1798" s="256"/>
      <c r="F1798" s="256"/>
      <c r="G1798" s="256"/>
      <c r="H1798" s="256"/>
      <c r="I1798" s="256"/>
      <c r="J1798" s="256"/>
      <c r="K1798" s="256"/>
    </row>
    <row r="1799" spans="1:11" ht="12.75" x14ac:dyDescent="0.2">
      <c r="A1799" s="256"/>
      <c r="B1799" s="256"/>
      <c r="C1799" s="256"/>
      <c r="D1799" s="256"/>
      <c r="E1799" s="256"/>
      <c r="F1799" s="256"/>
      <c r="G1799" s="256"/>
      <c r="H1799" s="256"/>
      <c r="I1799" s="256"/>
      <c r="J1799" s="256"/>
      <c r="K1799" s="256"/>
    </row>
    <row r="1800" spans="1:11" ht="12.75" x14ac:dyDescent="0.2">
      <c r="A1800" s="256"/>
      <c r="B1800" s="256"/>
      <c r="C1800" s="256"/>
      <c r="D1800" s="256"/>
      <c r="E1800" s="256"/>
      <c r="F1800" s="256"/>
      <c r="G1800" s="256"/>
      <c r="H1800" s="256"/>
      <c r="I1800" s="256"/>
      <c r="J1800" s="256"/>
      <c r="K1800" s="256"/>
    </row>
    <row r="1801" spans="1:11" ht="12.75" x14ac:dyDescent="0.2">
      <c r="A1801" s="256"/>
      <c r="B1801" s="256"/>
      <c r="C1801" s="256"/>
      <c r="D1801" s="256"/>
      <c r="E1801" s="256"/>
      <c r="F1801" s="256"/>
      <c r="G1801" s="256"/>
      <c r="H1801" s="256"/>
      <c r="I1801" s="256"/>
      <c r="J1801" s="256"/>
      <c r="K1801" s="256"/>
    </row>
    <row r="1802" spans="1:11" ht="12.75" x14ac:dyDescent="0.2">
      <c r="A1802" s="256"/>
      <c r="B1802" s="256"/>
      <c r="C1802" s="256"/>
      <c r="D1802" s="256"/>
      <c r="E1802" s="256"/>
      <c r="F1802" s="256"/>
      <c r="G1802" s="256"/>
      <c r="H1802" s="256"/>
      <c r="I1802" s="256"/>
      <c r="J1802" s="256"/>
      <c r="K1802" s="256"/>
    </row>
    <row r="1803" spans="1:11" ht="12.75" x14ac:dyDescent="0.2">
      <c r="A1803" s="256"/>
      <c r="B1803" s="256"/>
      <c r="C1803" s="256"/>
      <c r="D1803" s="256"/>
      <c r="E1803" s="256"/>
      <c r="F1803" s="256"/>
      <c r="G1803" s="256"/>
      <c r="H1803" s="256"/>
      <c r="I1803" s="256"/>
      <c r="J1803" s="256"/>
      <c r="K1803" s="256"/>
    </row>
    <row r="1804" spans="1:11" ht="12.75" x14ac:dyDescent="0.2">
      <c r="A1804" s="256"/>
      <c r="B1804" s="256"/>
      <c r="C1804" s="256"/>
      <c r="D1804" s="256"/>
      <c r="E1804" s="256"/>
      <c r="F1804" s="256"/>
      <c r="G1804" s="256"/>
      <c r="H1804" s="256"/>
      <c r="I1804" s="256"/>
      <c r="J1804" s="256"/>
      <c r="K1804" s="256"/>
    </row>
    <row r="1805" spans="1:11" ht="12.75" x14ac:dyDescent="0.2">
      <c r="A1805" s="256"/>
      <c r="B1805" s="256"/>
      <c r="C1805" s="256"/>
      <c r="D1805" s="256"/>
      <c r="E1805" s="256"/>
      <c r="F1805" s="256"/>
      <c r="G1805" s="256"/>
      <c r="H1805" s="256"/>
      <c r="I1805" s="256"/>
      <c r="J1805" s="256"/>
      <c r="K1805" s="256"/>
    </row>
    <row r="1806" spans="1:11" ht="12.75" x14ac:dyDescent="0.2">
      <c r="A1806" s="256"/>
      <c r="B1806" s="256"/>
      <c r="C1806" s="256"/>
      <c r="D1806" s="256"/>
      <c r="E1806" s="256"/>
      <c r="F1806" s="256"/>
      <c r="G1806" s="256"/>
      <c r="H1806" s="256"/>
      <c r="I1806" s="256"/>
      <c r="J1806" s="256"/>
      <c r="K1806" s="256"/>
    </row>
    <row r="1807" spans="1:11" ht="12.75" x14ac:dyDescent="0.2">
      <c r="A1807" s="256"/>
      <c r="B1807" s="256"/>
      <c r="C1807" s="256"/>
      <c r="D1807" s="256"/>
      <c r="E1807" s="256"/>
      <c r="F1807" s="256"/>
      <c r="G1807" s="256"/>
      <c r="H1807" s="256"/>
      <c r="I1807" s="256"/>
      <c r="J1807" s="256"/>
      <c r="K1807" s="256"/>
    </row>
    <row r="1808" spans="1:11" ht="12.75" x14ac:dyDescent="0.2">
      <c r="A1808" s="256"/>
      <c r="B1808" s="256"/>
      <c r="C1808" s="256"/>
      <c r="D1808" s="256"/>
      <c r="E1808" s="256"/>
      <c r="F1808" s="256"/>
      <c r="G1808" s="256"/>
      <c r="H1808" s="256"/>
      <c r="I1808" s="256"/>
      <c r="J1808" s="256"/>
      <c r="K1808" s="256"/>
    </row>
    <row r="1809" spans="1:11" ht="12.75" x14ac:dyDescent="0.2">
      <c r="A1809" s="256"/>
      <c r="B1809" s="256"/>
      <c r="C1809" s="256"/>
      <c r="D1809" s="256"/>
      <c r="E1809" s="256"/>
      <c r="F1809" s="256"/>
      <c r="G1809" s="256"/>
      <c r="H1809" s="256"/>
      <c r="I1809" s="256"/>
      <c r="J1809" s="256"/>
      <c r="K1809" s="256"/>
    </row>
    <row r="1810" spans="1:11" ht="12.75" x14ac:dyDescent="0.2">
      <c r="A1810" s="256"/>
      <c r="B1810" s="256"/>
      <c r="C1810" s="256"/>
      <c r="D1810" s="256"/>
      <c r="E1810" s="256"/>
      <c r="F1810" s="256"/>
      <c r="G1810" s="256"/>
      <c r="H1810" s="256"/>
      <c r="I1810" s="256"/>
      <c r="J1810" s="256"/>
      <c r="K1810" s="256"/>
    </row>
    <row r="1811" spans="1:11" ht="12.75" x14ac:dyDescent="0.2">
      <c r="A1811" s="256"/>
      <c r="B1811" s="256"/>
      <c r="C1811" s="256"/>
      <c r="D1811" s="256"/>
      <c r="E1811" s="256"/>
      <c r="F1811" s="256"/>
      <c r="G1811" s="256"/>
      <c r="H1811" s="256"/>
      <c r="I1811" s="256"/>
      <c r="J1811" s="256"/>
      <c r="K1811" s="256"/>
    </row>
    <row r="1812" spans="1:11" ht="12.75" x14ac:dyDescent="0.2">
      <c r="A1812" s="256"/>
      <c r="B1812" s="256"/>
      <c r="C1812" s="256"/>
      <c r="D1812" s="256"/>
      <c r="E1812" s="256"/>
      <c r="F1812" s="256"/>
      <c r="G1812" s="256"/>
      <c r="H1812" s="256"/>
      <c r="I1812" s="256"/>
      <c r="J1812" s="256"/>
      <c r="K1812" s="256"/>
    </row>
    <row r="1813" spans="1:11" ht="12.75" x14ac:dyDescent="0.2">
      <c r="A1813" s="256"/>
      <c r="B1813" s="256"/>
      <c r="C1813" s="256"/>
      <c r="D1813" s="256"/>
      <c r="E1813" s="256"/>
      <c r="F1813" s="256"/>
      <c r="G1813" s="256"/>
      <c r="H1813" s="256"/>
      <c r="I1813" s="256"/>
      <c r="J1813" s="256"/>
      <c r="K1813" s="256"/>
    </row>
    <row r="1814" spans="1:11" ht="12.75" x14ac:dyDescent="0.2">
      <c r="A1814" s="256"/>
      <c r="B1814" s="256"/>
      <c r="C1814" s="256"/>
      <c r="D1814" s="256"/>
      <c r="E1814" s="256"/>
      <c r="F1814" s="256"/>
      <c r="G1814" s="256"/>
      <c r="H1814" s="256"/>
      <c r="I1814" s="256"/>
      <c r="J1814" s="256"/>
      <c r="K1814" s="256"/>
    </row>
    <row r="1815" spans="1:11" ht="12.75" x14ac:dyDescent="0.2">
      <c r="A1815" s="256"/>
      <c r="B1815" s="256"/>
      <c r="C1815" s="256"/>
      <c r="D1815" s="256"/>
      <c r="E1815" s="256"/>
      <c r="F1815" s="256"/>
      <c r="G1815" s="256"/>
      <c r="H1815" s="256"/>
      <c r="I1815" s="256"/>
      <c r="J1815" s="256"/>
      <c r="K1815" s="256"/>
    </row>
    <row r="1816" spans="1:11" ht="12.75" x14ac:dyDescent="0.2">
      <c r="A1816" s="256"/>
      <c r="B1816" s="256"/>
      <c r="C1816" s="256"/>
      <c r="D1816" s="256"/>
      <c r="E1816" s="256"/>
      <c r="F1816" s="256"/>
      <c r="G1816" s="256"/>
      <c r="H1816" s="256"/>
      <c r="I1816" s="256"/>
      <c r="J1816" s="256"/>
      <c r="K1816" s="256"/>
    </row>
    <row r="1817" spans="1:11" ht="12.75" x14ac:dyDescent="0.2">
      <c r="A1817" s="256"/>
      <c r="B1817" s="256"/>
      <c r="C1817" s="256"/>
      <c r="D1817" s="256"/>
      <c r="E1817" s="256"/>
      <c r="F1817" s="256"/>
      <c r="G1817" s="256"/>
      <c r="H1817" s="256"/>
      <c r="I1817" s="256"/>
      <c r="J1817" s="256"/>
      <c r="K1817" s="256"/>
    </row>
    <row r="1818" spans="1:11" ht="12.75" x14ac:dyDescent="0.2">
      <c r="A1818" s="256"/>
      <c r="B1818" s="256"/>
      <c r="C1818" s="256"/>
      <c r="D1818" s="256"/>
      <c r="E1818" s="256"/>
      <c r="F1818" s="256"/>
      <c r="G1818" s="256"/>
      <c r="H1818" s="256"/>
      <c r="I1818" s="256"/>
      <c r="J1818" s="256"/>
      <c r="K1818" s="256"/>
    </row>
    <row r="1819" spans="1:11" ht="12.75" x14ac:dyDescent="0.2">
      <c r="A1819" s="256"/>
      <c r="B1819" s="256"/>
      <c r="C1819" s="256"/>
      <c r="D1819" s="256"/>
      <c r="E1819" s="256"/>
      <c r="F1819" s="256"/>
      <c r="G1819" s="256"/>
      <c r="H1819" s="256"/>
      <c r="I1819" s="256"/>
      <c r="J1819" s="256"/>
      <c r="K1819" s="256"/>
    </row>
    <row r="1820" spans="1:11" ht="12.75" x14ac:dyDescent="0.2">
      <c r="A1820" s="256"/>
      <c r="B1820" s="256"/>
      <c r="C1820" s="256"/>
      <c r="D1820" s="256"/>
      <c r="E1820" s="256"/>
      <c r="F1820" s="256"/>
      <c r="G1820" s="256"/>
      <c r="H1820" s="256"/>
      <c r="I1820" s="256"/>
      <c r="J1820" s="256"/>
      <c r="K1820" s="256"/>
    </row>
    <row r="1821" spans="1:11" ht="12.75" x14ac:dyDescent="0.2">
      <c r="A1821" s="256"/>
      <c r="B1821" s="256"/>
      <c r="C1821" s="256"/>
      <c r="D1821" s="256"/>
      <c r="E1821" s="256"/>
      <c r="F1821" s="256"/>
      <c r="G1821" s="256"/>
      <c r="H1821" s="256"/>
      <c r="I1821" s="256"/>
      <c r="J1821" s="256"/>
      <c r="K1821" s="256"/>
    </row>
    <row r="1822" spans="1:11" ht="12.75" x14ac:dyDescent="0.2">
      <c r="A1822" s="256"/>
      <c r="B1822" s="256"/>
      <c r="C1822" s="256"/>
      <c r="D1822" s="256"/>
      <c r="E1822" s="256"/>
      <c r="F1822" s="256"/>
      <c r="G1822" s="256"/>
      <c r="H1822" s="256"/>
      <c r="I1822" s="256"/>
      <c r="J1822" s="256"/>
      <c r="K1822" s="256"/>
    </row>
    <row r="1823" spans="1:11" ht="12.75" x14ac:dyDescent="0.2">
      <c r="A1823" s="256"/>
      <c r="B1823" s="256"/>
      <c r="C1823" s="256"/>
      <c r="D1823" s="256"/>
      <c r="E1823" s="256"/>
      <c r="F1823" s="256"/>
      <c r="G1823" s="256"/>
      <c r="H1823" s="256"/>
      <c r="I1823" s="256"/>
      <c r="J1823" s="256"/>
      <c r="K1823" s="256"/>
    </row>
    <row r="1824" spans="1:11" ht="12.75" x14ac:dyDescent="0.2">
      <c r="A1824" s="256"/>
      <c r="B1824" s="256"/>
      <c r="C1824" s="256"/>
      <c r="D1824" s="256"/>
      <c r="E1824" s="256"/>
      <c r="F1824" s="256"/>
      <c r="G1824" s="256"/>
      <c r="H1824" s="256"/>
      <c r="I1824" s="256"/>
      <c r="J1824" s="256"/>
      <c r="K1824" s="256"/>
    </row>
    <row r="1825" spans="1:11" ht="12.75" x14ac:dyDescent="0.2">
      <c r="A1825" s="256"/>
      <c r="B1825" s="256"/>
      <c r="C1825" s="256"/>
      <c r="D1825" s="256"/>
      <c r="E1825" s="256"/>
      <c r="F1825" s="256"/>
      <c r="G1825" s="256"/>
      <c r="H1825" s="256"/>
      <c r="I1825" s="256"/>
      <c r="J1825" s="256"/>
      <c r="K1825" s="256"/>
    </row>
    <row r="1826" spans="1:11" ht="12.75" x14ac:dyDescent="0.2">
      <c r="A1826" s="256"/>
      <c r="B1826" s="256"/>
      <c r="C1826" s="256"/>
      <c r="D1826" s="256"/>
      <c r="E1826" s="256"/>
      <c r="F1826" s="256"/>
      <c r="G1826" s="256"/>
      <c r="H1826" s="256"/>
      <c r="I1826" s="256"/>
      <c r="J1826" s="256"/>
      <c r="K1826" s="256"/>
    </row>
    <row r="1827" spans="1:11" ht="12.75" x14ac:dyDescent="0.2">
      <c r="A1827" s="256"/>
      <c r="B1827" s="256"/>
      <c r="C1827" s="256"/>
      <c r="D1827" s="256"/>
      <c r="E1827" s="256"/>
      <c r="F1827" s="256"/>
      <c r="G1827" s="256"/>
      <c r="H1827" s="256"/>
      <c r="I1827" s="256"/>
      <c r="J1827" s="256"/>
      <c r="K1827" s="256"/>
    </row>
    <row r="1828" spans="1:11" ht="12.75" x14ac:dyDescent="0.2">
      <c r="A1828" s="256"/>
      <c r="B1828" s="256"/>
      <c r="C1828" s="256"/>
      <c r="D1828" s="256"/>
      <c r="E1828" s="256"/>
      <c r="F1828" s="256"/>
      <c r="G1828" s="256"/>
      <c r="H1828" s="256"/>
      <c r="I1828" s="256"/>
      <c r="J1828" s="256"/>
      <c r="K1828" s="256"/>
    </row>
    <row r="1829" spans="1:11" ht="12.75" x14ac:dyDescent="0.2">
      <c r="A1829" s="256"/>
      <c r="B1829" s="256"/>
      <c r="C1829" s="256"/>
      <c r="D1829" s="256"/>
      <c r="E1829" s="256"/>
      <c r="F1829" s="256"/>
      <c r="G1829" s="256"/>
      <c r="H1829" s="256"/>
      <c r="I1829" s="256"/>
      <c r="J1829" s="256"/>
      <c r="K1829" s="256"/>
    </row>
    <row r="1830" spans="1:11" ht="12.75" x14ac:dyDescent="0.2">
      <c r="A1830" s="256"/>
      <c r="B1830" s="256"/>
      <c r="C1830" s="256"/>
      <c r="D1830" s="256"/>
      <c r="E1830" s="256"/>
      <c r="F1830" s="256"/>
      <c r="G1830" s="256"/>
      <c r="H1830" s="256"/>
      <c r="I1830" s="256"/>
      <c r="J1830" s="256"/>
      <c r="K1830" s="256"/>
    </row>
    <row r="1831" spans="1:11" ht="12.75" x14ac:dyDescent="0.2">
      <c r="A1831" s="256"/>
      <c r="B1831" s="256"/>
      <c r="C1831" s="256"/>
      <c r="D1831" s="256"/>
      <c r="E1831" s="256"/>
      <c r="F1831" s="256"/>
      <c r="G1831" s="256"/>
      <c r="H1831" s="256"/>
      <c r="I1831" s="256"/>
      <c r="J1831" s="256"/>
      <c r="K1831" s="256"/>
    </row>
    <row r="1832" spans="1:11" ht="12.75" x14ac:dyDescent="0.2">
      <c r="A1832" s="256"/>
      <c r="B1832" s="256"/>
      <c r="C1832" s="256"/>
      <c r="D1832" s="256"/>
      <c r="E1832" s="256"/>
      <c r="F1832" s="256"/>
      <c r="G1832" s="256"/>
      <c r="H1832" s="256"/>
      <c r="I1832" s="256"/>
      <c r="J1832" s="256"/>
      <c r="K1832" s="256"/>
    </row>
    <row r="1833" spans="1:11" ht="12.75" x14ac:dyDescent="0.2">
      <c r="A1833" s="256"/>
      <c r="B1833" s="256"/>
      <c r="C1833" s="256"/>
      <c r="D1833" s="256"/>
      <c r="E1833" s="256"/>
      <c r="F1833" s="256"/>
      <c r="G1833" s="256"/>
      <c r="H1833" s="256"/>
      <c r="I1833" s="256"/>
      <c r="J1833" s="256"/>
      <c r="K1833" s="256"/>
    </row>
    <row r="1834" spans="1:11" ht="12.75" x14ac:dyDescent="0.2">
      <c r="A1834" s="256"/>
      <c r="B1834" s="256"/>
      <c r="C1834" s="256"/>
      <c r="D1834" s="256"/>
      <c r="E1834" s="256"/>
      <c r="F1834" s="256"/>
      <c r="G1834" s="256"/>
      <c r="H1834" s="256"/>
      <c r="I1834" s="256"/>
      <c r="J1834" s="256"/>
      <c r="K1834" s="256"/>
    </row>
    <row r="1835" spans="1:11" ht="12.75" x14ac:dyDescent="0.2">
      <c r="A1835" s="256"/>
      <c r="B1835" s="256"/>
      <c r="C1835" s="256"/>
      <c r="D1835" s="256"/>
      <c r="E1835" s="256"/>
      <c r="F1835" s="256"/>
      <c r="G1835" s="256"/>
      <c r="H1835" s="256"/>
      <c r="I1835" s="256"/>
      <c r="J1835" s="256"/>
      <c r="K1835" s="256"/>
    </row>
    <row r="1836" spans="1:11" ht="12.75" x14ac:dyDescent="0.2">
      <c r="A1836" s="256"/>
      <c r="B1836" s="256"/>
      <c r="C1836" s="256"/>
      <c r="D1836" s="256"/>
      <c r="E1836" s="256"/>
      <c r="F1836" s="256"/>
      <c r="G1836" s="256"/>
      <c r="H1836" s="256"/>
      <c r="I1836" s="256"/>
      <c r="J1836" s="256"/>
      <c r="K1836" s="256"/>
    </row>
    <row r="1837" spans="1:11" ht="12.75" x14ac:dyDescent="0.2">
      <c r="A1837" s="256"/>
      <c r="B1837" s="256"/>
      <c r="C1837" s="256"/>
      <c r="D1837" s="256"/>
      <c r="E1837" s="256"/>
      <c r="F1837" s="256"/>
      <c r="G1837" s="256"/>
      <c r="H1837" s="256"/>
      <c r="I1837" s="256"/>
      <c r="J1837" s="256"/>
      <c r="K1837" s="256"/>
    </row>
    <row r="1838" spans="1:11" ht="12.75" x14ac:dyDescent="0.2">
      <c r="A1838" s="256"/>
      <c r="B1838" s="256"/>
      <c r="C1838" s="256"/>
      <c r="D1838" s="256"/>
      <c r="E1838" s="256"/>
      <c r="F1838" s="256"/>
      <c r="G1838" s="256"/>
      <c r="H1838" s="256"/>
      <c r="I1838" s="256"/>
      <c r="J1838" s="256"/>
      <c r="K1838" s="256"/>
    </row>
    <row r="1839" spans="1:11" ht="12.75" x14ac:dyDescent="0.2">
      <c r="A1839" s="256"/>
      <c r="B1839" s="256"/>
      <c r="C1839" s="256"/>
      <c r="D1839" s="256"/>
      <c r="E1839" s="256"/>
      <c r="F1839" s="256"/>
      <c r="G1839" s="256"/>
      <c r="H1839" s="256"/>
      <c r="I1839" s="256"/>
      <c r="J1839" s="256"/>
      <c r="K1839" s="256"/>
    </row>
    <row r="1840" spans="1:11" ht="12.75" x14ac:dyDescent="0.2">
      <c r="A1840" s="256"/>
      <c r="B1840" s="256"/>
      <c r="C1840" s="256"/>
      <c r="D1840" s="256"/>
      <c r="E1840" s="256"/>
      <c r="F1840" s="256"/>
      <c r="G1840" s="256"/>
      <c r="H1840" s="256"/>
      <c r="I1840" s="256"/>
      <c r="J1840" s="256"/>
      <c r="K1840" s="256"/>
    </row>
    <row r="1841" spans="1:11" ht="12.75" x14ac:dyDescent="0.2">
      <c r="A1841" s="256"/>
      <c r="B1841" s="256"/>
      <c r="C1841" s="256"/>
      <c r="D1841" s="256"/>
      <c r="E1841" s="256"/>
      <c r="F1841" s="256"/>
      <c r="G1841" s="256"/>
      <c r="H1841" s="256"/>
      <c r="I1841" s="256"/>
      <c r="J1841" s="256"/>
      <c r="K1841" s="256"/>
    </row>
    <row r="1842" spans="1:11" ht="12.75" x14ac:dyDescent="0.2">
      <c r="A1842" s="256"/>
      <c r="B1842" s="256"/>
      <c r="C1842" s="256"/>
      <c r="D1842" s="256"/>
      <c r="E1842" s="256"/>
      <c r="F1842" s="256"/>
      <c r="G1842" s="256"/>
      <c r="H1842" s="256"/>
      <c r="I1842" s="256"/>
      <c r="J1842" s="256"/>
      <c r="K1842" s="256"/>
    </row>
    <row r="1843" spans="1:11" ht="12.75" x14ac:dyDescent="0.2">
      <c r="A1843" s="256"/>
      <c r="B1843" s="256"/>
      <c r="C1843" s="256"/>
      <c r="D1843" s="256"/>
      <c r="E1843" s="256"/>
      <c r="F1843" s="256"/>
      <c r="G1843" s="256"/>
      <c r="H1843" s="256"/>
      <c r="I1843" s="256"/>
      <c r="J1843" s="256"/>
      <c r="K1843" s="256"/>
    </row>
    <row r="1844" spans="1:11" ht="12.75" x14ac:dyDescent="0.2">
      <c r="A1844" s="256"/>
      <c r="B1844" s="256"/>
      <c r="C1844" s="256"/>
      <c r="D1844" s="256"/>
      <c r="E1844" s="256"/>
      <c r="F1844" s="256"/>
      <c r="G1844" s="256"/>
      <c r="H1844" s="256"/>
      <c r="I1844" s="256"/>
      <c r="J1844" s="256"/>
      <c r="K1844" s="256"/>
    </row>
    <row r="1845" spans="1:11" ht="12.75" x14ac:dyDescent="0.2">
      <c r="A1845" s="256"/>
      <c r="B1845" s="256"/>
      <c r="C1845" s="256"/>
      <c r="D1845" s="256"/>
      <c r="E1845" s="256"/>
      <c r="F1845" s="256"/>
      <c r="G1845" s="256"/>
      <c r="H1845" s="256"/>
      <c r="I1845" s="256"/>
      <c r="J1845" s="256"/>
      <c r="K1845" s="256"/>
    </row>
    <row r="1846" spans="1:11" ht="12.75" x14ac:dyDescent="0.2">
      <c r="A1846" s="256"/>
      <c r="B1846" s="256"/>
      <c r="C1846" s="256"/>
      <c r="D1846" s="256"/>
      <c r="E1846" s="256"/>
      <c r="F1846" s="256"/>
      <c r="G1846" s="256"/>
      <c r="H1846" s="256"/>
      <c r="I1846" s="256"/>
      <c r="J1846" s="256"/>
      <c r="K1846" s="256"/>
    </row>
    <row r="1847" spans="1:11" ht="12.75" x14ac:dyDescent="0.2">
      <c r="A1847" s="256"/>
      <c r="B1847" s="256"/>
      <c r="C1847" s="256"/>
      <c r="D1847" s="256"/>
      <c r="E1847" s="256"/>
      <c r="F1847" s="256"/>
      <c r="G1847" s="256"/>
      <c r="H1847" s="256"/>
      <c r="I1847" s="256"/>
      <c r="J1847" s="256"/>
      <c r="K1847" s="256"/>
    </row>
    <row r="1848" spans="1:11" ht="12.75" x14ac:dyDescent="0.2">
      <c r="A1848" s="256"/>
      <c r="B1848" s="256"/>
      <c r="C1848" s="256"/>
      <c r="D1848" s="256"/>
      <c r="E1848" s="256"/>
      <c r="F1848" s="256"/>
      <c r="G1848" s="256"/>
      <c r="H1848" s="256"/>
      <c r="I1848" s="256"/>
      <c r="J1848" s="256"/>
      <c r="K1848" s="256"/>
    </row>
    <row r="1849" spans="1:11" ht="12.75" x14ac:dyDescent="0.2">
      <c r="A1849" s="256"/>
      <c r="B1849" s="256"/>
      <c r="C1849" s="256"/>
      <c r="D1849" s="256"/>
      <c r="E1849" s="256"/>
      <c r="F1849" s="256"/>
      <c r="G1849" s="256"/>
      <c r="H1849" s="256"/>
      <c r="I1849" s="256"/>
      <c r="J1849" s="256"/>
      <c r="K1849" s="256"/>
    </row>
    <row r="1850" spans="1:11" ht="12.75" x14ac:dyDescent="0.2">
      <c r="A1850" s="256"/>
      <c r="B1850" s="256"/>
      <c r="C1850" s="256"/>
      <c r="D1850" s="256"/>
      <c r="E1850" s="256"/>
      <c r="F1850" s="256"/>
      <c r="G1850" s="256"/>
      <c r="H1850" s="256"/>
      <c r="I1850" s="256"/>
      <c r="J1850" s="256"/>
      <c r="K1850" s="256"/>
    </row>
    <row r="1851" spans="1:11" ht="12.75" x14ac:dyDescent="0.2">
      <c r="A1851" s="256"/>
      <c r="B1851" s="256"/>
      <c r="C1851" s="256"/>
      <c r="D1851" s="256"/>
      <c r="E1851" s="256"/>
      <c r="F1851" s="256"/>
      <c r="G1851" s="256"/>
      <c r="H1851" s="256"/>
      <c r="I1851" s="256"/>
      <c r="J1851" s="256"/>
      <c r="K1851" s="256"/>
    </row>
    <row r="1852" spans="1:11" ht="12.75" x14ac:dyDescent="0.2">
      <c r="A1852" s="256"/>
      <c r="B1852" s="256"/>
      <c r="C1852" s="256"/>
      <c r="D1852" s="256"/>
      <c r="E1852" s="256"/>
      <c r="F1852" s="256"/>
      <c r="G1852" s="256"/>
      <c r="H1852" s="256"/>
      <c r="I1852" s="256"/>
      <c r="J1852" s="256"/>
      <c r="K1852" s="256"/>
    </row>
    <row r="1853" spans="1:11" ht="12.75" x14ac:dyDescent="0.2">
      <c r="A1853" s="256"/>
      <c r="B1853" s="256"/>
      <c r="C1853" s="256"/>
      <c r="D1853" s="256"/>
      <c r="E1853" s="256"/>
      <c r="F1853" s="256"/>
      <c r="G1853" s="256"/>
      <c r="H1853" s="256"/>
      <c r="I1853" s="256"/>
      <c r="J1853" s="256"/>
      <c r="K1853" s="256"/>
    </row>
    <row r="1854" spans="1:11" ht="12.75" x14ac:dyDescent="0.2">
      <c r="A1854" s="256"/>
      <c r="B1854" s="256"/>
      <c r="C1854" s="256"/>
      <c r="D1854" s="256"/>
      <c r="E1854" s="256"/>
      <c r="F1854" s="256"/>
      <c r="G1854" s="256"/>
      <c r="H1854" s="256"/>
      <c r="I1854" s="256"/>
      <c r="J1854" s="256"/>
      <c r="K1854" s="256"/>
    </row>
    <row r="1855" spans="1:11" ht="12.75" x14ac:dyDescent="0.2">
      <c r="A1855" s="256"/>
      <c r="B1855" s="256"/>
      <c r="C1855" s="256"/>
      <c r="D1855" s="256"/>
      <c r="E1855" s="256"/>
      <c r="F1855" s="256"/>
      <c r="G1855" s="256"/>
      <c r="H1855" s="256"/>
      <c r="I1855" s="256"/>
      <c r="J1855" s="256"/>
      <c r="K1855" s="256"/>
    </row>
    <row r="1856" spans="1:11" ht="12.75" x14ac:dyDescent="0.2">
      <c r="A1856" s="256"/>
      <c r="B1856" s="256"/>
      <c r="C1856" s="256"/>
      <c r="D1856" s="256"/>
      <c r="E1856" s="256"/>
      <c r="F1856" s="256"/>
      <c r="G1856" s="256"/>
      <c r="H1856" s="256"/>
      <c r="I1856" s="256"/>
      <c r="J1856" s="256"/>
      <c r="K1856" s="256"/>
    </row>
    <row r="1857" spans="1:11" ht="12.75" x14ac:dyDescent="0.2">
      <c r="A1857" s="256"/>
      <c r="B1857" s="256"/>
      <c r="C1857" s="256"/>
      <c r="D1857" s="256"/>
      <c r="E1857" s="256"/>
      <c r="F1857" s="256"/>
      <c r="G1857" s="256"/>
      <c r="H1857" s="256"/>
      <c r="I1857" s="256"/>
      <c r="J1857" s="256"/>
      <c r="K1857" s="256"/>
    </row>
    <row r="1858" spans="1:11" ht="12.75" x14ac:dyDescent="0.2">
      <c r="A1858" s="256"/>
      <c r="B1858" s="256"/>
      <c r="C1858" s="256"/>
      <c r="D1858" s="256"/>
      <c r="E1858" s="256"/>
      <c r="F1858" s="256"/>
      <c r="G1858" s="256"/>
      <c r="H1858" s="256"/>
      <c r="I1858" s="256"/>
      <c r="J1858" s="256"/>
      <c r="K1858" s="256"/>
    </row>
    <row r="1859" spans="1:11" ht="12.75" x14ac:dyDescent="0.2">
      <c r="A1859" s="256"/>
      <c r="B1859" s="256"/>
      <c r="C1859" s="256"/>
      <c r="D1859" s="256"/>
      <c r="E1859" s="256"/>
      <c r="F1859" s="256"/>
      <c r="G1859" s="256"/>
      <c r="H1859" s="256"/>
      <c r="I1859" s="256"/>
      <c r="J1859" s="256"/>
      <c r="K1859" s="256"/>
    </row>
    <row r="1860" spans="1:11" ht="12.75" x14ac:dyDescent="0.2">
      <c r="A1860" s="256"/>
      <c r="B1860" s="256"/>
      <c r="C1860" s="256"/>
      <c r="D1860" s="256"/>
      <c r="E1860" s="256"/>
      <c r="F1860" s="256"/>
      <c r="G1860" s="256"/>
      <c r="H1860" s="256"/>
      <c r="I1860" s="256"/>
      <c r="J1860" s="256"/>
      <c r="K1860" s="256"/>
    </row>
    <row r="1861" spans="1:11" ht="12.75" x14ac:dyDescent="0.2">
      <c r="A1861" s="256"/>
      <c r="B1861" s="256"/>
      <c r="C1861" s="256"/>
      <c r="D1861" s="256"/>
      <c r="E1861" s="256"/>
      <c r="F1861" s="256"/>
      <c r="G1861" s="256"/>
      <c r="H1861" s="256"/>
      <c r="I1861" s="256"/>
      <c r="J1861" s="256"/>
      <c r="K1861" s="256"/>
    </row>
    <row r="1862" spans="1:11" ht="12.75" x14ac:dyDescent="0.2">
      <c r="A1862" s="256"/>
      <c r="B1862" s="256"/>
      <c r="C1862" s="256"/>
      <c r="D1862" s="256"/>
      <c r="E1862" s="256"/>
      <c r="F1862" s="256"/>
      <c r="G1862" s="256"/>
      <c r="H1862" s="256"/>
      <c r="I1862" s="256"/>
      <c r="J1862" s="256"/>
      <c r="K1862" s="256"/>
    </row>
    <row r="1863" spans="1:11" ht="12.75" x14ac:dyDescent="0.2">
      <c r="A1863" s="256"/>
      <c r="B1863" s="256"/>
      <c r="C1863" s="256"/>
      <c r="D1863" s="256"/>
      <c r="E1863" s="256"/>
      <c r="F1863" s="256"/>
      <c r="G1863" s="256"/>
      <c r="H1863" s="256"/>
      <c r="I1863" s="256"/>
      <c r="J1863" s="256"/>
      <c r="K1863" s="256"/>
    </row>
    <row r="1864" spans="1:11" ht="12.75" x14ac:dyDescent="0.2">
      <c r="A1864" s="256"/>
      <c r="B1864" s="256"/>
      <c r="C1864" s="256"/>
      <c r="D1864" s="256"/>
      <c r="E1864" s="256"/>
      <c r="F1864" s="256"/>
      <c r="G1864" s="256"/>
      <c r="H1864" s="256"/>
      <c r="I1864" s="256"/>
      <c r="J1864" s="256"/>
      <c r="K1864" s="256"/>
    </row>
    <row r="1865" spans="1:11" ht="12.75" x14ac:dyDescent="0.2">
      <c r="A1865" s="256"/>
      <c r="B1865" s="256"/>
      <c r="C1865" s="256"/>
      <c r="D1865" s="256"/>
      <c r="E1865" s="256"/>
      <c r="F1865" s="256"/>
      <c r="G1865" s="256"/>
      <c r="H1865" s="256"/>
      <c r="I1865" s="256"/>
      <c r="J1865" s="256"/>
      <c r="K1865" s="256"/>
    </row>
    <row r="1866" spans="1:11" ht="12.75" x14ac:dyDescent="0.2">
      <c r="A1866" s="256"/>
      <c r="B1866" s="256"/>
      <c r="C1866" s="256"/>
      <c r="D1866" s="256"/>
      <c r="E1866" s="256"/>
      <c r="F1866" s="256"/>
      <c r="G1866" s="256"/>
      <c r="H1866" s="256"/>
      <c r="I1866" s="256"/>
      <c r="J1866" s="256"/>
      <c r="K1866" s="256"/>
    </row>
    <row r="1867" spans="1:11" ht="12.75" x14ac:dyDescent="0.2">
      <c r="A1867" s="256"/>
      <c r="B1867" s="256"/>
      <c r="C1867" s="256"/>
      <c r="D1867" s="256"/>
      <c r="E1867" s="256"/>
      <c r="F1867" s="256"/>
      <c r="G1867" s="256"/>
      <c r="H1867" s="256"/>
      <c r="I1867" s="256"/>
      <c r="J1867" s="256"/>
      <c r="K1867" s="256"/>
    </row>
    <row r="1868" spans="1:11" ht="12.75" x14ac:dyDescent="0.2">
      <c r="A1868" s="256"/>
      <c r="B1868" s="256"/>
      <c r="C1868" s="256"/>
      <c r="D1868" s="256"/>
      <c r="E1868" s="256"/>
      <c r="F1868" s="256"/>
      <c r="G1868" s="256"/>
      <c r="H1868" s="256"/>
      <c r="I1868" s="256"/>
      <c r="J1868" s="256"/>
      <c r="K1868" s="256"/>
    </row>
    <row r="1869" spans="1:11" ht="12.75" x14ac:dyDescent="0.2">
      <c r="A1869" s="256"/>
      <c r="B1869" s="256"/>
      <c r="C1869" s="256"/>
      <c r="D1869" s="256"/>
      <c r="E1869" s="256"/>
      <c r="F1869" s="256"/>
      <c r="G1869" s="256"/>
      <c r="H1869" s="256"/>
      <c r="I1869" s="256"/>
      <c r="J1869" s="256"/>
      <c r="K1869" s="256"/>
    </row>
    <row r="1870" spans="1:11" ht="12.75" x14ac:dyDescent="0.2">
      <c r="A1870" s="256"/>
      <c r="B1870" s="256"/>
      <c r="C1870" s="256"/>
      <c r="D1870" s="256"/>
      <c r="E1870" s="256"/>
      <c r="F1870" s="256"/>
      <c r="G1870" s="256"/>
      <c r="H1870" s="256"/>
      <c r="I1870" s="256"/>
      <c r="J1870" s="256"/>
      <c r="K1870" s="256"/>
    </row>
    <row r="1871" spans="1:11" ht="12.75" x14ac:dyDescent="0.2">
      <c r="A1871" s="256"/>
      <c r="B1871" s="256"/>
      <c r="C1871" s="256"/>
      <c r="D1871" s="256"/>
      <c r="E1871" s="256"/>
      <c r="F1871" s="256"/>
      <c r="G1871" s="256"/>
      <c r="H1871" s="256"/>
      <c r="I1871" s="256"/>
      <c r="J1871" s="256"/>
      <c r="K1871" s="256"/>
    </row>
    <row r="1872" spans="1:11" ht="12.75" x14ac:dyDescent="0.2">
      <c r="A1872" s="256"/>
      <c r="B1872" s="256"/>
      <c r="C1872" s="256"/>
      <c r="D1872" s="256"/>
      <c r="E1872" s="256"/>
      <c r="F1872" s="256"/>
      <c r="G1872" s="256"/>
      <c r="H1872" s="256"/>
      <c r="I1872" s="256"/>
      <c r="J1872" s="256"/>
      <c r="K1872" s="256"/>
    </row>
    <row r="1873" spans="1:11" ht="12.75" x14ac:dyDescent="0.2">
      <c r="A1873" s="256"/>
      <c r="B1873" s="256"/>
      <c r="C1873" s="256"/>
      <c r="D1873" s="256"/>
      <c r="E1873" s="256"/>
      <c r="F1873" s="256"/>
      <c r="G1873" s="256"/>
      <c r="H1873" s="256"/>
      <c r="I1873" s="256"/>
      <c r="J1873" s="256"/>
      <c r="K1873" s="256"/>
    </row>
    <row r="1874" spans="1:11" ht="12.75" x14ac:dyDescent="0.2">
      <c r="A1874" s="256"/>
      <c r="B1874" s="256"/>
      <c r="C1874" s="256"/>
      <c r="D1874" s="256"/>
      <c r="E1874" s="256"/>
      <c r="F1874" s="256"/>
      <c r="G1874" s="256"/>
      <c r="H1874" s="256"/>
      <c r="I1874" s="256"/>
      <c r="J1874" s="256"/>
      <c r="K1874" s="256"/>
    </row>
    <row r="1875" spans="1:11" ht="12.75" x14ac:dyDescent="0.2">
      <c r="A1875" s="256"/>
      <c r="B1875" s="256"/>
      <c r="C1875" s="256"/>
      <c r="D1875" s="256"/>
      <c r="E1875" s="256"/>
      <c r="F1875" s="256"/>
      <c r="G1875" s="256"/>
      <c r="H1875" s="256"/>
      <c r="I1875" s="256"/>
      <c r="J1875" s="256"/>
      <c r="K1875" s="256"/>
    </row>
    <row r="1876" spans="1:11" ht="12.75" x14ac:dyDescent="0.2">
      <c r="A1876" s="256"/>
      <c r="B1876" s="256"/>
      <c r="C1876" s="256"/>
      <c r="D1876" s="256"/>
      <c r="E1876" s="256"/>
      <c r="F1876" s="256"/>
      <c r="G1876" s="256"/>
      <c r="H1876" s="256"/>
      <c r="I1876" s="256"/>
      <c r="J1876" s="256"/>
      <c r="K1876" s="256"/>
    </row>
    <row r="1877" spans="1:11" ht="12.75" x14ac:dyDescent="0.2">
      <c r="A1877" s="256"/>
      <c r="B1877" s="256"/>
      <c r="C1877" s="256"/>
      <c r="D1877" s="256"/>
      <c r="E1877" s="256"/>
      <c r="F1877" s="256"/>
      <c r="G1877" s="256"/>
      <c r="H1877" s="256"/>
      <c r="I1877" s="256"/>
      <c r="J1877" s="256"/>
      <c r="K1877" s="256"/>
    </row>
    <row r="1878" spans="1:11" ht="12.75" x14ac:dyDescent="0.2">
      <c r="A1878" s="256"/>
      <c r="B1878" s="256"/>
      <c r="C1878" s="256"/>
      <c r="D1878" s="256"/>
      <c r="E1878" s="256"/>
      <c r="F1878" s="256"/>
      <c r="G1878" s="256"/>
      <c r="H1878" s="256"/>
      <c r="I1878" s="256"/>
      <c r="J1878" s="256"/>
      <c r="K1878" s="256"/>
    </row>
    <row r="1879" spans="1:11" ht="12.75" x14ac:dyDescent="0.2">
      <c r="A1879" s="256"/>
      <c r="B1879" s="256"/>
      <c r="C1879" s="256"/>
      <c r="D1879" s="256"/>
      <c r="E1879" s="256"/>
      <c r="F1879" s="256"/>
      <c r="G1879" s="256"/>
      <c r="H1879" s="256"/>
      <c r="I1879" s="256"/>
      <c r="J1879" s="256"/>
      <c r="K1879" s="256"/>
    </row>
    <row r="1880" spans="1:11" ht="12.75" x14ac:dyDescent="0.2">
      <c r="A1880" s="256"/>
      <c r="B1880" s="256"/>
      <c r="C1880" s="256"/>
      <c r="D1880" s="256"/>
      <c r="E1880" s="256"/>
      <c r="F1880" s="256"/>
      <c r="G1880" s="256"/>
      <c r="H1880" s="256"/>
      <c r="I1880" s="256"/>
      <c r="J1880" s="256"/>
      <c r="K1880" s="256"/>
    </row>
    <row r="1881" spans="1:11" ht="12.75" x14ac:dyDescent="0.2">
      <c r="A1881" s="256"/>
      <c r="B1881" s="256"/>
      <c r="C1881" s="256"/>
      <c r="D1881" s="256"/>
      <c r="E1881" s="256"/>
      <c r="F1881" s="256"/>
      <c r="G1881" s="256"/>
      <c r="H1881" s="256"/>
      <c r="I1881" s="256"/>
      <c r="J1881" s="256"/>
      <c r="K1881" s="256"/>
    </row>
    <row r="1882" spans="1:11" ht="12.75" x14ac:dyDescent="0.2">
      <c r="A1882" s="256"/>
      <c r="B1882" s="256"/>
      <c r="C1882" s="256"/>
      <c r="D1882" s="256"/>
      <c r="E1882" s="256"/>
      <c r="F1882" s="256"/>
      <c r="G1882" s="256"/>
      <c r="H1882" s="256"/>
      <c r="I1882" s="256"/>
      <c r="J1882" s="256"/>
      <c r="K1882" s="256"/>
    </row>
    <row r="1883" spans="1:11" ht="12.75" x14ac:dyDescent="0.2">
      <c r="A1883" s="256"/>
      <c r="B1883" s="256"/>
      <c r="C1883" s="256"/>
      <c r="D1883" s="256"/>
      <c r="E1883" s="256"/>
      <c r="F1883" s="256"/>
      <c r="G1883" s="256"/>
      <c r="H1883" s="256"/>
      <c r="I1883" s="256"/>
      <c r="J1883" s="256"/>
      <c r="K1883" s="256"/>
    </row>
    <row r="1884" spans="1:11" ht="12.75" x14ac:dyDescent="0.2">
      <c r="A1884" s="256"/>
      <c r="B1884" s="256"/>
      <c r="C1884" s="256"/>
      <c r="D1884" s="256"/>
      <c r="E1884" s="256"/>
      <c r="F1884" s="256"/>
      <c r="G1884" s="256"/>
      <c r="H1884" s="256"/>
      <c r="I1884" s="256"/>
      <c r="J1884" s="256"/>
      <c r="K1884" s="256"/>
    </row>
    <row r="1885" spans="1:11" ht="12.75" x14ac:dyDescent="0.2">
      <c r="A1885" s="256"/>
      <c r="B1885" s="256"/>
      <c r="C1885" s="256"/>
      <c r="D1885" s="256"/>
      <c r="E1885" s="256"/>
      <c r="F1885" s="256"/>
      <c r="G1885" s="256"/>
      <c r="H1885" s="256"/>
      <c r="I1885" s="256"/>
      <c r="J1885" s="256"/>
      <c r="K1885" s="256"/>
    </row>
    <row r="1886" spans="1:11" ht="12.75" x14ac:dyDescent="0.2">
      <c r="A1886" s="256"/>
      <c r="B1886" s="256"/>
      <c r="C1886" s="256"/>
      <c r="D1886" s="256"/>
      <c r="E1886" s="256"/>
      <c r="F1886" s="256"/>
      <c r="G1886" s="256"/>
      <c r="H1886" s="256"/>
      <c r="I1886" s="256"/>
      <c r="J1886" s="256"/>
      <c r="K1886" s="256"/>
    </row>
    <row r="1887" spans="1:11" ht="12.75" x14ac:dyDescent="0.2">
      <c r="A1887" s="256"/>
      <c r="B1887" s="256"/>
      <c r="C1887" s="256"/>
      <c r="D1887" s="256"/>
      <c r="E1887" s="256"/>
      <c r="F1887" s="256"/>
      <c r="G1887" s="256"/>
      <c r="H1887" s="256"/>
      <c r="I1887" s="256"/>
      <c r="J1887" s="256"/>
      <c r="K1887" s="256"/>
    </row>
    <row r="1888" spans="1:11" ht="12.75" x14ac:dyDescent="0.2">
      <c r="A1888" s="256"/>
      <c r="B1888" s="256"/>
      <c r="C1888" s="256"/>
      <c r="D1888" s="256"/>
      <c r="E1888" s="256"/>
      <c r="F1888" s="256"/>
      <c r="G1888" s="256"/>
      <c r="H1888" s="256"/>
      <c r="I1888" s="256"/>
      <c r="J1888" s="256"/>
      <c r="K1888" s="256"/>
    </row>
    <row r="1889" spans="1:11" ht="12.75" x14ac:dyDescent="0.2">
      <c r="A1889" s="256"/>
      <c r="B1889" s="256"/>
      <c r="C1889" s="256"/>
      <c r="D1889" s="256"/>
      <c r="E1889" s="256"/>
      <c r="F1889" s="256"/>
      <c r="G1889" s="256"/>
      <c r="H1889" s="256"/>
      <c r="I1889" s="256"/>
      <c r="J1889" s="256"/>
      <c r="K1889" s="256"/>
    </row>
    <row r="1890" spans="1:11" ht="12.75" x14ac:dyDescent="0.2">
      <c r="A1890" s="256"/>
      <c r="B1890" s="256"/>
      <c r="C1890" s="256"/>
      <c r="D1890" s="256"/>
      <c r="E1890" s="256"/>
      <c r="F1890" s="256"/>
      <c r="G1890" s="256"/>
      <c r="H1890" s="256"/>
      <c r="I1890" s="256"/>
      <c r="J1890" s="256"/>
      <c r="K1890" s="256"/>
    </row>
    <row r="1891" spans="1:11" ht="12.75" x14ac:dyDescent="0.2">
      <c r="A1891" s="256"/>
      <c r="B1891" s="256"/>
      <c r="C1891" s="256"/>
      <c r="D1891" s="256"/>
      <c r="E1891" s="256"/>
      <c r="F1891" s="256"/>
      <c r="G1891" s="256"/>
      <c r="H1891" s="256"/>
      <c r="I1891" s="256"/>
      <c r="J1891" s="256"/>
      <c r="K1891" s="256"/>
    </row>
    <row r="1892" spans="1:11" ht="12.75" x14ac:dyDescent="0.2">
      <c r="A1892" s="256"/>
      <c r="B1892" s="256"/>
      <c r="C1892" s="256"/>
      <c r="D1892" s="256"/>
      <c r="E1892" s="256"/>
      <c r="F1892" s="256"/>
      <c r="G1892" s="256"/>
      <c r="H1892" s="256"/>
      <c r="I1892" s="256"/>
      <c r="J1892" s="256"/>
      <c r="K1892" s="256"/>
    </row>
    <row r="1893" spans="1:11" ht="12.75" x14ac:dyDescent="0.2">
      <c r="A1893" s="256"/>
      <c r="B1893" s="256"/>
      <c r="C1893" s="256"/>
      <c r="D1893" s="256"/>
      <c r="E1893" s="256"/>
      <c r="F1893" s="256"/>
      <c r="G1893" s="256"/>
      <c r="H1893" s="256"/>
      <c r="I1893" s="256"/>
      <c r="J1893" s="256"/>
      <c r="K1893" s="256"/>
    </row>
    <row r="1894" spans="1:11" ht="12.75" x14ac:dyDescent="0.2">
      <c r="A1894" s="256"/>
      <c r="B1894" s="256"/>
      <c r="C1894" s="256"/>
      <c r="D1894" s="256"/>
      <c r="E1894" s="256"/>
      <c r="F1894" s="256"/>
      <c r="G1894" s="256"/>
      <c r="H1894" s="256"/>
      <c r="I1894" s="256"/>
      <c r="J1894" s="256"/>
      <c r="K1894" s="256"/>
    </row>
    <row r="1895" spans="1:11" ht="12.75" x14ac:dyDescent="0.2">
      <c r="A1895" s="256"/>
      <c r="B1895" s="256"/>
      <c r="C1895" s="256"/>
      <c r="D1895" s="256"/>
      <c r="E1895" s="256"/>
      <c r="F1895" s="256"/>
      <c r="G1895" s="256"/>
      <c r="H1895" s="256"/>
      <c r="I1895" s="256"/>
      <c r="J1895" s="256"/>
      <c r="K1895" s="256"/>
    </row>
    <row r="1896" spans="1:11" ht="12.75" x14ac:dyDescent="0.2">
      <c r="A1896" s="256"/>
      <c r="B1896" s="256"/>
      <c r="C1896" s="256"/>
      <c r="D1896" s="256"/>
      <c r="E1896" s="256"/>
      <c r="F1896" s="256"/>
      <c r="G1896" s="256"/>
      <c r="H1896" s="256"/>
      <c r="I1896" s="256"/>
      <c r="J1896" s="256"/>
      <c r="K1896" s="256"/>
    </row>
    <row r="1897" spans="1:11" ht="12.75" x14ac:dyDescent="0.2">
      <c r="A1897" s="256"/>
      <c r="B1897" s="256"/>
      <c r="C1897" s="256"/>
      <c r="D1897" s="256"/>
      <c r="E1897" s="256"/>
      <c r="F1897" s="256"/>
      <c r="G1897" s="256"/>
      <c r="H1897" s="256"/>
      <c r="I1897" s="256"/>
      <c r="J1897" s="256"/>
      <c r="K1897" s="256"/>
    </row>
    <row r="1898" spans="1:11" ht="12.75" x14ac:dyDescent="0.2">
      <c r="A1898" s="256"/>
      <c r="B1898" s="256"/>
      <c r="C1898" s="256"/>
      <c r="D1898" s="256"/>
      <c r="E1898" s="256"/>
      <c r="F1898" s="256"/>
      <c r="G1898" s="256"/>
      <c r="H1898" s="256"/>
      <c r="I1898" s="256"/>
      <c r="J1898" s="256"/>
      <c r="K1898" s="256"/>
    </row>
    <row r="1899" spans="1:11" ht="12.75" x14ac:dyDescent="0.2">
      <c r="A1899" s="256"/>
      <c r="B1899" s="256"/>
      <c r="C1899" s="256"/>
      <c r="D1899" s="256"/>
      <c r="E1899" s="256"/>
      <c r="F1899" s="256"/>
      <c r="G1899" s="256"/>
      <c r="H1899" s="256"/>
      <c r="I1899" s="256"/>
      <c r="J1899" s="256"/>
      <c r="K1899" s="256"/>
    </row>
    <row r="1900" spans="1:11" ht="12.75" x14ac:dyDescent="0.2">
      <c r="A1900" s="256"/>
      <c r="B1900" s="256"/>
      <c r="C1900" s="256"/>
      <c r="D1900" s="256"/>
      <c r="E1900" s="256"/>
      <c r="F1900" s="256"/>
      <c r="G1900" s="256"/>
      <c r="H1900" s="256"/>
      <c r="I1900" s="256"/>
      <c r="J1900" s="256"/>
      <c r="K1900" s="256"/>
    </row>
    <row r="1901" spans="1:11" ht="12.75" x14ac:dyDescent="0.2">
      <c r="A1901" s="256"/>
      <c r="B1901" s="256"/>
      <c r="C1901" s="256"/>
      <c r="D1901" s="256"/>
      <c r="E1901" s="256"/>
      <c r="F1901" s="256"/>
      <c r="G1901" s="256"/>
      <c r="H1901" s="256"/>
      <c r="I1901" s="256"/>
      <c r="J1901" s="256"/>
      <c r="K1901" s="256"/>
    </row>
    <row r="1902" spans="1:11" ht="12.75" x14ac:dyDescent="0.2">
      <c r="A1902" s="256"/>
      <c r="B1902" s="256"/>
      <c r="C1902" s="256"/>
      <c r="D1902" s="256"/>
      <c r="E1902" s="256"/>
      <c r="F1902" s="256"/>
      <c r="G1902" s="256"/>
      <c r="H1902" s="256"/>
      <c r="I1902" s="256"/>
      <c r="J1902" s="256"/>
      <c r="K1902" s="256"/>
    </row>
    <row r="1903" spans="1:11" ht="12.75" x14ac:dyDescent="0.2">
      <c r="A1903" s="256"/>
      <c r="B1903" s="256"/>
      <c r="C1903" s="256"/>
      <c r="D1903" s="256"/>
      <c r="E1903" s="256"/>
      <c r="F1903" s="256"/>
      <c r="G1903" s="256"/>
      <c r="H1903" s="256"/>
      <c r="I1903" s="256"/>
      <c r="J1903" s="256"/>
      <c r="K1903" s="256"/>
    </row>
    <row r="1904" spans="1:11" ht="12.75" x14ac:dyDescent="0.2">
      <c r="A1904" s="256"/>
      <c r="B1904" s="256"/>
      <c r="C1904" s="256"/>
      <c r="D1904" s="256"/>
      <c r="E1904" s="256"/>
      <c r="F1904" s="256"/>
      <c r="G1904" s="256"/>
      <c r="H1904" s="256"/>
      <c r="I1904" s="256"/>
      <c r="J1904" s="256"/>
      <c r="K1904" s="256"/>
    </row>
    <row r="1905" spans="1:11" ht="12.75" x14ac:dyDescent="0.2">
      <c r="A1905" s="256"/>
      <c r="B1905" s="256"/>
      <c r="C1905" s="256"/>
      <c r="D1905" s="256"/>
      <c r="E1905" s="256"/>
      <c r="F1905" s="256"/>
      <c r="G1905" s="256"/>
      <c r="H1905" s="256"/>
      <c r="I1905" s="256"/>
      <c r="J1905" s="256"/>
      <c r="K1905" s="256"/>
    </row>
    <row r="1906" spans="1:11" ht="12.75" x14ac:dyDescent="0.2">
      <c r="A1906" s="256"/>
      <c r="B1906" s="256"/>
      <c r="C1906" s="256"/>
      <c r="D1906" s="256"/>
      <c r="E1906" s="256"/>
      <c r="F1906" s="256"/>
      <c r="G1906" s="256"/>
      <c r="H1906" s="256"/>
      <c r="I1906" s="256"/>
      <c r="J1906" s="256"/>
      <c r="K1906" s="256"/>
    </row>
    <row r="1907" spans="1:11" ht="12.75" x14ac:dyDescent="0.2">
      <c r="A1907" s="256"/>
      <c r="B1907" s="256"/>
      <c r="C1907" s="256"/>
      <c r="D1907" s="256"/>
      <c r="E1907" s="256"/>
      <c r="F1907" s="256"/>
      <c r="G1907" s="256"/>
      <c r="H1907" s="256"/>
      <c r="I1907" s="256"/>
      <c r="J1907" s="256"/>
      <c r="K1907" s="256"/>
    </row>
    <row r="1908" spans="1:11" ht="12.75" x14ac:dyDescent="0.2">
      <c r="A1908" s="256"/>
      <c r="B1908" s="256"/>
      <c r="C1908" s="256"/>
      <c r="D1908" s="256"/>
      <c r="E1908" s="256"/>
      <c r="F1908" s="256"/>
      <c r="G1908" s="256"/>
      <c r="H1908" s="256"/>
      <c r="I1908" s="256"/>
      <c r="J1908" s="256"/>
      <c r="K1908" s="256"/>
    </row>
    <row r="1909" spans="1:11" ht="12.75" x14ac:dyDescent="0.2">
      <c r="A1909" s="256"/>
      <c r="B1909" s="256"/>
      <c r="C1909" s="256"/>
      <c r="D1909" s="256"/>
      <c r="E1909" s="256"/>
      <c r="F1909" s="256"/>
      <c r="G1909" s="256"/>
      <c r="H1909" s="256"/>
      <c r="I1909" s="256"/>
      <c r="J1909" s="256"/>
      <c r="K1909" s="256"/>
    </row>
    <row r="1910" spans="1:11" ht="12.75" x14ac:dyDescent="0.2">
      <c r="A1910" s="256"/>
      <c r="B1910" s="256"/>
      <c r="C1910" s="256"/>
      <c r="D1910" s="256"/>
      <c r="E1910" s="256"/>
      <c r="F1910" s="256"/>
      <c r="G1910" s="256"/>
      <c r="H1910" s="256"/>
      <c r="I1910" s="256"/>
      <c r="J1910" s="256"/>
      <c r="K1910" s="256"/>
    </row>
    <row r="1911" spans="1:11" ht="12.75" x14ac:dyDescent="0.2">
      <c r="A1911" s="256"/>
      <c r="B1911" s="256"/>
      <c r="C1911" s="256"/>
      <c r="D1911" s="256"/>
      <c r="E1911" s="256"/>
      <c r="F1911" s="256"/>
      <c r="G1911" s="256"/>
      <c r="H1911" s="256"/>
      <c r="I1911" s="256"/>
      <c r="J1911" s="256"/>
      <c r="K1911" s="256"/>
    </row>
    <row r="1912" spans="1:11" ht="12.75" x14ac:dyDescent="0.2">
      <c r="A1912" s="256"/>
      <c r="B1912" s="256"/>
      <c r="C1912" s="256"/>
      <c r="D1912" s="256"/>
      <c r="E1912" s="256"/>
      <c r="F1912" s="256"/>
      <c r="G1912" s="256"/>
      <c r="H1912" s="256"/>
      <c r="I1912" s="256"/>
      <c r="J1912" s="256"/>
      <c r="K1912" s="256"/>
    </row>
    <row r="1913" spans="1:11" ht="12.75" x14ac:dyDescent="0.2">
      <c r="A1913" s="256"/>
      <c r="B1913" s="256"/>
      <c r="C1913" s="256"/>
      <c r="D1913" s="256"/>
      <c r="E1913" s="256"/>
      <c r="F1913" s="256"/>
      <c r="G1913" s="256"/>
      <c r="H1913" s="256"/>
      <c r="I1913" s="256"/>
      <c r="J1913" s="256"/>
      <c r="K1913" s="256"/>
    </row>
    <row r="1914" spans="1:11" ht="12.75" x14ac:dyDescent="0.2">
      <c r="A1914" s="256"/>
      <c r="B1914" s="256"/>
      <c r="C1914" s="256"/>
      <c r="D1914" s="256"/>
      <c r="E1914" s="256"/>
      <c r="F1914" s="256"/>
      <c r="G1914" s="256"/>
      <c r="H1914" s="256"/>
      <c r="I1914" s="256"/>
      <c r="J1914" s="256"/>
      <c r="K1914" s="256"/>
    </row>
    <row r="1915" spans="1:11" ht="12.75" x14ac:dyDescent="0.2">
      <c r="A1915" s="256"/>
      <c r="B1915" s="256"/>
      <c r="C1915" s="256"/>
      <c r="D1915" s="256"/>
      <c r="E1915" s="256"/>
      <c r="F1915" s="256"/>
      <c r="G1915" s="256"/>
      <c r="H1915" s="256"/>
      <c r="I1915" s="256"/>
      <c r="J1915" s="256"/>
      <c r="K1915" s="256"/>
    </row>
    <row r="1916" spans="1:11" ht="12.75" x14ac:dyDescent="0.2">
      <c r="A1916" s="256"/>
      <c r="B1916" s="256"/>
      <c r="C1916" s="256"/>
      <c r="D1916" s="256"/>
      <c r="E1916" s="256"/>
      <c r="F1916" s="256"/>
      <c r="G1916" s="256"/>
      <c r="H1916" s="256"/>
      <c r="I1916" s="256"/>
      <c r="J1916" s="256"/>
      <c r="K1916" s="256"/>
    </row>
    <row r="1917" spans="1:11" ht="12.75" x14ac:dyDescent="0.2">
      <c r="A1917" s="256"/>
      <c r="B1917" s="256"/>
      <c r="C1917" s="256"/>
      <c r="D1917" s="256"/>
      <c r="E1917" s="256"/>
      <c r="F1917" s="256"/>
      <c r="G1917" s="256"/>
      <c r="H1917" s="256"/>
      <c r="I1917" s="256"/>
      <c r="J1917" s="256"/>
      <c r="K1917" s="256"/>
    </row>
    <row r="1918" spans="1:11" ht="12.75" x14ac:dyDescent="0.2">
      <c r="A1918" s="256"/>
      <c r="B1918" s="256"/>
      <c r="C1918" s="256"/>
      <c r="D1918" s="256"/>
      <c r="E1918" s="256"/>
      <c r="F1918" s="256"/>
      <c r="G1918" s="256"/>
      <c r="H1918" s="256"/>
      <c r="I1918" s="256"/>
      <c r="J1918" s="256"/>
      <c r="K1918" s="256"/>
    </row>
    <row r="1919" spans="1:11" ht="12.75" x14ac:dyDescent="0.2">
      <c r="A1919" s="256"/>
      <c r="B1919" s="256"/>
      <c r="C1919" s="256"/>
      <c r="D1919" s="256"/>
      <c r="E1919" s="256"/>
      <c r="F1919" s="256"/>
      <c r="G1919" s="256"/>
      <c r="H1919" s="256"/>
      <c r="I1919" s="256"/>
      <c r="J1919" s="256"/>
      <c r="K1919" s="256"/>
    </row>
    <row r="1920" spans="1:11" ht="12.75" x14ac:dyDescent="0.2">
      <c r="A1920" s="256"/>
      <c r="B1920" s="256"/>
      <c r="C1920" s="256"/>
      <c r="D1920" s="256"/>
      <c r="E1920" s="256"/>
      <c r="F1920" s="256"/>
      <c r="G1920" s="256"/>
      <c r="H1920" s="256"/>
      <c r="I1920" s="256"/>
      <c r="J1920" s="256"/>
      <c r="K1920" s="256"/>
    </row>
    <row r="1921" spans="1:11" ht="12.75" x14ac:dyDescent="0.2">
      <c r="A1921" s="256"/>
      <c r="B1921" s="256"/>
      <c r="C1921" s="256"/>
      <c r="D1921" s="256"/>
      <c r="E1921" s="256"/>
      <c r="F1921" s="256"/>
      <c r="G1921" s="256"/>
      <c r="H1921" s="256"/>
      <c r="I1921" s="256"/>
      <c r="J1921" s="256"/>
      <c r="K1921" s="256"/>
    </row>
    <row r="1922" spans="1:11" ht="12.75" x14ac:dyDescent="0.2">
      <c r="A1922" s="256"/>
      <c r="B1922" s="256"/>
      <c r="C1922" s="256"/>
      <c r="D1922" s="256"/>
      <c r="E1922" s="256"/>
      <c r="F1922" s="256"/>
      <c r="G1922" s="256"/>
      <c r="H1922" s="256"/>
      <c r="I1922" s="256"/>
      <c r="J1922" s="256"/>
      <c r="K1922" s="256"/>
    </row>
    <row r="1923" spans="1:11" ht="12.75" x14ac:dyDescent="0.2">
      <c r="A1923" s="256"/>
      <c r="B1923" s="256"/>
      <c r="C1923" s="256"/>
      <c r="D1923" s="256"/>
      <c r="E1923" s="256"/>
      <c r="F1923" s="256"/>
      <c r="G1923" s="256"/>
      <c r="H1923" s="256"/>
      <c r="I1923" s="256"/>
      <c r="J1923" s="256"/>
      <c r="K1923" s="256"/>
    </row>
    <row r="1924" spans="1:11" ht="12.75" x14ac:dyDescent="0.2">
      <c r="A1924" s="256"/>
      <c r="B1924" s="256"/>
      <c r="C1924" s="256"/>
      <c r="D1924" s="256"/>
      <c r="E1924" s="256"/>
      <c r="F1924" s="256"/>
      <c r="G1924" s="256"/>
      <c r="H1924" s="256"/>
      <c r="I1924" s="256"/>
      <c r="J1924" s="256"/>
      <c r="K1924" s="256"/>
    </row>
    <row r="1925" spans="1:11" ht="12.75" x14ac:dyDescent="0.2">
      <c r="A1925" s="256"/>
      <c r="B1925" s="256"/>
      <c r="C1925" s="256"/>
      <c r="D1925" s="256"/>
      <c r="E1925" s="256"/>
      <c r="F1925" s="256"/>
      <c r="G1925" s="256"/>
      <c r="H1925" s="256"/>
      <c r="I1925" s="256"/>
      <c r="J1925" s="256"/>
      <c r="K1925" s="256"/>
    </row>
    <row r="1926" spans="1:11" ht="12.75" x14ac:dyDescent="0.2">
      <c r="A1926" s="256"/>
      <c r="B1926" s="256"/>
      <c r="C1926" s="256"/>
      <c r="D1926" s="256"/>
      <c r="E1926" s="256"/>
      <c r="F1926" s="256"/>
      <c r="G1926" s="256"/>
      <c r="H1926" s="256"/>
      <c r="I1926" s="256"/>
      <c r="J1926" s="256"/>
      <c r="K1926" s="256"/>
    </row>
    <row r="1927" spans="1:11" ht="12.75" x14ac:dyDescent="0.2">
      <c r="A1927" s="256"/>
      <c r="B1927" s="256"/>
      <c r="C1927" s="256"/>
      <c r="D1927" s="256"/>
      <c r="E1927" s="256"/>
      <c r="F1927" s="256"/>
      <c r="G1927" s="256"/>
      <c r="H1927" s="256"/>
      <c r="I1927" s="256"/>
      <c r="J1927" s="256"/>
      <c r="K1927" s="256"/>
    </row>
    <row r="1928" spans="1:11" ht="12.75" x14ac:dyDescent="0.2">
      <c r="A1928" s="256"/>
      <c r="B1928" s="256"/>
      <c r="C1928" s="256"/>
      <c r="D1928" s="256"/>
      <c r="E1928" s="256"/>
      <c r="F1928" s="256"/>
      <c r="G1928" s="256"/>
      <c r="H1928" s="256"/>
      <c r="I1928" s="256"/>
      <c r="J1928" s="256"/>
      <c r="K1928" s="256"/>
    </row>
    <row r="1929" spans="1:11" ht="12.75" x14ac:dyDescent="0.2">
      <c r="A1929" s="256"/>
      <c r="B1929" s="256"/>
      <c r="C1929" s="256"/>
      <c r="D1929" s="256"/>
      <c r="E1929" s="256"/>
      <c r="F1929" s="256"/>
      <c r="G1929" s="256"/>
      <c r="H1929" s="256"/>
      <c r="I1929" s="256"/>
      <c r="J1929" s="256"/>
      <c r="K1929" s="256"/>
    </row>
    <row r="1930" spans="1:11" ht="12.75" x14ac:dyDescent="0.2">
      <c r="A1930" s="256"/>
      <c r="B1930" s="256"/>
      <c r="C1930" s="256"/>
      <c r="D1930" s="256"/>
      <c r="E1930" s="256"/>
      <c r="F1930" s="256"/>
      <c r="G1930" s="256"/>
      <c r="H1930" s="256"/>
      <c r="I1930" s="256"/>
      <c r="J1930" s="256"/>
      <c r="K1930" s="256"/>
    </row>
    <row r="1931" spans="1:11" ht="12.75" x14ac:dyDescent="0.2">
      <c r="A1931" s="256"/>
      <c r="B1931" s="256"/>
      <c r="C1931" s="256"/>
      <c r="D1931" s="256"/>
      <c r="E1931" s="256"/>
      <c r="F1931" s="256"/>
      <c r="G1931" s="256"/>
      <c r="H1931" s="256"/>
      <c r="I1931" s="256"/>
      <c r="J1931" s="256"/>
      <c r="K1931" s="256"/>
    </row>
    <row r="1932" spans="1:11" ht="12.75" x14ac:dyDescent="0.2">
      <c r="A1932" s="256"/>
      <c r="B1932" s="256"/>
      <c r="C1932" s="256"/>
      <c r="D1932" s="256"/>
      <c r="E1932" s="256"/>
      <c r="F1932" s="256"/>
      <c r="G1932" s="256"/>
      <c r="H1932" s="256"/>
      <c r="I1932" s="256"/>
      <c r="J1932" s="256"/>
      <c r="K1932" s="256"/>
    </row>
    <row r="1933" spans="1:11" ht="12.75" x14ac:dyDescent="0.2">
      <c r="A1933" s="256"/>
      <c r="B1933" s="256"/>
      <c r="C1933" s="256"/>
      <c r="D1933" s="256"/>
      <c r="E1933" s="256"/>
      <c r="F1933" s="256"/>
      <c r="G1933" s="256"/>
      <c r="H1933" s="256"/>
      <c r="I1933" s="256"/>
      <c r="J1933" s="256"/>
      <c r="K1933" s="256"/>
    </row>
    <row r="1934" spans="1:11" ht="12.75" x14ac:dyDescent="0.2">
      <c r="A1934" s="256"/>
      <c r="B1934" s="256"/>
      <c r="C1934" s="256"/>
      <c r="D1934" s="256"/>
      <c r="E1934" s="256"/>
      <c r="F1934" s="256"/>
      <c r="G1934" s="256"/>
      <c r="H1934" s="256"/>
      <c r="I1934" s="256"/>
      <c r="J1934" s="256"/>
      <c r="K1934" s="256"/>
    </row>
    <row r="1935" spans="1:11" ht="12.75" x14ac:dyDescent="0.2">
      <c r="A1935" s="256"/>
      <c r="B1935" s="256"/>
      <c r="C1935" s="256"/>
      <c r="D1935" s="256"/>
      <c r="E1935" s="256"/>
      <c r="F1935" s="256"/>
      <c r="G1935" s="256"/>
      <c r="H1935" s="256"/>
      <c r="I1935" s="256"/>
      <c r="J1935" s="256"/>
      <c r="K1935" s="256"/>
    </row>
    <row r="1936" spans="1:11" ht="12.75" x14ac:dyDescent="0.2">
      <c r="A1936" s="256"/>
      <c r="B1936" s="256"/>
      <c r="C1936" s="256"/>
      <c r="D1936" s="256"/>
      <c r="E1936" s="256"/>
      <c r="F1936" s="256"/>
      <c r="G1936" s="256"/>
      <c r="H1936" s="256"/>
      <c r="I1936" s="256"/>
      <c r="J1936" s="256"/>
      <c r="K1936" s="256"/>
    </row>
    <row r="1937" spans="1:11" ht="12.75" x14ac:dyDescent="0.2">
      <c r="A1937" s="256"/>
      <c r="B1937" s="256"/>
      <c r="C1937" s="256"/>
      <c r="D1937" s="256"/>
      <c r="E1937" s="256"/>
      <c r="F1937" s="256"/>
      <c r="G1937" s="256"/>
      <c r="H1937" s="256"/>
      <c r="I1937" s="256"/>
      <c r="J1937" s="256"/>
      <c r="K1937" s="256"/>
    </row>
    <row r="1938" spans="1:11" ht="12.75" x14ac:dyDescent="0.2">
      <c r="A1938" s="256"/>
      <c r="B1938" s="256"/>
      <c r="C1938" s="256"/>
      <c r="D1938" s="256"/>
      <c r="E1938" s="256"/>
      <c r="F1938" s="256"/>
      <c r="G1938" s="256"/>
      <c r="H1938" s="256"/>
      <c r="I1938" s="256"/>
      <c r="J1938" s="256"/>
      <c r="K1938" s="256"/>
    </row>
    <row r="1939" spans="1:11" ht="12.75" x14ac:dyDescent="0.2">
      <c r="A1939" s="256"/>
      <c r="B1939" s="256"/>
      <c r="C1939" s="256"/>
      <c r="D1939" s="256"/>
      <c r="E1939" s="256"/>
      <c r="F1939" s="256"/>
      <c r="G1939" s="256"/>
      <c r="H1939" s="256"/>
      <c r="I1939" s="256"/>
      <c r="J1939" s="256"/>
      <c r="K1939" s="256"/>
    </row>
    <row r="1940" spans="1:11" ht="12.75" x14ac:dyDescent="0.2">
      <c r="A1940" s="256"/>
      <c r="B1940" s="256"/>
      <c r="C1940" s="256"/>
      <c r="D1940" s="256"/>
      <c r="E1940" s="256"/>
      <c r="F1940" s="256"/>
      <c r="G1940" s="256"/>
      <c r="H1940" s="256"/>
      <c r="I1940" s="256"/>
      <c r="J1940" s="256"/>
      <c r="K1940" s="256"/>
    </row>
    <row r="1941" spans="1:11" ht="12.75" x14ac:dyDescent="0.2">
      <c r="A1941" s="256"/>
      <c r="B1941" s="256"/>
      <c r="C1941" s="256"/>
      <c r="D1941" s="256"/>
      <c r="E1941" s="256"/>
      <c r="F1941" s="256"/>
      <c r="G1941" s="256"/>
      <c r="H1941" s="256"/>
      <c r="I1941" s="256"/>
      <c r="J1941" s="256"/>
      <c r="K1941" s="256"/>
    </row>
    <row r="1942" spans="1:11" ht="12.75" x14ac:dyDescent="0.2">
      <c r="A1942" s="256"/>
      <c r="B1942" s="256"/>
      <c r="C1942" s="256"/>
      <c r="D1942" s="256"/>
      <c r="E1942" s="256"/>
      <c r="F1942" s="256"/>
      <c r="G1942" s="256"/>
      <c r="H1942" s="256"/>
      <c r="I1942" s="256"/>
      <c r="J1942" s="256"/>
      <c r="K1942" s="256"/>
    </row>
    <row r="1943" spans="1:11" ht="12.75" x14ac:dyDescent="0.2">
      <c r="A1943" s="256"/>
      <c r="B1943" s="256"/>
      <c r="C1943" s="256"/>
      <c r="D1943" s="256"/>
      <c r="E1943" s="256"/>
      <c r="F1943" s="256"/>
      <c r="G1943" s="256"/>
      <c r="H1943" s="256"/>
      <c r="I1943" s="256"/>
      <c r="J1943" s="256"/>
      <c r="K1943" s="256"/>
    </row>
    <row r="1944" spans="1:11" ht="12.75" x14ac:dyDescent="0.2">
      <c r="A1944" s="256"/>
      <c r="B1944" s="256"/>
      <c r="C1944" s="256"/>
      <c r="D1944" s="256"/>
      <c r="E1944" s="256"/>
      <c r="F1944" s="256"/>
      <c r="G1944" s="256"/>
      <c r="H1944" s="256"/>
      <c r="I1944" s="256"/>
      <c r="J1944" s="256"/>
      <c r="K1944" s="256"/>
    </row>
    <row r="1945" spans="1:11" ht="12.75" x14ac:dyDescent="0.2">
      <c r="A1945" s="256"/>
      <c r="B1945" s="256"/>
      <c r="C1945" s="256"/>
      <c r="D1945" s="256"/>
      <c r="E1945" s="256"/>
      <c r="F1945" s="256"/>
      <c r="G1945" s="256"/>
      <c r="H1945" s="256"/>
      <c r="I1945" s="256"/>
      <c r="J1945" s="256"/>
      <c r="K1945" s="256"/>
    </row>
    <row r="1946" spans="1:11" ht="12.75" x14ac:dyDescent="0.2">
      <c r="A1946" s="256"/>
      <c r="B1946" s="256"/>
      <c r="C1946" s="256"/>
      <c r="D1946" s="256"/>
      <c r="E1946" s="256"/>
      <c r="F1946" s="256"/>
      <c r="G1946" s="256"/>
      <c r="H1946" s="256"/>
      <c r="I1946" s="256"/>
      <c r="J1946" s="256"/>
      <c r="K1946" s="256"/>
    </row>
    <row r="1947" spans="1:11" ht="12.75" x14ac:dyDescent="0.2">
      <c r="A1947" s="256"/>
      <c r="B1947" s="256"/>
      <c r="C1947" s="256"/>
      <c r="D1947" s="256"/>
      <c r="E1947" s="256"/>
      <c r="F1947" s="256"/>
      <c r="G1947" s="256"/>
      <c r="H1947" s="256"/>
      <c r="I1947" s="256"/>
      <c r="J1947" s="256"/>
      <c r="K1947" s="256"/>
    </row>
    <row r="1948" spans="1:11" ht="12.75" x14ac:dyDescent="0.2">
      <c r="A1948" s="256"/>
      <c r="B1948" s="256"/>
      <c r="C1948" s="256"/>
      <c r="D1948" s="256"/>
      <c r="E1948" s="256"/>
      <c r="F1948" s="256"/>
      <c r="G1948" s="256"/>
      <c r="H1948" s="256"/>
      <c r="I1948" s="256"/>
      <c r="J1948" s="256"/>
      <c r="K1948" s="256"/>
    </row>
    <row r="1949" spans="1:11" ht="12.75" x14ac:dyDescent="0.2">
      <c r="A1949" s="256"/>
      <c r="B1949" s="256"/>
      <c r="C1949" s="256"/>
      <c r="D1949" s="256"/>
      <c r="E1949" s="256"/>
      <c r="F1949" s="256"/>
      <c r="G1949" s="256"/>
      <c r="H1949" s="256"/>
      <c r="I1949" s="256"/>
      <c r="J1949" s="256"/>
      <c r="K1949" s="256"/>
    </row>
    <row r="1950" spans="1:11" ht="12.75" x14ac:dyDescent="0.2">
      <c r="A1950" s="256"/>
      <c r="B1950" s="256"/>
      <c r="C1950" s="256"/>
      <c r="D1950" s="256"/>
      <c r="E1950" s="256"/>
      <c r="F1950" s="256"/>
      <c r="G1950" s="256"/>
      <c r="H1950" s="256"/>
      <c r="I1950" s="256"/>
      <c r="J1950" s="256"/>
      <c r="K1950" s="256"/>
    </row>
    <row r="1951" spans="1:11" ht="12.75" x14ac:dyDescent="0.2">
      <c r="A1951" s="256"/>
      <c r="B1951" s="256"/>
      <c r="C1951" s="256"/>
      <c r="D1951" s="256"/>
      <c r="E1951" s="256"/>
      <c r="F1951" s="256"/>
      <c r="G1951" s="256"/>
      <c r="H1951" s="256"/>
      <c r="I1951" s="256"/>
      <c r="J1951" s="256"/>
      <c r="K1951" s="256"/>
    </row>
    <row r="1952" spans="1:11" ht="12.75" x14ac:dyDescent="0.2">
      <c r="A1952" s="256"/>
      <c r="B1952" s="256"/>
      <c r="C1952" s="256"/>
      <c r="D1952" s="256"/>
      <c r="E1952" s="256"/>
      <c r="F1952" s="256"/>
      <c r="G1952" s="256"/>
      <c r="H1952" s="256"/>
      <c r="I1952" s="256"/>
      <c r="J1952" s="256"/>
      <c r="K1952" s="256"/>
    </row>
    <row r="1953" spans="1:11" ht="12.75" x14ac:dyDescent="0.2">
      <c r="A1953" s="256"/>
      <c r="B1953" s="256"/>
      <c r="C1953" s="256"/>
      <c r="D1953" s="256"/>
      <c r="E1953" s="256"/>
      <c r="F1953" s="256"/>
      <c r="G1953" s="256"/>
      <c r="H1953" s="256"/>
      <c r="I1953" s="256"/>
      <c r="J1953" s="256"/>
      <c r="K1953" s="256"/>
    </row>
    <row r="1954" spans="1:11" ht="12.75" x14ac:dyDescent="0.2">
      <c r="A1954" s="256"/>
      <c r="B1954" s="256"/>
      <c r="C1954" s="256"/>
      <c r="D1954" s="256"/>
      <c r="E1954" s="256"/>
      <c r="F1954" s="256"/>
      <c r="G1954" s="256"/>
      <c r="H1954" s="256"/>
      <c r="I1954" s="256"/>
      <c r="J1954" s="256"/>
      <c r="K1954" s="256"/>
    </row>
    <row r="1955" spans="1:11" ht="12.75" x14ac:dyDescent="0.2">
      <c r="A1955" s="256"/>
      <c r="B1955" s="256"/>
      <c r="C1955" s="256"/>
      <c r="D1955" s="256"/>
      <c r="E1955" s="256"/>
      <c r="F1955" s="256"/>
      <c r="G1955" s="256"/>
      <c r="H1955" s="256"/>
      <c r="I1955" s="256"/>
      <c r="J1955" s="256"/>
      <c r="K1955" s="256"/>
    </row>
    <row r="1956" spans="1:11" ht="12.75" x14ac:dyDescent="0.2">
      <c r="A1956" s="256"/>
      <c r="B1956" s="256"/>
      <c r="C1956" s="256"/>
      <c r="D1956" s="256"/>
      <c r="E1956" s="256"/>
      <c r="F1956" s="256"/>
      <c r="G1956" s="256"/>
      <c r="H1956" s="256"/>
      <c r="I1956" s="256"/>
      <c r="J1956" s="256"/>
      <c r="K1956" s="256"/>
    </row>
    <row r="1957" spans="1:11" ht="12.75" x14ac:dyDescent="0.2">
      <c r="A1957" s="256"/>
      <c r="B1957" s="256"/>
      <c r="C1957" s="256"/>
      <c r="D1957" s="256"/>
      <c r="E1957" s="256"/>
      <c r="F1957" s="256"/>
      <c r="G1957" s="256"/>
      <c r="H1957" s="256"/>
      <c r="I1957" s="256"/>
      <c r="J1957" s="256"/>
      <c r="K1957" s="256"/>
    </row>
    <row r="1958" spans="1:11" ht="12.75" x14ac:dyDescent="0.2">
      <c r="A1958" s="256"/>
      <c r="B1958" s="256"/>
      <c r="C1958" s="256"/>
      <c r="D1958" s="256"/>
      <c r="E1958" s="256"/>
      <c r="F1958" s="256"/>
      <c r="G1958" s="256"/>
      <c r="H1958" s="256"/>
      <c r="I1958" s="256"/>
      <c r="J1958" s="256"/>
      <c r="K1958" s="256"/>
    </row>
    <row r="1959" spans="1:11" ht="12.75" x14ac:dyDescent="0.2">
      <c r="A1959" s="256"/>
      <c r="B1959" s="256"/>
      <c r="C1959" s="256"/>
      <c r="D1959" s="256"/>
      <c r="E1959" s="256"/>
      <c r="F1959" s="256"/>
      <c r="G1959" s="256"/>
      <c r="H1959" s="256"/>
      <c r="I1959" s="256"/>
      <c r="J1959" s="256"/>
      <c r="K1959" s="256"/>
    </row>
    <row r="1960" spans="1:11" ht="12.75" x14ac:dyDescent="0.2">
      <c r="A1960" s="256"/>
      <c r="B1960" s="256"/>
      <c r="C1960" s="256"/>
      <c r="D1960" s="256"/>
      <c r="E1960" s="256"/>
      <c r="F1960" s="256"/>
      <c r="G1960" s="256"/>
      <c r="H1960" s="256"/>
      <c r="I1960" s="256"/>
      <c r="J1960" s="256"/>
      <c r="K1960" s="256"/>
    </row>
    <row r="1961" spans="1:11" ht="12.75" x14ac:dyDescent="0.2">
      <c r="A1961" s="256"/>
      <c r="B1961" s="256"/>
      <c r="C1961" s="256"/>
      <c r="D1961" s="256"/>
      <c r="E1961" s="256"/>
      <c r="F1961" s="256"/>
      <c r="G1961" s="256"/>
      <c r="H1961" s="256"/>
      <c r="I1961" s="256"/>
      <c r="J1961" s="256"/>
      <c r="K1961" s="256"/>
    </row>
    <row r="1962" spans="1:11" ht="12.75" x14ac:dyDescent="0.2">
      <c r="A1962" s="256"/>
      <c r="B1962" s="256"/>
      <c r="C1962" s="256"/>
      <c r="D1962" s="256"/>
      <c r="E1962" s="256"/>
      <c r="F1962" s="256"/>
      <c r="G1962" s="256"/>
      <c r="H1962" s="256"/>
      <c r="I1962" s="256"/>
      <c r="J1962" s="256"/>
      <c r="K1962" s="256"/>
    </row>
    <row r="1963" spans="1:11" ht="12.75" x14ac:dyDescent="0.2">
      <c r="A1963" s="256"/>
      <c r="B1963" s="256"/>
      <c r="C1963" s="256"/>
      <c r="D1963" s="256"/>
      <c r="E1963" s="256"/>
      <c r="F1963" s="256"/>
      <c r="G1963" s="256"/>
      <c r="H1963" s="256"/>
      <c r="I1963" s="256"/>
      <c r="J1963" s="256"/>
      <c r="K1963" s="256"/>
    </row>
    <row r="1964" spans="1:11" ht="12.75" x14ac:dyDescent="0.2">
      <c r="A1964" s="256"/>
      <c r="B1964" s="256"/>
      <c r="C1964" s="256"/>
      <c r="D1964" s="256"/>
      <c r="E1964" s="256"/>
      <c r="F1964" s="256"/>
      <c r="G1964" s="256"/>
      <c r="H1964" s="256"/>
      <c r="I1964" s="256"/>
      <c r="J1964" s="256"/>
      <c r="K1964" s="256"/>
    </row>
    <row r="1965" spans="1:11" ht="12.75" x14ac:dyDescent="0.2">
      <c r="A1965" s="256"/>
      <c r="B1965" s="256"/>
      <c r="C1965" s="256"/>
      <c r="D1965" s="256"/>
      <c r="E1965" s="256"/>
      <c r="F1965" s="256"/>
      <c r="G1965" s="256"/>
      <c r="H1965" s="256"/>
      <c r="I1965" s="256"/>
      <c r="J1965" s="256"/>
      <c r="K1965" s="256"/>
    </row>
    <row r="1966" spans="1:11" ht="12.75" x14ac:dyDescent="0.2">
      <c r="A1966" s="256"/>
      <c r="B1966" s="256"/>
      <c r="C1966" s="256"/>
      <c r="D1966" s="256"/>
      <c r="E1966" s="256"/>
      <c r="F1966" s="256"/>
      <c r="G1966" s="256"/>
      <c r="H1966" s="256"/>
      <c r="I1966" s="256"/>
      <c r="J1966" s="256"/>
      <c r="K1966" s="256"/>
    </row>
    <row r="1967" spans="1:11" ht="12.75" x14ac:dyDescent="0.2">
      <c r="A1967" s="256"/>
      <c r="B1967" s="256"/>
      <c r="C1967" s="256"/>
      <c r="D1967" s="256"/>
      <c r="E1967" s="256"/>
      <c r="F1967" s="256"/>
      <c r="G1967" s="256"/>
      <c r="H1967" s="256"/>
      <c r="I1967" s="256"/>
      <c r="J1967" s="256"/>
      <c r="K1967" s="256"/>
    </row>
    <row r="1968" spans="1:11" ht="12.75" x14ac:dyDescent="0.2">
      <c r="A1968" s="256"/>
      <c r="B1968" s="256"/>
      <c r="C1968" s="256"/>
      <c r="D1968" s="256"/>
      <c r="E1968" s="256"/>
      <c r="F1968" s="256"/>
      <c r="G1968" s="256"/>
      <c r="H1968" s="256"/>
      <c r="I1968" s="256"/>
      <c r="J1968" s="256"/>
      <c r="K1968" s="256"/>
    </row>
    <row r="1969" spans="1:11" ht="12.75" x14ac:dyDescent="0.2">
      <c r="A1969" s="256"/>
      <c r="B1969" s="256"/>
      <c r="C1969" s="256"/>
      <c r="D1969" s="256"/>
      <c r="E1969" s="256"/>
      <c r="F1969" s="256"/>
      <c r="G1969" s="256"/>
      <c r="H1969" s="256"/>
      <c r="I1969" s="256"/>
      <c r="J1969" s="256"/>
      <c r="K1969" s="256"/>
    </row>
    <row r="1970" spans="1:11" ht="12.75" x14ac:dyDescent="0.2">
      <c r="A1970" s="256"/>
      <c r="B1970" s="256"/>
      <c r="C1970" s="256"/>
      <c r="D1970" s="256"/>
      <c r="E1970" s="256"/>
      <c r="F1970" s="256"/>
      <c r="G1970" s="256"/>
      <c r="H1970" s="256"/>
      <c r="I1970" s="256"/>
      <c r="J1970" s="256"/>
      <c r="K1970" s="256"/>
    </row>
    <row r="1971" spans="1:11" ht="12.75" x14ac:dyDescent="0.2">
      <c r="A1971" s="256"/>
      <c r="B1971" s="256"/>
      <c r="C1971" s="256"/>
      <c r="D1971" s="256"/>
      <c r="E1971" s="256"/>
      <c r="F1971" s="256"/>
      <c r="G1971" s="256"/>
      <c r="H1971" s="256"/>
      <c r="I1971" s="256"/>
      <c r="J1971" s="256"/>
      <c r="K1971" s="256"/>
    </row>
    <row r="1972" spans="1:11" ht="12.75" x14ac:dyDescent="0.2">
      <c r="A1972" s="256"/>
      <c r="B1972" s="256"/>
      <c r="C1972" s="256"/>
      <c r="D1972" s="256"/>
      <c r="E1972" s="256"/>
      <c r="F1972" s="256"/>
      <c r="G1972" s="256"/>
      <c r="H1972" s="256"/>
      <c r="I1972" s="256"/>
      <c r="J1972" s="256"/>
      <c r="K1972" s="256"/>
    </row>
    <row r="1973" spans="1:11" ht="12.75" x14ac:dyDescent="0.2">
      <c r="A1973" s="256"/>
      <c r="B1973" s="256"/>
      <c r="C1973" s="256"/>
      <c r="D1973" s="256"/>
      <c r="E1973" s="256"/>
      <c r="F1973" s="256"/>
      <c r="G1973" s="256"/>
      <c r="H1973" s="256"/>
      <c r="I1973" s="256"/>
      <c r="J1973" s="256"/>
      <c r="K1973" s="256"/>
    </row>
    <row r="1974" spans="1:11" ht="12.75" x14ac:dyDescent="0.2">
      <c r="A1974" s="256"/>
      <c r="B1974" s="256"/>
      <c r="C1974" s="256"/>
      <c r="D1974" s="256"/>
      <c r="E1974" s="256"/>
      <c r="F1974" s="256"/>
      <c r="G1974" s="256"/>
      <c r="H1974" s="256"/>
      <c r="I1974" s="256"/>
      <c r="J1974" s="256"/>
      <c r="K1974" s="256"/>
    </row>
    <row r="1975" spans="1:11" ht="12.75" x14ac:dyDescent="0.2">
      <c r="A1975" s="256"/>
      <c r="B1975" s="256"/>
      <c r="C1975" s="256"/>
      <c r="D1975" s="256"/>
      <c r="E1975" s="256"/>
      <c r="F1975" s="256"/>
      <c r="G1975" s="256"/>
      <c r="H1975" s="256"/>
      <c r="I1975" s="256"/>
      <c r="J1975" s="256"/>
      <c r="K1975" s="256"/>
    </row>
    <row r="1976" spans="1:11" ht="12.75" x14ac:dyDescent="0.2">
      <c r="A1976" s="256"/>
      <c r="B1976" s="256"/>
      <c r="C1976" s="256"/>
      <c r="D1976" s="256"/>
      <c r="E1976" s="256"/>
      <c r="F1976" s="256"/>
      <c r="G1976" s="256"/>
      <c r="H1976" s="256"/>
      <c r="I1976" s="256"/>
      <c r="J1976" s="256"/>
      <c r="K1976" s="256"/>
    </row>
    <row r="1977" spans="1:11" ht="12.75" x14ac:dyDescent="0.2">
      <c r="A1977" s="256"/>
      <c r="B1977" s="256"/>
      <c r="C1977" s="256"/>
      <c r="D1977" s="256"/>
      <c r="E1977" s="256"/>
      <c r="F1977" s="256"/>
      <c r="G1977" s="256"/>
      <c r="H1977" s="256"/>
      <c r="I1977" s="256"/>
      <c r="J1977" s="256"/>
      <c r="K1977" s="256"/>
    </row>
    <row r="1978" spans="1:11" ht="12.75" x14ac:dyDescent="0.2">
      <c r="A1978" s="256"/>
      <c r="B1978" s="256"/>
      <c r="C1978" s="256"/>
      <c r="D1978" s="256"/>
      <c r="E1978" s="256"/>
      <c r="F1978" s="256"/>
      <c r="G1978" s="256"/>
      <c r="H1978" s="256"/>
      <c r="I1978" s="256"/>
      <c r="J1978" s="256"/>
      <c r="K1978" s="256"/>
    </row>
    <row r="1979" spans="1:11" ht="12.75" x14ac:dyDescent="0.2">
      <c r="A1979" s="256"/>
      <c r="B1979" s="256"/>
      <c r="C1979" s="256"/>
      <c r="D1979" s="256"/>
      <c r="E1979" s="256"/>
      <c r="F1979" s="256"/>
      <c r="G1979" s="256"/>
      <c r="H1979" s="256"/>
      <c r="I1979" s="256"/>
      <c r="J1979" s="256"/>
      <c r="K1979" s="256"/>
    </row>
    <row r="1980" spans="1:11" ht="12.75" x14ac:dyDescent="0.2">
      <c r="A1980" s="256"/>
      <c r="B1980" s="256"/>
      <c r="C1980" s="256"/>
      <c r="D1980" s="256"/>
      <c r="E1980" s="256"/>
      <c r="F1980" s="256"/>
      <c r="G1980" s="256"/>
      <c r="H1980" s="256"/>
      <c r="I1980" s="256"/>
      <c r="J1980" s="256"/>
      <c r="K1980" s="256"/>
    </row>
    <row r="1981" spans="1:11" ht="12.75" x14ac:dyDescent="0.2">
      <c r="A1981" s="256"/>
      <c r="B1981" s="256"/>
      <c r="C1981" s="256"/>
      <c r="D1981" s="256"/>
      <c r="E1981" s="256"/>
      <c r="F1981" s="256"/>
      <c r="G1981" s="256"/>
      <c r="H1981" s="256"/>
      <c r="I1981" s="256"/>
      <c r="J1981" s="256"/>
      <c r="K1981" s="256"/>
    </row>
    <row r="1982" spans="1:11" ht="12.75" x14ac:dyDescent="0.2">
      <c r="A1982" s="256"/>
      <c r="B1982" s="256"/>
      <c r="C1982" s="256"/>
      <c r="D1982" s="256"/>
      <c r="E1982" s="256"/>
      <c r="F1982" s="256"/>
      <c r="G1982" s="256"/>
      <c r="H1982" s="256"/>
      <c r="I1982" s="256"/>
      <c r="J1982" s="256"/>
      <c r="K1982" s="256"/>
    </row>
    <row r="1983" spans="1:11" ht="12.75" x14ac:dyDescent="0.2">
      <c r="A1983" s="256"/>
      <c r="B1983" s="256"/>
      <c r="C1983" s="256"/>
      <c r="D1983" s="256"/>
      <c r="E1983" s="256"/>
      <c r="F1983" s="256"/>
      <c r="G1983" s="256"/>
      <c r="H1983" s="256"/>
      <c r="I1983" s="256"/>
      <c r="J1983" s="256"/>
      <c r="K1983" s="256"/>
    </row>
    <row r="1984" spans="1:11" ht="12.75" x14ac:dyDescent="0.2">
      <c r="A1984" s="256"/>
      <c r="B1984" s="256"/>
      <c r="C1984" s="256"/>
      <c r="D1984" s="256"/>
      <c r="E1984" s="256"/>
      <c r="F1984" s="256"/>
      <c r="G1984" s="256"/>
      <c r="H1984" s="256"/>
      <c r="I1984" s="256"/>
      <c r="J1984" s="256"/>
      <c r="K1984" s="256"/>
    </row>
    <row r="1985" spans="1:11" ht="12.75" x14ac:dyDescent="0.2">
      <c r="A1985" s="256"/>
      <c r="B1985" s="256"/>
      <c r="C1985" s="256"/>
      <c r="D1985" s="256"/>
      <c r="E1985" s="256"/>
      <c r="F1985" s="256"/>
      <c r="G1985" s="256"/>
      <c r="H1985" s="256"/>
      <c r="I1985" s="256"/>
      <c r="J1985" s="256"/>
      <c r="K1985" s="256"/>
    </row>
    <row r="1986" spans="1:11" ht="12.75" x14ac:dyDescent="0.2">
      <c r="A1986" s="256"/>
      <c r="B1986" s="256"/>
      <c r="C1986" s="256"/>
      <c r="D1986" s="256"/>
      <c r="E1986" s="256"/>
      <c r="F1986" s="256"/>
      <c r="G1986" s="256"/>
      <c r="H1986" s="256"/>
      <c r="I1986" s="256"/>
      <c r="J1986" s="256"/>
      <c r="K1986" s="256"/>
    </row>
    <row r="1987" spans="1:11" ht="12.75" x14ac:dyDescent="0.2">
      <c r="A1987" s="256"/>
      <c r="B1987" s="256"/>
      <c r="C1987" s="256"/>
      <c r="D1987" s="256"/>
      <c r="E1987" s="256"/>
      <c r="F1987" s="256"/>
      <c r="G1987" s="256"/>
      <c r="H1987" s="256"/>
      <c r="I1987" s="256"/>
      <c r="J1987" s="256"/>
      <c r="K1987" s="256"/>
    </row>
    <row r="1988" spans="1:11" ht="12.75" x14ac:dyDescent="0.2">
      <c r="A1988" s="256"/>
      <c r="B1988" s="256"/>
      <c r="C1988" s="256"/>
      <c r="D1988" s="256"/>
      <c r="E1988" s="256"/>
      <c r="F1988" s="256"/>
      <c r="G1988" s="256"/>
      <c r="H1988" s="256"/>
      <c r="I1988" s="256"/>
      <c r="J1988" s="256"/>
      <c r="K1988" s="256"/>
    </row>
    <row r="1989" spans="1:11" ht="12.75" x14ac:dyDescent="0.2">
      <c r="A1989" s="256"/>
      <c r="B1989" s="256"/>
      <c r="C1989" s="256"/>
      <c r="D1989" s="256"/>
      <c r="E1989" s="256"/>
      <c r="F1989" s="256"/>
      <c r="G1989" s="256"/>
      <c r="H1989" s="256"/>
      <c r="I1989" s="256"/>
      <c r="J1989" s="256"/>
      <c r="K1989" s="256"/>
    </row>
    <row r="1990" spans="1:11" ht="12.75" x14ac:dyDescent="0.2">
      <c r="A1990" s="256"/>
      <c r="B1990" s="256"/>
      <c r="C1990" s="256"/>
      <c r="D1990" s="256"/>
      <c r="E1990" s="256"/>
      <c r="F1990" s="256"/>
      <c r="G1990" s="256"/>
      <c r="H1990" s="256"/>
      <c r="I1990" s="256"/>
      <c r="J1990" s="256"/>
      <c r="K1990" s="256"/>
    </row>
    <row r="1991" spans="1:11" ht="12.75" x14ac:dyDescent="0.2">
      <c r="A1991" s="256"/>
      <c r="B1991" s="256"/>
      <c r="C1991" s="256"/>
      <c r="D1991" s="256"/>
      <c r="E1991" s="256"/>
      <c r="F1991" s="256"/>
      <c r="G1991" s="256"/>
      <c r="H1991" s="256"/>
      <c r="I1991" s="256"/>
      <c r="J1991" s="256"/>
      <c r="K1991" s="256"/>
    </row>
    <row r="1992" spans="1:11" ht="12.75" x14ac:dyDescent="0.2">
      <c r="A1992" s="256"/>
      <c r="B1992" s="256"/>
      <c r="C1992" s="256"/>
      <c r="D1992" s="256"/>
      <c r="E1992" s="256"/>
      <c r="F1992" s="256"/>
      <c r="G1992" s="256"/>
      <c r="H1992" s="256"/>
      <c r="I1992" s="256"/>
      <c r="J1992" s="256"/>
      <c r="K1992" s="256"/>
    </row>
    <row r="1993" spans="1:11" ht="12.75" x14ac:dyDescent="0.2">
      <c r="A1993" s="256"/>
      <c r="B1993" s="256"/>
      <c r="C1993" s="256"/>
      <c r="D1993" s="256"/>
      <c r="E1993" s="256"/>
      <c r="F1993" s="256"/>
      <c r="G1993" s="256"/>
      <c r="H1993" s="256"/>
      <c r="I1993" s="256"/>
      <c r="J1993" s="256"/>
      <c r="K1993" s="256"/>
    </row>
    <row r="1994" spans="1:11" ht="12.75" x14ac:dyDescent="0.2">
      <c r="A1994" s="256"/>
      <c r="B1994" s="256"/>
      <c r="C1994" s="256"/>
      <c r="D1994" s="256"/>
      <c r="E1994" s="256"/>
      <c r="F1994" s="256"/>
      <c r="G1994" s="256"/>
      <c r="H1994" s="256"/>
      <c r="I1994" s="256"/>
      <c r="J1994" s="256"/>
      <c r="K1994" s="256"/>
    </row>
    <row r="1995" spans="1:11" ht="12.75" x14ac:dyDescent="0.2">
      <c r="A1995" s="256"/>
      <c r="B1995" s="256"/>
      <c r="C1995" s="256"/>
      <c r="D1995" s="256"/>
      <c r="E1995" s="256"/>
      <c r="F1995" s="256"/>
      <c r="G1995" s="256"/>
      <c r="H1995" s="256"/>
      <c r="I1995" s="256"/>
      <c r="J1995" s="256"/>
      <c r="K1995" s="256"/>
    </row>
    <row r="1996" spans="1:11" ht="12.75" x14ac:dyDescent="0.2">
      <c r="A1996" s="256"/>
      <c r="B1996" s="256"/>
      <c r="C1996" s="256"/>
      <c r="D1996" s="256"/>
      <c r="E1996" s="256"/>
      <c r="F1996" s="256"/>
      <c r="G1996" s="256"/>
      <c r="H1996" s="256"/>
      <c r="I1996" s="256"/>
      <c r="J1996" s="256"/>
      <c r="K1996" s="256"/>
    </row>
    <row r="1997" spans="1:11" ht="12.75" x14ac:dyDescent="0.2">
      <c r="A1997" s="256"/>
      <c r="B1997" s="256"/>
      <c r="C1997" s="256"/>
      <c r="D1997" s="256"/>
      <c r="E1997" s="256"/>
      <c r="F1997" s="256"/>
      <c r="G1997" s="256"/>
      <c r="H1997" s="256"/>
      <c r="I1997" s="256"/>
      <c r="J1997" s="256"/>
      <c r="K1997" s="256"/>
    </row>
    <row r="1998" spans="1:11" ht="12.75" x14ac:dyDescent="0.2">
      <c r="A1998" s="256"/>
      <c r="B1998" s="256"/>
      <c r="C1998" s="256"/>
      <c r="D1998" s="256"/>
      <c r="E1998" s="256"/>
      <c r="F1998" s="256"/>
      <c r="G1998" s="256"/>
      <c r="H1998" s="256"/>
      <c r="I1998" s="256"/>
      <c r="J1998" s="256"/>
      <c r="K1998" s="256"/>
    </row>
    <row r="1999" spans="1:11" ht="12.75" x14ac:dyDescent="0.2">
      <c r="A1999" s="256"/>
      <c r="B1999" s="256"/>
      <c r="C1999" s="256"/>
      <c r="D1999" s="256"/>
      <c r="E1999" s="256"/>
      <c r="F1999" s="256"/>
      <c r="G1999" s="256"/>
      <c r="H1999" s="256"/>
      <c r="I1999" s="256"/>
      <c r="J1999" s="256"/>
      <c r="K1999" s="256"/>
    </row>
    <row r="2000" spans="1:11" ht="12.75" x14ac:dyDescent="0.2">
      <c r="A2000" s="256"/>
      <c r="B2000" s="256"/>
      <c r="C2000" s="256"/>
      <c r="D2000" s="256"/>
      <c r="E2000" s="256"/>
      <c r="F2000" s="256"/>
      <c r="G2000" s="256"/>
      <c r="H2000" s="256"/>
      <c r="I2000" s="256"/>
      <c r="J2000" s="256"/>
      <c r="K2000" s="256"/>
    </row>
    <row r="2001" spans="1:11" ht="12.75" x14ac:dyDescent="0.2">
      <c r="A2001" s="256"/>
      <c r="B2001" s="256"/>
      <c r="C2001" s="256"/>
      <c r="D2001" s="256"/>
      <c r="E2001" s="256"/>
      <c r="F2001" s="256"/>
      <c r="G2001" s="256"/>
      <c r="H2001" s="256"/>
      <c r="I2001" s="256"/>
      <c r="J2001" s="256"/>
      <c r="K2001" s="256"/>
    </row>
    <row r="2002" spans="1:11" ht="12.75" x14ac:dyDescent="0.2">
      <c r="A2002" s="256"/>
      <c r="B2002" s="256"/>
      <c r="C2002" s="256"/>
      <c r="D2002" s="256"/>
      <c r="E2002" s="256"/>
      <c r="F2002" s="256"/>
      <c r="G2002" s="256"/>
      <c r="H2002" s="256"/>
      <c r="I2002" s="256"/>
      <c r="J2002" s="256"/>
      <c r="K2002" s="256"/>
    </row>
    <row r="2003" spans="1:11" ht="12.75" x14ac:dyDescent="0.2">
      <c r="A2003" s="256"/>
      <c r="B2003" s="256"/>
      <c r="C2003" s="256"/>
      <c r="D2003" s="256"/>
      <c r="E2003" s="256"/>
      <c r="F2003" s="256"/>
      <c r="G2003" s="256"/>
      <c r="H2003" s="256"/>
      <c r="I2003" s="256"/>
      <c r="J2003" s="256"/>
      <c r="K2003" s="256"/>
    </row>
    <row r="2004" spans="1:11" ht="12.75" x14ac:dyDescent="0.2">
      <c r="A2004" s="256"/>
      <c r="B2004" s="256"/>
      <c r="C2004" s="256"/>
      <c r="D2004" s="256"/>
      <c r="E2004" s="256"/>
      <c r="F2004" s="256"/>
      <c r="G2004" s="256"/>
      <c r="H2004" s="256"/>
      <c r="I2004" s="256"/>
      <c r="J2004" s="256"/>
      <c r="K2004" s="256"/>
    </row>
    <row r="2005" spans="1:11" ht="12.75" x14ac:dyDescent="0.2">
      <c r="A2005" s="256"/>
      <c r="B2005" s="256"/>
      <c r="C2005" s="256"/>
      <c r="D2005" s="256"/>
      <c r="E2005" s="256"/>
      <c r="F2005" s="256"/>
      <c r="G2005" s="256"/>
      <c r="H2005" s="256"/>
      <c r="I2005" s="256"/>
      <c r="J2005" s="256"/>
      <c r="K2005" s="256"/>
    </row>
    <row r="2006" spans="1:11" ht="12.75" x14ac:dyDescent="0.2">
      <c r="A2006" s="256"/>
      <c r="B2006" s="256"/>
      <c r="C2006" s="256"/>
      <c r="D2006" s="256"/>
      <c r="E2006" s="256"/>
      <c r="F2006" s="256"/>
      <c r="G2006" s="256"/>
      <c r="H2006" s="256"/>
      <c r="I2006" s="256"/>
      <c r="J2006" s="256"/>
      <c r="K2006" s="256"/>
    </row>
    <row r="2007" spans="1:11" ht="12.75" x14ac:dyDescent="0.2">
      <c r="A2007" s="256"/>
      <c r="B2007" s="256"/>
      <c r="C2007" s="256"/>
      <c r="D2007" s="256"/>
      <c r="E2007" s="256"/>
      <c r="F2007" s="256"/>
      <c r="G2007" s="256"/>
      <c r="H2007" s="256"/>
      <c r="I2007" s="256"/>
      <c r="J2007" s="256"/>
      <c r="K2007" s="256"/>
    </row>
    <row r="2008" spans="1:11" ht="12.75" x14ac:dyDescent="0.2">
      <c r="A2008" s="256"/>
      <c r="B2008" s="256"/>
      <c r="C2008" s="256"/>
      <c r="D2008" s="256"/>
      <c r="E2008" s="256"/>
      <c r="F2008" s="256"/>
      <c r="G2008" s="256"/>
      <c r="H2008" s="256"/>
      <c r="I2008" s="256"/>
      <c r="J2008" s="256"/>
      <c r="K2008" s="256"/>
    </row>
    <row r="2009" spans="1:11" ht="12.75" x14ac:dyDescent="0.2">
      <c r="A2009" s="256"/>
      <c r="B2009" s="256"/>
      <c r="C2009" s="256"/>
      <c r="D2009" s="256"/>
      <c r="E2009" s="256"/>
      <c r="F2009" s="256"/>
      <c r="G2009" s="256"/>
      <c r="H2009" s="256"/>
      <c r="I2009" s="256"/>
      <c r="J2009" s="256"/>
      <c r="K2009" s="256"/>
    </row>
    <row r="2010" spans="1:11" ht="12.75" x14ac:dyDescent="0.2">
      <c r="A2010" s="256"/>
      <c r="B2010" s="256"/>
      <c r="C2010" s="256"/>
      <c r="D2010" s="256"/>
      <c r="E2010" s="256"/>
      <c r="F2010" s="256"/>
      <c r="G2010" s="256"/>
      <c r="H2010" s="256"/>
      <c r="I2010" s="256"/>
      <c r="J2010" s="256"/>
      <c r="K2010" s="256"/>
    </row>
    <row r="2011" spans="1:11" ht="12.75" x14ac:dyDescent="0.2">
      <c r="A2011" s="256"/>
      <c r="B2011" s="256"/>
      <c r="C2011" s="256"/>
      <c r="D2011" s="256"/>
      <c r="E2011" s="256"/>
      <c r="F2011" s="256"/>
      <c r="G2011" s="256"/>
      <c r="H2011" s="256"/>
      <c r="I2011" s="256"/>
      <c r="J2011" s="256"/>
      <c r="K2011" s="256"/>
    </row>
    <row r="2012" spans="1:11" ht="12.75" x14ac:dyDescent="0.2">
      <c r="A2012" s="256"/>
      <c r="B2012" s="256"/>
      <c r="C2012" s="256"/>
      <c r="D2012" s="256"/>
      <c r="E2012" s="256"/>
      <c r="F2012" s="256"/>
      <c r="G2012" s="256"/>
      <c r="H2012" s="256"/>
      <c r="I2012" s="256"/>
      <c r="J2012" s="256"/>
      <c r="K2012" s="256"/>
    </row>
    <row r="2013" spans="1:11" ht="12.75" x14ac:dyDescent="0.2">
      <c r="A2013" s="256"/>
      <c r="B2013" s="256"/>
      <c r="C2013" s="256"/>
      <c r="D2013" s="256"/>
      <c r="E2013" s="256"/>
      <c r="F2013" s="256"/>
      <c r="G2013" s="256"/>
      <c r="H2013" s="256"/>
      <c r="I2013" s="256"/>
      <c r="J2013" s="256"/>
      <c r="K2013" s="256"/>
    </row>
    <row r="2014" spans="1:11" ht="12.75" x14ac:dyDescent="0.2">
      <c r="A2014" s="256"/>
      <c r="B2014" s="256"/>
      <c r="C2014" s="256"/>
      <c r="D2014" s="256"/>
      <c r="E2014" s="256"/>
      <c r="F2014" s="256"/>
      <c r="G2014" s="256"/>
      <c r="H2014" s="256"/>
      <c r="I2014" s="256"/>
      <c r="J2014" s="256"/>
      <c r="K2014" s="256"/>
    </row>
    <row r="2015" spans="1:11" ht="12.75" x14ac:dyDescent="0.2">
      <c r="A2015" s="256"/>
      <c r="B2015" s="256"/>
      <c r="C2015" s="256"/>
      <c r="D2015" s="256"/>
      <c r="E2015" s="256"/>
      <c r="F2015" s="256"/>
      <c r="G2015" s="256"/>
      <c r="H2015" s="256"/>
      <c r="I2015" s="256"/>
      <c r="J2015" s="256"/>
      <c r="K2015" s="256"/>
    </row>
    <row r="2016" spans="1:11" ht="12.75" x14ac:dyDescent="0.2">
      <c r="A2016" s="256"/>
      <c r="B2016" s="256"/>
      <c r="C2016" s="256"/>
      <c r="D2016" s="256"/>
      <c r="E2016" s="256"/>
      <c r="F2016" s="256"/>
      <c r="G2016" s="256"/>
      <c r="H2016" s="256"/>
      <c r="I2016" s="256"/>
      <c r="J2016" s="256"/>
      <c r="K2016" s="256"/>
    </row>
    <row r="2017" spans="1:11" ht="12.75" x14ac:dyDescent="0.2">
      <c r="A2017" s="256"/>
      <c r="B2017" s="256"/>
      <c r="C2017" s="256"/>
      <c r="D2017" s="256"/>
      <c r="E2017" s="256"/>
      <c r="F2017" s="256"/>
      <c r="G2017" s="256"/>
      <c r="H2017" s="256"/>
      <c r="I2017" s="256"/>
      <c r="J2017" s="256"/>
      <c r="K2017" s="256"/>
    </row>
    <row r="2018" spans="1:11" ht="12.75" x14ac:dyDescent="0.2">
      <c r="A2018" s="256"/>
      <c r="B2018" s="256"/>
      <c r="C2018" s="256"/>
      <c r="D2018" s="256"/>
      <c r="E2018" s="256"/>
      <c r="F2018" s="256"/>
      <c r="G2018" s="256"/>
      <c r="H2018" s="256"/>
      <c r="I2018" s="256"/>
      <c r="J2018" s="256"/>
      <c r="K2018" s="256"/>
    </row>
    <row r="2019" spans="1:11" ht="12.75" x14ac:dyDescent="0.2">
      <c r="A2019" s="256"/>
      <c r="B2019" s="256"/>
      <c r="C2019" s="256"/>
      <c r="D2019" s="256"/>
      <c r="E2019" s="256"/>
      <c r="F2019" s="256"/>
      <c r="G2019" s="256"/>
      <c r="H2019" s="256"/>
      <c r="I2019" s="256"/>
      <c r="J2019" s="256"/>
      <c r="K2019" s="256"/>
    </row>
    <row r="2020" spans="1:11" ht="12.75" x14ac:dyDescent="0.2">
      <c r="A2020" s="256"/>
      <c r="B2020" s="256"/>
      <c r="C2020" s="256"/>
      <c r="D2020" s="256"/>
      <c r="E2020" s="256"/>
      <c r="F2020" s="256"/>
      <c r="G2020" s="256"/>
      <c r="H2020" s="256"/>
      <c r="I2020" s="256"/>
      <c r="J2020" s="256"/>
      <c r="K2020" s="256"/>
    </row>
    <row r="2021" spans="1:11" ht="12.75" x14ac:dyDescent="0.2">
      <c r="A2021" s="256"/>
      <c r="B2021" s="256"/>
      <c r="C2021" s="256"/>
      <c r="D2021" s="256"/>
      <c r="E2021" s="256"/>
      <c r="F2021" s="256"/>
      <c r="G2021" s="256"/>
      <c r="H2021" s="256"/>
      <c r="I2021" s="256"/>
      <c r="J2021" s="256"/>
      <c r="K2021" s="256"/>
    </row>
    <row r="2022" spans="1:11" ht="12.75" x14ac:dyDescent="0.2">
      <c r="A2022" s="256"/>
      <c r="B2022" s="256"/>
      <c r="C2022" s="256"/>
      <c r="D2022" s="256"/>
      <c r="E2022" s="256"/>
      <c r="F2022" s="256"/>
      <c r="G2022" s="256"/>
      <c r="H2022" s="256"/>
      <c r="I2022" s="256"/>
      <c r="J2022" s="256"/>
      <c r="K2022" s="256"/>
    </row>
    <row r="2023" spans="1:11" ht="12.75" x14ac:dyDescent="0.2">
      <c r="A2023" s="256"/>
      <c r="B2023" s="256"/>
      <c r="C2023" s="256"/>
      <c r="D2023" s="256"/>
      <c r="E2023" s="256"/>
      <c r="F2023" s="256"/>
      <c r="G2023" s="256"/>
      <c r="H2023" s="256"/>
      <c r="I2023" s="256"/>
      <c r="J2023" s="256"/>
      <c r="K2023" s="256"/>
    </row>
    <row r="2024" spans="1:11" ht="12.75" x14ac:dyDescent="0.2">
      <c r="A2024" s="256"/>
      <c r="B2024" s="256"/>
      <c r="C2024" s="256"/>
      <c r="D2024" s="256"/>
      <c r="E2024" s="256"/>
      <c r="F2024" s="256"/>
      <c r="G2024" s="256"/>
      <c r="H2024" s="256"/>
      <c r="I2024" s="256"/>
      <c r="J2024" s="256"/>
      <c r="K2024" s="256"/>
    </row>
    <row r="2025" spans="1:11" ht="12.75" x14ac:dyDescent="0.2">
      <c r="A2025" s="256"/>
      <c r="B2025" s="256"/>
      <c r="C2025" s="256"/>
      <c r="D2025" s="256"/>
      <c r="E2025" s="256"/>
      <c r="F2025" s="256"/>
      <c r="G2025" s="256"/>
      <c r="H2025" s="256"/>
      <c r="I2025" s="256"/>
      <c r="J2025" s="256"/>
      <c r="K2025" s="256"/>
    </row>
    <row r="2026" spans="1:11" ht="12.75" x14ac:dyDescent="0.2">
      <c r="A2026" s="256"/>
      <c r="B2026" s="256"/>
      <c r="C2026" s="256"/>
      <c r="D2026" s="256"/>
      <c r="E2026" s="256"/>
      <c r="F2026" s="256"/>
      <c r="G2026" s="256"/>
      <c r="H2026" s="256"/>
      <c r="I2026" s="256"/>
      <c r="J2026" s="256"/>
      <c r="K2026" s="256"/>
    </row>
    <row r="2027" spans="1:11" ht="12.75" x14ac:dyDescent="0.2">
      <c r="A2027" s="256"/>
      <c r="B2027" s="256"/>
      <c r="C2027" s="256"/>
      <c r="D2027" s="256"/>
      <c r="E2027" s="256"/>
      <c r="F2027" s="256"/>
      <c r="G2027" s="256"/>
      <c r="H2027" s="256"/>
      <c r="I2027" s="256"/>
      <c r="J2027" s="256"/>
      <c r="K2027" s="256"/>
    </row>
    <row r="2028" spans="1:11" ht="12.75" x14ac:dyDescent="0.2">
      <c r="A2028" s="256"/>
      <c r="B2028" s="256"/>
      <c r="C2028" s="256"/>
      <c r="D2028" s="256"/>
      <c r="E2028" s="256"/>
      <c r="F2028" s="256"/>
      <c r="G2028" s="256"/>
      <c r="H2028" s="256"/>
      <c r="I2028" s="256"/>
      <c r="J2028" s="256"/>
      <c r="K2028" s="256"/>
    </row>
    <row r="2029" spans="1:11" ht="12.75" x14ac:dyDescent="0.2">
      <c r="A2029" s="256"/>
      <c r="B2029" s="256"/>
      <c r="C2029" s="256"/>
      <c r="D2029" s="256"/>
      <c r="E2029" s="256"/>
      <c r="F2029" s="256"/>
      <c r="G2029" s="256"/>
      <c r="H2029" s="256"/>
      <c r="I2029" s="256"/>
      <c r="J2029" s="256"/>
      <c r="K2029" s="256"/>
    </row>
    <row r="2030" spans="1:11" ht="12.75" x14ac:dyDescent="0.2">
      <c r="A2030" s="256"/>
      <c r="B2030" s="256"/>
      <c r="C2030" s="256"/>
      <c r="D2030" s="256"/>
      <c r="E2030" s="256"/>
      <c r="F2030" s="256"/>
      <c r="G2030" s="256"/>
      <c r="H2030" s="256"/>
      <c r="I2030" s="256"/>
      <c r="J2030" s="256"/>
      <c r="K2030" s="256"/>
    </row>
    <row r="2031" spans="1:11" ht="12.75" x14ac:dyDescent="0.2">
      <c r="A2031" s="256"/>
      <c r="B2031" s="256"/>
      <c r="C2031" s="256"/>
      <c r="D2031" s="256"/>
      <c r="E2031" s="256"/>
      <c r="F2031" s="256"/>
      <c r="G2031" s="256"/>
      <c r="H2031" s="256"/>
      <c r="I2031" s="256"/>
      <c r="J2031" s="256"/>
      <c r="K2031" s="256"/>
    </row>
    <row r="2032" spans="1:11" ht="12.75" x14ac:dyDescent="0.2">
      <c r="A2032" s="256"/>
      <c r="B2032" s="256"/>
      <c r="C2032" s="256"/>
      <c r="D2032" s="256"/>
      <c r="E2032" s="256"/>
      <c r="F2032" s="256"/>
      <c r="G2032" s="256"/>
      <c r="H2032" s="256"/>
      <c r="I2032" s="256"/>
      <c r="J2032" s="256"/>
      <c r="K2032" s="256"/>
    </row>
    <row r="2033" spans="1:11" ht="12.75" x14ac:dyDescent="0.2">
      <c r="A2033" s="256"/>
      <c r="B2033" s="256"/>
      <c r="C2033" s="256"/>
      <c r="D2033" s="256"/>
      <c r="E2033" s="256"/>
      <c r="F2033" s="256"/>
      <c r="G2033" s="256"/>
      <c r="H2033" s="256"/>
      <c r="I2033" s="256"/>
      <c r="J2033" s="256"/>
      <c r="K2033" s="256"/>
    </row>
    <row r="2034" spans="1:11" ht="12.75" x14ac:dyDescent="0.2">
      <c r="A2034" s="256"/>
      <c r="B2034" s="256"/>
      <c r="C2034" s="256"/>
      <c r="D2034" s="256"/>
      <c r="E2034" s="256"/>
      <c r="F2034" s="256"/>
      <c r="G2034" s="256"/>
      <c r="H2034" s="256"/>
      <c r="I2034" s="256"/>
      <c r="J2034" s="256"/>
      <c r="K2034" s="256"/>
    </row>
    <row r="2035" spans="1:11" ht="12.75" x14ac:dyDescent="0.2">
      <c r="A2035" s="256"/>
      <c r="B2035" s="256"/>
      <c r="C2035" s="256"/>
      <c r="D2035" s="256"/>
      <c r="E2035" s="256"/>
      <c r="F2035" s="256"/>
      <c r="G2035" s="256"/>
      <c r="H2035" s="256"/>
      <c r="I2035" s="256"/>
      <c r="J2035" s="256"/>
      <c r="K2035" s="256"/>
    </row>
    <row r="2036" spans="1:11" ht="12.75" x14ac:dyDescent="0.2">
      <c r="A2036" s="256"/>
      <c r="B2036" s="256"/>
      <c r="C2036" s="256"/>
      <c r="D2036" s="256"/>
      <c r="E2036" s="256"/>
      <c r="F2036" s="256"/>
      <c r="G2036" s="256"/>
      <c r="H2036" s="256"/>
      <c r="I2036" s="256"/>
      <c r="J2036" s="256"/>
      <c r="K2036" s="256"/>
    </row>
    <row r="2037" spans="1:11" ht="12.75" x14ac:dyDescent="0.2">
      <c r="A2037" s="256"/>
      <c r="B2037" s="256"/>
      <c r="C2037" s="256"/>
      <c r="D2037" s="256"/>
      <c r="E2037" s="256"/>
      <c r="F2037" s="256"/>
      <c r="G2037" s="256"/>
      <c r="H2037" s="256"/>
      <c r="I2037" s="256"/>
      <c r="J2037" s="256"/>
      <c r="K2037" s="256"/>
    </row>
    <row r="2038" spans="1:11" ht="12.75" x14ac:dyDescent="0.2">
      <c r="A2038" s="256"/>
      <c r="B2038" s="256"/>
      <c r="C2038" s="256"/>
      <c r="D2038" s="256"/>
      <c r="E2038" s="256"/>
      <c r="F2038" s="256"/>
      <c r="G2038" s="256"/>
      <c r="H2038" s="256"/>
      <c r="I2038" s="256"/>
      <c r="J2038" s="256"/>
      <c r="K2038" s="256"/>
    </row>
    <row r="2039" spans="1:11" ht="12.75" x14ac:dyDescent="0.2">
      <c r="A2039" s="256"/>
      <c r="B2039" s="256"/>
      <c r="C2039" s="256"/>
      <c r="D2039" s="256"/>
      <c r="E2039" s="256"/>
      <c r="F2039" s="256"/>
      <c r="G2039" s="256"/>
      <c r="H2039" s="256"/>
      <c r="I2039" s="256"/>
      <c r="J2039" s="256"/>
      <c r="K2039" s="256"/>
    </row>
    <row r="2040" spans="1:11" ht="12.75" x14ac:dyDescent="0.2">
      <c r="A2040" s="256"/>
      <c r="B2040" s="256"/>
      <c r="C2040" s="256"/>
      <c r="D2040" s="256"/>
      <c r="E2040" s="256"/>
      <c r="F2040" s="256"/>
      <c r="G2040" s="256"/>
      <c r="H2040" s="256"/>
      <c r="I2040" s="256"/>
      <c r="J2040" s="256"/>
      <c r="K2040" s="256"/>
    </row>
    <row r="2041" spans="1:11" ht="12.75" x14ac:dyDescent="0.2">
      <c r="A2041" s="256"/>
      <c r="B2041" s="256"/>
      <c r="C2041" s="256"/>
      <c r="D2041" s="256"/>
      <c r="E2041" s="256"/>
      <c r="F2041" s="256"/>
      <c r="G2041" s="256"/>
      <c r="H2041" s="256"/>
      <c r="I2041" s="256"/>
      <c r="J2041" s="256"/>
      <c r="K2041" s="256"/>
    </row>
    <row r="2042" spans="1:11" ht="12.75" x14ac:dyDescent="0.2">
      <c r="A2042" s="256"/>
      <c r="B2042" s="256"/>
      <c r="C2042" s="256"/>
      <c r="D2042" s="256"/>
      <c r="E2042" s="256"/>
      <c r="F2042" s="256"/>
      <c r="G2042" s="256"/>
      <c r="H2042" s="256"/>
      <c r="I2042" s="256"/>
      <c r="J2042" s="256"/>
      <c r="K2042" s="256"/>
    </row>
    <row r="2043" spans="1:11" ht="12.75" x14ac:dyDescent="0.2">
      <c r="A2043" s="256"/>
      <c r="B2043" s="256"/>
      <c r="C2043" s="256"/>
      <c r="D2043" s="256"/>
      <c r="E2043" s="256"/>
      <c r="F2043" s="256"/>
      <c r="G2043" s="256"/>
      <c r="H2043" s="256"/>
      <c r="I2043" s="256"/>
      <c r="J2043" s="256"/>
      <c r="K2043" s="256"/>
    </row>
    <row r="2044" spans="1:11" ht="12.75" x14ac:dyDescent="0.2">
      <c r="A2044" s="256"/>
      <c r="B2044" s="256"/>
      <c r="C2044" s="256"/>
      <c r="D2044" s="256"/>
      <c r="E2044" s="256"/>
      <c r="F2044" s="256"/>
      <c r="G2044" s="256"/>
      <c r="H2044" s="256"/>
      <c r="I2044" s="256"/>
      <c r="J2044" s="256"/>
      <c r="K2044" s="256"/>
    </row>
    <row r="2045" spans="1:11" ht="12.75" x14ac:dyDescent="0.2">
      <c r="A2045" s="256"/>
      <c r="B2045" s="256"/>
      <c r="C2045" s="256"/>
      <c r="D2045" s="256"/>
      <c r="E2045" s="256"/>
      <c r="F2045" s="256"/>
      <c r="G2045" s="256"/>
      <c r="H2045" s="256"/>
      <c r="I2045" s="256"/>
      <c r="J2045" s="256"/>
      <c r="K2045" s="256"/>
    </row>
    <row r="2046" spans="1:11" ht="12.75" x14ac:dyDescent="0.2">
      <c r="A2046" s="256"/>
      <c r="B2046" s="256"/>
      <c r="C2046" s="256"/>
      <c r="D2046" s="256"/>
      <c r="E2046" s="256"/>
      <c r="F2046" s="256"/>
      <c r="G2046" s="256"/>
      <c r="H2046" s="256"/>
      <c r="I2046" s="256"/>
      <c r="J2046" s="256"/>
      <c r="K2046" s="256"/>
    </row>
    <row r="2047" spans="1:11" ht="12.75" x14ac:dyDescent="0.2">
      <c r="A2047" s="256"/>
      <c r="B2047" s="256"/>
      <c r="C2047" s="256"/>
      <c r="D2047" s="256"/>
      <c r="E2047" s="256"/>
      <c r="F2047" s="256"/>
      <c r="G2047" s="256"/>
      <c r="H2047" s="256"/>
      <c r="I2047" s="256"/>
      <c r="J2047" s="256"/>
      <c r="K2047" s="256"/>
    </row>
    <row r="2048" spans="1:11" ht="12.75" x14ac:dyDescent="0.2">
      <c r="A2048" s="256"/>
      <c r="B2048" s="256"/>
      <c r="C2048" s="256"/>
      <c r="D2048" s="256"/>
      <c r="E2048" s="256"/>
      <c r="F2048" s="256"/>
      <c r="G2048" s="256"/>
      <c r="H2048" s="256"/>
      <c r="I2048" s="256"/>
      <c r="J2048" s="256"/>
      <c r="K2048" s="256"/>
    </row>
    <row r="2049" spans="1:11" ht="12.75" x14ac:dyDescent="0.2">
      <c r="A2049" s="256"/>
      <c r="B2049" s="256"/>
      <c r="C2049" s="256"/>
      <c r="D2049" s="256"/>
      <c r="E2049" s="256"/>
      <c r="F2049" s="256"/>
      <c r="G2049" s="256"/>
      <c r="H2049" s="256"/>
      <c r="I2049" s="256"/>
      <c r="J2049" s="256"/>
      <c r="K2049" s="256"/>
    </row>
    <row r="2050" spans="1:11" ht="12.75" x14ac:dyDescent="0.2">
      <c r="A2050" s="256"/>
      <c r="B2050" s="256"/>
      <c r="C2050" s="256"/>
      <c r="D2050" s="256"/>
      <c r="E2050" s="256"/>
      <c r="F2050" s="256"/>
      <c r="G2050" s="256"/>
      <c r="H2050" s="256"/>
      <c r="I2050" s="256"/>
      <c r="J2050" s="256"/>
      <c r="K2050" s="256"/>
    </row>
    <row r="2051" spans="1:11" ht="12.75" x14ac:dyDescent="0.2">
      <c r="A2051" s="256"/>
      <c r="B2051" s="256"/>
      <c r="C2051" s="256"/>
      <c r="D2051" s="256"/>
      <c r="E2051" s="256"/>
      <c r="F2051" s="256"/>
      <c r="G2051" s="256"/>
      <c r="H2051" s="256"/>
      <c r="I2051" s="256"/>
      <c r="J2051" s="256"/>
      <c r="K2051" s="256"/>
    </row>
    <row r="2052" spans="1:11" ht="12.75" x14ac:dyDescent="0.2">
      <c r="A2052" s="256"/>
      <c r="B2052" s="256"/>
      <c r="C2052" s="256"/>
      <c r="D2052" s="256"/>
      <c r="E2052" s="256"/>
      <c r="F2052" s="256"/>
      <c r="G2052" s="256"/>
      <c r="H2052" s="256"/>
      <c r="I2052" s="256"/>
      <c r="J2052" s="256"/>
      <c r="K2052" s="256"/>
    </row>
    <row r="2053" spans="1:11" ht="12.75" x14ac:dyDescent="0.2">
      <c r="A2053" s="256"/>
      <c r="B2053" s="256"/>
      <c r="C2053" s="256"/>
      <c r="D2053" s="256"/>
      <c r="E2053" s="256"/>
      <c r="F2053" s="256"/>
      <c r="G2053" s="256"/>
      <c r="H2053" s="256"/>
      <c r="I2053" s="256"/>
      <c r="J2053" s="256"/>
      <c r="K2053" s="256"/>
    </row>
    <row r="2054" spans="1:11" ht="12.75" x14ac:dyDescent="0.2">
      <c r="A2054" s="256"/>
      <c r="B2054" s="256"/>
      <c r="C2054" s="256"/>
      <c r="D2054" s="256"/>
      <c r="E2054" s="256"/>
      <c r="F2054" s="256"/>
      <c r="G2054" s="256"/>
      <c r="H2054" s="256"/>
      <c r="I2054" s="256"/>
      <c r="J2054" s="256"/>
      <c r="K2054" s="256"/>
    </row>
    <row r="2055" spans="1:11" ht="12.75" x14ac:dyDescent="0.2">
      <c r="A2055" s="256"/>
      <c r="B2055" s="256"/>
      <c r="C2055" s="256"/>
      <c r="D2055" s="256"/>
      <c r="E2055" s="256"/>
      <c r="F2055" s="256"/>
      <c r="G2055" s="256"/>
      <c r="H2055" s="256"/>
      <c r="I2055" s="256"/>
      <c r="J2055" s="256"/>
      <c r="K2055" s="256"/>
    </row>
    <row r="2056" spans="1:11" ht="12.75" x14ac:dyDescent="0.2">
      <c r="A2056" s="256"/>
      <c r="B2056" s="256"/>
      <c r="C2056" s="256"/>
      <c r="D2056" s="256"/>
      <c r="E2056" s="256"/>
      <c r="F2056" s="256"/>
      <c r="G2056" s="256"/>
      <c r="H2056" s="256"/>
      <c r="I2056" s="256"/>
      <c r="J2056" s="256"/>
      <c r="K2056" s="256"/>
    </row>
    <row r="2057" spans="1:11" ht="12.75" x14ac:dyDescent="0.2">
      <c r="A2057" s="256"/>
      <c r="B2057" s="256"/>
      <c r="C2057" s="256"/>
      <c r="D2057" s="256"/>
      <c r="E2057" s="256"/>
      <c r="F2057" s="256"/>
      <c r="G2057" s="256"/>
      <c r="H2057" s="256"/>
      <c r="I2057" s="256"/>
      <c r="J2057" s="256"/>
      <c r="K2057" s="256"/>
    </row>
    <row r="2058" spans="1:11" ht="12.75" x14ac:dyDescent="0.2">
      <c r="A2058" s="256"/>
      <c r="B2058" s="256"/>
      <c r="C2058" s="256"/>
      <c r="D2058" s="256"/>
      <c r="E2058" s="256"/>
      <c r="F2058" s="256"/>
      <c r="G2058" s="256"/>
      <c r="H2058" s="256"/>
      <c r="I2058" s="256"/>
      <c r="J2058" s="256"/>
      <c r="K2058" s="256"/>
    </row>
    <row r="2059" spans="1:11" ht="12.75" x14ac:dyDescent="0.2">
      <c r="A2059" s="256"/>
      <c r="B2059" s="256"/>
      <c r="C2059" s="256"/>
      <c r="D2059" s="256"/>
      <c r="E2059" s="256"/>
      <c r="F2059" s="256"/>
      <c r="G2059" s="256"/>
      <c r="H2059" s="256"/>
      <c r="I2059" s="256"/>
      <c r="J2059" s="256"/>
      <c r="K2059" s="256"/>
    </row>
    <row r="2060" spans="1:11" ht="12.75" x14ac:dyDescent="0.2">
      <c r="A2060" s="256"/>
      <c r="B2060" s="256"/>
      <c r="C2060" s="256"/>
      <c r="D2060" s="256"/>
      <c r="E2060" s="256"/>
      <c r="F2060" s="256"/>
      <c r="G2060" s="256"/>
      <c r="H2060" s="256"/>
      <c r="I2060" s="256"/>
      <c r="J2060" s="256"/>
      <c r="K2060" s="256"/>
    </row>
    <row r="2061" spans="1:11" ht="12.75" x14ac:dyDescent="0.2">
      <c r="A2061" s="256"/>
      <c r="B2061" s="256"/>
      <c r="C2061" s="256"/>
      <c r="D2061" s="256"/>
      <c r="E2061" s="256"/>
      <c r="F2061" s="256"/>
      <c r="G2061" s="256"/>
      <c r="H2061" s="256"/>
      <c r="I2061" s="256"/>
      <c r="J2061" s="256"/>
      <c r="K2061" s="256"/>
    </row>
    <row r="2062" spans="1:11" ht="12.75" x14ac:dyDescent="0.2">
      <c r="A2062" s="256"/>
      <c r="B2062" s="256"/>
      <c r="C2062" s="256"/>
      <c r="D2062" s="256"/>
      <c r="E2062" s="256"/>
      <c r="F2062" s="256"/>
      <c r="G2062" s="256"/>
      <c r="H2062" s="256"/>
      <c r="I2062" s="256"/>
      <c r="J2062" s="256"/>
      <c r="K2062" s="256"/>
    </row>
    <row r="2063" spans="1:11" ht="12.75" x14ac:dyDescent="0.2">
      <c r="A2063" s="256"/>
      <c r="B2063" s="256"/>
      <c r="C2063" s="256"/>
      <c r="D2063" s="256"/>
      <c r="E2063" s="256"/>
      <c r="F2063" s="256"/>
      <c r="G2063" s="256"/>
      <c r="H2063" s="256"/>
      <c r="I2063" s="256"/>
      <c r="J2063" s="256"/>
      <c r="K2063" s="256"/>
    </row>
  </sheetData>
  <phoneticPr fontId="39" type="noConversion"/>
  <printOptions gridLines="1"/>
  <pageMargins left="0.25" right="0.25" top="0.65" bottom="0" header="0.19" footer="0"/>
  <pageSetup scale="78" orientation="portrait" horizontalDpi="300" verticalDpi="300" r:id="rId1"/>
  <headerFooter alignWithMargins="0">
    <oddHeader>&amp;L2/15/12 9:01 PM_x000D_K. Dow File&amp;CTOWN OF TOPSFIELD FINANCE COMMITTEE_x000D_BUDGET WORKSHEETS TAX RECAP SUMMARY_x000D_&amp;R&amp;P_x000D_&amp;"Arial,Bold"&amp;12VERSION 2.0</oddHead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6"/>
  <sheetViews>
    <sheetView workbookViewId="0"/>
  </sheetViews>
  <sheetFormatPr defaultColWidth="8.85546875" defaultRowHeight="11.25" x14ac:dyDescent="0.2"/>
  <cols>
    <col min="1" max="1" width="33.140625" style="7" customWidth="1"/>
    <col min="2" max="2" width="13.140625" style="7" customWidth="1"/>
    <col min="3" max="3" width="0.7109375" style="7" customWidth="1"/>
    <col min="4" max="4" width="16.140625" style="7" customWidth="1"/>
    <col min="5" max="5" width="4.42578125" style="7" customWidth="1"/>
    <col min="6" max="6" width="33.140625" style="7" customWidth="1"/>
    <col min="7" max="7" width="12.28515625" style="7" customWidth="1"/>
    <col min="8" max="8" width="13.42578125" style="7" customWidth="1"/>
    <col min="9" max="16384" width="8.85546875" style="7"/>
  </cols>
  <sheetData>
    <row r="1" spans="1:9" ht="12.75" x14ac:dyDescent="0.2">
      <c r="A1" s="259" t="s">
        <v>460</v>
      </c>
      <c r="B1" s="256"/>
      <c r="C1" s="256"/>
      <c r="D1" s="256"/>
      <c r="E1" s="260"/>
      <c r="F1" s="256"/>
      <c r="G1" s="256"/>
      <c r="H1" s="256"/>
      <c r="I1" s="256"/>
    </row>
    <row r="2" spans="1:9" ht="12.75" x14ac:dyDescent="0.2">
      <c r="A2" s="261" t="s">
        <v>347</v>
      </c>
      <c r="B2" s="256"/>
      <c r="C2" s="256"/>
      <c r="D2" s="256"/>
      <c r="E2" s="260"/>
      <c r="F2" s="261" t="s">
        <v>209</v>
      </c>
      <c r="G2" s="256"/>
      <c r="H2" s="256"/>
      <c r="I2" s="256"/>
    </row>
    <row r="3" spans="1:9" ht="13.5" thickBot="1" x14ac:dyDescent="0.25">
      <c r="A3" s="256"/>
      <c r="B3" s="256"/>
      <c r="C3" s="256"/>
      <c r="D3" s="256"/>
      <c r="E3" s="260"/>
      <c r="F3" s="256"/>
      <c r="G3" s="256"/>
      <c r="H3" s="256"/>
      <c r="I3" s="256"/>
    </row>
    <row r="4" spans="1:9" x14ac:dyDescent="0.2">
      <c r="A4" s="262" t="s">
        <v>443</v>
      </c>
      <c r="B4" s="263" t="s">
        <v>427</v>
      </c>
      <c r="C4" s="263"/>
      <c r="D4" s="264" t="s">
        <v>428</v>
      </c>
      <c r="F4" s="265" t="s">
        <v>452</v>
      </c>
      <c r="G4" s="266"/>
      <c r="H4" s="266"/>
      <c r="I4" s="267"/>
    </row>
    <row r="5" spans="1:9" x14ac:dyDescent="0.2">
      <c r="A5" s="268" t="s">
        <v>502</v>
      </c>
      <c r="B5" s="269" t="s">
        <v>219</v>
      </c>
      <c r="C5" s="269"/>
      <c r="D5" s="270" t="s">
        <v>198</v>
      </c>
      <c r="F5" s="271"/>
      <c r="I5" s="258"/>
    </row>
    <row r="6" spans="1:9" x14ac:dyDescent="0.2">
      <c r="A6" s="272" t="s">
        <v>381</v>
      </c>
      <c r="B6" s="273" t="s">
        <v>382</v>
      </c>
      <c r="C6" s="273"/>
      <c r="D6" s="274" t="s">
        <v>383</v>
      </c>
      <c r="F6" s="271" t="s">
        <v>7</v>
      </c>
      <c r="I6" s="258"/>
    </row>
    <row r="7" spans="1:9" x14ac:dyDescent="0.2">
      <c r="A7" s="275" t="s">
        <v>243</v>
      </c>
      <c r="B7" s="276"/>
      <c r="C7" s="277"/>
      <c r="D7" s="278"/>
      <c r="F7" s="271" t="s">
        <v>244</v>
      </c>
      <c r="G7" s="401">
        <f>67371+156766</f>
        <v>224137</v>
      </c>
      <c r="I7" s="258"/>
    </row>
    <row r="8" spans="1:9" x14ac:dyDescent="0.2">
      <c r="A8" s="275"/>
      <c r="B8" s="276" t="s">
        <v>164</v>
      </c>
      <c r="C8" s="277"/>
      <c r="D8" s="278"/>
      <c r="F8" s="271" t="s">
        <v>246</v>
      </c>
      <c r="G8" s="401">
        <v>232940</v>
      </c>
      <c r="I8" s="258"/>
    </row>
    <row r="9" spans="1:9" x14ac:dyDescent="0.2">
      <c r="A9" s="275" t="s">
        <v>245</v>
      </c>
      <c r="B9" s="279">
        <v>732182</v>
      </c>
      <c r="C9" s="277"/>
      <c r="D9" s="280">
        <f>I13+H25</f>
        <v>827130.3</v>
      </c>
      <c r="F9" s="271" t="s">
        <v>507</v>
      </c>
      <c r="G9" s="401">
        <v>250</v>
      </c>
      <c r="I9" s="258"/>
    </row>
    <row r="10" spans="1:9" x14ac:dyDescent="0.2">
      <c r="A10" s="275" t="s">
        <v>379</v>
      </c>
      <c r="B10" s="279"/>
      <c r="C10" s="277"/>
      <c r="D10" s="280"/>
      <c r="F10" s="271" t="s">
        <v>451</v>
      </c>
      <c r="G10" s="402">
        <v>75000</v>
      </c>
      <c r="I10" s="258"/>
    </row>
    <row r="11" spans="1:9" x14ac:dyDescent="0.2">
      <c r="A11" s="275" t="s">
        <v>635</v>
      </c>
      <c r="B11" s="279"/>
      <c r="C11" s="277"/>
      <c r="D11" s="280"/>
      <c r="F11" s="271" t="s">
        <v>636</v>
      </c>
      <c r="G11" s="401">
        <v>47000</v>
      </c>
      <c r="H11" s="7" t="s">
        <v>469</v>
      </c>
      <c r="I11" s="258"/>
    </row>
    <row r="12" spans="1:9" x14ac:dyDescent="0.2">
      <c r="A12" s="275" t="s">
        <v>641</v>
      </c>
      <c r="B12" s="279"/>
      <c r="C12" s="277"/>
      <c r="D12" s="280"/>
      <c r="F12" s="271" t="s">
        <v>828</v>
      </c>
      <c r="G12" s="401">
        <v>100000</v>
      </c>
      <c r="I12" s="258"/>
    </row>
    <row r="13" spans="1:9" ht="12" thickBot="1" x14ac:dyDescent="0.25">
      <c r="A13" s="275" t="s">
        <v>35</v>
      </c>
      <c r="B13" s="281">
        <f>SUM(B9:B12)</f>
        <v>732182</v>
      </c>
      <c r="C13" s="277"/>
      <c r="D13" s="282">
        <f>SUM(D9:D12)</f>
        <v>827130.3</v>
      </c>
      <c r="F13" s="271" t="s">
        <v>36</v>
      </c>
      <c r="G13" s="401">
        <v>68565</v>
      </c>
      <c r="H13" s="14"/>
      <c r="I13" s="403">
        <f>SUM(G7:G13)</f>
        <v>747892</v>
      </c>
    </row>
    <row r="14" spans="1:9" ht="13.5" thickTop="1" x14ac:dyDescent="0.2">
      <c r="A14" s="275"/>
      <c r="B14" s="276"/>
      <c r="C14" s="277"/>
      <c r="D14" s="284"/>
      <c r="F14" s="285" t="s">
        <v>479</v>
      </c>
      <c r="G14" s="12"/>
      <c r="H14" s="256"/>
      <c r="I14" s="258"/>
    </row>
    <row r="15" spans="1:9" x14ac:dyDescent="0.2">
      <c r="A15" s="275" t="s">
        <v>706</v>
      </c>
      <c r="B15" s="279"/>
      <c r="C15" s="277"/>
      <c r="D15" s="280">
        <f>SUM(G14)</f>
        <v>0</v>
      </c>
      <c r="F15" s="271" t="s">
        <v>642</v>
      </c>
      <c r="G15" s="14"/>
      <c r="H15" s="401">
        <f>SUM(G7:G14)</f>
        <v>747892</v>
      </c>
      <c r="I15" s="258"/>
    </row>
    <row r="16" spans="1:9" x14ac:dyDescent="0.2">
      <c r="A16" s="275" t="s">
        <v>774</v>
      </c>
      <c r="B16" s="279"/>
      <c r="C16" s="277"/>
      <c r="D16" s="280"/>
      <c r="F16" s="271" t="s">
        <v>775</v>
      </c>
      <c r="G16" s="14"/>
      <c r="I16" s="258"/>
    </row>
    <row r="17" spans="1:9" x14ac:dyDescent="0.2">
      <c r="A17" s="275" t="s">
        <v>519</v>
      </c>
      <c r="B17" s="279"/>
      <c r="C17" s="277"/>
      <c r="D17" s="280"/>
      <c r="F17" s="271" t="s">
        <v>646</v>
      </c>
      <c r="G17" s="407" t="s">
        <v>188</v>
      </c>
      <c r="I17" s="258"/>
    </row>
    <row r="18" spans="1:9" ht="12" thickBot="1" x14ac:dyDescent="0.25">
      <c r="A18" s="275" t="s">
        <v>526</v>
      </c>
      <c r="B18" s="286">
        <f>SUM(B13,B15:B17)</f>
        <v>732182</v>
      </c>
      <c r="C18" s="277"/>
      <c r="D18" s="287">
        <f>SUM(D13,D15)</f>
        <v>827130.3</v>
      </c>
      <c r="I18" s="258"/>
    </row>
    <row r="19" spans="1:9" ht="12.75" thickTop="1" thickBot="1" x14ac:dyDescent="0.25">
      <c r="A19" s="288"/>
      <c r="B19" s="289"/>
      <c r="C19" s="290"/>
      <c r="D19" s="291"/>
      <c r="F19" s="271" t="s">
        <v>648</v>
      </c>
      <c r="G19" s="145">
        <f>25844+2169.3</f>
        <v>28013.3</v>
      </c>
      <c r="I19" s="258"/>
    </row>
    <row r="20" spans="1:9" x14ac:dyDescent="0.2">
      <c r="F20" s="271" t="s">
        <v>652</v>
      </c>
      <c r="G20" s="145">
        <v>23654</v>
      </c>
      <c r="I20" s="258"/>
    </row>
    <row r="21" spans="1:9" x14ac:dyDescent="0.2">
      <c r="A21" s="292" t="s">
        <v>836</v>
      </c>
      <c r="B21" s="292"/>
      <c r="C21" s="292"/>
      <c r="D21" s="292"/>
      <c r="F21" s="271" t="s">
        <v>522</v>
      </c>
      <c r="G21" s="145">
        <v>12157</v>
      </c>
      <c r="I21" s="258"/>
    </row>
    <row r="22" spans="1:9" ht="12.75" x14ac:dyDescent="0.2">
      <c r="A22" s="256"/>
      <c r="F22" s="271" t="s">
        <v>656</v>
      </c>
      <c r="G22" s="145">
        <v>917</v>
      </c>
      <c r="I22" s="258"/>
    </row>
    <row r="23" spans="1:9" x14ac:dyDescent="0.2">
      <c r="A23" s="7" t="s">
        <v>668</v>
      </c>
      <c r="F23" s="271" t="s">
        <v>412</v>
      </c>
      <c r="G23" s="145">
        <v>3538</v>
      </c>
      <c r="I23" s="258"/>
    </row>
    <row r="24" spans="1:9" x14ac:dyDescent="0.2">
      <c r="A24" s="7" t="s">
        <v>345</v>
      </c>
      <c r="F24" s="271" t="s">
        <v>538</v>
      </c>
      <c r="G24" s="145">
        <v>10959</v>
      </c>
      <c r="I24" s="258"/>
    </row>
    <row r="25" spans="1:9" x14ac:dyDescent="0.2">
      <c r="F25" s="271" t="s">
        <v>539</v>
      </c>
      <c r="G25" s="402">
        <f>SUM(G19:G24)</f>
        <v>79238.3</v>
      </c>
      <c r="H25" s="401">
        <f>SUM(G17:G24)</f>
        <v>79238.3</v>
      </c>
      <c r="I25" s="258"/>
    </row>
    <row r="26" spans="1:9" x14ac:dyDescent="0.2">
      <c r="F26" s="271"/>
      <c r="I26" s="403">
        <f>SUM(I13,H25)</f>
        <v>827130.3</v>
      </c>
    </row>
    <row r="27" spans="1:9" ht="12" thickBot="1" x14ac:dyDescent="0.25">
      <c r="F27" s="293" t="s">
        <v>547</v>
      </c>
      <c r="H27" s="404">
        <f>(H25+H15)</f>
        <v>827130.3</v>
      </c>
      <c r="I27" s="258"/>
    </row>
    <row r="28" spans="1:9" ht="12" thickTop="1" x14ac:dyDescent="0.2">
      <c r="F28" s="295"/>
      <c r="G28" s="11"/>
      <c r="H28" s="11"/>
      <c r="I28" s="296"/>
    </row>
    <row r="29" spans="1:9" x14ac:dyDescent="0.2">
      <c r="F29" s="271" t="s">
        <v>417</v>
      </c>
      <c r="I29" s="258"/>
    </row>
    <row r="30" spans="1:9" x14ac:dyDescent="0.2">
      <c r="F30" s="271"/>
      <c r="I30" s="258"/>
    </row>
    <row r="31" spans="1:9" x14ac:dyDescent="0.2">
      <c r="F31" s="271" t="s">
        <v>411</v>
      </c>
      <c r="G31" s="12">
        <f>SUM(D18)</f>
        <v>827130.3</v>
      </c>
      <c r="H31" s="7" t="s">
        <v>523</v>
      </c>
      <c r="I31" s="258"/>
    </row>
    <row r="32" spans="1:9" x14ac:dyDescent="0.2">
      <c r="F32" s="271" t="s">
        <v>524</v>
      </c>
      <c r="G32" s="401">
        <f>SUM(H27)</f>
        <v>827130.3</v>
      </c>
      <c r="H32" s="7" t="s">
        <v>397</v>
      </c>
      <c r="I32" s="258"/>
    </row>
    <row r="33" spans="6:9" x14ac:dyDescent="0.2">
      <c r="F33" s="271" t="s">
        <v>398</v>
      </c>
      <c r="G33" s="11">
        <v>0</v>
      </c>
      <c r="H33" s="7" t="s">
        <v>650</v>
      </c>
      <c r="I33" s="258"/>
    </row>
    <row r="34" spans="6:9" x14ac:dyDescent="0.2">
      <c r="F34" s="271"/>
      <c r="H34" s="7" t="s">
        <v>651</v>
      </c>
      <c r="I34" s="258"/>
    </row>
    <row r="35" spans="6:9" x14ac:dyDescent="0.2">
      <c r="F35" s="271" t="s">
        <v>276</v>
      </c>
      <c r="G35" s="11"/>
      <c r="I35" s="258"/>
    </row>
    <row r="36" spans="6:9" x14ac:dyDescent="0.2">
      <c r="F36" s="295"/>
      <c r="G36" s="11"/>
      <c r="H36" s="11"/>
      <c r="I36" s="296"/>
    </row>
    <row r="37" spans="6:9" x14ac:dyDescent="0.2">
      <c r="F37" s="271" t="s">
        <v>530</v>
      </c>
      <c r="I37" s="258"/>
    </row>
    <row r="38" spans="6:9" x14ac:dyDescent="0.2">
      <c r="F38" s="271" t="s">
        <v>409</v>
      </c>
      <c r="I38" s="258"/>
    </row>
    <row r="39" spans="6:9" x14ac:dyDescent="0.2">
      <c r="F39" s="271"/>
      <c r="I39" s="258"/>
    </row>
    <row r="40" spans="6:9" x14ac:dyDescent="0.2">
      <c r="F40" s="271" t="s">
        <v>146</v>
      </c>
      <c r="G40" s="401">
        <f>SUM(H27-H25)</f>
        <v>747892</v>
      </c>
      <c r="H40" s="7" t="s">
        <v>45</v>
      </c>
      <c r="I40" s="258"/>
    </row>
    <row r="41" spans="6:9" x14ac:dyDescent="0.2">
      <c r="F41" s="271" t="s">
        <v>145</v>
      </c>
      <c r="G41" s="11"/>
      <c r="I41" s="258"/>
    </row>
    <row r="42" spans="6:9" x14ac:dyDescent="0.2">
      <c r="F42" s="271" t="s">
        <v>184</v>
      </c>
      <c r="G42" s="11"/>
      <c r="I42" s="258"/>
    </row>
    <row r="43" spans="6:9" x14ac:dyDescent="0.2">
      <c r="F43" s="271" t="s">
        <v>185</v>
      </c>
      <c r="G43" s="11"/>
      <c r="I43" s="258"/>
    </row>
    <row r="44" spans="6:9" x14ac:dyDescent="0.2">
      <c r="F44" s="271"/>
      <c r="I44" s="258"/>
    </row>
    <row r="45" spans="6:9" x14ac:dyDescent="0.2">
      <c r="F45" s="271" t="s">
        <v>132</v>
      </c>
      <c r="I45" s="258"/>
    </row>
    <row r="46" spans="6:9" ht="12" thickBot="1" x14ac:dyDescent="0.25">
      <c r="F46" s="288" t="s">
        <v>130</v>
      </c>
      <c r="G46" s="405">
        <f>SUM(G40:G43)</f>
        <v>747892</v>
      </c>
      <c r="H46" s="290" t="s">
        <v>165</v>
      </c>
      <c r="I46" s="298"/>
    </row>
  </sheetData>
  <phoneticPr fontId="39" type="noConversion"/>
  <printOptions gridLines="1"/>
  <pageMargins left="0.25" right="0.25" top="0.65" bottom="0" header="0.19" footer="0"/>
  <pageSetup scale="77" orientation="portrait" horizontalDpi="300" verticalDpi="300" r:id="rId1"/>
  <headerFooter alignWithMargins="0">
    <oddHeader>&amp;L2/15/12 9:01 PM_x000D_K. Dow File&amp;CTOWN OF TOPSFIELD FINANCE COMMITTEE_x000D_BUDGET WORKSHEETS TAX RECAP SUMMARY_x000D_&amp;R&amp;P_x000D_&amp;"Arial,Bold"&amp;12VERSION 2.0</oddHead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6"/>
  <sheetViews>
    <sheetView workbookViewId="0"/>
  </sheetViews>
  <sheetFormatPr defaultColWidth="8.85546875" defaultRowHeight="11.25" x14ac:dyDescent="0.2"/>
  <cols>
    <col min="1" max="1" width="33.140625" style="7" customWidth="1"/>
    <col min="2" max="2" width="13.140625" style="7" customWidth="1"/>
    <col min="3" max="3" width="0.7109375" style="7" customWidth="1"/>
    <col min="4" max="4" width="16.140625" style="7" customWidth="1"/>
    <col min="5" max="5" width="4.42578125" style="7" customWidth="1"/>
    <col min="6" max="6" width="33.140625" style="7" customWidth="1"/>
    <col min="7" max="7" width="12.28515625" style="7" customWidth="1"/>
    <col min="8" max="8" width="13.42578125" style="7" customWidth="1"/>
    <col min="9" max="16384" width="8.85546875" style="7"/>
  </cols>
  <sheetData>
    <row r="1" spans="1:9" ht="12.75" x14ac:dyDescent="0.2">
      <c r="A1" s="259" t="s">
        <v>459</v>
      </c>
      <c r="B1" s="256"/>
      <c r="C1" s="256"/>
      <c r="D1" s="256"/>
      <c r="E1" s="260"/>
      <c r="F1" s="256"/>
      <c r="G1" s="256"/>
      <c r="H1" s="256"/>
      <c r="I1" s="256"/>
    </row>
    <row r="2" spans="1:9" ht="12.75" x14ac:dyDescent="0.2">
      <c r="A2" s="261" t="s">
        <v>347</v>
      </c>
      <c r="B2" s="256"/>
      <c r="C2" s="256"/>
      <c r="D2" s="256"/>
      <c r="E2" s="260"/>
      <c r="F2" s="261" t="s">
        <v>209</v>
      </c>
      <c r="G2" s="256"/>
      <c r="H2" s="256"/>
      <c r="I2" s="256"/>
    </row>
    <row r="3" spans="1:9" ht="13.5" thickBot="1" x14ac:dyDescent="0.25">
      <c r="A3" s="256"/>
      <c r="B3" s="256"/>
      <c r="C3" s="256"/>
      <c r="D3" s="256"/>
      <c r="E3" s="260"/>
      <c r="F3" s="256"/>
      <c r="G3" s="256"/>
      <c r="H3" s="256"/>
      <c r="I3" s="256"/>
    </row>
    <row r="4" spans="1:9" x14ac:dyDescent="0.2">
      <c r="A4" s="262" t="s">
        <v>52</v>
      </c>
      <c r="B4" s="263" t="s">
        <v>427</v>
      </c>
      <c r="C4" s="263"/>
      <c r="D4" s="264" t="s">
        <v>428</v>
      </c>
      <c r="F4" s="265" t="s">
        <v>217</v>
      </c>
      <c r="G4" s="266"/>
      <c r="H4" s="266"/>
      <c r="I4" s="267"/>
    </row>
    <row r="5" spans="1:9" x14ac:dyDescent="0.2">
      <c r="A5" s="268" t="s">
        <v>502</v>
      </c>
      <c r="B5" s="269" t="s">
        <v>219</v>
      </c>
      <c r="C5" s="269"/>
      <c r="D5" s="270" t="s">
        <v>264</v>
      </c>
      <c r="F5" s="271"/>
      <c r="I5" s="258"/>
    </row>
    <row r="6" spans="1:9" x14ac:dyDescent="0.2">
      <c r="A6" s="272" t="s">
        <v>304</v>
      </c>
      <c r="B6" s="273" t="s">
        <v>382</v>
      </c>
      <c r="C6" s="273"/>
      <c r="D6" s="274" t="s">
        <v>383</v>
      </c>
      <c r="F6" s="271" t="s">
        <v>7</v>
      </c>
      <c r="I6" s="258"/>
    </row>
    <row r="7" spans="1:9" x14ac:dyDescent="0.2">
      <c r="A7" s="275" t="s">
        <v>243</v>
      </c>
      <c r="B7" s="276"/>
      <c r="C7" s="277"/>
      <c r="D7" s="278"/>
      <c r="F7" s="271" t="s">
        <v>280</v>
      </c>
      <c r="I7" s="258"/>
    </row>
    <row r="8" spans="1:9" x14ac:dyDescent="0.2">
      <c r="A8" s="275"/>
      <c r="B8" s="276" t="s">
        <v>164</v>
      </c>
      <c r="C8" s="277"/>
      <c r="D8" s="278"/>
      <c r="F8" s="271" t="s">
        <v>244</v>
      </c>
      <c r="G8" s="12"/>
      <c r="I8" s="258"/>
    </row>
    <row r="9" spans="1:9" x14ac:dyDescent="0.2">
      <c r="A9" s="275" t="s">
        <v>245</v>
      </c>
      <c r="B9" s="279"/>
      <c r="C9" s="277"/>
      <c r="D9" s="280">
        <f>SUM(H13,H25)</f>
        <v>0</v>
      </c>
      <c r="F9" s="271" t="s">
        <v>246</v>
      </c>
      <c r="G9" s="12"/>
      <c r="I9" s="258"/>
    </row>
    <row r="10" spans="1:9" x14ac:dyDescent="0.2">
      <c r="A10" s="275" t="s">
        <v>379</v>
      </c>
      <c r="B10" s="279"/>
      <c r="C10" s="277"/>
      <c r="D10" s="280"/>
      <c r="F10" s="271" t="s">
        <v>507</v>
      </c>
      <c r="G10" s="12" t="s">
        <v>164</v>
      </c>
      <c r="I10" s="258"/>
    </row>
    <row r="11" spans="1:9" x14ac:dyDescent="0.2">
      <c r="A11" s="275" t="s">
        <v>635</v>
      </c>
      <c r="B11" s="279"/>
      <c r="C11" s="277"/>
      <c r="D11" s="280"/>
      <c r="F11" s="271" t="s">
        <v>636</v>
      </c>
      <c r="G11" s="12" t="s">
        <v>164</v>
      </c>
      <c r="I11" s="258"/>
    </row>
    <row r="12" spans="1:9" x14ac:dyDescent="0.2">
      <c r="A12" s="275" t="s">
        <v>641</v>
      </c>
      <c r="B12" s="279"/>
      <c r="C12" s="277"/>
      <c r="D12" s="280"/>
      <c r="F12" s="271" t="s">
        <v>828</v>
      </c>
      <c r="G12" s="12"/>
      <c r="I12" s="258"/>
    </row>
    <row r="13" spans="1:9" ht="12" thickBot="1" x14ac:dyDescent="0.25">
      <c r="A13" s="275" t="s">
        <v>35</v>
      </c>
      <c r="B13" s="281">
        <f>SUM(B9:B12)</f>
        <v>0</v>
      </c>
      <c r="C13" s="277"/>
      <c r="D13" s="282">
        <f>SUM(D9:D12)</f>
        <v>0</v>
      </c>
      <c r="F13" s="271" t="s">
        <v>36</v>
      </c>
      <c r="G13" s="12"/>
      <c r="H13" s="14">
        <f>SUM(G8:G13)</f>
        <v>0</v>
      </c>
      <c r="I13" s="258"/>
    </row>
    <row r="14" spans="1:9" ht="13.5" thickTop="1" x14ac:dyDescent="0.2">
      <c r="A14" s="275"/>
      <c r="B14" s="276"/>
      <c r="C14" s="277"/>
      <c r="D14" s="284"/>
      <c r="F14" s="285" t="s">
        <v>479</v>
      </c>
      <c r="G14" s="12">
        <f>SUM('SCH. B'!G17)</f>
        <v>0</v>
      </c>
      <c r="H14" s="256"/>
      <c r="I14" s="258"/>
    </row>
    <row r="15" spans="1:9" x14ac:dyDescent="0.2">
      <c r="A15" s="275" t="s">
        <v>706</v>
      </c>
      <c r="B15" s="279"/>
      <c r="C15" s="277"/>
      <c r="D15" s="280">
        <f>SUM(H27)</f>
        <v>37500</v>
      </c>
      <c r="F15" s="271" t="s">
        <v>642</v>
      </c>
      <c r="G15" s="14"/>
      <c r="H15" s="12">
        <v>37500</v>
      </c>
      <c r="I15" s="258"/>
    </row>
    <row r="16" spans="1:9" x14ac:dyDescent="0.2">
      <c r="A16" s="275" t="s">
        <v>774</v>
      </c>
      <c r="B16" s="279"/>
      <c r="C16" s="277"/>
      <c r="D16" s="280"/>
      <c r="F16" s="271" t="s">
        <v>775</v>
      </c>
      <c r="G16" s="14"/>
      <c r="H16" s="7" t="s">
        <v>776</v>
      </c>
      <c r="I16" s="258"/>
    </row>
    <row r="17" spans="1:9" x14ac:dyDescent="0.2">
      <c r="A17" s="275" t="s">
        <v>519</v>
      </c>
      <c r="B17" s="279"/>
      <c r="C17" s="277"/>
      <c r="D17" s="280"/>
      <c r="F17" s="271" t="s">
        <v>646</v>
      </c>
      <c r="G17" s="14"/>
      <c r="H17" s="7" t="s">
        <v>645</v>
      </c>
      <c r="I17" s="258"/>
    </row>
    <row r="18" spans="1:9" ht="12" thickBot="1" x14ac:dyDescent="0.25">
      <c r="A18" s="275" t="s">
        <v>526</v>
      </c>
      <c r="B18" s="286">
        <f>SUM(B13,B15:B17)</f>
        <v>0</v>
      </c>
      <c r="C18" s="277"/>
      <c r="D18" s="287">
        <f>SUM(D13:D17)</f>
        <v>37500</v>
      </c>
      <c r="F18" s="271" t="s">
        <v>527</v>
      </c>
      <c r="G18" s="14"/>
      <c r="I18" s="258"/>
    </row>
    <row r="19" spans="1:9" ht="12.75" thickTop="1" thickBot="1" x14ac:dyDescent="0.25">
      <c r="A19" s="288"/>
      <c r="B19" s="289"/>
      <c r="C19" s="290"/>
      <c r="D19" s="299"/>
      <c r="F19" s="271" t="s">
        <v>648</v>
      </c>
      <c r="G19" s="12"/>
      <c r="I19" s="258"/>
    </row>
    <row r="20" spans="1:9" x14ac:dyDescent="0.2">
      <c r="F20" s="271" t="s">
        <v>652</v>
      </c>
      <c r="G20" s="12"/>
      <c r="I20" s="258"/>
    </row>
    <row r="21" spans="1:9" x14ac:dyDescent="0.2">
      <c r="A21" s="292" t="s">
        <v>836</v>
      </c>
      <c r="B21" s="292"/>
      <c r="C21" s="292"/>
      <c r="D21" s="292"/>
      <c r="F21" s="271" t="s">
        <v>522</v>
      </c>
      <c r="G21" s="12"/>
      <c r="I21" s="258"/>
    </row>
    <row r="22" spans="1:9" ht="12.75" x14ac:dyDescent="0.2">
      <c r="A22" s="256"/>
      <c r="F22" s="271" t="s">
        <v>656</v>
      </c>
      <c r="G22" s="12"/>
      <c r="I22" s="258"/>
    </row>
    <row r="23" spans="1:9" x14ac:dyDescent="0.2">
      <c r="A23" s="7" t="s">
        <v>668</v>
      </c>
      <c r="F23" s="271" t="s">
        <v>412</v>
      </c>
      <c r="G23" s="12"/>
      <c r="I23" s="258"/>
    </row>
    <row r="24" spans="1:9" x14ac:dyDescent="0.2">
      <c r="A24" s="7" t="s">
        <v>345</v>
      </c>
      <c r="F24" s="271" t="s">
        <v>538</v>
      </c>
      <c r="G24" s="12"/>
      <c r="I24" s="258"/>
    </row>
    <row r="25" spans="1:9" x14ac:dyDescent="0.2">
      <c r="F25" s="271" t="s">
        <v>539</v>
      </c>
      <c r="H25" s="12">
        <f>SUM(G19:G24)</f>
        <v>0</v>
      </c>
      <c r="I25" s="258"/>
    </row>
    <row r="26" spans="1:9" x14ac:dyDescent="0.2">
      <c r="F26" s="271"/>
      <c r="I26" s="283">
        <f>SUM(H13,H25)</f>
        <v>0</v>
      </c>
    </row>
    <row r="27" spans="1:9" ht="12" thickBot="1" x14ac:dyDescent="0.25">
      <c r="F27" s="293" t="s">
        <v>547</v>
      </c>
      <c r="H27" s="294">
        <f>SUM(H25 +H15)</f>
        <v>37500</v>
      </c>
      <c r="I27" s="258"/>
    </row>
    <row r="28" spans="1:9" ht="12" thickTop="1" x14ac:dyDescent="0.2">
      <c r="F28" s="295"/>
      <c r="G28" s="11"/>
      <c r="H28" s="11"/>
      <c r="I28" s="296"/>
    </row>
    <row r="29" spans="1:9" x14ac:dyDescent="0.2">
      <c r="F29" s="271" t="s">
        <v>417</v>
      </c>
      <c r="I29" s="258"/>
    </row>
    <row r="30" spans="1:9" x14ac:dyDescent="0.2">
      <c r="F30" s="271"/>
      <c r="I30" s="258"/>
    </row>
    <row r="31" spans="1:9" x14ac:dyDescent="0.2">
      <c r="F31" s="271" t="s">
        <v>411</v>
      </c>
      <c r="G31" s="12">
        <f>SUM(D18)</f>
        <v>37500</v>
      </c>
      <c r="H31" s="7" t="s">
        <v>523</v>
      </c>
      <c r="I31" s="258"/>
    </row>
    <row r="32" spans="1:9" x14ac:dyDescent="0.2">
      <c r="F32" s="271" t="s">
        <v>524</v>
      </c>
      <c r="G32" s="12">
        <f>SUM(H27)</f>
        <v>37500</v>
      </c>
      <c r="H32" s="7" t="s">
        <v>397</v>
      </c>
      <c r="I32" s="258"/>
    </row>
    <row r="33" spans="6:9" x14ac:dyDescent="0.2">
      <c r="F33" s="271" t="s">
        <v>398</v>
      </c>
      <c r="G33" s="11">
        <v>0</v>
      </c>
      <c r="H33" s="7" t="s">
        <v>650</v>
      </c>
      <c r="I33" s="258"/>
    </row>
    <row r="34" spans="6:9" x14ac:dyDescent="0.2">
      <c r="F34" s="271"/>
      <c r="H34" s="7" t="s">
        <v>651</v>
      </c>
      <c r="I34" s="258"/>
    </row>
    <row r="35" spans="6:9" x14ac:dyDescent="0.2">
      <c r="F35" s="271" t="s">
        <v>276</v>
      </c>
      <c r="G35" s="11"/>
      <c r="I35" s="258"/>
    </row>
    <row r="36" spans="6:9" x14ac:dyDescent="0.2">
      <c r="F36" s="295"/>
      <c r="G36" s="11"/>
      <c r="H36" s="11"/>
      <c r="I36" s="296"/>
    </row>
    <row r="37" spans="6:9" x14ac:dyDescent="0.2">
      <c r="F37" s="271" t="s">
        <v>530</v>
      </c>
      <c r="I37" s="258"/>
    </row>
    <row r="38" spans="6:9" x14ac:dyDescent="0.2">
      <c r="F38" s="271" t="s">
        <v>409</v>
      </c>
      <c r="I38" s="258"/>
    </row>
    <row r="39" spans="6:9" x14ac:dyDescent="0.2">
      <c r="F39" s="271"/>
      <c r="I39" s="258"/>
    </row>
    <row r="40" spans="6:9" x14ac:dyDescent="0.2">
      <c r="F40" s="271" t="s">
        <v>146</v>
      </c>
      <c r="G40" s="12">
        <f>SUM(H27-H25)</f>
        <v>37500</v>
      </c>
      <c r="H40" s="7" t="s">
        <v>45</v>
      </c>
      <c r="I40" s="258"/>
    </row>
    <row r="41" spans="6:9" x14ac:dyDescent="0.2">
      <c r="F41" s="271" t="s">
        <v>145</v>
      </c>
      <c r="G41" s="11"/>
      <c r="I41" s="258"/>
    </row>
    <row r="42" spans="6:9" x14ac:dyDescent="0.2">
      <c r="F42" s="271" t="s">
        <v>184</v>
      </c>
      <c r="G42" s="11"/>
      <c r="I42" s="258"/>
    </row>
    <row r="43" spans="6:9" x14ac:dyDescent="0.2">
      <c r="F43" s="271" t="s">
        <v>185</v>
      </c>
      <c r="G43" s="11"/>
      <c r="I43" s="258"/>
    </row>
    <row r="44" spans="6:9" x14ac:dyDescent="0.2">
      <c r="F44" s="271"/>
      <c r="I44" s="258"/>
    </row>
    <row r="45" spans="6:9" x14ac:dyDescent="0.2">
      <c r="F45" s="271" t="s">
        <v>132</v>
      </c>
      <c r="I45" s="258"/>
    </row>
    <row r="46" spans="6:9" ht="12" thickBot="1" x14ac:dyDescent="0.25">
      <c r="F46" s="288" t="s">
        <v>130</v>
      </c>
      <c r="G46" s="297">
        <f>SUM(G40:G43)</f>
        <v>37500</v>
      </c>
      <c r="H46" s="290" t="s">
        <v>165</v>
      </c>
      <c r="I46" s="298"/>
    </row>
  </sheetData>
  <phoneticPr fontId="39" type="noConversion"/>
  <printOptions gridLines="1"/>
  <pageMargins left="0.25" right="0.25" top="0.65" bottom="0" header="0.19" footer="0"/>
  <pageSetup scale="77" orientation="portrait" horizontalDpi="300" verticalDpi="300" r:id="rId1"/>
  <headerFooter alignWithMargins="0">
    <oddHeader>&amp;L2/15/12 9:01 PM_x000D_K. Dow File&amp;CTOWN OF TOPSFIELD FINANCE COMMITTEE_x000D_BUDGET WORKSHEETS TAX RECAP SUMMARY_x000D_&amp;R&amp;P_x000D_&amp;"Arial,Bold"&amp;12VERSION 2.0</oddHead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8"/>
  <sheetViews>
    <sheetView workbookViewId="0"/>
  </sheetViews>
  <sheetFormatPr defaultColWidth="8.85546875" defaultRowHeight="12.75" x14ac:dyDescent="0.2"/>
  <cols>
    <col min="1" max="1" width="38.7109375" style="256" customWidth="1"/>
    <col min="2" max="2" width="12" style="256" customWidth="1"/>
    <col min="3" max="3" width="11.28515625" style="256" customWidth="1"/>
    <col min="4" max="5" width="8.28515625" style="256" customWidth="1"/>
    <col min="6" max="6" width="8.7109375" style="256" customWidth="1"/>
    <col min="7" max="16384" width="8.85546875" style="256"/>
  </cols>
  <sheetData>
    <row r="1" spans="1:6" x14ac:dyDescent="0.2">
      <c r="A1" s="300" t="s">
        <v>458</v>
      </c>
      <c r="B1" s="263" t="s">
        <v>698</v>
      </c>
      <c r="C1" s="263" t="s">
        <v>699</v>
      </c>
      <c r="D1" s="263" t="s">
        <v>700</v>
      </c>
      <c r="E1" s="263" t="s">
        <v>701</v>
      </c>
      <c r="F1" s="301" t="s">
        <v>702</v>
      </c>
    </row>
    <row r="2" spans="1:6" x14ac:dyDescent="0.2">
      <c r="A2" s="302" t="s">
        <v>169</v>
      </c>
      <c r="B2" s="269" t="s">
        <v>170</v>
      </c>
      <c r="C2" s="269" t="s">
        <v>308</v>
      </c>
      <c r="D2" s="269" t="s">
        <v>309</v>
      </c>
      <c r="E2" s="269" t="s">
        <v>503</v>
      </c>
      <c r="F2" s="303" t="s">
        <v>444</v>
      </c>
    </row>
    <row r="3" spans="1:6" x14ac:dyDescent="0.2">
      <c r="A3" s="304"/>
      <c r="B3" s="269"/>
      <c r="C3" s="269" t="s">
        <v>435</v>
      </c>
      <c r="D3" s="269" t="s">
        <v>436</v>
      </c>
      <c r="E3" s="269" t="s">
        <v>437</v>
      </c>
      <c r="F3" s="303" t="s">
        <v>560</v>
      </c>
    </row>
    <row r="4" spans="1:6" ht="13.5" thickBot="1" x14ac:dyDescent="0.25">
      <c r="A4" s="305"/>
      <c r="B4" s="306"/>
      <c r="C4" s="306" t="s">
        <v>561</v>
      </c>
      <c r="D4" s="306" t="s">
        <v>439</v>
      </c>
      <c r="E4" s="306" t="s">
        <v>436</v>
      </c>
      <c r="F4" s="307" t="s">
        <v>168</v>
      </c>
    </row>
    <row r="5" spans="1:6" x14ac:dyDescent="0.2">
      <c r="A5" s="308" t="s">
        <v>199</v>
      </c>
      <c r="B5" s="309"/>
      <c r="C5" s="309"/>
      <c r="D5" s="309"/>
      <c r="E5" s="309"/>
      <c r="F5" s="310">
        <f>SUM('SCH. B'!H15)</f>
        <v>0</v>
      </c>
    </row>
    <row r="6" spans="1:6" x14ac:dyDescent="0.2">
      <c r="A6" s="308" t="s">
        <v>200</v>
      </c>
      <c r="B6" s="309"/>
      <c r="C6" s="309"/>
      <c r="D6" s="309"/>
      <c r="E6" s="309"/>
      <c r="F6" s="310">
        <f>SUM('SCH. B'!H16)</f>
        <v>0</v>
      </c>
    </row>
    <row r="7" spans="1:6" x14ac:dyDescent="0.2">
      <c r="A7" s="378" t="s">
        <v>477</v>
      </c>
      <c r="B7" s="377"/>
      <c r="C7" s="311"/>
      <c r="D7" s="311"/>
      <c r="E7" s="311"/>
      <c r="F7" s="312">
        <f>SUM('SCH. B'!H14)</f>
        <v>0</v>
      </c>
    </row>
    <row r="8" spans="1:6" x14ac:dyDescent="0.2">
      <c r="A8" s="295" t="s">
        <v>164</v>
      </c>
      <c r="B8" s="311"/>
      <c r="C8" s="311"/>
      <c r="D8" s="311"/>
      <c r="E8" s="311"/>
      <c r="F8" s="312" t="s">
        <v>164</v>
      </c>
    </row>
    <row r="9" spans="1:6" x14ac:dyDescent="0.2">
      <c r="A9" s="295"/>
      <c r="B9" s="311"/>
      <c r="C9" s="311"/>
      <c r="D9" s="311"/>
      <c r="E9" s="311"/>
      <c r="F9" s="312"/>
    </row>
    <row r="10" spans="1:6" x14ac:dyDescent="0.2">
      <c r="A10" s="295"/>
      <c r="B10" s="311"/>
      <c r="C10" s="311"/>
      <c r="D10" s="311"/>
      <c r="E10" s="311"/>
      <c r="F10" s="312"/>
    </row>
    <row r="11" spans="1:6" ht="13.5" thickBot="1" x14ac:dyDescent="0.25">
      <c r="A11" s="288" t="s">
        <v>329</v>
      </c>
      <c r="B11" s="313"/>
      <c r="C11" s="313"/>
      <c r="D11" s="313"/>
      <c r="E11" s="313"/>
      <c r="F11" s="314">
        <f>SUM(F5:F10)</f>
        <v>0</v>
      </c>
    </row>
    <row r="12" spans="1:6" x14ac:dyDescent="0.2">
      <c r="A12" s="7"/>
      <c r="B12" s="7"/>
      <c r="C12" s="7"/>
      <c r="D12" s="7"/>
      <c r="E12" s="7"/>
      <c r="F12" s="7"/>
    </row>
    <row r="13" spans="1:6" x14ac:dyDescent="0.2">
      <c r="A13" s="292" t="s">
        <v>583</v>
      </c>
      <c r="B13" s="292"/>
      <c r="C13" s="7"/>
      <c r="D13" s="7"/>
      <c r="E13" s="7"/>
      <c r="F13" s="7"/>
    </row>
    <row r="14" spans="1:6" x14ac:dyDescent="0.2">
      <c r="A14" s="7"/>
      <c r="B14" s="7"/>
      <c r="C14" s="7"/>
      <c r="D14" s="7"/>
      <c r="E14" s="7"/>
      <c r="F14" s="7"/>
    </row>
    <row r="15" spans="1:6" x14ac:dyDescent="0.2">
      <c r="A15" s="7" t="s">
        <v>573</v>
      </c>
      <c r="B15" s="7"/>
      <c r="C15" s="7"/>
      <c r="D15" s="7"/>
      <c r="E15" s="7"/>
      <c r="F15" s="7"/>
    </row>
    <row r="17" spans="1:6" ht="13.5" thickBot="1" x14ac:dyDescent="0.25"/>
    <row r="18" spans="1:6" x14ac:dyDescent="0.2">
      <c r="A18" s="300" t="s">
        <v>87</v>
      </c>
      <c r="B18" s="263" t="s">
        <v>698</v>
      </c>
      <c r="C18" s="263" t="s">
        <v>699</v>
      </c>
      <c r="D18" s="263" t="s">
        <v>700</v>
      </c>
      <c r="E18" s="263" t="s">
        <v>701</v>
      </c>
      <c r="F18" s="301" t="s">
        <v>702</v>
      </c>
    </row>
    <row r="19" spans="1:6" x14ac:dyDescent="0.2">
      <c r="A19" s="302" t="s">
        <v>169</v>
      </c>
      <c r="B19" s="269" t="s">
        <v>170</v>
      </c>
      <c r="C19" s="269" t="s">
        <v>308</v>
      </c>
      <c r="D19" s="269" t="s">
        <v>309</v>
      </c>
      <c r="E19" s="269" t="s">
        <v>503</v>
      </c>
      <c r="F19" s="303" t="s">
        <v>444</v>
      </c>
    </row>
    <row r="20" spans="1:6" x14ac:dyDescent="0.2">
      <c r="A20" s="304"/>
      <c r="B20" s="269"/>
      <c r="C20" s="269" t="s">
        <v>435</v>
      </c>
      <c r="D20" s="269" t="s">
        <v>436</v>
      </c>
      <c r="E20" s="269" t="s">
        <v>437</v>
      </c>
      <c r="F20" s="303" t="s">
        <v>560</v>
      </c>
    </row>
    <row r="21" spans="1:6" ht="13.5" thickBot="1" x14ac:dyDescent="0.25">
      <c r="A21" s="305"/>
      <c r="B21" s="306"/>
      <c r="C21" s="306" t="s">
        <v>561</v>
      </c>
      <c r="D21" s="306" t="s">
        <v>439</v>
      </c>
      <c r="E21" s="306" t="s">
        <v>436</v>
      </c>
      <c r="F21" s="307" t="s">
        <v>168</v>
      </c>
    </row>
    <row r="22" spans="1:6" x14ac:dyDescent="0.2">
      <c r="A22" s="308" t="s">
        <v>199</v>
      </c>
      <c r="B22" s="309"/>
      <c r="C22" s="309"/>
      <c r="D22" s="309"/>
      <c r="E22" s="309"/>
      <c r="F22" s="310">
        <f>SUM('SCH. B'!H32)</f>
        <v>0</v>
      </c>
    </row>
    <row r="23" spans="1:6" x14ac:dyDescent="0.2">
      <c r="A23" s="308" t="s">
        <v>200</v>
      </c>
      <c r="B23" s="309"/>
      <c r="C23" s="309"/>
      <c r="D23" s="309"/>
      <c r="E23" s="309"/>
      <c r="F23" s="310">
        <f>SUM('SCH. B'!H33)</f>
        <v>0</v>
      </c>
    </row>
    <row r="24" spans="1:6" x14ac:dyDescent="0.2">
      <c r="A24" s="378" t="s">
        <v>477</v>
      </c>
      <c r="B24" s="377"/>
      <c r="C24" s="311"/>
      <c r="D24" s="311"/>
      <c r="E24" s="311"/>
      <c r="F24" s="312">
        <f>SUM('SCH. B'!H31)</f>
        <v>0</v>
      </c>
    </row>
    <row r="25" spans="1:6" x14ac:dyDescent="0.2">
      <c r="A25" s="295" t="s">
        <v>164</v>
      </c>
      <c r="B25" s="311"/>
      <c r="C25" s="311"/>
      <c r="D25" s="311"/>
      <c r="E25" s="311"/>
      <c r="F25" s="312" t="s">
        <v>164</v>
      </c>
    </row>
    <row r="26" spans="1:6" x14ac:dyDescent="0.2">
      <c r="A26" s="295"/>
      <c r="B26" s="311"/>
      <c r="C26" s="311"/>
      <c r="D26" s="311"/>
      <c r="E26" s="311"/>
      <c r="F26" s="312"/>
    </row>
    <row r="27" spans="1:6" x14ac:dyDescent="0.2">
      <c r="A27" s="295"/>
      <c r="B27" s="311"/>
      <c r="C27" s="311"/>
      <c r="D27" s="311"/>
      <c r="E27" s="311"/>
      <c r="F27" s="312"/>
    </row>
    <row r="28" spans="1:6" ht="13.5" thickBot="1" x14ac:dyDescent="0.25">
      <c r="A28" s="288" t="s">
        <v>329</v>
      </c>
      <c r="B28" s="313"/>
      <c r="C28" s="313"/>
      <c r="D28" s="313"/>
      <c r="E28" s="313"/>
      <c r="F28" s="314">
        <f>SUM(F22:F27)</f>
        <v>0</v>
      </c>
    </row>
  </sheetData>
  <phoneticPr fontId="39" type="noConversion"/>
  <printOptions gridLines="1"/>
  <pageMargins left="0.25" right="0.25" top="0.65" bottom="0" header="0.19" footer="0"/>
  <pageSetup orientation="portrait" horizontalDpi="300" verticalDpi="300" r:id="rId1"/>
  <headerFooter alignWithMargins="0">
    <oddHeader>&amp;L2/15/12 9:01 PM_x000D_K. Dow File&amp;CTOWN OF TOPSFIELD FINANCE COMMITTEE_x000D_BUDGET WORKSHEETS TAX RECAP SUMMARY_x000D_&amp;R&amp;P_x000D_&amp;"Arial,Bold"&amp;12VERSION 2.0</oddHead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9"/>
  <sheetViews>
    <sheetView workbookViewId="0"/>
  </sheetViews>
  <sheetFormatPr defaultColWidth="8.85546875" defaultRowHeight="11.25" x14ac:dyDescent="0.2"/>
  <cols>
    <col min="1" max="3" width="8.85546875" style="7"/>
    <col min="4" max="4" width="10.85546875" style="7" customWidth="1"/>
    <col min="5" max="5" width="12.28515625" style="7" customWidth="1"/>
    <col min="6" max="6" width="1.7109375" style="7" customWidth="1"/>
    <col min="7" max="7" width="40.140625" style="7" customWidth="1"/>
    <col min="8" max="16384" width="8.85546875" style="7"/>
  </cols>
  <sheetData>
    <row r="1" spans="1:7" s="319" customFormat="1" x14ac:dyDescent="0.2">
      <c r="A1" s="300" t="s">
        <v>590</v>
      </c>
      <c r="B1" s="315"/>
      <c r="C1" s="315"/>
      <c r="D1" s="316"/>
      <c r="E1" s="317"/>
      <c r="F1" s="317"/>
      <c r="G1" s="318"/>
    </row>
    <row r="2" spans="1:7" s="319" customFormat="1" x14ac:dyDescent="0.2">
      <c r="A2" s="302" t="s">
        <v>711</v>
      </c>
      <c r="B2" s="320"/>
      <c r="C2" s="320"/>
      <c r="D2" s="321"/>
      <c r="E2" s="322"/>
      <c r="F2" s="322"/>
      <c r="G2" s="323"/>
    </row>
    <row r="3" spans="1:7" s="319" customFormat="1" ht="12" thickBot="1" x14ac:dyDescent="0.25">
      <c r="A3" s="324" t="s">
        <v>453</v>
      </c>
      <c r="B3" s="325"/>
      <c r="C3" s="325"/>
      <c r="D3" s="326"/>
      <c r="E3" s="327" t="s">
        <v>717</v>
      </c>
      <c r="F3" s="328"/>
      <c r="G3" s="329" t="s">
        <v>357</v>
      </c>
    </row>
    <row r="4" spans="1:7" x14ac:dyDescent="0.2">
      <c r="A4" s="271"/>
      <c r="D4" s="330"/>
      <c r="E4" s="330"/>
      <c r="F4" s="330"/>
      <c r="G4" s="258"/>
    </row>
    <row r="5" spans="1:7" x14ac:dyDescent="0.2">
      <c r="A5" s="331" t="s">
        <v>718</v>
      </c>
      <c r="D5" s="330"/>
      <c r="E5" s="332"/>
      <c r="F5" s="330"/>
      <c r="G5" s="258"/>
    </row>
    <row r="6" spans="1:7" x14ac:dyDescent="0.2">
      <c r="A6" s="271" t="s">
        <v>457</v>
      </c>
      <c r="D6" s="330"/>
      <c r="E6" s="333"/>
      <c r="F6" s="330"/>
      <c r="G6" s="258"/>
    </row>
    <row r="7" spans="1:7" x14ac:dyDescent="0.2">
      <c r="A7" s="271" t="s">
        <v>719</v>
      </c>
      <c r="D7" s="330"/>
      <c r="E7" s="332"/>
      <c r="F7" s="330"/>
      <c r="G7" s="258"/>
    </row>
    <row r="8" spans="1:7" x14ac:dyDescent="0.2">
      <c r="A8" s="271" t="s">
        <v>581</v>
      </c>
      <c r="D8" s="330"/>
      <c r="E8" s="333"/>
      <c r="F8" s="330"/>
      <c r="G8" s="258"/>
    </row>
    <row r="9" spans="1:7" x14ac:dyDescent="0.2">
      <c r="A9" s="271"/>
      <c r="D9" s="330"/>
      <c r="E9" s="332"/>
      <c r="F9" s="330"/>
      <c r="G9" s="258"/>
    </row>
    <row r="10" spans="1:7" x14ac:dyDescent="0.2">
      <c r="A10" s="331" t="s">
        <v>582</v>
      </c>
      <c r="D10" s="330"/>
      <c r="E10" s="333">
        <f>SUM(E6:E8)</f>
        <v>0</v>
      </c>
      <c r="F10" s="330"/>
      <c r="G10" s="258"/>
    </row>
    <row r="11" spans="1:7" x14ac:dyDescent="0.2">
      <c r="A11" s="271"/>
      <c r="D11" s="330"/>
      <c r="E11" s="332"/>
      <c r="F11" s="330"/>
      <c r="G11" s="258"/>
    </row>
    <row r="12" spans="1:7" x14ac:dyDescent="0.2">
      <c r="A12" s="271" t="s">
        <v>735</v>
      </c>
      <c r="D12" s="330"/>
      <c r="E12" s="332"/>
      <c r="F12" s="330"/>
      <c r="G12" s="258"/>
    </row>
    <row r="13" spans="1:7" x14ac:dyDescent="0.2">
      <c r="A13" s="271" t="s">
        <v>720</v>
      </c>
      <c r="D13" s="330"/>
      <c r="E13" s="332"/>
      <c r="F13" s="330"/>
      <c r="G13" s="258"/>
    </row>
    <row r="14" spans="1:7" x14ac:dyDescent="0.2">
      <c r="A14" s="271"/>
      <c r="D14" s="330"/>
      <c r="E14" s="332"/>
      <c r="F14" s="330"/>
      <c r="G14" s="258"/>
    </row>
    <row r="15" spans="1:7" x14ac:dyDescent="0.2">
      <c r="A15" s="271" t="s">
        <v>338</v>
      </c>
      <c r="D15" s="330"/>
      <c r="E15" s="333">
        <v>0</v>
      </c>
      <c r="F15" s="330"/>
      <c r="G15" s="258" t="s">
        <v>337</v>
      </c>
    </row>
    <row r="16" spans="1:7" x14ac:dyDescent="0.2">
      <c r="A16" s="271" t="s">
        <v>405</v>
      </c>
      <c r="C16" s="7" t="s">
        <v>164</v>
      </c>
      <c r="D16" s="330"/>
      <c r="E16" s="332"/>
      <c r="F16" s="330"/>
      <c r="G16" s="258"/>
    </row>
    <row r="17" spans="1:7" x14ac:dyDescent="0.2">
      <c r="A17" s="271" t="s">
        <v>455</v>
      </c>
      <c r="D17" s="330"/>
      <c r="E17" s="333" t="e">
        <f>'RECAP SUMMARY'!#REF!</f>
        <v>#REF!</v>
      </c>
      <c r="F17" s="330"/>
      <c r="G17" s="258" t="s">
        <v>577</v>
      </c>
    </row>
    <row r="18" spans="1:7" x14ac:dyDescent="0.2">
      <c r="A18" s="271" t="s">
        <v>578</v>
      </c>
      <c r="D18" s="330"/>
      <c r="E18" s="333" t="e">
        <f>'RECAP SUMMARY'!#REF!</f>
        <v>#REF!</v>
      </c>
      <c r="F18" s="330"/>
      <c r="G18" s="258" t="s">
        <v>738</v>
      </c>
    </row>
    <row r="19" spans="1:7" x14ac:dyDescent="0.2">
      <c r="A19" s="271"/>
      <c r="D19" s="330"/>
      <c r="E19" s="332"/>
      <c r="F19" s="330"/>
      <c r="G19" s="258"/>
    </row>
    <row r="20" spans="1:7" x14ac:dyDescent="0.2">
      <c r="A20" s="331" t="s">
        <v>591</v>
      </c>
      <c r="D20" s="330"/>
      <c r="E20" s="333" t="e">
        <f>SUM(E10-E15-E17-E18)</f>
        <v>#REF!</v>
      </c>
      <c r="F20" s="330"/>
      <c r="G20" s="258" t="s">
        <v>592</v>
      </c>
    </row>
    <row r="21" spans="1:7" x14ac:dyDescent="0.2">
      <c r="A21" s="271"/>
      <c r="D21" s="330"/>
      <c r="E21" s="332"/>
      <c r="F21" s="330"/>
      <c r="G21" s="258"/>
    </row>
    <row r="22" spans="1:7" x14ac:dyDescent="0.2">
      <c r="A22" s="331" t="s">
        <v>593</v>
      </c>
      <c r="D22" s="330"/>
      <c r="E22" s="332"/>
      <c r="F22" s="330"/>
      <c r="G22" s="258"/>
    </row>
    <row r="23" spans="1:7" x14ac:dyDescent="0.2">
      <c r="A23" s="271"/>
      <c r="D23" s="330"/>
      <c r="E23" s="332"/>
      <c r="F23" s="330"/>
      <c r="G23" s="258"/>
    </row>
    <row r="24" spans="1:7" x14ac:dyDescent="0.2">
      <c r="A24" s="271" t="s">
        <v>80</v>
      </c>
      <c r="D24" s="330"/>
      <c r="E24" s="333">
        <v>0</v>
      </c>
      <c r="F24" s="330"/>
      <c r="G24" s="258"/>
    </row>
    <row r="25" spans="1:7" x14ac:dyDescent="0.2">
      <c r="A25" s="271" t="s">
        <v>719</v>
      </c>
      <c r="D25" s="330"/>
      <c r="E25" s="332"/>
      <c r="F25" s="330"/>
      <c r="G25" s="258"/>
    </row>
    <row r="26" spans="1:7" x14ac:dyDescent="0.2">
      <c r="A26" s="271" t="s">
        <v>581</v>
      </c>
      <c r="D26" s="330"/>
      <c r="E26" s="333">
        <v>0</v>
      </c>
      <c r="F26" s="330"/>
      <c r="G26" s="258"/>
    </row>
    <row r="27" spans="1:7" x14ac:dyDescent="0.2">
      <c r="A27" s="271"/>
      <c r="D27" s="330"/>
      <c r="E27" s="332"/>
      <c r="F27" s="330"/>
      <c r="G27" s="258"/>
    </row>
    <row r="28" spans="1:7" x14ac:dyDescent="0.2">
      <c r="A28" s="331" t="s">
        <v>327</v>
      </c>
      <c r="D28" s="330"/>
      <c r="E28" s="333">
        <f>SUM(E24+E26)</f>
        <v>0</v>
      </c>
      <c r="F28" s="330"/>
      <c r="G28" s="258"/>
    </row>
    <row r="29" spans="1:7" x14ac:dyDescent="0.2">
      <c r="A29" s="271"/>
      <c r="D29" s="330"/>
      <c r="E29" s="332"/>
      <c r="F29" s="330"/>
      <c r="G29" s="258"/>
    </row>
    <row r="30" spans="1:7" x14ac:dyDescent="0.2">
      <c r="A30" s="271" t="s">
        <v>466</v>
      </c>
      <c r="D30" s="330"/>
      <c r="E30" s="332"/>
      <c r="F30" s="330"/>
      <c r="G30" s="258"/>
    </row>
    <row r="31" spans="1:7" x14ac:dyDescent="0.2">
      <c r="A31" s="271" t="s">
        <v>604</v>
      </c>
      <c r="D31" s="330"/>
      <c r="E31" s="332"/>
      <c r="F31" s="330"/>
      <c r="G31" s="258"/>
    </row>
    <row r="32" spans="1:7" x14ac:dyDescent="0.2">
      <c r="A32" s="271"/>
      <c r="D32" s="330"/>
      <c r="E32" s="332"/>
      <c r="F32" s="330"/>
      <c r="G32" s="258"/>
    </row>
    <row r="33" spans="1:7" x14ac:dyDescent="0.2">
      <c r="A33" s="271" t="s">
        <v>349</v>
      </c>
      <c r="D33" s="330"/>
      <c r="E33" s="333" t="s">
        <v>160</v>
      </c>
      <c r="F33" s="330"/>
      <c r="G33" s="258"/>
    </row>
    <row r="34" spans="1:7" x14ac:dyDescent="0.2">
      <c r="A34" s="271"/>
      <c r="D34" s="330"/>
      <c r="E34" s="333"/>
      <c r="F34" s="330"/>
      <c r="G34" s="258"/>
    </row>
    <row r="35" spans="1:7" x14ac:dyDescent="0.2">
      <c r="A35" s="331" t="s">
        <v>591</v>
      </c>
      <c r="D35" s="330"/>
      <c r="E35" s="333" t="s">
        <v>160</v>
      </c>
      <c r="F35" s="330"/>
      <c r="G35" s="258"/>
    </row>
    <row r="36" spans="1:7" ht="12" thickBot="1" x14ac:dyDescent="0.25">
      <c r="A36" s="288"/>
      <c r="B36" s="290"/>
      <c r="C36" s="290"/>
      <c r="D36" s="290"/>
      <c r="E36" s="334"/>
      <c r="F36" s="290"/>
      <c r="G36" s="298"/>
    </row>
    <row r="37" spans="1:7" x14ac:dyDescent="0.2">
      <c r="E37" s="21"/>
    </row>
    <row r="38" spans="1:7" x14ac:dyDescent="0.2">
      <c r="E38" s="21"/>
    </row>
    <row r="39" spans="1:7" x14ac:dyDescent="0.2">
      <c r="E39" s="21"/>
    </row>
  </sheetData>
  <phoneticPr fontId="39" type="noConversion"/>
  <printOptions gridLines="1"/>
  <pageMargins left="0.25" right="0.25" top="0.65" bottom="0" header="0.19" footer="0"/>
  <pageSetup orientation="portrait" horizontalDpi="300" verticalDpi="300" r:id="rId1"/>
  <headerFooter alignWithMargins="0">
    <oddHeader>&amp;L2/15/12 9:01 PM_x000D_K. Dow File&amp;CTOWN OF TOPSFIELD FINANCE COMMITTEE_x000D_BUDGET WORKSHEETS TAX RECAP SUMMARY_x000D_&amp;R&amp;P_x000D_&amp;"Arial,Bold"&amp;12VERSION 2.0</oddHead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"/>
  <sheetViews>
    <sheetView workbookViewId="0"/>
  </sheetViews>
  <sheetFormatPr defaultRowHeight="12.75" x14ac:dyDescent="0.2"/>
  <cols>
    <col min="1" max="1" width="45.7109375" style="7" customWidth="1"/>
    <col min="2" max="2" width="12.42578125" style="1648" customWidth="1"/>
    <col min="3" max="3" width="3.140625" customWidth="1"/>
    <col min="4" max="4" width="45.7109375" customWidth="1"/>
    <col min="5" max="5" width="10.7109375" style="1665" bestFit="1" customWidth="1"/>
    <col min="6" max="6" width="8.7109375" customWidth="1"/>
  </cols>
  <sheetData>
    <row r="1" spans="1:6" x14ac:dyDescent="0.2">
      <c r="A1" s="7" t="s">
        <v>1009</v>
      </c>
      <c r="D1" s="256" t="s">
        <v>1039</v>
      </c>
    </row>
    <row r="2" spans="1:6" x14ac:dyDescent="0.2">
      <c r="D2" s="7"/>
      <c r="E2" s="1648"/>
    </row>
    <row r="3" spans="1:6" x14ac:dyDescent="0.2">
      <c r="A3" s="7" t="s">
        <v>988</v>
      </c>
      <c r="B3" s="1648">
        <v>0</v>
      </c>
      <c r="D3" s="7" t="s">
        <v>988</v>
      </c>
      <c r="E3" s="1648">
        <v>119250</v>
      </c>
    </row>
    <row r="4" spans="1:6" x14ac:dyDescent="0.2">
      <c r="A4" s="7" t="s">
        <v>1031</v>
      </c>
      <c r="B4" s="1648">
        <v>311899.45</v>
      </c>
      <c r="D4" s="7" t="s">
        <v>1031</v>
      </c>
      <c r="E4" s="1648">
        <v>302815</v>
      </c>
    </row>
    <row r="5" spans="1:6" x14ac:dyDescent="0.2">
      <c r="A5" s="7" t="s">
        <v>1000</v>
      </c>
      <c r="B5" s="1648">
        <v>0</v>
      </c>
      <c r="D5" s="7" t="s">
        <v>1000</v>
      </c>
      <c r="E5" s="1648">
        <v>0</v>
      </c>
    </row>
    <row r="6" spans="1:6" x14ac:dyDescent="0.2">
      <c r="A6" s="7" t="s">
        <v>881</v>
      </c>
      <c r="B6" s="1648">
        <v>0</v>
      </c>
      <c r="D6" s="7" t="s">
        <v>881</v>
      </c>
      <c r="E6" s="1648">
        <v>0</v>
      </c>
    </row>
    <row r="7" spans="1:6" x14ac:dyDescent="0.2">
      <c r="A7" s="7" t="s">
        <v>595</v>
      </c>
      <c r="B7" s="1648">
        <v>1250</v>
      </c>
      <c r="D7" s="7" t="s">
        <v>595</v>
      </c>
      <c r="E7" s="1648">
        <v>1250</v>
      </c>
    </row>
    <row r="8" spans="1:6" x14ac:dyDescent="0.2">
      <c r="A8" s="7" t="s">
        <v>1032</v>
      </c>
      <c r="B8" s="1648">
        <v>20500</v>
      </c>
      <c r="D8" s="7" t="s">
        <v>1032</v>
      </c>
      <c r="E8" s="1648">
        <v>20500</v>
      </c>
    </row>
    <row r="9" spans="1:6" x14ac:dyDescent="0.2">
      <c r="A9" s="7" t="s">
        <v>1033</v>
      </c>
      <c r="B9" s="1648">
        <v>1500</v>
      </c>
      <c r="D9" s="7" t="s">
        <v>1033</v>
      </c>
      <c r="E9" s="1648">
        <v>1500</v>
      </c>
    </row>
    <row r="10" spans="1:6" x14ac:dyDescent="0.2">
      <c r="A10" s="7" t="s">
        <v>1030</v>
      </c>
      <c r="B10" s="1648">
        <v>300000</v>
      </c>
      <c r="D10" s="7" t="s">
        <v>1034</v>
      </c>
      <c r="E10" s="1667">
        <v>37000</v>
      </c>
      <c r="F10" s="1669">
        <f>SUM(E10:E20)-E12-E13-E14</f>
        <v>615000</v>
      </c>
    </row>
    <row r="11" spans="1:6" x14ac:dyDescent="0.2">
      <c r="A11" s="1666" t="s">
        <v>990</v>
      </c>
      <c r="B11" s="1648">
        <v>0</v>
      </c>
      <c r="D11" s="7" t="s">
        <v>990</v>
      </c>
      <c r="E11" s="1667">
        <v>62000</v>
      </c>
    </row>
    <row r="12" spans="1:6" x14ac:dyDescent="0.2">
      <c r="A12" s="1666" t="s">
        <v>991</v>
      </c>
      <c r="B12" s="1648">
        <v>0</v>
      </c>
      <c r="D12" s="7" t="s">
        <v>991</v>
      </c>
      <c r="E12" s="1668">
        <v>100000</v>
      </c>
    </row>
    <row r="13" spans="1:6" x14ac:dyDescent="0.2">
      <c r="A13" s="1666" t="s">
        <v>992</v>
      </c>
      <c r="B13" s="1648">
        <v>0</v>
      </c>
      <c r="D13" s="7" t="s">
        <v>992</v>
      </c>
      <c r="E13" s="1668">
        <v>25000</v>
      </c>
    </row>
    <row r="14" spans="1:6" x14ac:dyDescent="0.2">
      <c r="A14" s="1666" t="s">
        <v>993</v>
      </c>
      <c r="B14" s="1648">
        <v>0</v>
      </c>
      <c r="D14" s="7" t="s">
        <v>993</v>
      </c>
      <c r="E14" s="1668">
        <v>100000</v>
      </c>
    </row>
    <row r="15" spans="1:6" x14ac:dyDescent="0.2">
      <c r="A15" s="1666" t="s">
        <v>994</v>
      </c>
      <c r="B15" s="1648">
        <v>0</v>
      </c>
      <c r="D15" s="7" t="s">
        <v>994</v>
      </c>
      <c r="E15" s="1667">
        <v>165000</v>
      </c>
    </row>
    <row r="16" spans="1:6" x14ac:dyDescent="0.2">
      <c r="A16" s="1666" t="s">
        <v>995</v>
      </c>
      <c r="B16" s="1648">
        <v>0</v>
      </c>
      <c r="D16" s="7" t="s">
        <v>995</v>
      </c>
      <c r="E16" s="1667">
        <v>26000</v>
      </c>
    </row>
    <row r="17" spans="1:5" x14ac:dyDescent="0.2">
      <c r="A17" s="1666" t="s">
        <v>996</v>
      </c>
      <c r="B17" s="1648">
        <v>0</v>
      </c>
      <c r="D17" s="7" t="s">
        <v>996</v>
      </c>
      <c r="E17" s="1667">
        <v>30000</v>
      </c>
    </row>
    <row r="18" spans="1:5" x14ac:dyDescent="0.2">
      <c r="B18" s="1648">
        <v>0</v>
      </c>
      <c r="D18" s="7" t="s">
        <v>1035</v>
      </c>
      <c r="E18" s="1667">
        <v>210000</v>
      </c>
    </row>
    <row r="19" spans="1:5" x14ac:dyDescent="0.2">
      <c r="B19" s="1648">
        <v>0</v>
      </c>
      <c r="D19" s="7" t="s">
        <v>1036</v>
      </c>
      <c r="E19" s="1667">
        <v>85000</v>
      </c>
    </row>
    <row r="20" spans="1:5" x14ac:dyDescent="0.2">
      <c r="B20" s="1648">
        <v>0</v>
      </c>
      <c r="D20" s="7" t="s">
        <v>1037</v>
      </c>
      <c r="E20" s="1648">
        <v>0</v>
      </c>
    </row>
    <row r="21" spans="1:5" x14ac:dyDescent="0.2">
      <c r="A21" s="7" t="str">
        <f>D21</f>
        <v>General Stabilization</v>
      </c>
      <c r="B21" s="1648">
        <v>25000</v>
      </c>
      <c r="D21" s="7" t="s">
        <v>1038</v>
      </c>
      <c r="E21" s="1648">
        <v>25000</v>
      </c>
    </row>
    <row r="22" spans="1:5" x14ac:dyDescent="0.2">
      <c r="A22" s="7" t="s">
        <v>946</v>
      </c>
      <c r="B22" s="1648">
        <v>100000</v>
      </c>
      <c r="D22" s="7" t="s">
        <v>946</v>
      </c>
      <c r="E22" s="1648">
        <v>100000</v>
      </c>
    </row>
    <row r="23" spans="1:5" x14ac:dyDescent="0.2">
      <c r="A23" s="7" t="s">
        <v>999</v>
      </c>
      <c r="B23" s="1648">
        <v>320000</v>
      </c>
      <c r="D23" s="7" t="s">
        <v>999</v>
      </c>
      <c r="E23" s="1648">
        <v>300000</v>
      </c>
    </row>
    <row r="24" spans="1:5" x14ac:dyDescent="0.2">
      <c r="A24" s="7" t="s">
        <v>998</v>
      </c>
      <c r="B24" s="1648">
        <v>0</v>
      </c>
      <c r="D24" s="7" t="s">
        <v>998</v>
      </c>
      <c r="E24" s="1648">
        <v>0</v>
      </c>
    </row>
    <row r="26" spans="1:5" x14ac:dyDescent="0.2">
      <c r="A26" s="7" t="s">
        <v>1040</v>
      </c>
      <c r="B26" s="1670">
        <v>0.03</v>
      </c>
    </row>
  </sheetData>
  <pageMargins left="0.7" right="0.7" top="0.75" bottom="0.75" header="0.3" footer="0.3"/>
  <pageSetup scale="9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336"/>
  <sheetViews>
    <sheetView tabSelected="1" topLeftCell="A4" zoomScale="130" zoomScaleNormal="130" workbookViewId="0">
      <selection activeCell="AS8" sqref="AS8:AS17"/>
    </sheetView>
  </sheetViews>
  <sheetFormatPr defaultColWidth="4" defaultRowHeight="27" customHeight="1" outlineLevelRow="1" outlineLevelCol="1" x14ac:dyDescent="0.2"/>
  <cols>
    <col min="1" max="1" width="33.28515625" style="1496" customWidth="1"/>
    <col min="2" max="3" width="10.85546875" style="1319" hidden="1" customWidth="1"/>
    <col min="4" max="4" width="11" style="1319" hidden="1" customWidth="1"/>
    <col min="5" max="5" width="10.42578125" style="1319" hidden="1" customWidth="1"/>
    <col min="6" max="16" width="11.85546875" style="1319" hidden="1" customWidth="1"/>
    <col min="17" max="18" width="10" style="1319" hidden="1" customWidth="1"/>
    <col min="19" max="19" width="8.140625" style="1319" hidden="1" customWidth="1"/>
    <col min="20" max="20" width="10.85546875" style="1319" hidden="1" customWidth="1"/>
    <col min="21" max="21" width="8.28515625" style="1319" hidden="1" customWidth="1"/>
    <col min="22" max="22" width="12" style="1319" hidden="1" customWidth="1"/>
    <col min="23" max="23" width="11.7109375" style="1319" hidden="1" customWidth="1"/>
    <col min="24" max="25" width="10.7109375" style="1319" customWidth="1" outlineLevel="1"/>
    <col min="26" max="26" width="11.42578125" style="1319" customWidth="1" outlineLevel="1"/>
    <col min="27" max="27" width="10.7109375" style="1319" customWidth="1"/>
    <col min="28" max="28" width="9.28515625" style="1319" customWidth="1"/>
    <col min="29" max="29" width="6.5703125" style="1319" customWidth="1"/>
    <col min="30" max="30" width="8.5703125" style="1496" hidden="1" customWidth="1"/>
    <col min="31" max="31" width="11.85546875" style="1324" hidden="1" customWidth="1" outlineLevel="1"/>
    <col min="32" max="32" width="9" style="1324" hidden="1" customWidth="1" outlineLevel="1"/>
    <col min="33" max="33" width="7.28515625" style="1324" hidden="1" customWidth="1" outlineLevel="1"/>
    <col min="34" max="34" width="17.28515625" style="1324" hidden="1" customWidth="1" outlineLevel="1"/>
    <col min="35" max="35" width="16.85546875" style="1324" hidden="1" customWidth="1" outlineLevel="1"/>
    <col min="36" max="36" width="7.5703125" style="1324" hidden="1" customWidth="1" outlineLevel="1"/>
    <col min="37" max="37" width="9.140625" style="1324" hidden="1" customWidth="1" outlineLevel="1"/>
    <col min="38" max="38" width="8.7109375" style="1324" hidden="1" customWidth="1" outlineLevel="1"/>
    <col min="39" max="39" width="15.140625" style="1324" customWidth="1" collapsed="1"/>
    <col min="40" max="40" width="18.7109375" style="1324" hidden="1" customWidth="1"/>
    <col min="41" max="43" width="10.7109375" style="1324" hidden="1" customWidth="1"/>
    <col min="44" max="44" width="9.7109375" style="1324" hidden="1" customWidth="1"/>
    <col min="45" max="45" width="18.5703125" style="1324" customWidth="1"/>
    <col min="46" max="46" width="12.7109375" style="1324" customWidth="1"/>
    <col min="47" max="47" width="17.7109375" style="1324" customWidth="1"/>
    <col min="48" max="53" width="6.7109375" style="1324" customWidth="1"/>
    <col min="54" max="54" width="8.5703125" style="1324" customWidth="1"/>
    <col min="55" max="16384" width="4" style="1324"/>
  </cols>
  <sheetData>
    <row r="1" spans="1:53" ht="11.25" customHeight="1" thickBot="1" x14ac:dyDescent="0.25">
      <c r="AE1" s="1496"/>
      <c r="AF1" s="1496"/>
      <c r="AG1" s="1496"/>
      <c r="AH1" s="1496"/>
      <c r="AI1" s="1496"/>
      <c r="AJ1" s="1496"/>
      <c r="AK1" s="1496"/>
      <c r="AL1" s="1496"/>
    </row>
    <row r="2" spans="1:53" ht="16.5" customHeight="1" x14ac:dyDescent="0.2">
      <c r="A2" s="1313"/>
      <c r="B2" s="1314"/>
      <c r="C2" s="1314"/>
      <c r="D2" s="1314"/>
      <c r="E2" s="1314"/>
      <c r="F2" s="1314"/>
      <c r="G2" s="1315"/>
      <c r="H2" s="1316"/>
      <c r="I2" s="1315"/>
      <c r="J2" s="1315"/>
      <c r="K2" s="1317"/>
      <c r="L2" s="1318"/>
      <c r="M2" s="1318"/>
      <c r="N2" s="1318"/>
      <c r="O2" s="1318"/>
      <c r="Q2" s="1318"/>
      <c r="R2" s="1320"/>
      <c r="S2" s="1318"/>
      <c r="T2" s="1318"/>
      <c r="U2" s="1318"/>
      <c r="V2" s="1318"/>
      <c r="W2" s="1318"/>
      <c r="X2" s="1318"/>
      <c r="Y2" s="1318"/>
      <c r="Z2" s="1318"/>
      <c r="AA2" s="1318"/>
      <c r="AB2" s="1318"/>
      <c r="AC2" s="1318"/>
      <c r="AD2" s="1321"/>
      <c r="AE2" s="2860" t="s">
        <v>1179</v>
      </c>
      <c r="AF2" s="2861" t="s">
        <v>1180</v>
      </c>
      <c r="AG2" s="2861" t="s">
        <v>1181</v>
      </c>
      <c r="AH2" s="2861" t="s">
        <v>1139</v>
      </c>
      <c r="AI2" s="2862" t="s">
        <v>1187</v>
      </c>
      <c r="AJ2" s="1322"/>
      <c r="AK2" s="1322"/>
      <c r="AL2" s="1322"/>
      <c r="AM2" s="1322"/>
      <c r="AN2" s="1322"/>
      <c r="AO2" s="1323"/>
    </row>
    <row r="3" spans="1:53" ht="14.25" customHeight="1" thickBot="1" x14ac:dyDescent="0.25">
      <c r="A3" s="1313"/>
      <c r="B3" s="1325"/>
      <c r="C3" s="1326"/>
      <c r="D3" s="1326"/>
      <c r="E3" s="1326"/>
      <c r="F3" s="1326"/>
      <c r="G3" s="1327"/>
      <c r="H3" s="1328"/>
      <c r="I3" s="1327"/>
      <c r="J3" s="1327"/>
      <c r="K3" s="1329"/>
      <c r="L3" s="1330"/>
      <c r="M3" s="1330"/>
      <c r="N3" s="1330"/>
      <c r="O3" s="1330"/>
      <c r="Q3" s="1330"/>
      <c r="R3" s="1331"/>
      <c r="S3" s="1330"/>
      <c r="T3" s="1330"/>
      <c r="U3" s="1330"/>
      <c r="V3" s="1330"/>
      <c r="W3" s="1330"/>
      <c r="X3" s="1330"/>
      <c r="Y3" s="1330"/>
      <c r="Z3" s="1330"/>
      <c r="AA3" s="1330"/>
      <c r="AB3" s="1330"/>
      <c r="AC3" s="1330"/>
      <c r="AD3" s="1333"/>
      <c r="AE3" s="2863"/>
      <c r="AF3" s="2864">
        <v>30385855</v>
      </c>
      <c r="AG3" s="2865">
        <v>0.03</v>
      </c>
      <c r="AH3" s="2866">
        <f>AF3*(1+AG3)</f>
        <v>31297430.650000002</v>
      </c>
      <c r="AI3" s="2887">
        <f>AH3*'Masco Calculation'!N44</f>
        <v>8937726.0449849572</v>
      </c>
      <c r="AJ3" s="1334"/>
      <c r="AK3" s="1334"/>
      <c r="AL3" s="1334"/>
      <c r="AM3" s="1334"/>
      <c r="AN3" s="1332"/>
      <c r="AO3" s="1335">
        <f>AN3-AN4</f>
        <v>0</v>
      </c>
    </row>
    <row r="4" spans="1:53" ht="14.25" customHeight="1" thickBot="1" x14ac:dyDescent="0.3">
      <c r="A4" s="1313"/>
      <c r="B4" s="1325"/>
      <c r="C4" s="1326"/>
      <c r="D4" s="1326"/>
      <c r="E4" s="1326"/>
      <c r="F4" s="1326"/>
      <c r="G4" s="1327"/>
      <c r="H4" s="1328"/>
      <c r="I4" s="1327"/>
      <c r="J4" s="1327"/>
      <c r="K4" s="1336"/>
      <c r="L4" s="1337"/>
      <c r="M4" s="1337"/>
      <c r="N4" s="1337"/>
      <c r="O4" s="1337"/>
      <c r="Q4" s="1337"/>
      <c r="R4" s="1338"/>
      <c r="S4" s="1337"/>
      <c r="T4" s="1337"/>
      <c r="U4" s="1337"/>
      <c r="V4" s="1337"/>
      <c r="W4" s="1337"/>
      <c r="X4" s="1337"/>
      <c r="Y4" s="1337"/>
      <c r="Z4" s="1337"/>
      <c r="AA4" s="1337"/>
      <c r="AB4" s="1337"/>
      <c r="AC4" s="1337"/>
      <c r="AD4" s="1339"/>
      <c r="AE4" s="2825" t="s">
        <v>1178</v>
      </c>
      <c r="AF4" s="2826" t="s">
        <v>1182</v>
      </c>
      <c r="AG4" s="2826" t="s">
        <v>1183</v>
      </c>
      <c r="AH4" s="2826" t="s">
        <v>1184</v>
      </c>
      <c r="AI4" s="2826" t="s">
        <v>1185</v>
      </c>
      <c r="AJ4" s="2826" t="s">
        <v>627</v>
      </c>
      <c r="AK4" s="2826" t="s">
        <v>1177</v>
      </c>
      <c r="AL4" s="2827" t="s">
        <v>1186</v>
      </c>
      <c r="AM4" s="2324"/>
      <c r="AN4" s="1332"/>
      <c r="AO4" s="1340"/>
    </row>
    <row r="5" spans="1:53" s="1345" customFormat="1" ht="12" customHeight="1" x14ac:dyDescent="0.2">
      <c r="A5" s="1341"/>
      <c r="B5" s="1342"/>
      <c r="C5" s="1342"/>
      <c r="D5" s="1342"/>
      <c r="E5" s="1342"/>
      <c r="F5" s="1342"/>
      <c r="G5" s="1342"/>
      <c r="H5" s="1342"/>
      <c r="I5" s="1342"/>
      <c r="J5" s="1342"/>
      <c r="K5" s="1342"/>
      <c r="L5" s="1343"/>
      <c r="M5" s="1343"/>
      <c r="N5" s="1343"/>
      <c r="O5" s="1343" t="s">
        <v>182</v>
      </c>
      <c r="P5" s="1344" t="s">
        <v>182</v>
      </c>
      <c r="Q5" s="1343" t="s">
        <v>182</v>
      </c>
      <c r="R5" s="1343" t="s">
        <v>182</v>
      </c>
      <c r="S5" s="1343" t="s">
        <v>182</v>
      </c>
      <c r="T5" s="1343" t="s">
        <v>182</v>
      </c>
      <c r="U5" s="1656" t="s">
        <v>930</v>
      </c>
      <c r="V5" s="1343" t="s">
        <v>182</v>
      </c>
      <c r="W5" s="1343" t="s">
        <v>182</v>
      </c>
      <c r="X5" s="1343" t="s">
        <v>182</v>
      </c>
      <c r="Y5" s="1343" t="s">
        <v>182</v>
      </c>
      <c r="Z5" s="1343" t="s">
        <v>182</v>
      </c>
      <c r="AA5" s="1343" t="s">
        <v>182</v>
      </c>
      <c r="AB5" s="2980" t="s">
        <v>355</v>
      </c>
      <c r="AC5" s="2981"/>
      <c r="AD5" s="2804"/>
      <c r="AE5" s="2852" t="s">
        <v>1204</v>
      </c>
      <c r="AF5" s="2970" t="s">
        <v>2479</v>
      </c>
      <c r="AG5" s="2970" t="s">
        <v>2481</v>
      </c>
      <c r="AH5" s="2972" t="s">
        <v>2483</v>
      </c>
      <c r="AI5" s="2839" t="s">
        <v>2474</v>
      </c>
      <c r="AJ5" s="2839" t="s">
        <v>2476</v>
      </c>
      <c r="AK5" s="2974" t="s">
        <v>2485</v>
      </c>
      <c r="AL5" s="2968" t="s">
        <v>2486</v>
      </c>
      <c r="AM5" s="2325"/>
      <c r="AN5" s="1332"/>
      <c r="AO5" s="1340"/>
    </row>
    <row r="6" spans="1:53" s="1345" customFormat="1" ht="12" customHeight="1" x14ac:dyDescent="0.2">
      <c r="A6" s="1341"/>
      <c r="B6" s="1346" t="s">
        <v>356</v>
      </c>
      <c r="C6" s="1346" t="s">
        <v>356</v>
      </c>
      <c r="D6" s="1346" t="s">
        <v>356</v>
      </c>
      <c r="E6" s="1346" t="s">
        <v>356</v>
      </c>
      <c r="F6" s="1346" t="s">
        <v>356</v>
      </c>
      <c r="G6" s="1346" t="s">
        <v>356</v>
      </c>
      <c r="H6" s="1346" t="s">
        <v>356</v>
      </c>
      <c r="I6" s="1346" t="s">
        <v>356</v>
      </c>
      <c r="J6" s="1346" t="s">
        <v>356</v>
      </c>
      <c r="K6" s="1346" t="s">
        <v>356</v>
      </c>
      <c r="L6" s="1344" t="s">
        <v>356</v>
      </c>
      <c r="M6" s="1344" t="s">
        <v>356</v>
      </c>
      <c r="N6" s="1344" t="s">
        <v>356</v>
      </c>
      <c r="O6" s="1344" t="s">
        <v>356</v>
      </c>
      <c r="P6" s="1344" t="s">
        <v>356</v>
      </c>
      <c r="Q6" s="1344" t="s">
        <v>356</v>
      </c>
      <c r="R6" s="1344" t="s">
        <v>356</v>
      </c>
      <c r="S6" s="1344" t="s">
        <v>356</v>
      </c>
      <c r="T6" s="1344" t="s">
        <v>356</v>
      </c>
      <c r="U6" s="1657" t="s">
        <v>931</v>
      </c>
      <c r="V6" s="1344" t="s">
        <v>356</v>
      </c>
      <c r="W6" s="1344" t="s">
        <v>356</v>
      </c>
      <c r="X6" s="1344" t="s">
        <v>356</v>
      </c>
      <c r="Y6" s="1344" t="s">
        <v>356</v>
      </c>
      <c r="Z6" s="1344" t="s">
        <v>356</v>
      </c>
      <c r="AA6" s="1344" t="s">
        <v>356</v>
      </c>
      <c r="AB6" s="2978" t="s">
        <v>1076</v>
      </c>
      <c r="AC6" s="2979"/>
      <c r="AD6" s="2805" t="s">
        <v>357</v>
      </c>
      <c r="AE6" s="2853" t="s">
        <v>2477</v>
      </c>
      <c r="AF6" s="2971"/>
      <c r="AG6" s="2971"/>
      <c r="AH6" s="2973"/>
      <c r="AI6" s="2840" t="s">
        <v>2475</v>
      </c>
      <c r="AJ6" s="2840" t="s">
        <v>2473</v>
      </c>
      <c r="AK6" s="2975"/>
      <c r="AL6" s="2969"/>
      <c r="AM6" s="2326"/>
      <c r="AN6" s="1332"/>
      <c r="AO6" s="1340"/>
    </row>
    <row r="7" spans="1:53" s="1345" customFormat="1" ht="12" customHeight="1" thickBot="1" x14ac:dyDescent="0.2">
      <c r="A7" s="1347"/>
      <c r="B7" s="1348">
        <v>2000</v>
      </c>
      <c r="C7" s="1348">
        <v>2001</v>
      </c>
      <c r="D7" s="1348">
        <v>2002</v>
      </c>
      <c r="E7" s="1348">
        <v>2003</v>
      </c>
      <c r="F7" s="1348">
        <v>2004</v>
      </c>
      <c r="G7" s="1348">
        <v>2005</v>
      </c>
      <c r="H7" s="1348">
        <v>2006</v>
      </c>
      <c r="I7" s="1348">
        <v>2007</v>
      </c>
      <c r="J7" s="1348">
        <v>2008</v>
      </c>
      <c r="K7" s="1348">
        <v>2009</v>
      </c>
      <c r="L7" s="1344">
        <v>2010</v>
      </c>
      <c r="M7" s="1349">
        <v>2011</v>
      </c>
      <c r="N7" s="1349">
        <v>2012</v>
      </c>
      <c r="O7" s="1349">
        <v>2013</v>
      </c>
      <c r="P7" s="1349">
        <v>2014</v>
      </c>
      <c r="Q7" s="1349">
        <v>2015</v>
      </c>
      <c r="R7" s="1349">
        <v>2016</v>
      </c>
      <c r="S7" s="1349">
        <v>2017</v>
      </c>
      <c r="T7" s="1349">
        <v>2018</v>
      </c>
      <c r="U7" s="1658" t="s">
        <v>933</v>
      </c>
      <c r="V7" s="1349">
        <v>2019</v>
      </c>
      <c r="W7" s="1349">
        <v>2020</v>
      </c>
      <c r="X7" s="1349">
        <v>2021</v>
      </c>
      <c r="Y7" s="1349">
        <v>2022</v>
      </c>
      <c r="Z7" s="1349">
        <v>2023</v>
      </c>
      <c r="AA7" s="1349">
        <v>2024</v>
      </c>
      <c r="AB7" s="1349" t="s">
        <v>160</v>
      </c>
      <c r="AC7" s="1349" t="s">
        <v>161</v>
      </c>
      <c r="AD7" s="2806" t="s">
        <v>949</v>
      </c>
      <c r="AE7" s="2854">
        <f>'Omnibus BUDGET DETAIL'!CM2</f>
        <v>0.04</v>
      </c>
      <c r="AF7" s="2971"/>
      <c r="AG7" s="2971"/>
      <c r="AH7" s="2973"/>
      <c r="AI7" s="2840"/>
      <c r="AJ7" s="2840"/>
      <c r="AK7" s="2975"/>
      <c r="AL7" s="2969"/>
      <c r="AM7" s="2326"/>
      <c r="AU7" s="1727">
        <f>V7</f>
        <v>2019</v>
      </c>
      <c r="AV7" s="1727">
        <f>W7</f>
        <v>2020</v>
      </c>
      <c r="AW7" s="1727">
        <f>X7</f>
        <v>2021</v>
      </c>
      <c r="AX7" s="1727">
        <f>Y7</f>
        <v>2022</v>
      </c>
      <c r="AY7" s="1727">
        <f>Z7</f>
        <v>2023</v>
      </c>
    </row>
    <row r="8" spans="1:53" ht="12" customHeight="1" x14ac:dyDescent="0.2">
      <c r="A8" s="1350" t="s">
        <v>358</v>
      </c>
      <c r="B8" s="1351"/>
      <c r="C8" s="1351"/>
      <c r="D8" s="1351"/>
      <c r="E8" s="1351"/>
      <c r="F8" s="1351"/>
      <c r="G8" s="1351"/>
      <c r="H8" s="1352"/>
      <c r="I8" s="1353"/>
      <c r="J8" s="1354"/>
      <c r="K8" s="1353"/>
      <c r="L8" s="1354"/>
      <c r="M8" s="1355"/>
      <c r="N8" s="1355"/>
      <c r="O8" s="1355"/>
      <c r="P8" s="1355"/>
      <c r="Q8" s="1355"/>
      <c r="R8" s="1355"/>
      <c r="S8" s="1355"/>
      <c r="T8" s="1355"/>
      <c r="U8" s="1659"/>
      <c r="V8" s="1355"/>
      <c r="W8" s="1355"/>
      <c r="X8" s="1355"/>
      <c r="Y8" s="1355"/>
      <c r="Z8" s="1355"/>
      <c r="AA8" s="1355"/>
      <c r="AB8" s="1355"/>
      <c r="AC8" s="1355"/>
      <c r="AD8" s="2807"/>
      <c r="AE8" s="2828"/>
      <c r="AF8" s="2829"/>
      <c r="AG8" s="2829"/>
      <c r="AH8" s="2830"/>
      <c r="AI8" s="2830"/>
      <c r="AJ8" s="2830"/>
      <c r="AK8" s="2831"/>
      <c r="AL8" s="2873" t="s">
        <v>2487</v>
      </c>
      <c r="AM8" s="2323"/>
      <c r="AN8" s="1356" t="s">
        <v>12</v>
      </c>
      <c r="AO8" s="1357" t="s">
        <v>121</v>
      </c>
      <c r="AP8" s="1357" t="s">
        <v>72</v>
      </c>
      <c r="AQ8" s="1357" t="s">
        <v>104</v>
      </c>
      <c r="AR8" s="1358" t="s">
        <v>105</v>
      </c>
    </row>
    <row r="9" spans="1:53" ht="12" customHeight="1" x14ac:dyDescent="0.2">
      <c r="A9" s="1350" t="s">
        <v>359</v>
      </c>
      <c r="B9" s="1351"/>
      <c r="C9" s="1351"/>
      <c r="D9" s="1351"/>
      <c r="E9" s="1351"/>
      <c r="F9" s="1351"/>
      <c r="G9" s="1351"/>
      <c r="H9" s="1352"/>
      <c r="I9" s="1352"/>
      <c r="J9" s="1351"/>
      <c r="K9" s="1352"/>
      <c r="L9" s="1351"/>
      <c r="M9" s="1359"/>
      <c r="N9" s="1359"/>
      <c r="O9" s="1359"/>
      <c r="P9" s="1359"/>
      <c r="Q9" s="1359"/>
      <c r="R9" s="1359"/>
      <c r="S9" s="1359"/>
      <c r="T9" s="1359"/>
      <c r="U9" s="1660"/>
      <c r="V9" s="1359"/>
      <c r="W9" s="1359"/>
      <c r="X9" s="1359"/>
      <c r="Y9" s="1359"/>
      <c r="Z9" s="1359"/>
      <c r="AA9" s="1359"/>
      <c r="AB9" s="1359"/>
      <c r="AC9" s="1359"/>
      <c r="AD9" s="2808"/>
      <c r="AE9" s="2828"/>
      <c r="AF9" s="2829"/>
      <c r="AG9" s="2829"/>
      <c r="AH9" s="2830"/>
      <c r="AI9" s="2830"/>
      <c r="AJ9" s="2830"/>
      <c r="AK9" s="2831"/>
      <c r="AL9" s="2873" t="s">
        <v>2488</v>
      </c>
      <c r="AM9" s="2323"/>
      <c r="AN9" s="1360" t="s">
        <v>461</v>
      </c>
      <c r="AO9" s="1361"/>
      <c r="AP9" s="1362" t="s">
        <v>122</v>
      </c>
      <c r="AQ9" s="1361"/>
      <c r="AR9" s="1363"/>
    </row>
    <row r="10" spans="1:53" ht="12" customHeight="1" x14ac:dyDescent="0.2">
      <c r="A10" s="1364" t="s">
        <v>216</v>
      </c>
      <c r="B10" s="1351">
        <v>707217</v>
      </c>
      <c r="C10" s="1351">
        <v>761942</v>
      </c>
      <c r="D10" s="1351">
        <v>789744</v>
      </c>
      <c r="E10" s="1351">
        <v>794773</v>
      </c>
      <c r="F10" s="1351">
        <v>825640</v>
      </c>
      <c r="G10" s="1351">
        <v>846554</v>
      </c>
      <c r="H10" s="1352">
        <v>902538</v>
      </c>
      <c r="I10" s="1352">
        <f>SUM(BUDGET!J120)</f>
        <v>973767.8</v>
      </c>
      <c r="J10" s="1351">
        <f>BUDGET!L120</f>
        <v>1012972.2500000001</v>
      </c>
      <c r="K10" s="1352">
        <f>BUDGET!M120</f>
        <v>1041980.4890000001</v>
      </c>
      <c r="L10" s="1365">
        <v>999386</v>
      </c>
      <c r="M10" s="1359">
        <f>BUDGET!Q120</f>
        <v>993857</v>
      </c>
      <c r="N10" s="1359" t="e">
        <f>BUDGET!S120</f>
        <v>#REF!</v>
      </c>
      <c r="O10" s="1359">
        <v>1047394</v>
      </c>
      <c r="P10" s="1359">
        <v>1079135</v>
      </c>
      <c r="Q10" s="1359">
        <v>1128773</v>
      </c>
      <c r="R10" s="1359">
        <v>1219221</v>
      </c>
      <c r="S10" s="1359">
        <f>BUDGET!AC120</f>
        <v>1256977</v>
      </c>
      <c r="T10" s="1359">
        <f>BUDGET!AE120</f>
        <v>1426424.01</v>
      </c>
      <c r="U10" s="1660"/>
      <c r="V10" s="1359">
        <f>BUDGET!AH120</f>
        <v>1485270</v>
      </c>
      <c r="W10" s="1359">
        <f>BUDGET!AJ120</f>
        <v>1648459</v>
      </c>
      <c r="X10" s="1359">
        <f>BUDGET!AL120</f>
        <v>1664254</v>
      </c>
      <c r="Y10" s="1359">
        <f>BUDGET!AN120</f>
        <v>1705960</v>
      </c>
      <c r="Z10" s="1359">
        <f>BUDGET!AP120</f>
        <v>1758942</v>
      </c>
      <c r="AA10" s="1359">
        <f>BUDGET!AR120</f>
        <v>1790386</v>
      </c>
      <c r="AB10" s="1359">
        <f t="shared" ref="AB10:AB20" si="0">AA10-Z10</f>
        <v>31444</v>
      </c>
      <c r="AC10" s="1366">
        <f t="shared" ref="AC10:AC20" si="1">IF(AA10&gt;0,AB10/Z10,"")</f>
        <v>1.7876655398529343E-2</v>
      </c>
      <c r="AD10" s="2809" t="s">
        <v>1121</v>
      </c>
      <c r="AE10" s="2843">
        <f>SUM('Omnibus BUDGET DETAIL'!$CN$9:$CN$295)</f>
        <v>-42079.819999999963</v>
      </c>
      <c r="AF10" s="2844">
        <f>SUM('Omnibus BUDGET DETAIL'!$CK$9:$CK$295)</f>
        <v>-46537</v>
      </c>
      <c r="AG10" s="2844">
        <v>300000</v>
      </c>
      <c r="AH10" s="2845"/>
      <c r="AI10" s="1359">
        <f>AA10+SUM(AE10:AH10)</f>
        <v>2001769.1800000002</v>
      </c>
      <c r="AJ10" s="1366">
        <f>AI10/Z10-1</f>
        <v>0.13805297730112764</v>
      </c>
      <c r="AK10" s="2832"/>
      <c r="AL10" s="2869"/>
      <c r="AM10" s="2323"/>
      <c r="AN10" s="1367" t="s">
        <v>106</v>
      </c>
      <c r="AO10" s="1368"/>
      <c r="AP10" s="1368"/>
      <c r="AQ10" s="1368"/>
      <c r="AR10" s="1369"/>
      <c r="AT10" s="1370"/>
      <c r="AU10" s="1726">
        <f>V10/T10-1</f>
        <v>4.1254206033730423E-2</v>
      </c>
      <c r="AV10" s="1726">
        <f t="shared" ref="AV10:AV19" si="2">W10/V10-1</f>
        <v>0.10987160583597588</v>
      </c>
      <c r="AW10" s="1726">
        <f t="shared" ref="AW10:AW19" si="3">X10/W10-1</f>
        <v>9.5816759773825755E-3</v>
      </c>
      <c r="AX10" s="1726">
        <f t="shared" ref="AX10:AX19" si="4">Y10/X10-1</f>
        <v>2.5059876677478332E-2</v>
      </c>
      <c r="AY10" s="1726">
        <f t="shared" ref="AY10:AY19" si="5">Z10/Y10-1</f>
        <v>3.1057000164130377E-2</v>
      </c>
      <c r="AZ10" s="1324">
        <f>AA10/V10</f>
        <v>1.2054279693254426</v>
      </c>
      <c r="BA10" s="2220">
        <f>POWER(AZ10,0.2)-1</f>
        <v>3.8073854549234509E-2</v>
      </c>
    </row>
    <row r="11" spans="1:53" ht="12" customHeight="1" x14ac:dyDescent="0.2">
      <c r="A11" s="77" t="s">
        <v>950</v>
      </c>
      <c r="B11" s="1351">
        <v>1280973</v>
      </c>
      <c r="C11" s="1351">
        <v>1414966</v>
      </c>
      <c r="D11" s="1351">
        <v>1530851</v>
      </c>
      <c r="E11" s="1351">
        <v>1580050</v>
      </c>
      <c r="F11" s="1351">
        <v>1618436</v>
      </c>
      <c r="G11" s="1351">
        <v>1673596</v>
      </c>
      <c r="H11" s="1352">
        <v>1830570</v>
      </c>
      <c r="I11" s="1352">
        <f>SUM(BUDGET!J170)</f>
        <v>1998243</v>
      </c>
      <c r="J11" s="1351">
        <f>BUDGET!L170</f>
        <v>2022927.2700000003</v>
      </c>
      <c r="K11" s="1352">
        <f>BUDGET!M170</f>
        <v>2100331</v>
      </c>
      <c r="L11" s="1365">
        <v>2056994</v>
      </c>
      <c r="M11" s="1359">
        <f>BUDGET!Q170</f>
        <v>2077627</v>
      </c>
      <c r="N11" s="1359" t="e">
        <f>BUDGET!S170</f>
        <v>#REF!</v>
      </c>
      <c r="O11" s="1359">
        <v>2087872</v>
      </c>
      <c r="P11" s="1359">
        <v>2005455</v>
      </c>
      <c r="Q11" s="1359">
        <v>2119289</v>
      </c>
      <c r="R11" s="1359">
        <v>2344822</v>
      </c>
      <c r="S11" s="1359">
        <f>BUDGET!AC170</f>
        <v>2456239</v>
      </c>
      <c r="T11" s="1359">
        <f>BUDGET!AE170</f>
        <v>2473539</v>
      </c>
      <c r="U11" s="1661">
        <f>T11+15662</f>
        <v>2489201</v>
      </c>
      <c r="V11" s="1359">
        <f>BUDGET!AH170</f>
        <v>2613676</v>
      </c>
      <c r="W11" s="1359">
        <f>BUDGET!AJ170</f>
        <v>2696952.46</v>
      </c>
      <c r="X11" s="1359">
        <f>BUDGET!AL170</f>
        <v>2871188</v>
      </c>
      <c r="Y11" s="1359">
        <f>BUDGET!AN170</f>
        <v>2926406</v>
      </c>
      <c r="Z11" s="1359">
        <f>BUDGET!AP170</f>
        <v>3082797</v>
      </c>
      <c r="AA11" s="1359">
        <f>BUDGET!AR170</f>
        <v>3095942</v>
      </c>
      <c r="AB11" s="1359">
        <f t="shared" si="0"/>
        <v>13145</v>
      </c>
      <c r="AC11" s="1366">
        <f t="shared" si="1"/>
        <v>4.2639849461381983E-3</v>
      </c>
      <c r="AD11" s="2810"/>
      <c r="AE11" s="2843">
        <f>SUM('Omnibus BUDGET DETAIL'!$CN$371:$CN$489)</f>
        <v>-105567.14999999959</v>
      </c>
      <c r="AF11" s="2844">
        <f>SUM('Omnibus BUDGET DETAIL'!$CK$303:$CK$385)</f>
        <v>-336686</v>
      </c>
      <c r="AG11" s="2846"/>
      <c r="AH11" s="2847"/>
      <c r="AI11" s="1359">
        <f t="shared" ref="AI11:AI19" si="6">AA11+SUM(AE11:AH11)</f>
        <v>2653688.8500000006</v>
      </c>
      <c r="AJ11" s="1366">
        <f t="shared" ref="AJ11:AJ19" si="7">AI11/Z11-1</f>
        <v>-0.13919442311641006</v>
      </c>
      <c r="AK11" s="2833"/>
      <c r="AL11" s="2870"/>
      <c r="AM11" s="2323"/>
      <c r="AN11" s="1371" t="s">
        <v>107</v>
      </c>
      <c r="AO11" s="1372">
        <f>'STATE RECEIPTS'!L31</f>
        <v>1701576</v>
      </c>
      <c r="AP11" s="1372">
        <f>'STATE RECEIPTS'!J31</f>
        <v>1789682</v>
      </c>
      <c r="AQ11" s="1372">
        <f>AO11-AP11</f>
        <v>-88106</v>
      </c>
      <c r="AR11" s="1373">
        <f>AQ11/AP11*100</f>
        <v>-4.9229974934094436</v>
      </c>
      <c r="AT11" s="1370"/>
      <c r="AU11" s="1925">
        <f>V11/U11-1</f>
        <v>5.0006005943272536E-2</v>
      </c>
      <c r="AV11" s="1925">
        <f t="shared" si="2"/>
        <v>3.1861814547786249E-2</v>
      </c>
      <c r="AW11" s="1925">
        <f t="shared" si="3"/>
        <v>6.4604601892018554E-2</v>
      </c>
      <c r="AX11" s="1925">
        <f t="shared" si="4"/>
        <v>1.9231760511676743E-2</v>
      </c>
      <c r="AY11" s="1925">
        <f t="shared" si="5"/>
        <v>5.3441320172252338E-2</v>
      </c>
      <c r="AZ11" s="1324">
        <f>AA11/V11</f>
        <v>1.1845163669865737</v>
      </c>
      <c r="BA11" s="2220">
        <f t="shared" ref="BA11:BA19" si="8">POWER(AZ11,0.2)-1</f>
        <v>3.4446925539806772E-2</v>
      </c>
    </row>
    <row r="12" spans="1:53" ht="12" customHeight="1" x14ac:dyDescent="0.2">
      <c r="A12" s="1374" t="s">
        <v>360</v>
      </c>
      <c r="B12" s="1351">
        <v>3778140</v>
      </c>
      <c r="C12" s="1351">
        <v>4303130</v>
      </c>
      <c r="D12" s="1351">
        <v>4761226</v>
      </c>
      <c r="E12" s="1351">
        <v>4998311</v>
      </c>
      <c r="F12" s="1351">
        <v>5123312</v>
      </c>
      <c r="G12" s="1351">
        <v>5292163</v>
      </c>
      <c r="H12" s="1352">
        <v>5446878</v>
      </c>
      <c r="I12" s="1352">
        <f>SUM(BUDGET!J183)</f>
        <v>5757223</v>
      </c>
      <c r="J12" s="1351">
        <f>BUDGET!L183</f>
        <v>5906006.9800000004</v>
      </c>
      <c r="K12" s="1352">
        <f>BUDGET!M183</f>
        <v>6107838</v>
      </c>
      <c r="L12" s="1365">
        <v>5784941</v>
      </c>
      <c r="M12" s="1359">
        <f>BUDGET!Q183</f>
        <v>5781593</v>
      </c>
      <c r="N12" s="1359">
        <f>BUDGET!S183</f>
        <v>5974481</v>
      </c>
      <c r="O12" s="1359">
        <v>6093970.6200000001</v>
      </c>
      <c r="P12" s="1359">
        <v>6339065.0323999999</v>
      </c>
      <c r="Q12" s="1359">
        <v>6866919</v>
      </c>
      <c r="R12" s="1359">
        <v>7172203</v>
      </c>
      <c r="S12" s="1359">
        <f>BUDGET!AC183</f>
        <v>7602224</v>
      </c>
      <c r="T12" s="1359">
        <f>BUDGET!AE183</f>
        <v>7827171</v>
      </c>
      <c r="U12" s="1661"/>
      <c r="V12" s="1359">
        <f>BUDGET!AH183</f>
        <v>8108071</v>
      </c>
      <c r="W12" s="1359">
        <f>BUDGET!AJ183</f>
        <v>8913230</v>
      </c>
      <c r="X12" s="1359">
        <f>BUDGET!AL183</f>
        <v>9117902</v>
      </c>
      <c r="Y12" s="1359">
        <f>BUDGET!AN183-1</f>
        <v>9368643.3050000016</v>
      </c>
      <c r="Z12" s="1359">
        <f>BUDGET!AP183</f>
        <v>9735522.6341500022</v>
      </c>
      <c r="AA12" s="1359">
        <f>BUDGET!AR183</f>
        <v>9979342</v>
      </c>
      <c r="AB12" s="1359">
        <f t="shared" si="0"/>
        <v>243819.36584999785</v>
      </c>
      <c r="AC12" s="1366">
        <f t="shared" si="1"/>
        <v>2.5044301678754759E-2</v>
      </c>
      <c r="AD12" s="2811"/>
      <c r="AE12" s="2843"/>
      <c r="AF12" s="2844"/>
      <c r="AG12" s="2846"/>
      <c r="AH12" s="2849">
        <f>AG58*(-1)-AH19</f>
        <v>503786.04735482985</v>
      </c>
      <c r="AI12" s="1359">
        <f t="shared" si="6"/>
        <v>10483128.04735483</v>
      </c>
      <c r="AJ12" s="1366">
        <f t="shared" si="7"/>
        <v>7.6791502757376229E-2</v>
      </c>
      <c r="AK12" s="2841">
        <v>11150237</v>
      </c>
      <c r="AL12" s="2871">
        <f>AK12-AI12</f>
        <v>667108.95264516957</v>
      </c>
      <c r="AM12" s="2323"/>
      <c r="AN12" s="1371" t="s">
        <v>108</v>
      </c>
      <c r="AO12" s="1372">
        <f>'SCH. A LOCAL RECEIPTS'!X32</f>
        <v>1241100</v>
      </c>
      <c r="AP12" s="1372">
        <f>'SCH. A LOCAL RECEIPTS'!V32</f>
        <v>1214700</v>
      </c>
      <c r="AQ12" s="1372">
        <f>AO12-AP12</f>
        <v>26400</v>
      </c>
      <c r="AR12" s="1373">
        <f>AQ12/AP12*100</f>
        <v>2.1733761422573474</v>
      </c>
      <c r="AT12" s="1370">
        <v>6909</v>
      </c>
      <c r="AU12" s="1726">
        <f>V12/T12-1</f>
        <v>3.5887806718417181E-2</v>
      </c>
      <c r="AV12" s="1726">
        <f t="shared" si="2"/>
        <v>9.930339781188402E-2</v>
      </c>
      <c r="AW12" s="1726">
        <f t="shared" si="3"/>
        <v>2.2962719463090364E-2</v>
      </c>
      <c r="AX12" s="1726">
        <f t="shared" si="4"/>
        <v>2.7499890325647369E-2</v>
      </c>
      <c r="AY12" s="1726">
        <f t="shared" si="5"/>
        <v>3.9160347683874219E-2</v>
      </c>
      <c r="AZ12" s="2221">
        <f>(AA12+660000)/V12</f>
        <v>1.3121915187965176</v>
      </c>
      <c r="BA12" s="2220">
        <f t="shared" si="8"/>
        <v>5.5843243819184041E-2</v>
      </c>
    </row>
    <row r="13" spans="1:53" ht="12" customHeight="1" x14ac:dyDescent="0.2">
      <c r="A13" s="1364" t="s">
        <v>778</v>
      </c>
      <c r="B13" s="1351">
        <v>522181</v>
      </c>
      <c r="C13" s="1351">
        <v>579363</v>
      </c>
      <c r="D13" s="1351">
        <v>623154</v>
      </c>
      <c r="E13" s="1351">
        <v>625842</v>
      </c>
      <c r="F13" s="1351">
        <v>528838</v>
      </c>
      <c r="G13" s="1351">
        <v>544006</v>
      </c>
      <c r="H13" s="1352">
        <v>608210</v>
      </c>
      <c r="I13" s="1352">
        <f>SUM(BUDGET!J247)</f>
        <v>682959</v>
      </c>
      <c r="J13" s="1351">
        <f>BUDGET!L247</f>
        <v>858748.66</v>
      </c>
      <c r="K13" s="1375">
        <f>BUDGET!M247</f>
        <v>958762</v>
      </c>
      <c r="L13" s="1365">
        <v>756485</v>
      </c>
      <c r="M13" s="1359">
        <f>BUDGET!Q247</f>
        <v>752713</v>
      </c>
      <c r="N13" s="1359">
        <f>BUDGET!S247</f>
        <v>727623</v>
      </c>
      <c r="O13" s="1359">
        <v>737379</v>
      </c>
      <c r="P13" s="1359">
        <v>789031</v>
      </c>
      <c r="Q13" s="1359">
        <v>818739</v>
      </c>
      <c r="R13" s="1359">
        <v>873586</v>
      </c>
      <c r="S13" s="1359">
        <f>BUDGET!AC247</f>
        <v>904639</v>
      </c>
      <c r="T13" s="1359">
        <f>BUDGET!AE247</f>
        <v>935637</v>
      </c>
      <c r="U13" s="1661">
        <f>T13+702188</f>
        <v>1637825</v>
      </c>
      <c r="V13" s="1359">
        <f>BUDGET!AH247</f>
        <v>1680330</v>
      </c>
      <c r="W13" s="1359">
        <f>BUDGET!AJ247</f>
        <v>1726163</v>
      </c>
      <c r="X13" s="1359">
        <f>BUDGET!AL247</f>
        <v>1724420</v>
      </c>
      <c r="Y13" s="1359">
        <f>BUDGET!AN247</f>
        <v>1659650</v>
      </c>
      <c r="Z13" s="1359">
        <f>BUDGET!AP247</f>
        <v>1718252</v>
      </c>
      <c r="AA13" s="1359">
        <f>BUDGET!AR247</f>
        <v>1899213</v>
      </c>
      <c r="AB13" s="1359">
        <f t="shared" si="0"/>
        <v>180961</v>
      </c>
      <c r="AC13" s="1366">
        <f t="shared" si="1"/>
        <v>0.10531691509743624</v>
      </c>
      <c r="AD13" s="2812"/>
      <c r="AE13" s="2843">
        <f>SUM('Omnibus BUDGET DETAIL'!$CN$507:$CN$701)</f>
        <v>-9818.9200000000164</v>
      </c>
      <c r="AF13" s="2844">
        <f>SUM('Omnibus BUDGET DETAIL'!$CK$540:$CK$708)</f>
        <v>-1000</v>
      </c>
      <c r="AG13" s="2846"/>
      <c r="AH13" s="2847"/>
      <c r="AI13" s="1359">
        <f t="shared" si="6"/>
        <v>1888394.08</v>
      </c>
      <c r="AJ13" s="1366">
        <f t="shared" si="7"/>
        <v>9.9020446360603698E-2</v>
      </c>
      <c r="AK13" s="2842"/>
      <c r="AL13" s="2872"/>
      <c r="AM13" s="2323"/>
      <c r="AN13" s="1371" t="s">
        <v>131</v>
      </c>
      <c r="AO13" s="1372">
        <f>M41</f>
        <v>430057</v>
      </c>
      <c r="AP13" s="1372">
        <f>M41</f>
        <v>430057</v>
      </c>
      <c r="AQ13" s="1372">
        <f>AO13-AP13</f>
        <v>0</v>
      </c>
      <c r="AR13" s="1373">
        <f>AQ13/AP13*100</f>
        <v>0</v>
      </c>
      <c r="AT13" s="1370">
        <v>2840</v>
      </c>
      <c r="AU13" s="1925">
        <f>V13/U13-1</f>
        <v>2.5952101109703474E-2</v>
      </c>
      <c r="AV13" s="1925">
        <f t="shared" si="2"/>
        <v>2.7276189796052064E-2</v>
      </c>
      <c r="AW13" s="1925">
        <f t="shared" si="3"/>
        <v>-1.009754003532648E-3</v>
      </c>
      <c r="AX13" s="1925">
        <f t="shared" si="4"/>
        <v>-3.7560455109544089E-2</v>
      </c>
      <c r="AY13" s="1925">
        <f t="shared" si="5"/>
        <v>3.530985448739199E-2</v>
      </c>
      <c r="AZ13" s="1324">
        <f t="shared" ref="AZ13:AZ19" si="9">AA13/V13</f>
        <v>1.1302619128385496</v>
      </c>
      <c r="BA13" s="2220">
        <f t="shared" si="8"/>
        <v>2.4792217521723448E-2</v>
      </c>
    </row>
    <row r="14" spans="1:53" ht="12" customHeight="1" x14ac:dyDescent="0.2">
      <c r="A14" s="1364" t="s">
        <v>352</v>
      </c>
      <c r="B14" s="1351">
        <v>394429</v>
      </c>
      <c r="C14" s="1351">
        <v>404841</v>
      </c>
      <c r="D14" s="1351">
        <v>409581</v>
      </c>
      <c r="E14" s="1351">
        <v>444348</v>
      </c>
      <c r="F14" s="1351">
        <v>479217</v>
      </c>
      <c r="G14" s="1351">
        <v>499207</v>
      </c>
      <c r="H14" s="1352">
        <v>504472</v>
      </c>
      <c r="I14" s="1352">
        <f>SUM(BUDGET!J296)</f>
        <v>520989</v>
      </c>
      <c r="J14" s="1351">
        <f>BUDGET!L296</f>
        <v>535862.62</v>
      </c>
      <c r="K14" s="1352">
        <f>BUDGET!M296</f>
        <v>568124</v>
      </c>
      <c r="L14" s="1365">
        <v>534542</v>
      </c>
      <c r="M14" s="1359">
        <f>BUDGET!Q296</f>
        <v>550046</v>
      </c>
      <c r="N14" s="1359">
        <f>BUDGET!S296</f>
        <v>571667</v>
      </c>
      <c r="O14" s="1359">
        <v>598359</v>
      </c>
      <c r="P14" s="1359">
        <v>619100</v>
      </c>
      <c r="Q14" s="1359">
        <v>625243</v>
      </c>
      <c r="R14" s="1359">
        <v>642742</v>
      </c>
      <c r="S14" s="1359">
        <f>BUDGET!AC296</f>
        <v>654199</v>
      </c>
      <c r="T14" s="1359">
        <f>BUDGET!AE296</f>
        <v>666739</v>
      </c>
      <c r="U14" s="1661">
        <f>T14-411453</f>
        <v>255286</v>
      </c>
      <c r="V14" s="1359">
        <f>BUDGET!AH296</f>
        <v>263776</v>
      </c>
      <c r="W14" s="1359">
        <f>BUDGET!AJ296</f>
        <v>280180</v>
      </c>
      <c r="X14" s="1359">
        <f>BUDGET!AL296</f>
        <v>278498</v>
      </c>
      <c r="Y14" s="1359">
        <f>BUDGET!AN296</f>
        <v>293530</v>
      </c>
      <c r="Z14" s="1359">
        <f>BUDGET!AP296</f>
        <v>299442</v>
      </c>
      <c r="AA14" s="1359">
        <f>BUDGET!AR296</f>
        <v>313297</v>
      </c>
      <c r="AB14" s="1359">
        <f t="shared" si="0"/>
        <v>13855</v>
      </c>
      <c r="AC14" s="1366">
        <f t="shared" si="1"/>
        <v>4.6269394406930224E-2</v>
      </c>
      <c r="AD14" s="2811"/>
      <c r="AE14" s="2843">
        <f>SUM('Omnibus BUDGET DETAIL'!$CN$734:$CN$776)</f>
        <v>-17059.459999999992</v>
      </c>
      <c r="AF14" s="2844">
        <f>SUM('Omnibus BUDGET DETAIL'!$CK$714:$CK$742)</f>
        <v>-852</v>
      </c>
      <c r="AG14" s="2846"/>
      <c r="AH14" s="2847"/>
      <c r="AI14" s="1359">
        <f t="shared" si="6"/>
        <v>295385.54000000004</v>
      </c>
      <c r="AJ14" s="1366">
        <f t="shared" si="7"/>
        <v>-1.3546730251601136E-2</v>
      </c>
      <c r="AK14" s="2842"/>
      <c r="AL14" s="2872"/>
      <c r="AM14" s="2323"/>
      <c r="AN14" s="1371" t="s">
        <v>110</v>
      </c>
      <c r="AO14" s="1372">
        <f>SUM(AO11:AO13)</f>
        <v>3372733</v>
      </c>
      <c r="AP14" s="1372">
        <f>SUM(AP11:AP13)</f>
        <v>3434439</v>
      </c>
      <c r="AQ14" s="1372">
        <f>SUM(AQ11:AQ13)</f>
        <v>-61706</v>
      </c>
      <c r="AR14" s="1373">
        <f>AQ14/AP14*100</f>
        <v>-1.7966835340502481</v>
      </c>
      <c r="AT14" s="1370">
        <v>11357</v>
      </c>
      <c r="AU14" s="1726">
        <f>V14/U14-1</f>
        <v>3.3256817843516639E-2</v>
      </c>
      <c r="AV14" s="1726">
        <f t="shared" si="2"/>
        <v>6.2189130171054208E-2</v>
      </c>
      <c r="AW14" s="1726">
        <f t="shared" si="3"/>
        <v>-6.0032836033978576E-3</v>
      </c>
      <c r="AX14" s="1726">
        <f t="shared" si="4"/>
        <v>5.3975252964114651E-2</v>
      </c>
      <c r="AY14" s="1726">
        <f t="shared" si="5"/>
        <v>2.0141041801519544E-2</v>
      </c>
      <c r="AZ14" s="1324">
        <f t="shared" si="9"/>
        <v>1.1877388390149217</v>
      </c>
      <c r="BA14" s="2220">
        <f t="shared" si="8"/>
        <v>3.5009155797066649E-2</v>
      </c>
    </row>
    <row r="15" spans="1:53" ht="12" customHeight="1" x14ac:dyDescent="0.2">
      <c r="A15" s="1364" t="s">
        <v>353</v>
      </c>
      <c r="B15" s="1351">
        <v>481275</v>
      </c>
      <c r="C15" s="1351">
        <v>553235</v>
      </c>
      <c r="D15" s="1351">
        <v>598058</v>
      </c>
      <c r="E15" s="1351">
        <v>615787</v>
      </c>
      <c r="F15" s="1351">
        <v>623705</v>
      </c>
      <c r="G15" s="1351">
        <v>633465</v>
      </c>
      <c r="H15" s="1352">
        <v>640301</v>
      </c>
      <c r="I15" s="1352">
        <f>SUM(BUDGET!J350)</f>
        <v>668229</v>
      </c>
      <c r="J15" s="1351">
        <f>BUDGET!L350</f>
        <v>675182.40999999992</v>
      </c>
      <c r="K15" s="1352">
        <f>BUDGET!M350</f>
        <v>710980</v>
      </c>
      <c r="L15" s="1365">
        <v>699158</v>
      </c>
      <c r="M15" s="1359">
        <f>BUDGET!Q350</f>
        <v>705871</v>
      </c>
      <c r="N15" s="1359">
        <f>BUDGET!S350</f>
        <v>714094</v>
      </c>
      <c r="O15" s="1359">
        <v>731015</v>
      </c>
      <c r="P15" s="1359">
        <v>754932</v>
      </c>
      <c r="Q15" s="1359">
        <v>785156</v>
      </c>
      <c r="R15" s="1359">
        <v>846521</v>
      </c>
      <c r="S15" s="1359">
        <f>BUDGET!AC350</f>
        <v>873781</v>
      </c>
      <c r="T15" s="1359">
        <f>BUDGET!AE350</f>
        <v>893979</v>
      </c>
      <c r="U15" s="1661">
        <f>T15-306397</f>
        <v>587582</v>
      </c>
      <c r="V15" s="1359">
        <f>BUDGET!AH350</f>
        <v>609774</v>
      </c>
      <c r="W15" s="1359">
        <f>BUDGET!AJ350</f>
        <v>638658</v>
      </c>
      <c r="X15" s="1359">
        <f>BUDGET!AL350</f>
        <v>665336</v>
      </c>
      <c r="Y15" s="1359">
        <f>BUDGET!AN350</f>
        <v>687835</v>
      </c>
      <c r="Z15" s="1359">
        <f>BUDGET!AP350</f>
        <v>702767</v>
      </c>
      <c r="AA15" s="1359">
        <f>BUDGET!AR350</f>
        <v>720841</v>
      </c>
      <c r="AB15" s="1359">
        <f t="shared" si="0"/>
        <v>18074</v>
      </c>
      <c r="AC15" s="1366">
        <f t="shared" si="1"/>
        <v>2.571833907966652E-2</v>
      </c>
      <c r="AD15" s="2811"/>
      <c r="AE15" s="2843">
        <f>SUM('Omnibus BUDGET DETAIL'!$CN$819:$CN$853)</f>
        <v>-13268.360000000121</v>
      </c>
      <c r="AF15" s="2844">
        <f>SUM('Omnibus BUDGET DETAIL'!$CK$787:$CK$829)</f>
        <v>-36914</v>
      </c>
      <c r="AG15" s="2846"/>
      <c r="AH15" s="2847"/>
      <c r="AI15" s="1359">
        <f t="shared" si="6"/>
        <v>670658.6399999999</v>
      </c>
      <c r="AJ15" s="1366">
        <f t="shared" si="7"/>
        <v>-4.5688485657408684E-2</v>
      </c>
      <c r="AK15" s="2842"/>
      <c r="AL15" s="2872"/>
      <c r="AM15" s="2323"/>
      <c r="AN15" s="1376" t="s">
        <v>111</v>
      </c>
      <c r="AO15" s="1377" t="s">
        <v>73</v>
      </c>
      <c r="AP15" s="1377"/>
      <c r="AQ15" s="1377"/>
      <c r="AR15" s="1378" t="s">
        <v>112</v>
      </c>
      <c r="AT15" s="1370">
        <v>4000</v>
      </c>
      <c r="AU15" s="1925">
        <f>V15/U15-1</f>
        <v>3.7768345524539448E-2</v>
      </c>
      <c r="AV15" s="1925">
        <f t="shared" si="2"/>
        <v>4.7368369264678467E-2</v>
      </c>
      <c r="AW15" s="1925">
        <f t="shared" si="3"/>
        <v>4.1771965590347238E-2</v>
      </c>
      <c r="AX15" s="1925">
        <f t="shared" si="4"/>
        <v>3.3815996729471998E-2</v>
      </c>
      <c r="AY15" s="1925">
        <f t="shared" si="5"/>
        <v>2.1708694672414097E-2</v>
      </c>
      <c r="AZ15" s="1324">
        <f t="shared" si="9"/>
        <v>1.1821445322365336</v>
      </c>
      <c r="BA15" s="2220">
        <f t="shared" si="8"/>
        <v>3.4032325159585319E-2</v>
      </c>
    </row>
    <row r="16" spans="1:53" ht="12" customHeight="1" x14ac:dyDescent="0.2">
      <c r="A16" s="1364" t="s">
        <v>211</v>
      </c>
      <c r="B16" s="1351">
        <v>433586</v>
      </c>
      <c r="C16" s="1351">
        <v>968085</v>
      </c>
      <c r="D16" s="1351">
        <v>1140960</v>
      </c>
      <c r="E16" s="1351">
        <v>1187579</v>
      </c>
      <c r="F16" s="1351">
        <v>1065810</v>
      </c>
      <c r="G16" s="1351">
        <v>1078047</v>
      </c>
      <c r="H16" s="1352">
        <v>1079268</v>
      </c>
      <c r="I16" s="1352">
        <f>SUM(BUDGET!J386)</f>
        <v>1094667</v>
      </c>
      <c r="J16" s="1351">
        <f>BUDGET!L386</f>
        <v>1074439.3799999999</v>
      </c>
      <c r="K16" s="1352">
        <f>BUDGET!M386</f>
        <v>1112580</v>
      </c>
      <c r="L16" s="1365">
        <v>1117578</v>
      </c>
      <c r="M16" s="1359">
        <f>BUDGET!Q386</f>
        <v>1141042</v>
      </c>
      <c r="N16" s="1359">
        <f>BUDGET!S386</f>
        <v>1187482.5</v>
      </c>
      <c r="O16" s="1359">
        <v>670220.32000000007</v>
      </c>
      <c r="P16" s="1359">
        <v>669208.75</v>
      </c>
      <c r="Q16" s="1359">
        <v>654468.75</v>
      </c>
      <c r="R16" s="1359">
        <v>644404.75</v>
      </c>
      <c r="S16" s="1359">
        <f>BUDGET!AC386</f>
        <v>653485.75</v>
      </c>
      <c r="T16" s="1359">
        <f>BUDGET!AE386</f>
        <v>672874.5</v>
      </c>
      <c r="U16" s="1660"/>
      <c r="V16" s="1359">
        <f>BUDGET!AH386</f>
        <v>1139566.26</v>
      </c>
      <c r="W16" s="1359">
        <f>BUDGET!AJ386</f>
        <v>1349145.74</v>
      </c>
      <c r="X16" s="1359">
        <f>BUDGET!AK386</f>
        <v>1370827.76</v>
      </c>
      <c r="Y16" s="1359">
        <f>BUDGET!AM386+1.24</f>
        <v>1312064</v>
      </c>
      <c r="Z16" s="1359">
        <f>BUDGET!AO386+1.24</f>
        <v>1096864</v>
      </c>
      <c r="AA16" s="1359">
        <f>BUDGET!AR386+1</f>
        <v>1098563.76</v>
      </c>
      <c r="AB16" s="1359">
        <f t="shared" si="0"/>
        <v>1699.7600000000093</v>
      </c>
      <c r="AC16" s="1366">
        <f t="shared" si="1"/>
        <v>1.549654287131321E-3</v>
      </c>
      <c r="AD16" s="2812"/>
      <c r="AE16" s="2843"/>
      <c r="AF16" s="2846"/>
      <c r="AG16" s="2846"/>
      <c r="AH16" s="2847"/>
      <c r="AI16" s="1359">
        <f t="shared" si="6"/>
        <v>1098563.76</v>
      </c>
      <c r="AJ16" s="1366">
        <f t="shared" si="7"/>
        <v>1.5496542871313856E-3</v>
      </c>
      <c r="AK16" s="2842"/>
      <c r="AL16" s="2872"/>
      <c r="AM16" s="2323"/>
      <c r="AN16" s="1376" t="s">
        <v>113</v>
      </c>
      <c r="AO16" s="1379"/>
      <c r="AP16" s="1377"/>
      <c r="AQ16" s="1377"/>
      <c r="AR16" s="1380"/>
      <c r="AT16" s="1370"/>
      <c r="AU16" s="1726">
        <f>V16/T16-1</f>
        <v>0.69357920384856309</v>
      </c>
      <c r="AV16" s="1726">
        <f t="shared" si="2"/>
        <v>0.1839116226554478</v>
      </c>
      <c r="AW16" s="1726">
        <f t="shared" si="3"/>
        <v>1.6070924998807135E-2</v>
      </c>
      <c r="AX16" s="1726">
        <f t="shared" si="4"/>
        <v>-4.2867354830923521E-2</v>
      </c>
      <c r="AY16" s="1726">
        <f t="shared" si="5"/>
        <v>-0.16401638944441732</v>
      </c>
      <c r="AZ16" s="1324">
        <f t="shared" si="9"/>
        <v>0.9640192049912043</v>
      </c>
      <c r="BA16" s="2220">
        <f t="shared" si="8"/>
        <v>-7.3020222167237137E-3</v>
      </c>
    </row>
    <row r="17" spans="1:53" ht="12" customHeight="1" x14ac:dyDescent="0.2">
      <c r="A17" s="1364" t="s">
        <v>350</v>
      </c>
      <c r="B17" s="1351">
        <v>968416</v>
      </c>
      <c r="C17" s="1351">
        <v>981428</v>
      </c>
      <c r="D17" s="1351">
        <v>1205897</v>
      </c>
      <c r="E17" s="1351">
        <f>SUM(1348448+4000)</f>
        <v>1352448</v>
      </c>
      <c r="F17" s="1351">
        <v>1443857</v>
      </c>
      <c r="G17" s="1351">
        <v>1506681</v>
      </c>
      <c r="H17" s="1352">
        <v>1736641</v>
      </c>
      <c r="I17" s="1352">
        <f>SUM(BUDGET!J412)</f>
        <v>1942423</v>
      </c>
      <c r="J17" s="1351">
        <f>BUDGET!L412</f>
        <v>2124530.9699999997</v>
      </c>
      <c r="K17" s="1375">
        <f>BUDGET!M412</f>
        <v>2337018</v>
      </c>
      <c r="L17" s="1365">
        <v>2453559</v>
      </c>
      <c r="M17" s="1359">
        <f>BUDGET!Q412</f>
        <v>2654823</v>
      </c>
      <c r="N17" s="1359">
        <f>BUDGET!S412</f>
        <v>2913098</v>
      </c>
      <c r="O17" s="1359">
        <v>3021535.1</v>
      </c>
      <c r="P17" s="1359">
        <v>3196667</v>
      </c>
      <c r="Q17" s="1359">
        <v>3260183</v>
      </c>
      <c r="R17" s="1359">
        <v>3425062</v>
      </c>
      <c r="S17" s="1359">
        <f>BUDGET!AC412</f>
        <v>3750934</v>
      </c>
      <c r="T17" s="1359">
        <f>BUDGET!AE412</f>
        <v>3962622</v>
      </c>
      <c r="U17" s="1660"/>
      <c r="V17" s="1359">
        <f>BUDGET!AH412</f>
        <v>3934577</v>
      </c>
      <c r="W17" s="1359">
        <f>BUDGET!AJ412</f>
        <v>4156770</v>
      </c>
      <c r="X17" s="1359">
        <f>BUDGET!AL412</f>
        <v>4249683</v>
      </c>
      <c r="Y17" s="1359">
        <f>BUDGET!AN412</f>
        <v>4273832</v>
      </c>
      <c r="Z17" s="1359">
        <f>BUDGET!AP412</f>
        <v>4335833</v>
      </c>
      <c r="AA17" s="1359">
        <f>BUDGET!AR412</f>
        <v>4655917</v>
      </c>
      <c r="AB17" s="1359">
        <f t="shared" si="0"/>
        <v>320084</v>
      </c>
      <c r="AC17" s="1366">
        <f t="shared" si="1"/>
        <v>7.3822953974472721E-2</v>
      </c>
      <c r="AD17" s="2812"/>
      <c r="AE17" s="2843">
        <f>SUM('Omnibus BUDGET DETAIL'!$CN$925:$CN$953)</f>
        <v>-171668.6999999999</v>
      </c>
      <c r="AF17" s="2846"/>
      <c r="AG17" s="2846"/>
      <c r="AH17" s="2847"/>
      <c r="AI17" s="1359">
        <f t="shared" si="6"/>
        <v>4484248.3</v>
      </c>
      <c r="AJ17" s="1366">
        <f t="shared" si="7"/>
        <v>3.4229939206606774E-2</v>
      </c>
      <c r="AK17" s="2842"/>
      <c r="AL17" s="2872"/>
      <c r="AM17" s="2323"/>
      <c r="AN17" s="1381" t="s">
        <v>114</v>
      </c>
      <c r="AO17" s="1372" t="e">
        <f>BUDGET!P120</f>
        <v>#REF!</v>
      </c>
      <c r="AP17" s="1372">
        <f>BUDGET!O120</f>
        <v>990886</v>
      </c>
      <c r="AQ17" s="1372" t="e">
        <f>AO17-AP17</f>
        <v>#REF!</v>
      </c>
      <c r="AR17" s="1373" t="e">
        <f>AQ17/AP17*100</f>
        <v>#REF!</v>
      </c>
      <c r="AT17" s="1370"/>
      <c r="AU17" s="1925">
        <f>V17/T17-1</f>
        <v>-7.0773846205870461E-3</v>
      </c>
      <c r="AV17" s="1925">
        <f t="shared" si="2"/>
        <v>5.6471890116777557E-2</v>
      </c>
      <c r="AW17" s="1925">
        <f t="shared" si="3"/>
        <v>2.2352210971499531E-2</v>
      </c>
      <c r="AX17" s="1925">
        <f t="shared" si="4"/>
        <v>5.6825414978012301E-3</v>
      </c>
      <c r="AY17" s="1925">
        <f t="shared" si="5"/>
        <v>1.4507121477868035E-2</v>
      </c>
      <c r="AZ17" s="1324">
        <f t="shared" si="9"/>
        <v>1.183333557838619</v>
      </c>
      <c r="BA17" s="2220">
        <f t="shared" si="8"/>
        <v>3.4240251773255181E-2</v>
      </c>
    </row>
    <row r="18" spans="1:53" ht="12" customHeight="1" x14ac:dyDescent="0.2">
      <c r="A18" s="1364" t="s">
        <v>210</v>
      </c>
      <c r="B18" s="1351">
        <f t="shared" ref="B18:N18" si="10">SUM(B10:B17)</f>
        <v>8566217</v>
      </c>
      <c r="C18" s="1351">
        <f t="shared" si="10"/>
        <v>9966990</v>
      </c>
      <c r="D18" s="1351">
        <f t="shared" si="10"/>
        <v>11059471</v>
      </c>
      <c r="E18" s="1351">
        <f t="shared" si="10"/>
        <v>11599138</v>
      </c>
      <c r="F18" s="1352">
        <f t="shared" si="10"/>
        <v>11708815</v>
      </c>
      <c r="G18" s="1382">
        <f t="shared" si="10"/>
        <v>12073719</v>
      </c>
      <c r="H18" s="1383">
        <f t="shared" si="10"/>
        <v>12748878</v>
      </c>
      <c r="I18" s="1383">
        <f t="shared" si="10"/>
        <v>13638500.800000001</v>
      </c>
      <c r="J18" s="1384">
        <f t="shared" si="10"/>
        <v>14210670.539999999</v>
      </c>
      <c r="K18" s="1383">
        <f t="shared" si="10"/>
        <v>14937613.489</v>
      </c>
      <c r="L18" s="1384">
        <f t="shared" si="10"/>
        <v>14402643</v>
      </c>
      <c r="M18" s="1385">
        <f t="shared" si="10"/>
        <v>14657572</v>
      </c>
      <c r="N18" s="1386" t="e">
        <f t="shared" si="10"/>
        <v>#REF!</v>
      </c>
      <c r="O18" s="1386">
        <v>14987746.040000001</v>
      </c>
      <c r="P18" s="1386">
        <v>15452593.782400001</v>
      </c>
      <c r="Q18" s="1386">
        <v>16258770.75</v>
      </c>
      <c r="R18" s="1386">
        <v>17168561.75</v>
      </c>
      <c r="S18" s="1386">
        <f>SUM(S9:S17)</f>
        <v>18152478.75</v>
      </c>
      <c r="T18" s="1386">
        <f>SUM(T9:T17)</f>
        <v>18858985.509999998</v>
      </c>
      <c r="U18" s="1662"/>
      <c r="V18" s="1386">
        <f t="shared" ref="V18:Z18" si="11">SUM(V9:V17)</f>
        <v>19835040.259999998</v>
      </c>
      <c r="W18" s="1386">
        <f t="shared" si="11"/>
        <v>21409558.199999999</v>
      </c>
      <c r="X18" s="1386">
        <f t="shared" si="11"/>
        <v>21942108.760000002</v>
      </c>
      <c r="Y18" s="1386">
        <f t="shared" si="11"/>
        <v>22227920.305</v>
      </c>
      <c r="Z18" s="1386">
        <f t="shared" si="11"/>
        <v>22730419.634150002</v>
      </c>
      <c r="AA18" s="1386">
        <f>SUM(AA9:AA17)</f>
        <v>23553501.760000002</v>
      </c>
      <c r="AB18" s="1386">
        <f t="shared" si="0"/>
        <v>823082.12584999949</v>
      </c>
      <c r="AC18" s="1387">
        <f t="shared" si="1"/>
        <v>3.6210599676453285E-2</v>
      </c>
      <c r="AD18" s="2812"/>
      <c r="AE18" s="2848"/>
      <c r="AF18" s="2846"/>
      <c r="AG18" s="2846"/>
      <c r="AH18" s="2847"/>
      <c r="AI18" s="1386">
        <f t="shared" si="6"/>
        <v>23553501.760000002</v>
      </c>
      <c r="AJ18" s="1387">
        <f t="shared" si="7"/>
        <v>3.6210599676453237E-2</v>
      </c>
      <c r="AK18" s="2842"/>
      <c r="AL18" s="2872"/>
      <c r="AM18" s="2323"/>
      <c r="AN18" s="1371" t="s">
        <v>115</v>
      </c>
      <c r="AO18" s="1372">
        <f>BUDGET!P63</f>
        <v>0</v>
      </c>
      <c r="AP18" s="1372">
        <f>BUDGET!N63</f>
        <v>8500</v>
      </c>
      <c r="AQ18" s="1372">
        <f>AO18-AP18</f>
        <v>-8500</v>
      </c>
      <c r="AR18" s="1388">
        <f>BUDGET!AT63</f>
        <v>-1</v>
      </c>
      <c r="AT18" s="1370">
        <v>23528395.760000002</v>
      </c>
      <c r="AU18" s="1925">
        <f>V18/T18-1</f>
        <v>5.1755421811128022E-2</v>
      </c>
      <c r="AV18" s="1925">
        <f t="shared" si="2"/>
        <v>7.9380627382704461E-2</v>
      </c>
      <c r="AW18" s="1925">
        <f t="shared" si="3"/>
        <v>2.4874430150548577E-2</v>
      </c>
      <c r="AX18" s="1925">
        <f t="shared" si="4"/>
        <v>1.3025709977384947E-2</v>
      </c>
      <c r="AY18" s="1925">
        <f t="shared" si="5"/>
        <v>2.2606673150477707E-2</v>
      </c>
      <c r="AZ18" s="1324">
        <f t="shared" si="9"/>
        <v>1.1874693195102193</v>
      </c>
      <c r="BA18" s="2220">
        <f t="shared" si="8"/>
        <v>3.4962179059536247E-2</v>
      </c>
    </row>
    <row r="19" spans="1:53" ht="12" customHeight="1" x14ac:dyDescent="0.2">
      <c r="A19" s="1364" t="s">
        <v>228</v>
      </c>
      <c r="B19" s="1351"/>
      <c r="C19" s="1351">
        <v>3433357</v>
      </c>
      <c r="D19" s="1351">
        <v>3616957</v>
      </c>
      <c r="E19" s="1351">
        <v>4018785</v>
      </c>
      <c r="F19" s="1351">
        <v>4249115</v>
      </c>
      <c r="G19" s="1351">
        <v>4815270</v>
      </c>
      <c r="H19" s="1352">
        <v>4809032</v>
      </c>
      <c r="I19" s="1352">
        <f>SUM(BUDGET!J438)</f>
        <v>5088714.5</v>
      </c>
      <c r="J19" s="1351">
        <f>BUDGET!L438</f>
        <v>5392582</v>
      </c>
      <c r="K19" s="1389">
        <f>BUDGET!M438</f>
        <v>5735134</v>
      </c>
      <c r="L19" s="1390">
        <v>5870454</v>
      </c>
      <c r="M19" s="1391">
        <f>BUDGET!Q438</f>
        <v>6013061</v>
      </c>
      <c r="N19" s="1391">
        <f>BUDGET!S438</f>
        <v>6121408</v>
      </c>
      <c r="O19" s="1391">
        <v>6173071</v>
      </c>
      <c r="P19" s="1391">
        <v>6237692</v>
      </c>
      <c r="Q19" s="1391">
        <v>6421520</v>
      </c>
      <c r="R19" s="1391">
        <v>6923501</v>
      </c>
      <c r="S19" s="1391">
        <f>BUDGET!AB438</f>
        <v>7025349</v>
      </c>
      <c r="T19" s="1391">
        <f>BUDGET!AE438</f>
        <v>7207467</v>
      </c>
      <c r="U19" s="1663"/>
      <c r="V19" s="1391">
        <f>BUDGET!AH438</f>
        <v>7579412.79</v>
      </c>
      <c r="W19" s="1391">
        <f>BUDGET!AI438</f>
        <v>7693568</v>
      </c>
      <c r="X19" s="1391">
        <f>BUDGET!AK438</f>
        <v>7825842.2695999723</v>
      </c>
      <c r="Y19" s="1391">
        <f>BUDGET!AN438</f>
        <v>8476833</v>
      </c>
      <c r="Z19" s="1391">
        <f>BUDGET!AP438</f>
        <v>8776844</v>
      </c>
      <c r="AA19" s="1391">
        <f>BUDGET!AR438</f>
        <v>8876259</v>
      </c>
      <c r="AB19" s="1391">
        <f t="shared" si="0"/>
        <v>99415</v>
      </c>
      <c r="AC19" s="2228">
        <f t="shared" si="1"/>
        <v>1.1326964453281841E-2</v>
      </c>
      <c r="AD19" s="2812"/>
      <c r="AE19" s="2848"/>
      <c r="AF19" s="2846"/>
      <c r="AG19" s="2846"/>
      <c r="AH19" s="2850">
        <f>AI3-AA19</f>
        <v>61467.044984957203</v>
      </c>
      <c r="AI19" s="1391">
        <f t="shared" si="6"/>
        <v>8937726.0449849572</v>
      </c>
      <c r="AJ19" s="2228">
        <f t="shared" si="7"/>
        <v>1.8330284209786329E-2</v>
      </c>
      <c r="AK19" s="2841">
        <v>9123180</v>
      </c>
      <c r="AL19" s="2871">
        <f>AK19-AI19</f>
        <v>185453.9550150428</v>
      </c>
      <c r="AM19" s="2323"/>
      <c r="AN19" s="1371"/>
      <c r="AO19" s="1377"/>
      <c r="AP19" s="1377"/>
      <c r="AQ19" s="1377"/>
      <c r="AR19" s="1380"/>
      <c r="AS19" s="1508"/>
      <c r="AT19" s="1370">
        <v>23551109.760000002</v>
      </c>
      <c r="AU19" s="1925">
        <f>V19/T19-1</f>
        <v>5.1605618173485857E-2</v>
      </c>
      <c r="AV19" s="1925">
        <f t="shared" si="2"/>
        <v>1.5061220857453872E-2</v>
      </c>
      <c r="AW19" s="1925">
        <f t="shared" si="3"/>
        <v>1.7192838173390124E-2</v>
      </c>
      <c r="AX19" s="1925">
        <f t="shared" si="4"/>
        <v>8.31847497014917E-2</v>
      </c>
      <c r="AY19" s="1925">
        <f t="shared" si="5"/>
        <v>3.5391873356476422E-2</v>
      </c>
      <c r="AZ19" s="1324">
        <f t="shared" si="9"/>
        <v>1.171101145422639</v>
      </c>
      <c r="BA19" s="2220">
        <f t="shared" si="8"/>
        <v>3.2093115542521256E-2</v>
      </c>
    </row>
    <row r="20" spans="1:53" s="86" customFormat="1" ht="12" customHeight="1" outlineLevel="1" x14ac:dyDescent="0.2">
      <c r="A20" s="381" t="s">
        <v>92</v>
      </c>
      <c r="B20" s="1502">
        <v>4940983</v>
      </c>
      <c r="C20" s="1502">
        <v>4370070</v>
      </c>
      <c r="D20" s="1502">
        <v>1290924</v>
      </c>
      <c r="E20" s="1502">
        <v>1267089</v>
      </c>
      <c r="F20" s="1502">
        <v>1233413</v>
      </c>
      <c r="G20" s="1502">
        <v>1190590</v>
      </c>
      <c r="H20" s="1503">
        <f>150000+603740+46517+750+54450+25500+53247+15000+34500+150000</f>
        <v>1133704</v>
      </c>
      <c r="I20" s="1503">
        <v>1304107.8799999999</v>
      </c>
      <c r="J20" s="1502">
        <v>1319169</v>
      </c>
      <c r="K20" s="1503">
        <v>1287548</v>
      </c>
      <c r="L20" s="1502">
        <v>1504914</v>
      </c>
      <c r="M20" s="1504">
        <v>1362180</v>
      </c>
      <c r="N20" s="1504">
        <v>1538597</v>
      </c>
      <c r="O20" s="1504">
        <v>2503112</v>
      </c>
      <c r="P20" s="1504">
        <v>2626345</v>
      </c>
      <c r="Q20" s="1504">
        <v>2320875</v>
      </c>
      <c r="R20" s="1509">
        <v>2573057</v>
      </c>
      <c r="S20" s="1509">
        <v>2079377</v>
      </c>
      <c r="T20" s="1509">
        <f>2326529.08 +500000</f>
        <v>2826529.08</v>
      </c>
      <c r="U20" s="1664" t="s">
        <v>976</v>
      </c>
      <c r="V20" s="1509">
        <v>2632492</v>
      </c>
      <c r="W20" s="1509">
        <v>3646596</v>
      </c>
      <c r="X20" s="1509">
        <v>3333633</v>
      </c>
      <c r="Y20" s="1509">
        <v>4059661.0000000037</v>
      </c>
      <c r="Z20" s="1509">
        <v>4321515.25</v>
      </c>
      <c r="AA20" s="2319">
        <f>'PROJECTED SCH. B'!C64</f>
        <v>5495808.0000000037</v>
      </c>
      <c r="AB20" s="2319">
        <f t="shared" si="0"/>
        <v>1174292.7500000037</v>
      </c>
      <c r="AC20" s="2320">
        <f t="shared" si="1"/>
        <v>0.2717317149349418</v>
      </c>
      <c r="AD20" s="2813"/>
      <c r="AE20" s="2828"/>
      <c r="AF20" s="2829"/>
      <c r="AG20" s="2829"/>
      <c r="AH20" s="2830"/>
      <c r="AI20" s="2830"/>
      <c r="AJ20" s="2830"/>
      <c r="AK20" s="2829"/>
      <c r="AL20" s="2829"/>
      <c r="AM20" s="2323"/>
      <c r="AN20" s="1505" t="s">
        <v>450</v>
      </c>
      <c r="AO20" s="1506"/>
      <c r="AP20" s="1506"/>
      <c r="AQ20" s="1506"/>
      <c r="AR20" s="1507"/>
      <c r="AT20" s="1370"/>
    </row>
    <row r="21" spans="1:53" ht="12" customHeight="1" outlineLevel="1" x14ac:dyDescent="0.2">
      <c r="A21" s="1364" t="s">
        <v>497</v>
      </c>
      <c r="B21" s="1351">
        <v>318259</v>
      </c>
      <c r="C21" s="1351">
        <v>78715</v>
      </c>
      <c r="D21" s="1351">
        <v>373024</v>
      </c>
      <c r="E21" s="1351">
        <v>292873</v>
      </c>
      <c r="F21" s="1351">
        <v>24186</v>
      </c>
      <c r="G21" s="1351">
        <v>113167</v>
      </c>
      <c r="H21" s="1352">
        <v>435926.92</v>
      </c>
      <c r="I21" s="1352">
        <v>260864</v>
      </c>
      <c r="J21" s="1351">
        <v>145865</v>
      </c>
      <c r="K21" s="1352">
        <v>171687</v>
      </c>
      <c r="L21" s="1351">
        <v>568780</v>
      </c>
      <c r="M21" s="1359">
        <v>82006</v>
      </c>
      <c r="N21" s="1359">
        <v>212997</v>
      </c>
      <c r="O21" s="1359">
        <v>57175</v>
      </c>
      <c r="P21" s="1359">
        <v>128790</v>
      </c>
      <c r="Q21" s="1359">
        <v>369970</v>
      </c>
      <c r="R21" s="1359">
        <v>423489</v>
      </c>
      <c r="S21" s="1359">
        <v>199846</v>
      </c>
      <c r="T21" s="1392">
        <v>0</v>
      </c>
      <c r="U21" s="1392"/>
      <c r="V21" s="1392">
        <v>250962</v>
      </c>
      <c r="W21" s="1392">
        <v>395400</v>
      </c>
      <c r="X21" s="1392">
        <v>19410</v>
      </c>
      <c r="Y21" s="1392"/>
      <c r="Z21" s="1392"/>
      <c r="AA21" s="1392"/>
      <c r="AB21" s="1392">
        <f>Z21-Y21</f>
        <v>0</v>
      </c>
      <c r="AC21" s="2229" t="str">
        <f>IF(Z21&gt;0,AB21/Y21,"")</f>
        <v/>
      </c>
      <c r="AD21" s="2814"/>
      <c r="AE21" s="2828"/>
      <c r="AF21" s="2829"/>
      <c r="AG21" s="2829"/>
      <c r="AH21" s="2830"/>
      <c r="AI21" s="2830"/>
      <c r="AJ21" s="2830"/>
      <c r="AK21" s="2829"/>
      <c r="AL21" s="2829"/>
      <c r="AM21" s="2323"/>
      <c r="AN21" s="1393" t="s">
        <v>68</v>
      </c>
      <c r="AO21" s="1372">
        <f>BUDGET!S127</f>
        <v>1357007</v>
      </c>
      <c r="AP21" s="1372">
        <f>BUDGET!Q127</f>
        <v>1376229</v>
      </c>
      <c r="AQ21" s="1372">
        <f>AO21-AP21</f>
        <v>-19222</v>
      </c>
      <c r="AR21" s="1373">
        <f>AQ21/AP21*100</f>
        <v>-1.3967152268990117</v>
      </c>
      <c r="AT21" s="1370">
        <f>AT19-AT18</f>
        <v>22714</v>
      </c>
      <c r="AU21" s="2219">
        <f>AA12/V12</f>
        <v>1.2307911462541461</v>
      </c>
      <c r="AV21" s="1324">
        <f>POWER(AU21,0.2)</f>
        <v>1.0424059285227398</v>
      </c>
    </row>
    <row r="22" spans="1:53" ht="12" customHeight="1" outlineLevel="1" x14ac:dyDescent="0.2">
      <c r="A22" s="1394" t="s">
        <v>384</v>
      </c>
      <c r="B22" s="1395">
        <f t="shared" ref="B22:N22" si="12">SUM(B18:B21)</f>
        <v>13825459</v>
      </c>
      <c r="C22" s="1395">
        <f t="shared" si="12"/>
        <v>17849132</v>
      </c>
      <c r="D22" s="1395">
        <f t="shared" si="12"/>
        <v>16340376</v>
      </c>
      <c r="E22" s="1395">
        <f>SUM(E18:E21)</f>
        <v>17177885</v>
      </c>
      <c r="F22" s="1396">
        <v>17215530</v>
      </c>
      <c r="G22" s="1382">
        <f>SUM(G18:G21)</f>
        <v>18192746</v>
      </c>
      <c r="H22" s="1383">
        <f>SUM(H18:H21)</f>
        <v>19127540.920000002</v>
      </c>
      <c r="I22" s="1383">
        <f t="shared" si="12"/>
        <v>20292187.18</v>
      </c>
      <c r="J22" s="1384">
        <f t="shared" si="12"/>
        <v>21068286.539999999</v>
      </c>
      <c r="K22" s="1383">
        <f t="shared" si="12"/>
        <v>22131982.489</v>
      </c>
      <c r="L22" s="1384">
        <f t="shared" si="12"/>
        <v>22346791</v>
      </c>
      <c r="M22" s="1385">
        <f t="shared" si="12"/>
        <v>22114819</v>
      </c>
      <c r="N22" s="1386" t="e">
        <f t="shared" si="12"/>
        <v>#REF!</v>
      </c>
      <c r="O22" s="1386">
        <v>23721104.039999999</v>
      </c>
      <c r="P22" s="1386">
        <v>24445420.782400001</v>
      </c>
      <c r="Q22" s="1386">
        <v>25371135.75</v>
      </c>
      <c r="R22" s="1386">
        <v>27088608.75</v>
      </c>
      <c r="S22" s="1386">
        <f>SUM(S18:S21)</f>
        <v>27457050.75</v>
      </c>
      <c r="T22" s="1386">
        <f>SUM(T18:T21)</f>
        <v>28892981.589999996</v>
      </c>
      <c r="U22" s="1386"/>
      <c r="V22" s="1386">
        <f t="shared" ref="V22:AA22" si="13">SUM(V18:V21)</f>
        <v>30297907.049999997</v>
      </c>
      <c r="W22" s="1386">
        <f t="shared" si="13"/>
        <v>33145122.199999999</v>
      </c>
      <c r="X22" s="1386">
        <f t="shared" si="13"/>
        <v>33120994.029599972</v>
      </c>
      <c r="Y22" s="1386">
        <f t="shared" si="13"/>
        <v>34764414.305000007</v>
      </c>
      <c r="Z22" s="1386">
        <f t="shared" si="13"/>
        <v>35828778.884149998</v>
      </c>
      <c r="AA22" s="1386">
        <f t="shared" si="13"/>
        <v>37925568.760000005</v>
      </c>
      <c r="AB22" s="1386">
        <f t="shared" ref="AB22:AB37" si="14">AA22-Z22</f>
        <v>2096789.8758500069</v>
      </c>
      <c r="AC22" s="1387">
        <f t="shared" ref="AC22:AC31" si="15">IF(AA22&gt;0,AB22/Z22,"")</f>
        <v>5.8522504566227034E-2</v>
      </c>
      <c r="AD22" s="2815"/>
      <c r="AE22" s="2828"/>
      <c r="AF22" s="2829"/>
      <c r="AG22" s="2829"/>
      <c r="AH22" s="2830"/>
      <c r="AI22" s="2830"/>
      <c r="AJ22" s="2830"/>
      <c r="AK22" s="2829"/>
      <c r="AL22" s="2829"/>
      <c r="AM22" s="2323"/>
      <c r="AN22" s="1393" t="s">
        <v>69</v>
      </c>
      <c r="AO22" s="1372">
        <f>BUDGET!S133</f>
        <v>588467</v>
      </c>
      <c r="AP22" s="1372">
        <f>BUDGET!Q133</f>
        <v>585967</v>
      </c>
      <c r="AQ22" s="1372">
        <f>AO22-AP22</f>
        <v>2500</v>
      </c>
      <c r="AR22" s="1373">
        <f>AQ22/AP22*100</f>
        <v>0.42664518650367678</v>
      </c>
      <c r="AT22" s="1370"/>
    </row>
    <row r="23" spans="1:53" ht="12" customHeight="1" outlineLevel="1" x14ac:dyDescent="0.2">
      <c r="A23" s="1350" t="s">
        <v>385</v>
      </c>
      <c r="B23" s="1351"/>
      <c r="C23" s="1351"/>
      <c r="D23" s="1351"/>
      <c r="E23" s="1351"/>
      <c r="F23" s="1351"/>
      <c r="G23" s="1351"/>
      <c r="H23" s="1352"/>
      <c r="I23" s="1352"/>
      <c r="J23" s="1351"/>
      <c r="K23" s="1352"/>
      <c r="L23" s="1351"/>
      <c r="M23" s="1359"/>
      <c r="N23" s="1359"/>
      <c r="O23" s="1359"/>
      <c r="P23" s="1359"/>
      <c r="Q23" s="1359"/>
      <c r="R23" s="1359"/>
      <c r="S23" s="1359"/>
      <c r="T23" s="1359"/>
      <c r="U23" s="1359"/>
      <c r="V23" s="1359"/>
      <c r="W23" s="1359"/>
      <c r="X23" s="1359"/>
      <c r="Y23" s="1359"/>
      <c r="Z23" s="1359"/>
      <c r="AA23" s="1359"/>
      <c r="AB23" s="1359">
        <f t="shared" si="14"/>
        <v>0</v>
      </c>
      <c r="AC23" s="1366" t="str">
        <f t="shared" si="15"/>
        <v/>
      </c>
      <c r="AD23" s="2814"/>
      <c r="AE23" s="2828"/>
      <c r="AF23" s="2829"/>
      <c r="AG23" s="2829"/>
      <c r="AH23" s="2830"/>
      <c r="AI23" s="2830"/>
      <c r="AJ23" s="2830"/>
      <c r="AK23" s="2829"/>
      <c r="AL23" s="2829"/>
      <c r="AM23" s="2323"/>
      <c r="AN23" s="1393" t="s">
        <v>70</v>
      </c>
      <c r="AO23" s="1372">
        <f>BUDGET!S137</f>
        <v>0</v>
      </c>
      <c r="AP23" s="1372">
        <f>BUDGET!Q137</f>
        <v>0</v>
      </c>
      <c r="AQ23" s="1372">
        <f>AO23-AP23</f>
        <v>0</v>
      </c>
      <c r="AR23" s="1373" t="e">
        <f>AQ23/AP23*100</f>
        <v>#DIV/0!</v>
      </c>
      <c r="AT23" s="1370"/>
    </row>
    <row r="24" spans="1:53" ht="12" customHeight="1" outlineLevel="1" x14ac:dyDescent="0.2">
      <c r="A24" s="1364" t="s">
        <v>386</v>
      </c>
      <c r="B24" s="1351">
        <v>0</v>
      </c>
      <c r="C24" s="1351">
        <v>0</v>
      </c>
      <c r="D24" s="1351">
        <v>0</v>
      </c>
      <c r="E24" s="1351">
        <v>0</v>
      </c>
      <c r="F24" s="1351">
        <v>0</v>
      </c>
      <c r="G24" s="1351">
        <v>0</v>
      </c>
      <c r="H24" s="1352"/>
      <c r="I24" s="1352">
        <v>0</v>
      </c>
      <c r="J24" s="1351">
        <v>0</v>
      </c>
      <c r="K24" s="1352"/>
      <c r="L24" s="1351"/>
      <c r="M24" s="1359"/>
      <c r="N24" s="1359">
        <v>10000</v>
      </c>
      <c r="O24" s="1359">
        <v>4975</v>
      </c>
      <c r="P24" s="1359"/>
      <c r="Q24" s="1359"/>
      <c r="R24" s="1359"/>
      <c r="S24" s="1359"/>
      <c r="T24" s="1359"/>
      <c r="U24" s="1359"/>
      <c r="V24" s="1359"/>
      <c r="W24" s="1359"/>
      <c r="X24" s="1359"/>
      <c r="Y24" s="1359"/>
      <c r="Z24" s="1359"/>
      <c r="AA24" s="1359"/>
      <c r="AB24" s="1359">
        <f t="shared" si="14"/>
        <v>0</v>
      </c>
      <c r="AC24" s="1366" t="str">
        <f t="shared" si="15"/>
        <v/>
      </c>
      <c r="AD24" s="2816"/>
      <c r="AE24" s="2828"/>
      <c r="AF24" s="2829"/>
      <c r="AG24" s="2829"/>
      <c r="AH24" s="2830"/>
      <c r="AI24" s="2830"/>
      <c r="AJ24" s="2830"/>
      <c r="AK24" s="2829"/>
      <c r="AL24" s="2829"/>
      <c r="AM24" s="2323"/>
      <c r="AN24" s="1381" t="s">
        <v>212</v>
      </c>
      <c r="AO24" s="1377"/>
      <c r="AP24" s="1377"/>
      <c r="AQ24" s="1377"/>
      <c r="AR24" s="1378"/>
      <c r="AT24" s="1370"/>
    </row>
    <row r="25" spans="1:53" ht="12" customHeight="1" outlineLevel="1" x14ac:dyDescent="0.2">
      <c r="A25" s="1364" t="s">
        <v>390</v>
      </c>
      <c r="B25" s="1351">
        <v>0</v>
      </c>
      <c r="C25" s="1351">
        <v>0</v>
      </c>
      <c r="D25" s="1351">
        <v>0</v>
      </c>
      <c r="E25" s="1351">
        <v>0</v>
      </c>
      <c r="F25" s="1351">
        <v>0</v>
      </c>
      <c r="G25" s="1351">
        <v>0</v>
      </c>
      <c r="H25" s="1352"/>
      <c r="I25" s="1352">
        <v>0</v>
      </c>
      <c r="J25" s="1351">
        <v>0</v>
      </c>
      <c r="K25" s="1352"/>
      <c r="L25" s="1351"/>
      <c r="M25" s="1359"/>
      <c r="N25" s="1359"/>
      <c r="O25" s="1359"/>
      <c r="P25" s="1359"/>
      <c r="Q25" s="1359"/>
      <c r="R25" s="1359"/>
      <c r="S25" s="1359"/>
      <c r="T25" s="1359"/>
      <c r="U25" s="1359"/>
      <c r="V25" s="1359"/>
      <c r="W25" s="1359"/>
      <c r="X25" s="1359"/>
      <c r="Y25" s="1359"/>
      <c r="Z25" s="1359"/>
      <c r="AA25" s="1359"/>
      <c r="AB25" s="1359">
        <f t="shared" si="14"/>
        <v>0</v>
      </c>
      <c r="AC25" s="1366" t="str">
        <f t="shared" si="15"/>
        <v/>
      </c>
      <c r="AD25" s="2814"/>
      <c r="AE25" s="2828"/>
      <c r="AF25" s="2829"/>
      <c r="AG25" s="2829"/>
      <c r="AH25" s="2830"/>
      <c r="AI25" s="2830"/>
      <c r="AJ25" s="2830"/>
      <c r="AK25" s="2829"/>
      <c r="AL25" s="2829"/>
      <c r="AM25" s="2323"/>
      <c r="AN25" s="1393" t="s">
        <v>213</v>
      </c>
      <c r="AO25" s="1372">
        <f>BUDGET!S224+BUDGET!S225+BUDGET!S228</f>
        <v>0</v>
      </c>
      <c r="AP25" s="1372">
        <f>BUDGET!Q224+BUDGET!Q225+BUDGET!Q228</f>
        <v>340122</v>
      </c>
      <c r="AQ25" s="1372">
        <f>AO25-AP25</f>
        <v>-340122</v>
      </c>
      <c r="AR25" s="1373">
        <f>AQ25/AP25*100</f>
        <v>-100</v>
      </c>
      <c r="AT25" s="1370"/>
    </row>
    <row r="26" spans="1:53" ht="12" customHeight="1" outlineLevel="1" x14ac:dyDescent="0.2">
      <c r="A26" s="1364" t="s">
        <v>247</v>
      </c>
      <c r="B26" s="1351">
        <v>0</v>
      </c>
      <c r="C26" s="1351">
        <v>0</v>
      </c>
      <c r="D26" s="1351">
        <v>0</v>
      </c>
      <c r="E26" s="1351">
        <v>0</v>
      </c>
      <c r="F26" s="1351">
        <v>0</v>
      </c>
      <c r="G26" s="1351">
        <v>0</v>
      </c>
      <c r="H26" s="1352"/>
      <c r="I26" s="1352">
        <v>0</v>
      </c>
      <c r="J26" s="1351">
        <v>0</v>
      </c>
      <c r="K26" s="1352"/>
      <c r="L26" s="1351"/>
      <c r="M26" s="1359"/>
      <c r="N26" s="1359"/>
      <c r="O26" s="1359"/>
      <c r="P26" s="1359"/>
      <c r="Q26" s="1359"/>
      <c r="R26" s="1359"/>
      <c r="S26" s="1359"/>
      <c r="T26" s="1359"/>
      <c r="U26" s="1359"/>
      <c r="V26" s="1359"/>
      <c r="W26" s="1359"/>
      <c r="X26" s="1359"/>
      <c r="Y26" s="1359"/>
      <c r="Z26" s="1359"/>
      <c r="AA26" s="1359"/>
      <c r="AB26" s="1359">
        <f t="shared" si="14"/>
        <v>0</v>
      </c>
      <c r="AC26" s="1366" t="str">
        <f t="shared" si="15"/>
        <v/>
      </c>
      <c r="AD26" s="2814" t="s">
        <v>164</v>
      </c>
      <c r="AE26" s="2828"/>
      <c r="AF26" s="2829"/>
      <c r="AG26" s="2829"/>
      <c r="AH26" s="2830"/>
      <c r="AI26" s="2830"/>
      <c r="AJ26" s="2830"/>
      <c r="AK26" s="2829"/>
      <c r="AL26" s="2829"/>
      <c r="AM26" s="2323"/>
      <c r="AN26" s="1393" t="s">
        <v>49</v>
      </c>
      <c r="AO26" s="1372">
        <f>BUDGET!S227</f>
        <v>0</v>
      </c>
      <c r="AP26" s="1372">
        <f>BUDGET!Q227</f>
        <v>75085</v>
      </c>
      <c r="AQ26" s="1372">
        <f>AO26-AP26</f>
        <v>-75085</v>
      </c>
      <c r="AR26" s="1373">
        <f t="shared" ref="AR26:AR35" si="16">AQ26/AP26*100</f>
        <v>-100</v>
      </c>
      <c r="AT26" s="1370"/>
      <c r="AU26" s="1370">
        <f>AT26/2</f>
        <v>0</v>
      </c>
    </row>
    <row r="27" spans="1:53" ht="12" customHeight="1" outlineLevel="1" x14ac:dyDescent="0.2">
      <c r="A27" s="1364" t="s">
        <v>550</v>
      </c>
      <c r="B27" s="1351">
        <v>0</v>
      </c>
      <c r="C27" s="1351">
        <v>0</v>
      </c>
      <c r="D27" s="1351">
        <v>0</v>
      </c>
      <c r="E27" s="1351">
        <v>0</v>
      </c>
      <c r="F27" s="1351">
        <v>0</v>
      </c>
      <c r="G27" s="1351">
        <v>0</v>
      </c>
      <c r="H27" s="1352"/>
      <c r="I27" s="1352">
        <v>0</v>
      </c>
      <c r="J27" s="1351">
        <v>0</v>
      </c>
      <c r="K27" s="1352"/>
      <c r="L27" s="1351"/>
      <c r="M27" s="1359"/>
      <c r="N27" s="1359">
        <v>31.46</v>
      </c>
      <c r="O27" s="1359"/>
      <c r="P27" s="1359"/>
      <c r="Q27" s="1359"/>
      <c r="R27" s="1359"/>
      <c r="S27" s="1359"/>
      <c r="T27" s="1359"/>
      <c r="U27" s="1359"/>
      <c r="V27" s="1359"/>
      <c r="W27" s="1359"/>
      <c r="X27" s="1359"/>
      <c r="Y27" s="1359"/>
      <c r="Z27" s="1359"/>
      <c r="AA27" s="1359"/>
      <c r="AB27" s="1359">
        <f t="shared" si="14"/>
        <v>0</v>
      </c>
      <c r="AC27" s="1366" t="str">
        <f t="shared" si="15"/>
        <v/>
      </c>
      <c r="AD27" s="2814"/>
      <c r="AE27" s="2828"/>
      <c r="AF27" s="2829"/>
      <c r="AG27" s="2829"/>
      <c r="AH27" s="2830"/>
      <c r="AI27" s="2830"/>
      <c r="AJ27" s="2830"/>
      <c r="AK27" s="2829"/>
      <c r="AL27" s="2829"/>
      <c r="AM27" s="2323"/>
      <c r="AN27" s="1371" t="s">
        <v>10</v>
      </c>
      <c r="AO27" s="1372">
        <f>BUDGET!S229</f>
        <v>0</v>
      </c>
      <c r="AP27" s="1372">
        <f>BUDGET!Q229</f>
        <v>50000</v>
      </c>
      <c r="AQ27" s="1372">
        <f>AO27-AP27</f>
        <v>-50000</v>
      </c>
      <c r="AR27" s="1373">
        <f t="shared" si="16"/>
        <v>-100</v>
      </c>
      <c r="AT27" s="1370"/>
    </row>
    <row r="28" spans="1:53" ht="12" customHeight="1" outlineLevel="1" x14ac:dyDescent="0.2">
      <c r="A28" s="1364" t="s">
        <v>686</v>
      </c>
      <c r="B28" s="1351">
        <v>13031</v>
      </c>
      <c r="C28" s="1351">
        <v>14781</v>
      </c>
      <c r="D28" s="1351">
        <v>17889</v>
      </c>
      <c r="E28" s="1351">
        <v>15097</v>
      </c>
      <c r="F28" s="1351">
        <f>(4771+9165)</f>
        <v>13936</v>
      </c>
      <c r="G28" s="1351">
        <v>15183</v>
      </c>
      <c r="H28" s="1352">
        <v>15947</v>
      </c>
      <c r="I28" s="1352">
        <v>15864</v>
      </c>
      <c r="J28" s="1351">
        <v>15659</v>
      </c>
      <c r="K28" s="1352">
        <v>15536</v>
      </c>
      <c r="L28" s="1351">
        <v>13427</v>
      </c>
      <c r="M28" s="1359">
        <v>12881</v>
      </c>
      <c r="N28" s="1359">
        <v>12714</v>
      </c>
      <c r="O28" s="1359">
        <v>12346</v>
      </c>
      <c r="P28" s="1359">
        <v>12091</v>
      </c>
      <c r="Q28" s="1359">
        <v>13838</v>
      </c>
      <c r="R28" s="1359">
        <v>11311</v>
      </c>
      <c r="S28" s="1359">
        <v>11311</v>
      </c>
      <c r="T28" s="1527">
        <v>11144</v>
      </c>
      <c r="U28" s="1527"/>
      <c r="V28" s="1527">
        <v>10770</v>
      </c>
      <c r="W28" s="1527">
        <v>10985</v>
      </c>
      <c r="X28" s="1527">
        <v>11043</v>
      </c>
      <c r="Y28" s="1527">
        <v>13487</v>
      </c>
      <c r="Z28" s="1527">
        <v>13314</v>
      </c>
      <c r="AA28" s="1527">
        <v>16338</v>
      </c>
      <c r="AB28" s="1527">
        <f t="shared" si="14"/>
        <v>3024</v>
      </c>
      <c r="AC28" s="2230">
        <f t="shared" si="15"/>
        <v>0.22712933753943218</v>
      </c>
      <c r="AD28" s="2817"/>
      <c r="AE28" s="2828"/>
      <c r="AF28" s="2829"/>
      <c r="AG28" s="2829"/>
      <c r="AH28" s="2830"/>
      <c r="AI28" s="2830"/>
      <c r="AJ28" s="2830"/>
      <c r="AK28" s="2829"/>
      <c r="AL28" s="2829"/>
      <c r="AM28" s="2323"/>
      <c r="AN28" s="1371" t="s">
        <v>166</v>
      </c>
      <c r="AO28" s="1372">
        <f>BUDGET!S235</f>
        <v>242866</v>
      </c>
      <c r="AP28" s="1372">
        <f>BUDGET!Q235</f>
        <v>242866</v>
      </c>
      <c r="AQ28" s="1372">
        <f>AO28-AP28</f>
        <v>0</v>
      </c>
      <c r="AR28" s="1373">
        <f t="shared" si="16"/>
        <v>0</v>
      </c>
      <c r="AT28" s="1370"/>
    </row>
    <row r="29" spans="1:53" ht="12" customHeight="1" outlineLevel="1" x14ac:dyDescent="0.2">
      <c r="A29" s="1364" t="s">
        <v>687</v>
      </c>
      <c r="B29" s="1351">
        <v>0</v>
      </c>
      <c r="C29" s="1351">
        <v>0</v>
      </c>
      <c r="D29" s="1351">
        <v>0</v>
      </c>
      <c r="E29" s="1351">
        <v>0</v>
      </c>
      <c r="F29" s="1351">
        <v>0</v>
      </c>
      <c r="G29" s="1351">
        <v>0</v>
      </c>
      <c r="H29" s="1352"/>
      <c r="I29" s="1352">
        <v>0</v>
      </c>
      <c r="J29" s="1351">
        <v>0</v>
      </c>
      <c r="K29" s="1352"/>
      <c r="L29" s="1351"/>
      <c r="M29" s="1359"/>
      <c r="N29" s="1359">
        <v>17337</v>
      </c>
      <c r="O29" s="1359"/>
      <c r="P29" s="1359"/>
      <c r="Q29" s="1359"/>
      <c r="R29" s="1359"/>
      <c r="S29" s="1359"/>
      <c r="T29" s="1359"/>
      <c r="U29" s="1359"/>
      <c r="V29" s="1359"/>
      <c r="W29" s="1359"/>
      <c r="X29" s="1359"/>
      <c r="Y29" s="1359"/>
      <c r="Z29" s="1359"/>
      <c r="AA29" s="1359"/>
      <c r="AB29" s="1359">
        <f t="shared" si="14"/>
        <v>0</v>
      </c>
      <c r="AC29" s="1366" t="str">
        <f t="shared" si="15"/>
        <v/>
      </c>
      <c r="AD29" s="2814"/>
      <c r="AE29" s="2828"/>
      <c r="AF29" s="2829"/>
      <c r="AG29" s="2829"/>
      <c r="AH29" s="2830"/>
      <c r="AI29" s="2830"/>
      <c r="AJ29" s="2830"/>
      <c r="AK29" s="2829"/>
      <c r="AL29" s="2829"/>
      <c r="AM29" s="2323"/>
      <c r="AN29" s="1371" t="s">
        <v>214</v>
      </c>
      <c r="AO29" s="1372">
        <f>BUDGET!S321</f>
        <v>232005</v>
      </c>
      <c r="AP29" s="1372">
        <f>BUDGET!Q321</f>
        <v>230740</v>
      </c>
      <c r="AQ29" s="1372">
        <f>AO29-AP29</f>
        <v>1265</v>
      </c>
      <c r="AR29" s="1373">
        <f t="shared" si="16"/>
        <v>0.54823610990725491</v>
      </c>
      <c r="AT29" s="1370"/>
    </row>
    <row r="30" spans="1:53" ht="12" customHeight="1" outlineLevel="1" x14ac:dyDescent="0.2">
      <c r="A30" s="1364" t="s">
        <v>694</v>
      </c>
      <c r="B30" s="1351">
        <v>0</v>
      </c>
      <c r="C30" s="1351">
        <v>0</v>
      </c>
      <c r="D30" s="1351">
        <v>0</v>
      </c>
      <c r="E30" s="1351">
        <v>0</v>
      </c>
      <c r="F30" s="1351">
        <v>0</v>
      </c>
      <c r="G30" s="1351">
        <v>0</v>
      </c>
      <c r="H30" s="1352"/>
      <c r="I30" s="1352">
        <v>0</v>
      </c>
      <c r="J30" s="1351">
        <v>0</v>
      </c>
      <c r="K30" s="1352"/>
      <c r="L30" s="1351"/>
      <c r="M30" s="1359"/>
      <c r="N30" s="1359"/>
      <c r="O30" s="1359"/>
      <c r="P30" s="1359"/>
      <c r="Q30" s="1359"/>
      <c r="R30" s="1359"/>
      <c r="S30" s="1359"/>
      <c r="T30" s="1359"/>
      <c r="U30" s="1359"/>
      <c r="V30" s="1359"/>
      <c r="W30" s="1359"/>
      <c r="X30" s="1359"/>
      <c r="Y30" s="1359"/>
      <c r="Z30" s="1359"/>
      <c r="AA30" s="1359"/>
      <c r="AB30" s="1359">
        <f t="shared" si="14"/>
        <v>0</v>
      </c>
      <c r="AC30" s="1366" t="str">
        <f t="shared" si="15"/>
        <v/>
      </c>
      <c r="AD30" s="2814"/>
      <c r="AE30" s="2828"/>
      <c r="AF30" s="2829"/>
      <c r="AG30" s="2829"/>
      <c r="AH30" s="2830"/>
      <c r="AI30" s="2830"/>
      <c r="AJ30" s="2830"/>
      <c r="AK30" s="2829"/>
      <c r="AL30" s="2829"/>
      <c r="AM30" s="2323"/>
      <c r="AN30" s="1381" t="s">
        <v>215</v>
      </c>
      <c r="AO30" s="1377"/>
      <c r="AP30" s="1377"/>
      <c r="AQ30" s="1377"/>
      <c r="AR30" s="1378"/>
      <c r="AT30" s="1370"/>
    </row>
    <row r="31" spans="1:53" ht="12" customHeight="1" outlineLevel="1" x14ac:dyDescent="0.2">
      <c r="A31" s="1364" t="s">
        <v>832</v>
      </c>
      <c r="B31" s="1351">
        <v>0</v>
      </c>
      <c r="C31" s="1351">
        <v>0</v>
      </c>
      <c r="D31" s="1351">
        <v>0</v>
      </c>
      <c r="E31" s="1351">
        <v>0</v>
      </c>
      <c r="F31" s="1351">
        <v>0</v>
      </c>
      <c r="G31" s="1351">
        <v>0</v>
      </c>
      <c r="H31" s="1352"/>
      <c r="I31" s="1352">
        <v>0</v>
      </c>
      <c r="J31" s="1351">
        <v>0</v>
      </c>
      <c r="K31" s="1352"/>
      <c r="L31" s="1351"/>
      <c r="M31" s="1359"/>
      <c r="N31" s="1359"/>
      <c r="O31" s="1359"/>
      <c r="P31" s="1359"/>
      <c r="Q31" s="1359"/>
      <c r="R31" s="1359"/>
      <c r="S31" s="1359"/>
      <c r="T31" s="1359"/>
      <c r="U31" s="1359"/>
      <c r="V31" s="1359"/>
      <c r="W31" s="1359"/>
      <c r="X31" s="1359"/>
      <c r="Y31" s="1359"/>
      <c r="Z31" s="1359"/>
      <c r="AA31" s="1359"/>
      <c r="AB31" s="1359">
        <f t="shared" si="14"/>
        <v>0</v>
      </c>
      <c r="AC31" s="1366" t="str">
        <f t="shared" si="15"/>
        <v/>
      </c>
      <c r="AD31" s="2814"/>
      <c r="AE31" s="2828"/>
      <c r="AF31" s="2829"/>
      <c r="AG31" s="2829"/>
      <c r="AH31" s="2830"/>
      <c r="AI31" s="2830"/>
      <c r="AJ31" s="2830"/>
      <c r="AK31" s="2829"/>
      <c r="AL31" s="2829"/>
      <c r="AM31" s="2323"/>
      <c r="AN31" s="1371" t="s">
        <v>96</v>
      </c>
      <c r="AO31" s="1372">
        <f>BUDGET!S183</f>
        <v>5974481</v>
      </c>
      <c r="AP31" s="1372">
        <f>BUDGET!Q183</f>
        <v>5781593</v>
      </c>
      <c r="AQ31" s="1372">
        <f>AO31-AP31</f>
        <v>192888</v>
      </c>
      <c r="AR31" s="1373">
        <f t="shared" si="16"/>
        <v>3.3362431426771137</v>
      </c>
      <c r="AT31" s="1370"/>
    </row>
    <row r="32" spans="1:53" ht="12" customHeight="1" outlineLevel="1" x14ac:dyDescent="0.2">
      <c r="A32" s="1364" t="s">
        <v>709</v>
      </c>
      <c r="B32" s="1351">
        <v>0</v>
      </c>
      <c r="C32" s="1351">
        <v>0</v>
      </c>
      <c r="D32" s="1351">
        <v>101235.31</v>
      </c>
      <c r="E32" s="1351">
        <v>0</v>
      </c>
      <c r="F32" s="1351">
        <v>82068.62</v>
      </c>
      <c r="G32" s="1351">
        <v>0</v>
      </c>
      <c r="H32" s="1352">
        <v>159831.54</v>
      </c>
      <c r="I32" s="1352">
        <v>19939</v>
      </c>
      <c r="J32" s="1351"/>
      <c r="K32" s="1352">
        <v>32557</v>
      </c>
      <c r="L32" s="1351">
        <v>136021</v>
      </c>
      <c r="M32" s="1359">
        <v>0</v>
      </c>
      <c r="N32" s="1359">
        <v>15275.84</v>
      </c>
      <c r="O32" s="1359"/>
      <c r="P32" s="1359"/>
      <c r="Q32" s="1359"/>
      <c r="R32" s="1359"/>
      <c r="S32" s="1359"/>
      <c r="T32" s="1359"/>
      <c r="U32" s="1359"/>
      <c r="V32" s="1359"/>
      <c r="W32" s="1359"/>
      <c r="X32" s="1359"/>
      <c r="Y32" s="1359"/>
      <c r="Z32" s="1359"/>
      <c r="AA32" s="2201"/>
      <c r="AB32" s="1359">
        <f t="shared" si="14"/>
        <v>0</v>
      </c>
      <c r="AC32" s="1366"/>
      <c r="AD32" s="2818"/>
      <c r="AE32" s="2828"/>
      <c r="AF32" s="2829"/>
      <c r="AG32" s="2829"/>
      <c r="AH32" s="2830"/>
      <c r="AI32" s="2830"/>
      <c r="AJ32" s="2830"/>
      <c r="AK32" s="2829"/>
      <c r="AL32" s="2829"/>
      <c r="AM32" s="2323"/>
      <c r="AN32" s="1371" t="s">
        <v>97</v>
      </c>
      <c r="AO32" s="1372">
        <f>BUDGET!S438</f>
        <v>6121408</v>
      </c>
      <c r="AP32" s="1372">
        <f>BUDGET!Q438</f>
        <v>6013061</v>
      </c>
      <c r="AQ32" s="1372">
        <f>AO32-AP32</f>
        <v>108347</v>
      </c>
      <c r="AR32" s="1373">
        <f t="shared" si="16"/>
        <v>1.8018609822850626</v>
      </c>
      <c r="AT32" s="1370"/>
    </row>
    <row r="33" spans="1:46" ht="12" customHeight="1" outlineLevel="1" x14ac:dyDescent="0.2">
      <c r="A33" s="1364" t="s">
        <v>835</v>
      </c>
      <c r="B33" s="1351">
        <v>0</v>
      </c>
      <c r="C33" s="1351">
        <v>0</v>
      </c>
      <c r="D33" s="1351">
        <v>0</v>
      </c>
      <c r="E33" s="1351">
        <v>0</v>
      </c>
      <c r="F33" s="1351">
        <v>0</v>
      </c>
      <c r="G33" s="1351">
        <v>0</v>
      </c>
      <c r="H33" s="1352"/>
      <c r="I33" s="1352">
        <v>0</v>
      </c>
      <c r="J33" s="1351">
        <v>0</v>
      </c>
      <c r="K33" s="1352"/>
      <c r="L33" s="1351"/>
      <c r="M33" s="1359"/>
      <c r="N33" s="1359"/>
      <c r="O33" s="1359"/>
      <c r="P33" s="1359"/>
      <c r="Q33" s="1359"/>
      <c r="R33" s="1359"/>
      <c r="S33" s="1359"/>
      <c r="T33" s="1359"/>
      <c r="U33" s="1359"/>
      <c r="V33" s="1359">
        <v>0</v>
      </c>
      <c r="W33" s="1359"/>
      <c r="X33" s="1359"/>
      <c r="Y33" s="1359"/>
      <c r="Z33" s="1359"/>
      <c r="AA33" s="1359"/>
      <c r="AB33" s="1359">
        <f t="shared" si="14"/>
        <v>0</v>
      </c>
      <c r="AC33" s="1366" t="str">
        <f>IF(AA33&gt;0,AB33/Z33,"")</f>
        <v/>
      </c>
      <c r="AD33" s="2814"/>
      <c r="AE33" s="2828"/>
      <c r="AF33" s="2829"/>
      <c r="AG33" s="2829"/>
      <c r="AH33" s="2830"/>
      <c r="AI33" s="2830"/>
      <c r="AJ33" s="2830"/>
      <c r="AK33" s="2829"/>
      <c r="AL33" s="2829"/>
      <c r="AM33" s="2323"/>
      <c r="AN33" s="1371" t="s">
        <v>98</v>
      </c>
      <c r="AO33" s="1372">
        <f>BUDGET!S433</f>
        <v>76238</v>
      </c>
      <c r="AP33" s="1372">
        <f>BUDGET!Q433</f>
        <v>88184</v>
      </c>
      <c r="AQ33" s="1372">
        <f>AO33-AP33</f>
        <v>-11946</v>
      </c>
      <c r="AR33" s="1373">
        <f t="shared" si="16"/>
        <v>-13.546675133811123</v>
      </c>
      <c r="AT33" s="1370"/>
    </row>
    <row r="34" spans="1:46" ht="12" customHeight="1" outlineLevel="1" x14ac:dyDescent="0.2">
      <c r="A34" s="1364" t="s">
        <v>707</v>
      </c>
      <c r="B34" s="1351">
        <f t="shared" ref="B34:G34" si="17">SUM(B24:B33)</f>
        <v>13031</v>
      </c>
      <c r="C34" s="1351">
        <f t="shared" si="17"/>
        <v>14781</v>
      </c>
      <c r="D34" s="1351">
        <f t="shared" si="17"/>
        <v>119124.31</v>
      </c>
      <c r="E34" s="1351">
        <f t="shared" si="17"/>
        <v>15097</v>
      </c>
      <c r="F34" s="1351">
        <f t="shared" si="17"/>
        <v>96004.62</v>
      </c>
      <c r="G34" s="1351">
        <f t="shared" si="17"/>
        <v>15183</v>
      </c>
      <c r="H34" s="1352">
        <f t="shared" ref="H34:O34" si="18">SUM(H24:H33)</f>
        <v>175778.54</v>
      </c>
      <c r="I34" s="1352">
        <f t="shared" si="18"/>
        <v>35803</v>
      </c>
      <c r="J34" s="1351">
        <f t="shared" si="18"/>
        <v>15659</v>
      </c>
      <c r="K34" s="1352">
        <f t="shared" si="18"/>
        <v>48093</v>
      </c>
      <c r="L34" s="1351">
        <f t="shared" si="18"/>
        <v>149448</v>
      </c>
      <c r="M34" s="1359">
        <f t="shared" si="18"/>
        <v>12881</v>
      </c>
      <c r="N34" s="1359">
        <f t="shared" si="18"/>
        <v>55358.3</v>
      </c>
      <c r="O34" s="1359">
        <f t="shared" si="18"/>
        <v>17321</v>
      </c>
      <c r="P34" s="1359">
        <v>12091</v>
      </c>
      <c r="Q34" s="1359">
        <v>13838</v>
      </c>
      <c r="R34" s="1359">
        <v>11311</v>
      </c>
      <c r="S34" s="1359">
        <f>SUM(S24:S33)</f>
        <v>11311</v>
      </c>
      <c r="T34" s="1359">
        <f>SUM(T24:T33)</f>
        <v>11144</v>
      </c>
      <c r="U34" s="1359"/>
      <c r="V34" s="1359">
        <f t="shared" ref="V34:AA34" si="19">SUM(V24:V33)</f>
        <v>10770</v>
      </c>
      <c r="W34" s="1359">
        <f t="shared" si="19"/>
        <v>10985</v>
      </c>
      <c r="X34" s="1359">
        <f t="shared" si="19"/>
        <v>11043</v>
      </c>
      <c r="Y34" s="1359">
        <f t="shared" si="19"/>
        <v>13487</v>
      </c>
      <c r="Z34" s="1359">
        <f t="shared" si="19"/>
        <v>13314</v>
      </c>
      <c r="AA34" s="1359">
        <f t="shared" si="19"/>
        <v>16338</v>
      </c>
      <c r="AB34" s="1359">
        <f t="shared" si="14"/>
        <v>3024</v>
      </c>
      <c r="AC34" s="1366">
        <f>IF(AA34&gt;0,AB34/Z34,"")</f>
        <v>0.22712933753943218</v>
      </c>
      <c r="AD34" s="2814"/>
      <c r="AE34" s="2828"/>
      <c r="AF34" s="2829"/>
      <c r="AG34" s="2829"/>
      <c r="AH34" s="2830"/>
      <c r="AI34" s="2830"/>
      <c r="AJ34" s="2830"/>
      <c r="AK34" s="2829"/>
      <c r="AL34" s="2829"/>
      <c r="AM34" s="2323"/>
      <c r="AN34" s="1381" t="s">
        <v>238</v>
      </c>
      <c r="AO34" s="1377"/>
      <c r="AP34" s="1377"/>
      <c r="AQ34" s="1377"/>
      <c r="AR34" s="1378"/>
      <c r="AT34" s="1370"/>
    </row>
    <row r="35" spans="1:46" ht="12" customHeight="1" outlineLevel="1" x14ac:dyDescent="0.2">
      <c r="A35" s="1350" t="s">
        <v>708</v>
      </c>
      <c r="B35" s="1351">
        <v>162695</v>
      </c>
      <c r="C35" s="1351">
        <v>151969</v>
      </c>
      <c r="D35" s="1351">
        <v>145247</v>
      </c>
      <c r="E35" s="1351">
        <v>137909</v>
      </c>
      <c r="F35" s="1352">
        <v>168507</v>
      </c>
      <c r="G35" s="1397">
        <v>149579</v>
      </c>
      <c r="H35" s="1397">
        <v>149015</v>
      </c>
      <c r="I35" s="1398">
        <v>153542</v>
      </c>
      <c r="J35" s="1384">
        <v>183228</v>
      </c>
      <c r="K35" s="1383">
        <v>168364</v>
      </c>
      <c r="L35" s="1384">
        <v>179472</v>
      </c>
      <c r="M35" s="1385">
        <v>196937</v>
      </c>
      <c r="N35" s="1399">
        <v>215973</v>
      </c>
      <c r="O35" s="1399">
        <v>209673</v>
      </c>
      <c r="P35" s="1399">
        <v>306842</v>
      </c>
      <c r="Q35" s="1399">
        <v>283024</v>
      </c>
      <c r="R35" s="1399">
        <v>296148</v>
      </c>
      <c r="S35" s="1399">
        <v>294285</v>
      </c>
      <c r="T35" s="1526">
        <v>294285</v>
      </c>
      <c r="U35" s="1400"/>
      <c r="V35" s="1526">
        <v>300530</v>
      </c>
      <c r="W35" s="1526">
        <f>315376 -106162</f>
        <v>209214</v>
      </c>
      <c r="X35" s="1526">
        <v>201552</v>
      </c>
      <c r="Y35" s="1526">
        <v>209306</v>
      </c>
      <c r="Z35" s="1526">
        <v>212302</v>
      </c>
      <c r="AA35" s="1526">
        <v>253174</v>
      </c>
      <c r="AB35" s="1526">
        <f t="shared" si="14"/>
        <v>40872</v>
      </c>
      <c r="AC35" s="2231">
        <f>IF(AA35&gt;0,AB35/Z35,"")</f>
        <v>0.19251820519825533</v>
      </c>
      <c r="AD35" s="2819"/>
      <c r="AE35" s="2828"/>
      <c r="AF35" s="2829"/>
      <c r="AG35" s="2829"/>
      <c r="AH35" s="2830"/>
      <c r="AI35" s="2830"/>
      <c r="AJ35" s="2830"/>
      <c r="AK35" s="2829"/>
      <c r="AL35" s="2829"/>
      <c r="AM35" s="2323"/>
      <c r="AN35" s="1371" t="s">
        <v>239</v>
      </c>
      <c r="AO35" s="1372">
        <f>BUDGET!S386</f>
        <v>1187482.5</v>
      </c>
      <c r="AP35" s="1372">
        <f>BUDGET!Q386</f>
        <v>1141042</v>
      </c>
      <c r="AQ35" s="1372">
        <f>AO35-AP35</f>
        <v>46440.5</v>
      </c>
      <c r="AR35" s="1373">
        <f t="shared" si="16"/>
        <v>4.0700079401108811</v>
      </c>
      <c r="AT35" s="1370"/>
    </row>
    <row r="36" spans="1:46" ht="12" customHeight="1" outlineLevel="1" x14ac:dyDescent="0.2">
      <c r="A36" s="1350" t="s">
        <v>525</v>
      </c>
      <c r="B36" s="1351">
        <v>100706.68</v>
      </c>
      <c r="C36" s="1351">
        <v>103939</v>
      </c>
      <c r="D36" s="1351">
        <v>81491.83</v>
      </c>
      <c r="E36" s="1351">
        <v>112759.53</v>
      </c>
      <c r="F36" s="1352">
        <v>122618.06</v>
      </c>
      <c r="G36" s="1397">
        <v>121237.71</v>
      </c>
      <c r="H36" s="1397">
        <v>128794.31</v>
      </c>
      <c r="I36" s="1398">
        <v>130000</v>
      </c>
      <c r="J36" s="1384">
        <v>114971</v>
      </c>
      <c r="K36" s="1383">
        <v>234007</v>
      </c>
      <c r="L36" s="1401">
        <v>136571</v>
      </c>
      <c r="M36" s="1385">
        <v>151782</v>
      </c>
      <c r="N36" s="1399">
        <v>154809</v>
      </c>
      <c r="O36" s="1399">
        <v>146159</v>
      </c>
      <c r="P36" s="1399">
        <v>168079</v>
      </c>
      <c r="Q36" s="1399">
        <v>173105</v>
      </c>
      <c r="R36" s="1399">
        <v>178355.04</v>
      </c>
      <c r="S36" s="1399">
        <v>178355.04</v>
      </c>
      <c r="T36" s="1526">
        <v>175000</v>
      </c>
      <c r="U36" s="1400"/>
      <c r="V36" s="1526">
        <v>140000</v>
      </c>
      <c r="W36" s="1526">
        <v>140000</v>
      </c>
      <c r="X36" s="1526">
        <v>140000</v>
      </c>
      <c r="Y36" s="1526">
        <v>140000</v>
      </c>
      <c r="Z36" s="1526">
        <v>150000</v>
      </c>
      <c r="AA36" s="1526">
        <v>150000</v>
      </c>
      <c r="AB36" s="1526">
        <f t="shared" si="14"/>
        <v>0</v>
      </c>
      <c r="AC36" s="2231">
        <f>IF(AA36&gt;0,AB36/Z36,"")</f>
        <v>0</v>
      </c>
      <c r="AD36" s="2819"/>
      <c r="AE36" s="2828"/>
      <c r="AF36" s="2829"/>
      <c r="AG36" s="2829"/>
      <c r="AH36" s="2830"/>
      <c r="AI36" s="2830"/>
      <c r="AJ36" s="2830"/>
      <c r="AK36" s="2829"/>
      <c r="AL36" s="2829"/>
      <c r="AM36" s="2323"/>
      <c r="AN36" s="1371" t="s">
        <v>240</v>
      </c>
      <c r="AO36" s="1372">
        <f>BUDGET!S394</f>
        <v>0</v>
      </c>
      <c r="AP36" s="1372">
        <f>BUDGET!Q394</f>
        <v>362253</v>
      </c>
      <c r="AQ36" s="1372">
        <f>AO36-AP36</f>
        <v>-362253</v>
      </c>
      <c r="AR36" s="1373">
        <f>AQ36/AP36*100</f>
        <v>-100</v>
      </c>
      <c r="AT36" s="1370"/>
    </row>
    <row r="37" spans="1:46" ht="12" customHeight="1" outlineLevel="1" x14ac:dyDescent="0.2">
      <c r="A37" s="1402" t="s">
        <v>660</v>
      </c>
      <c r="B37" s="1395">
        <f t="shared" ref="B37:G37" si="20">SUM(B22+B34+B35+B36)</f>
        <v>14101891.68</v>
      </c>
      <c r="C37" s="1395">
        <f t="shared" si="20"/>
        <v>18119821</v>
      </c>
      <c r="D37" s="1395">
        <f t="shared" si="20"/>
        <v>16686239.140000001</v>
      </c>
      <c r="E37" s="1395">
        <f t="shared" si="20"/>
        <v>17443650.530000001</v>
      </c>
      <c r="F37" s="1396">
        <f t="shared" si="20"/>
        <v>17602659.68</v>
      </c>
      <c r="G37" s="1382">
        <f t="shared" si="20"/>
        <v>18478745.710000001</v>
      </c>
      <c r="H37" s="1383">
        <f t="shared" ref="H37:O37" si="21">SUM(H22+H34+H35+H36)</f>
        <v>19581128.77</v>
      </c>
      <c r="I37" s="1383">
        <f t="shared" si="21"/>
        <v>20611532.18</v>
      </c>
      <c r="J37" s="1384">
        <f t="shared" si="21"/>
        <v>21382144.539999999</v>
      </c>
      <c r="K37" s="1383">
        <f t="shared" si="21"/>
        <v>22582446.489</v>
      </c>
      <c r="L37" s="1384">
        <f t="shared" si="21"/>
        <v>22812282</v>
      </c>
      <c r="M37" s="1385">
        <f t="shared" si="21"/>
        <v>22476419</v>
      </c>
      <c r="N37" s="1386" t="e">
        <f t="shared" si="21"/>
        <v>#REF!</v>
      </c>
      <c r="O37" s="1385">
        <f t="shared" si="21"/>
        <v>24094257.039999999</v>
      </c>
      <c r="P37" s="1384">
        <v>24932432.782400001</v>
      </c>
      <c r="Q37" s="1384">
        <v>25841103</v>
      </c>
      <c r="R37" s="1384">
        <v>27574422.789999999</v>
      </c>
      <c r="S37" s="1384">
        <f>SUM(S22+S34+S35+S36)</f>
        <v>27941001.789999999</v>
      </c>
      <c r="T37" s="1384">
        <f>SUM(T22+T34+T35+T36)</f>
        <v>29373410.589999996</v>
      </c>
      <c r="U37" s="1384"/>
      <c r="V37" s="1384">
        <f t="shared" ref="V37:AA37" si="22">SUM(V22+V34+V35+V36)</f>
        <v>30749207.049999997</v>
      </c>
      <c r="W37" s="1384">
        <f t="shared" si="22"/>
        <v>33505321.199999999</v>
      </c>
      <c r="X37" s="1384">
        <f t="shared" si="22"/>
        <v>33473589.029599972</v>
      </c>
      <c r="Y37" s="1384">
        <f t="shared" si="22"/>
        <v>35127207.305000007</v>
      </c>
      <c r="Z37" s="1384">
        <f t="shared" si="22"/>
        <v>36204394.884149998</v>
      </c>
      <c r="AA37" s="1384">
        <f t="shared" si="22"/>
        <v>38345080.760000005</v>
      </c>
      <c r="AB37" s="1384">
        <f t="shared" si="14"/>
        <v>2140685.8758500069</v>
      </c>
      <c r="AC37" s="2232">
        <f>IF(AA37&gt;0,AB37/Z37,"")</f>
        <v>5.9127790498914888E-2</v>
      </c>
      <c r="AD37" s="2815"/>
      <c r="AE37" s="2828"/>
      <c r="AF37" s="2829"/>
      <c r="AG37" s="2829"/>
      <c r="AH37" s="2830"/>
      <c r="AI37" s="2830"/>
      <c r="AJ37" s="2830"/>
      <c r="AK37" s="2829"/>
      <c r="AL37" s="2829"/>
      <c r="AM37" s="2323"/>
      <c r="AN37" s="1371" t="s">
        <v>234</v>
      </c>
      <c r="AO37" s="1372">
        <f>BUDGET!S396</f>
        <v>0</v>
      </c>
      <c r="AP37" s="1372">
        <f>BUDGET!Q396</f>
        <v>1575476</v>
      </c>
      <c r="AQ37" s="1372">
        <f>AO37-AP37</f>
        <v>-1575476</v>
      </c>
      <c r="AR37" s="1373">
        <f>AQ37/AP37*100</f>
        <v>-100</v>
      </c>
      <c r="AT37" s="1370"/>
    </row>
    <row r="38" spans="1:46" ht="12" customHeight="1" outlineLevel="1" x14ac:dyDescent="0.2">
      <c r="A38" s="1364"/>
      <c r="B38" s="1351"/>
      <c r="C38" s="1351"/>
      <c r="D38" s="1351"/>
      <c r="E38" s="1351"/>
      <c r="F38" s="1351"/>
      <c r="G38" s="1351"/>
      <c r="H38" s="1352"/>
      <c r="I38" s="1403"/>
      <c r="J38" s="1404"/>
      <c r="K38" s="1405"/>
      <c r="L38" s="1404"/>
      <c r="M38" s="1406"/>
      <c r="N38" s="1406"/>
      <c r="O38" s="1406"/>
      <c r="P38" s="1406"/>
      <c r="Q38" s="1406"/>
      <c r="R38" s="1406"/>
      <c r="S38" s="1406"/>
      <c r="T38" s="1406"/>
      <c r="U38" s="1406"/>
      <c r="V38" s="1406"/>
      <c r="W38" s="1406"/>
      <c r="X38" s="1406"/>
      <c r="Y38" s="1406"/>
      <c r="Z38" s="1406"/>
      <c r="AA38" s="1406"/>
      <c r="AB38" s="1406">
        <f>Z38-Y38</f>
        <v>0</v>
      </c>
      <c r="AC38" s="2233" t="str">
        <f>IF(Z38&gt;0,AB38/Y38,"")</f>
        <v/>
      </c>
      <c r="AD38" s="2814"/>
      <c r="AE38" s="2828"/>
      <c r="AF38" s="2829"/>
      <c r="AG38" s="2829"/>
      <c r="AH38" s="2830"/>
      <c r="AI38" s="2830"/>
      <c r="AJ38" s="2830"/>
      <c r="AK38" s="2829"/>
      <c r="AL38" s="2829"/>
      <c r="AM38" s="2323"/>
      <c r="AN38" s="1371"/>
      <c r="AO38" s="1377"/>
      <c r="AP38" s="1377"/>
      <c r="AQ38" s="1377"/>
      <c r="AR38" s="1380"/>
      <c r="AT38" s="1370"/>
    </row>
    <row r="39" spans="1:46" ht="12" customHeight="1" outlineLevel="1" x14ac:dyDescent="0.2">
      <c r="A39" s="1350" t="s">
        <v>801</v>
      </c>
      <c r="B39" s="1351"/>
      <c r="C39" s="1351"/>
      <c r="D39" s="1351"/>
      <c r="E39" s="1351"/>
      <c r="F39" s="1351"/>
      <c r="G39" s="1351"/>
      <c r="H39" s="1352"/>
      <c r="I39" s="1352"/>
      <c r="J39" s="1351"/>
      <c r="K39" s="1352"/>
      <c r="L39" s="1351"/>
      <c r="M39" s="1359"/>
      <c r="N39" s="1359"/>
      <c r="O39" s="1359"/>
      <c r="P39" s="1359"/>
      <c r="Q39" s="1359"/>
      <c r="R39" s="1359"/>
      <c r="S39" s="1359"/>
      <c r="T39" s="1359"/>
      <c r="U39" s="1359"/>
      <c r="V39" s="1359"/>
      <c r="W39" s="1359"/>
      <c r="X39" s="1359"/>
      <c r="Y39" s="1359"/>
      <c r="Z39" s="1359"/>
      <c r="AA39" s="1359"/>
      <c r="AB39" s="1359">
        <f t="shared" ref="AB39:AB48" si="23">AA39-Z39</f>
        <v>0</v>
      </c>
      <c r="AC39" s="1366" t="str">
        <f t="shared" ref="AC39:AC48" si="24">IF(AA39&gt;0,AB39/Z39,"")</f>
        <v/>
      </c>
      <c r="AD39" s="2814"/>
      <c r="AE39" s="2828"/>
      <c r="AF39" s="2829"/>
      <c r="AG39" s="2829"/>
      <c r="AH39" s="2830"/>
      <c r="AI39" s="2830"/>
      <c r="AJ39" s="2830"/>
      <c r="AK39" s="2829"/>
      <c r="AL39" s="2829"/>
      <c r="AM39" s="2323"/>
      <c r="AN39" s="1371" t="s">
        <v>74</v>
      </c>
      <c r="AO39" s="1372">
        <f>BUDGET!S391</f>
        <v>733580</v>
      </c>
      <c r="AP39" s="1372">
        <f>BUDGET!Q391</f>
        <v>667094</v>
      </c>
      <c r="AQ39" s="1372">
        <f>AO39-AP39</f>
        <v>66486</v>
      </c>
      <c r="AR39" s="1373">
        <f>AQ39/AP39*100</f>
        <v>9.9665114661501981</v>
      </c>
      <c r="AT39" s="1370"/>
    </row>
    <row r="40" spans="1:46" ht="12" customHeight="1" outlineLevel="1" thickBot="1" x14ac:dyDescent="0.25">
      <c r="A40" s="1364" t="s">
        <v>680</v>
      </c>
      <c r="B40" s="1351">
        <v>1339963</v>
      </c>
      <c r="C40" s="1351">
        <v>1527117</v>
      </c>
      <c r="D40" s="1351">
        <v>1707847</v>
      </c>
      <c r="E40" s="1351">
        <v>2146007</v>
      </c>
      <c r="F40" s="1351">
        <v>1835756</v>
      </c>
      <c r="G40" s="1351">
        <v>1862835</v>
      </c>
      <c r="H40" s="1352">
        <f>'STATE RECEIPTS'!B35</f>
        <v>1466931</v>
      </c>
      <c r="I40" s="1352">
        <f>'STATE RECEIPTS'!D35</f>
        <v>1889700</v>
      </c>
      <c r="J40" s="1351">
        <f>'STATE RECEIPTS'!F35</f>
        <v>2032751</v>
      </c>
      <c r="K40" s="1352">
        <f>'STATE RECEIPTS'!H35</f>
        <v>2077053</v>
      </c>
      <c r="L40" s="1351">
        <f>'STATE RECEIPTS'!J35-213</f>
        <v>1789469</v>
      </c>
      <c r="M40" s="1359">
        <f>'STATE RECEIPTS'!L31</f>
        <v>1701576</v>
      </c>
      <c r="N40" s="1359">
        <f>'STATE RECEIPTS'!N35</f>
        <v>1672971</v>
      </c>
      <c r="O40" s="1359">
        <f>'STATE RECEIPTS'!P35</f>
        <v>1723117</v>
      </c>
      <c r="P40" s="1359">
        <v>1751296</v>
      </c>
      <c r="Q40" s="1359">
        <v>1798149</v>
      </c>
      <c r="R40" s="1359">
        <v>1829084</v>
      </c>
      <c r="S40" s="1359">
        <f>'STATE RECEIPTS'!X35</f>
        <v>1866488</v>
      </c>
      <c r="T40" s="1359">
        <f>'STATE RECEIPTS'!Z35</f>
        <v>1887064</v>
      </c>
      <c r="U40" s="1359"/>
      <c r="V40" s="1359">
        <f>'STATE RECEIPTS'!AD35</f>
        <v>1927465</v>
      </c>
      <c r="W40" s="1359">
        <f>'STATE RECEIPTS'!AF35</f>
        <v>1971166</v>
      </c>
      <c r="X40" s="1359">
        <f>'STATE RECEIPTS'!AH35</f>
        <v>2019051</v>
      </c>
      <c r="Y40" s="1359">
        <f>'STATE RECEIPTS'!AJ35</f>
        <v>2069473</v>
      </c>
      <c r="Z40" s="1359">
        <f>'STATE RECEIPTS'!AL35</f>
        <v>2114884</v>
      </c>
      <c r="AA40" s="1359">
        <f>'STATE RECEIPTS'!AN35</f>
        <v>2318322</v>
      </c>
      <c r="AB40" s="1359">
        <f t="shared" si="23"/>
        <v>203438</v>
      </c>
      <c r="AC40" s="2234">
        <f t="shared" si="24"/>
        <v>9.6193455527584487E-2</v>
      </c>
      <c r="AD40" s="2820"/>
      <c r="AE40" s="2828"/>
      <c r="AF40" s="2829"/>
      <c r="AG40" s="2829"/>
      <c r="AH40" s="2830"/>
      <c r="AI40" s="2830"/>
      <c r="AJ40" s="2830"/>
      <c r="AK40" s="2829"/>
      <c r="AL40" s="2829"/>
      <c r="AM40" s="2323"/>
      <c r="AN40" s="1407" t="s">
        <v>235</v>
      </c>
      <c r="AO40" s="1408" t="e">
        <f>BUDGET!S413</f>
        <v>#REF!</v>
      </c>
      <c r="AP40" s="1408">
        <f>BUDGET!O413</f>
        <v>14370306</v>
      </c>
      <c r="AQ40" s="1408" t="e">
        <f>AO40-AP40</f>
        <v>#REF!</v>
      </c>
      <c r="AR40" s="1409" t="e">
        <f>AQ40/AP40*100</f>
        <v>#REF!</v>
      </c>
      <c r="AT40" s="1370"/>
    </row>
    <row r="41" spans="1:46" ht="12" customHeight="1" outlineLevel="1" thickTop="1" x14ac:dyDescent="0.2">
      <c r="A41" s="77" t="s">
        <v>1044</v>
      </c>
      <c r="B41" s="1351"/>
      <c r="C41" s="1351"/>
      <c r="D41" s="1351"/>
      <c r="E41" s="1351"/>
      <c r="F41" s="1351"/>
      <c r="G41" s="1351"/>
      <c r="H41" s="1352">
        <v>542622</v>
      </c>
      <c r="I41" s="1352">
        <v>542622</v>
      </c>
      <c r="J41" s="1351">
        <v>542622</v>
      </c>
      <c r="K41" s="1352">
        <v>430056</v>
      </c>
      <c r="L41" s="1351">
        <v>430056</v>
      </c>
      <c r="M41" s="1359">
        <v>430057</v>
      </c>
      <c r="N41" s="1359">
        <f>SUM('DE 1'!I151,'DE 1'!I162)</f>
        <v>419170</v>
      </c>
      <c r="O41" s="1359">
        <v>0</v>
      </c>
      <c r="P41" s="1359">
        <v>0</v>
      </c>
      <c r="Q41" s="1359">
        <v>0</v>
      </c>
      <c r="R41" s="1359">
        <v>0</v>
      </c>
      <c r="S41" s="1359">
        <f>SUM('DE 1'!I182,'DE 1'!I192)</f>
        <v>0</v>
      </c>
      <c r="T41" s="1359"/>
      <c r="U41" s="1359"/>
      <c r="V41" s="1359"/>
      <c r="W41" s="1359"/>
      <c r="X41" s="1359">
        <v>100000</v>
      </c>
      <c r="Y41" s="1359">
        <v>75000</v>
      </c>
      <c r="Z41" s="1359"/>
      <c r="AA41" s="1359">
        <v>100000</v>
      </c>
      <c r="AB41" s="1359">
        <f t="shared" si="23"/>
        <v>100000</v>
      </c>
      <c r="AC41" s="2890" t="s">
        <v>344</v>
      </c>
      <c r="AD41" s="2820"/>
      <c r="AE41" s="2828"/>
      <c r="AF41" s="2829"/>
      <c r="AG41" s="2829"/>
      <c r="AH41" s="2830"/>
      <c r="AI41" s="2830"/>
      <c r="AJ41" s="2830"/>
      <c r="AK41" s="2829"/>
      <c r="AL41" s="2829"/>
      <c r="AM41" s="2323"/>
      <c r="AN41" s="1381" t="s">
        <v>236</v>
      </c>
      <c r="AO41" s="1377"/>
      <c r="AP41" s="1377"/>
      <c r="AQ41" s="1410" t="s">
        <v>341</v>
      </c>
      <c r="AR41" s="1378"/>
      <c r="AT41" s="1370"/>
    </row>
    <row r="42" spans="1:46" ht="12" customHeight="1" outlineLevel="1" x14ac:dyDescent="0.2">
      <c r="A42" s="1364" t="s">
        <v>837</v>
      </c>
      <c r="B42" s="1351">
        <v>1165859</v>
      </c>
      <c r="C42" s="1351">
        <v>1219825</v>
      </c>
      <c r="D42" s="1351">
        <v>1212300</v>
      </c>
      <c r="E42" s="1351">
        <v>1208300</v>
      </c>
      <c r="F42" s="1351">
        <v>1240450</v>
      </c>
      <c r="G42" s="1351">
        <v>1320403</v>
      </c>
      <c r="H42" s="1352">
        <v>1344000</v>
      </c>
      <c r="I42" s="1352">
        <f>SUM('SCH. A LOCAL RECEIPTS'!P32)</f>
        <v>1344000</v>
      </c>
      <c r="J42" s="1351">
        <v>1457500</v>
      </c>
      <c r="K42" s="1352">
        <f>SUM('SCH. A LOCAL RECEIPTS'!T32)</f>
        <v>1398400</v>
      </c>
      <c r="L42" s="1351">
        <f>SUM('SCH. A LOCAL RECEIPTS'!V32)</f>
        <v>1214700</v>
      </c>
      <c r="M42" s="1359">
        <f>'SCH. A LOCAL RECEIPTS'!X32</f>
        <v>1241100</v>
      </c>
      <c r="N42" s="1359">
        <f>'SCH. A LOCAL RECEIPTS'!AA32</f>
        <v>1728210.33</v>
      </c>
      <c r="O42" s="1359">
        <f>'SCH. A LOCAL RECEIPTS'!AC32</f>
        <v>1268487</v>
      </c>
      <c r="P42" s="1359">
        <v>1311812</v>
      </c>
      <c r="Q42" s="1359">
        <v>1311812</v>
      </c>
      <c r="R42" s="1359">
        <v>1426975</v>
      </c>
      <c r="S42" s="1359">
        <f>'SCH. A LOCAL RECEIPTS'!AJ32</f>
        <v>1426975</v>
      </c>
      <c r="T42" s="1359">
        <f>'SCH. A LOCAL RECEIPTS'!AL32</f>
        <v>1505500</v>
      </c>
      <c r="U42" s="1359"/>
      <c r="V42" s="1359">
        <f>'SCH. A LOCAL RECEIPTS'!AN32</f>
        <v>1600000</v>
      </c>
      <c r="W42" s="1359">
        <f>'SCH. A LOCAL RECEIPTS'!AP32</f>
        <v>1600000</v>
      </c>
      <c r="X42" s="1359">
        <f>'SCH. A LOCAL RECEIPTS'!AR32</f>
        <v>1650000</v>
      </c>
      <c r="Y42" s="1359">
        <f>'SCH. A LOCAL RECEIPTS'!AT32</f>
        <v>1670000</v>
      </c>
      <c r="Z42" s="1359">
        <f>'SCH. A LOCAL RECEIPTS'!AV32</f>
        <v>1933887</v>
      </c>
      <c r="AA42" s="1359">
        <f>'SCH. A LOCAL RECEIPTS'!AX32</f>
        <v>2031000</v>
      </c>
      <c r="AB42" s="1359">
        <f t="shared" si="23"/>
        <v>97113</v>
      </c>
      <c r="AC42" s="2234">
        <f t="shared" si="24"/>
        <v>5.0216481107737937E-2</v>
      </c>
      <c r="AD42" s="2820"/>
      <c r="AE42" s="2828"/>
      <c r="AF42" s="2829"/>
      <c r="AG42" s="2829"/>
      <c r="AH42" s="2830"/>
      <c r="AI42" s="2830"/>
      <c r="AJ42" s="2830"/>
      <c r="AK42" s="2829"/>
      <c r="AL42" s="2829"/>
      <c r="AM42" s="2323"/>
      <c r="AN42" s="1371" t="s">
        <v>237</v>
      </c>
      <c r="AO42" s="1411">
        <f>'PROJECTED SCH. B'!C10</f>
        <v>120178</v>
      </c>
      <c r="AP42" s="1377"/>
      <c r="AQ42" s="1377" t="s">
        <v>339</v>
      </c>
      <c r="AR42" s="1378"/>
      <c r="AT42" s="1370"/>
    </row>
    <row r="43" spans="1:46" ht="12" customHeight="1" outlineLevel="1" x14ac:dyDescent="0.2">
      <c r="A43" s="1364" t="s">
        <v>838</v>
      </c>
      <c r="B43" s="1351">
        <v>1090882</v>
      </c>
      <c r="C43" s="1351">
        <v>225000</v>
      </c>
      <c r="D43" s="1351">
        <v>771515.69</v>
      </c>
      <c r="E43" s="1351">
        <v>831168</v>
      </c>
      <c r="F43" s="1351">
        <v>949683</v>
      </c>
      <c r="G43" s="1351">
        <v>785346</v>
      </c>
      <c r="H43" s="1352">
        <v>949286</v>
      </c>
      <c r="I43" s="1352">
        <v>954821</v>
      </c>
      <c r="J43" s="1351">
        <v>917716</v>
      </c>
      <c r="K43" s="1352">
        <v>833397</v>
      </c>
      <c r="L43" s="1351">
        <v>1461976</v>
      </c>
      <c r="M43" s="1359">
        <v>954581</v>
      </c>
      <c r="N43" s="1359">
        <v>1046875</v>
      </c>
      <c r="O43" s="1359">
        <v>1749897</v>
      </c>
      <c r="P43" s="1359">
        <v>1481086</v>
      </c>
      <c r="Q43" s="1359">
        <v>1388244</v>
      </c>
      <c r="R43" s="1359">
        <v>1290688</v>
      </c>
      <c r="S43" s="1359">
        <v>1348351</v>
      </c>
      <c r="T43" s="1359">
        <v>1504522</v>
      </c>
      <c r="U43" s="1359"/>
      <c r="V43" s="1359">
        <v>1801901</v>
      </c>
      <c r="W43" s="1359">
        <f>2091364</f>
        <v>2091364</v>
      </c>
      <c r="X43" s="1359">
        <v>2372426</v>
      </c>
      <c r="Y43" s="1359">
        <v>2562872</v>
      </c>
      <c r="Z43" s="1359">
        <v>2279290.25</v>
      </c>
      <c r="AA43" s="2201">
        <f>'PROJECTED SCH. A2 WATER'!$D21</f>
        <v>3331395.4323397907</v>
      </c>
      <c r="AB43" s="2201">
        <f t="shared" si="23"/>
        <v>1052105.1823397907</v>
      </c>
      <c r="AC43" s="2235">
        <f t="shared" si="24"/>
        <v>0.4615933325471781</v>
      </c>
      <c r="AD43" s="2816"/>
      <c r="AE43" s="2828"/>
      <c r="AF43" s="2829"/>
      <c r="AG43" s="2829"/>
      <c r="AH43" s="2830"/>
      <c r="AI43" s="2830"/>
      <c r="AJ43" s="2830"/>
      <c r="AK43" s="2829"/>
      <c r="AL43" s="2829"/>
      <c r="AM43" s="2323"/>
      <c r="AN43" s="1371" t="s">
        <v>336</v>
      </c>
      <c r="AO43" s="1411" t="e">
        <f>'PROJECTED SCH. B'!#REF!</f>
        <v>#REF!</v>
      </c>
      <c r="AP43" s="1377"/>
      <c r="AQ43" s="1377" t="s">
        <v>340</v>
      </c>
      <c r="AR43" s="1378"/>
      <c r="AT43" s="1370"/>
    </row>
    <row r="44" spans="1:46" ht="12" customHeight="1" outlineLevel="1" x14ac:dyDescent="0.2">
      <c r="A44" s="1364" t="s">
        <v>544</v>
      </c>
      <c r="B44" s="1351">
        <v>0</v>
      </c>
      <c r="C44" s="1351">
        <v>0</v>
      </c>
      <c r="D44" s="1351">
        <v>0</v>
      </c>
      <c r="E44" s="1351"/>
      <c r="F44" s="1351"/>
      <c r="G44" s="1351"/>
      <c r="H44" s="1352"/>
      <c r="I44" s="1352"/>
      <c r="J44" s="1351"/>
      <c r="K44" s="1352"/>
      <c r="L44" s="1351"/>
      <c r="M44" s="1412"/>
      <c r="N44" s="1359"/>
      <c r="O44" s="1359"/>
      <c r="P44" s="1359"/>
      <c r="Q44" s="1359"/>
      <c r="R44" s="1359"/>
      <c r="S44" s="1359"/>
      <c r="T44" s="1359"/>
      <c r="U44" s="1359"/>
      <c r="V44" s="1359">
        <v>0</v>
      </c>
      <c r="W44" s="1359"/>
      <c r="X44" s="1359"/>
      <c r="Y44" s="1359"/>
      <c r="Z44" s="1359"/>
      <c r="AA44" s="1359"/>
      <c r="AB44" s="1359">
        <f t="shared" si="23"/>
        <v>0</v>
      </c>
      <c r="AC44" s="1366" t="str">
        <f t="shared" si="24"/>
        <v/>
      </c>
      <c r="AD44" s="2814"/>
      <c r="AE44" s="2828"/>
      <c r="AF44" s="2829"/>
      <c r="AG44" s="2829"/>
      <c r="AH44" s="2830"/>
      <c r="AI44" s="2830"/>
      <c r="AJ44" s="2830"/>
      <c r="AK44" s="2829"/>
      <c r="AL44" s="2829"/>
      <c r="AM44" s="2323"/>
      <c r="AN44" s="1371" t="s">
        <v>320</v>
      </c>
      <c r="AO44" s="1413">
        <v>22780</v>
      </c>
      <c r="AP44" s="1377"/>
      <c r="AQ44" s="1377"/>
      <c r="AR44" s="1380"/>
      <c r="AT44" s="1370"/>
    </row>
    <row r="45" spans="1:46" ht="12" customHeight="1" outlineLevel="1" x14ac:dyDescent="0.2">
      <c r="A45" s="1364" t="s">
        <v>545</v>
      </c>
      <c r="B45" s="1351">
        <v>202821</v>
      </c>
      <c r="C45" s="1351">
        <v>335318</v>
      </c>
      <c r="D45" s="1351">
        <v>285845</v>
      </c>
      <c r="E45" s="1351">
        <v>335000</v>
      </c>
      <c r="F45" s="1351">
        <v>177250</v>
      </c>
      <c r="G45" s="1351">
        <v>432842</v>
      </c>
      <c r="H45" s="1319">
        <v>104000</v>
      </c>
      <c r="I45" s="1352">
        <v>380778</v>
      </c>
      <c r="J45" s="1351">
        <v>340567</v>
      </c>
      <c r="K45" s="1352">
        <v>230648</v>
      </c>
      <c r="L45" s="1351">
        <v>170069</v>
      </c>
      <c r="M45" s="1359">
        <v>203115</v>
      </c>
      <c r="N45" s="1359">
        <v>270664</v>
      </c>
      <c r="O45" s="1359">
        <v>572467</v>
      </c>
      <c r="P45" s="1359">
        <v>785503</v>
      </c>
      <c r="Q45" s="1359">
        <v>798719</v>
      </c>
      <c r="R45" s="1359">
        <v>754944</v>
      </c>
      <c r="S45" s="1359">
        <v>581560</v>
      </c>
      <c r="T45" s="1359">
        <v>733194</v>
      </c>
      <c r="U45" s="1359"/>
      <c r="V45" s="1359">
        <v>663250</v>
      </c>
      <c r="W45" s="1359">
        <v>1167500</v>
      </c>
      <c r="X45" s="1359">
        <v>758000</v>
      </c>
      <c r="Y45" s="1359">
        <v>1023500</v>
      </c>
      <c r="Z45" s="1359">
        <v>1590325</v>
      </c>
      <c r="AA45" s="2201">
        <f>'PROJECTED SCH. B'!$E79</f>
        <v>1506462</v>
      </c>
      <c r="AB45" s="2201">
        <f t="shared" si="23"/>
        <v>-83863</v>
      </c>
      <c r="AC45" s="2235">
        <f t="shared" si="24"/>
        <v>-5.2733246349016709E-2</v>
      </c>
      <c r="AD45" s="2818"/>
      <c r="AE45" s="2828"/>
      <c r="AF45" s="2829"/>
      <c r="AG45" s="2829"/>
      <c r="AH45" s="2830"/>
      <c r="AI45" s="2830"/>
      <c r="AJ45" s="2830"/>
      <c r="AK45" s="2829"/>
      <c r="AL45" s="2829"/>
      <c r="AM45" s="2323"/>
      <c r="AN45" s="1371" t="s">
        <v>363</v>
      </c>
      <c r="AO45" s="1411" t="e">
        <f>'PROJECTED SCH. B'!#REF!</f>
        <v>#REF!</v>
      </c>
      <c r="AP45" s="1377"/>
      <c r="AQ45" s="1377" t="s">
        <v>339</v>
      </c>
      <c r="AR45" s="1380"/>
      <c r="AT45" s="1370"/>
    </row>
    <row r="46" spans="1:46" ht="12" customHeight="1" outlineLevel="1" x14ac:dyDescent="0.2">
      <c r="A46" s="1364" t="s">
        <v>546</v>
      </c>
      <c r="B46" s="1351">
        <v>300419</v>
      </c>
      <c r="C46" s="1351">
        <v>3048249</v>
      </c>
      <c r="D46" s="1351">
        <v>556283</v>
      </c>
      <c r="E46" s="1351">
        <v>273551</v>
      </c>
      <c r="F46" s="1351">
        <v>55349</v>
      </c>
      <c r="G46" s="1351">
        <v>101805</v>
      </c>
      <c r="H46" s="1319">
        <v>789088.92</v>
      </c>
      <c r="I46" s="1352">
        <v>285216</v>
      </c>
      <c r="J46" s="1351">
        <v>247471</v>
      </c>
      <c r="K46" s="1352">
        <v>609433</v>
      </c>
      <c r="L46" s="1351">
        <v>641999</v>
      </c>
      <c r="M46" s="1359">
        <v>477929</v>
      </c>
      <c r="N46" s="1359">
        <v>639964</v>
      </c>
      <c r="O46" s="1359">
        <v>450073</v>
      </c>
      <c r="P46" s="1359">
        <v>639388</v>
      </c>
      <c r="Q46" s="1359">
        <v>520099</v>
      </c>
      <c r="R46" s="1359">
        <v>956715</v>
      </c>
      <c r="S46" s="1359">
        <v>358155</v>
      </c>
      <c r="T46" s="1359">
        <v>131004</v>
      </c>
      <c r="U46" s="1359"/>
      <c r="V46" s="1359">
        <v>326968</v>
      </c>
      <c r="W46" s="1359">
        <v>685626</v>
      </c>
      <c r="X46" s="1359">
        <v>79483.520000000004</v>
      </c>
      <c r="Y46" s="1359">
        <v>297137.67</v>
      </c>
      <c r="Z46" s="1359">
        <v>526859</v>
      </c>
      <c r="AA46" s="1359">
        <f>'PROJECTED SCH. B'!$F79</f>
        <v>460178</v>
      </c>
      <c r="AB46" s="1359">
        <f t="shared" si="23"/>
        <v>-66681</v>
      </c>
      <c r="AC46" s="2234">
        <f t="shared" si="24"/>
        <v>-0.12656327404485831</v>
      </c>
      <c r="AD46" s="2814"/>
      <c r="AE46" s="2828"/>
      <c r="AF46" s="2829"/>
      <c r="AG46" s="2829"/>
      <c r="AH46" s="2830"/>
      <c r="AI46" s="2830"/>
      <c r="AJ46" s="2830"/>
      <c r="AK46" s="2829"/>
      <c r="AL46" s="2829"/>
      <c r="AM46" s="2323"/>
      <c r="AN46" s="1371"/>
      <c r="AO46" s="1414">
        <v>0</v>
      </c>
      <c r="AP46" s="1377"/>
      <c r="AQ46" s="1377"/>
      <c r="AR46" s="1380"/>
      <c r="AT46" s="1370"/>
    </row>
    <row r="47" spans="1:46" ht="12" customHeight="1" outlineLevel="1" x14ac:dyDescent="0.2">
      <c r="A47" s="1364" t="s">
        <v>755</v>
      </c>
      <c r="B47" s="1351">
        <v>240000</v>
      </c>
      <c r="C47" s="1351">
        <v>400000</v>
      </c>
      <c r="D47" s="1351">
        <v>803000</v>
      </c>
      <c r="E47" s="1351">
        <v>455000</v>
      </c>
      <c r="F47" s="1351">
        <v>369318</v>
      </c>
      <c r="G47" s="1351">
        <v>107994</v>
      </c>
      <c r="H47" s="1319">
        <v>422121</v>
      </c>
      <c r="I47" s="1352">
        <v>408469</v>
      </c>
      <c r="J47" s="1415">
        <v>416534</v>
      </c>
      <c r="K47" s="1416">
        <v>656590</v>
      </c>
      <c r="L47" s="1417">
        <f>412082+400+50700-152+5000+98</f>
        <v>468128</v>
      </c>
      <c r="M47" s="1359">
        <f>221329</f>
        <v>221329</v>
      </c>
      <c r="N47" s="1359">
        <v>346997</v>
      </c>
      <c r="O47" s="1359"/>
      <c r="P47" s="1359">
        <v>165783</v>
      </c>
      <c r="Q47" s="1359">
        <v>33817</v>
      </c>
      <c r="R47" s="1359">
        <v>392690</v>
      </c>
      <c r="S47" s="1359">
        <v>358492</v>
      </c>
      <c r="T47" s="1418">
        <f>T64-T65-T45</f>
        <v>176419</v>
      </c>
      <c r="U47" s="1418"/>
      <c r="V47" s="1418">
        <f t="shared" ref="V47:AA47" si="25">V64-V65-V45</f>
        <v>478682.58000000007</v>
      </c>
      <c r="W47" s="1418">
        <f t="shared" si="25"/>
        <v>500000</v>
      </c>
      <c r="X47" s="1418">
        <f t="shared" si="25"/>
        <v>260000</v>
      </c>
      <c r="Y47" s="1418">
        <f t="shared" si="25"/>
        <v>400000</v>
      </c>
      <c r="Z47" s="1418">
        <f t="shared" si="25"/>
        <v>400000</v>
      </c>
      <c r="AA47" s="1418">
        <f t="shared" si="25"/>
        <v>284000</v>
      </c>
      <c r="AB47" s="1418">
        <f t="shared" si="23"/>
        <v>-116000</v>
      </c>
      <c r="AC47" s="2230">
        <f t="shared" si="24"/>
        <v>-0.28999999999999998</v>
      </c>
      <c r="AD47" s="2821"/>
      <c r="AE47" s="2828"/>
      <c r="AF47" s="2829"/>
      <c r="AG47" s="2829"/>
      <c r="AH47" s="2830"/>
      <c r="AI47" s="2830"/>
      <c r="AJ47" s="2830"/>
      <c r="AK47" s="2829"/>
      <c r="AL47" s="2829"/>
      <c r="AM47" s="2323"/>
      <c r="AN47" s="1371" t="s">
        <v>446</v>
      </c>
      <c r="AO47" s="1411">
        <f>'PROJECTED SCH. B'!C16</f>
        <v>0</v>
      </c>
      <c r="AP47" s="1377" t="s">
        <v>447</v>
      </c>
      <c r="AQ47" s="1377"/>
      <c r="AR47" s="1380"/>
      <c r="AT47" s="1370"/>
    </row>
    <row r="48" spans="1:46" ht="12" customHeight="1" outlineLevel="1" thickBot="1" x14ac:dyDescent="0.25">
      <c r="A48" s="1419" t="s">
        <v>418</v>
      </c>
      <c r="B48" s="1420">
        <f t="shared" ref="B48:G48" si="26">SUM(B40:B47)</f>
        <v>4339944</v>
      </c>
      <c r="C48" s="1420">
        <f t="shared" si="26"/>
        <v>6755509</v>
      </c>
      <c r="D48" s="1420">
        <f t="shared" si="26"/>
        <v>5336790.6899999995</v>
      </c>
      <c r="E48" s="1420">
        <f t="shared" si="26"/>
        <v>5249026</v>
      </c>
      <c r="F48" s="1421">
        <f t="shared" si="26"/>
        <v>4627806</v>
      </c>
      <c r="G48" s="1397">
        <f t="shared" si="26"/>
        <v>4611225</v>
      </c>
      <c r="H48" s="1397">
        <f t="shared" ref="H48:O48" si="27">SUM(H40:H47)</f>
        <v>5618048.9199999999</v>
      </c>
      <c r="I48" s="1422">
        <f t="shared" si="27"/>
        <v>5805606</v>
      </c>
      <c r="J48" s="1423">
        <f t="shared" si="27"/>
        <v>5955161</v>
      </c>
      <c r="K48" s="1424">
        <f t="shared" si="27"/>
        <v>6235577</v>
      </c>
      <c r="L48" s="1423">
        <f t="shared" si="27"/>
        <v>6176397</v>
      </c>
      <c r="M48" s="1425">
        <f t="shared" si="27"/>
        <v>5229687</v>
      </c>
      <c r="N48" s="1384">
        <f t="shared" si="27"/>
        <v>6124851.3300000001</v>
      </c>
      <c r="O48" s="1384">
        <f t="shared" si="27"/>
        <v>5764041</v>
      </c>
      <c r="P48" s="1384">
        <v>6134868</v>
      </c>
      <c r="Q48" s="1384">
        <v>5850840</v>
      </c>
      <c r="R48" s="1384">
        <v>6651096</v>
      </c>
      <c r="S48" s="1384">
        <f>SUM(S40:S47)</f>
        <v>5940021</v>
      </c>
      <c r="T48" s="1384">
        <f>SUM(T40:T47)</f>
        <v>5937703</v>
      </c>
      <c r="U48" s="1384"/>
      <c r="V48" s="1384">
        <f t="shared" ref="V48:AA48" si="28">SUM(V40:V47)</f>
        <v>6798266.5800000001</v>
      </c>
      <c r="W48" s="1384">
        <f t="shared" si="28"/>
        <v>8015656</v>
      </c>
      <c r="X48" s="1384">
        <f t="shared" si="28"/>
        <v>7238960.5199999996</v>
      </c>
      <c r="Y48" s="1384">
        <f t="shared" si="28"/>
        <v>8097982.6699999999</v>
      </c>
      <c r="Z48" s="1384">
        <f t="shared" si="28"/>
        <v>8845245.25</v>
      </c>
      <c r="AA48" s="1384">
        <f t="shared" si="28"/>
        <v>10031357.432339791</v>
      </c>
      <c r="AB48" s="1384">
        <f t="shared" si="23"/>
        <v>1186112.1823397912</v>
      </c>
      <c r="AC48" s="2232">
        <f t="shared" si="24"/>
        <v>0.1340960198180815</v>
      </c>
      <c r="AD48" s="2822"/>
      <c r="AE48" s="2828"/>
      <c r="AF48" s="2829"/>
      <c r="AG48" s="2829"/>
      <c r="AH48" s="2830"/>
      <c r="AI48" s="2830"/>
      <c r="AJ48" s="2830"/>
      <c r="AK48" s="2829"/>
      <c r="AL48" s="2829"/>
      <c r="AM48" s="2323"/>
      <c r="AN48" s="1371"/>
      <c r="AO48" s="1377"/>
      <c r="AP48" s="1377"/>
      <c r="AQ48" s="1377"/>
      <c r="AR48" s="1380"/>
      <c r="AT48" s="1370"/>
    </row>
    <row r="49" spans="1:51" ht="12" customHeight="1" outlineLevel="1" thickTop="1" x14ac:dyDescent="0.2">
      <c r="A49" s="1364"/>
      <c r="B49" s="1351"/>
      <c r="C49" s="1351"/>
      <c r="D49" s="1351"/>
      <c r="E49" s="1351"/>
      <c r="F49" s="1351"/>
      <c r="G49" s="1351"/>
      <c r="H49" s="1352"/>
      <c r="I49" s="1403"/>
      <c r="J49" s="1404"/>
      <c r="K49" s="1405"/>
      <c r="L49" s="1404"/>
      <c r="M49" s="1406"/>
      <c r="N49" s="1406"/>
      <c r="O49" s="1406"/>
      <c r="P49" s="1406"/>
      <c r="Q49" s="1406"/>
      <c r="R49" s="1406"/>
      <c r="S49" s="1406"/>
      <c r="T49" s="1406"/>
      <c r="U49" s="1406"/>
      <c r="V49" s="1406"/>
      <c r="W49" s="1406"/>
      <c r="X49" s="1406"/>
      <c r="Y49" s="1406"/>
      <c r="Z49" s="1406"/>
      <c r="AA49" s="1406"/>
      <c r="AB49" s="1406">
        <f t="shared" ref="AB49:AB55" si="29">Z49-Y49</f>
        <v>0</v>
      </c>
      <c r="AC49" s="2233" t="str">
        <f t="shared" ref="AC49:AC55" si="30">IF(Z49&gt;0,AB49/Y49,"")</f>
        <v/>
      </c>
      <c r="AD49" s="2814"/>
      <c r="AE49" s="2828"/>
      <c r="AF49" s="2829"/>
      <c r="AG49" s="2829"/>
      <c r="AH49" s="2830"/>
      <c r="AI49" s="2830"/>
      <c r="AJ49" s="2830"/>
      <c r="AK49" s="2829"/>
      <c r="AL49" s="2829"/>
      <c r="AM49" s="2323"/>
      <c r="AN49" s="1371"/>
      <c r="AO49" s="1377"/>
      <c r="AP49" s="1377"/>
      <c r="AQ49" s="1377"/>
      <c r="AR49" s="1380"/>
      <c r="AT49" s="1370"/>
    </row>
    <row r="50" spans="1:51" ht="12" customHeight="1" outlineLevel="1" thickBot="1" x14ac:dyDescent="0.25">
      <c r="A50" s="1350" t="s">
        <v>548</v>
      </c>
      <c r="B50" s="1351"/>
      <c r="C50" s="1351"/>
      <c r="D50" s="1351"/>
      <c r="E50" s="1351"/>
      <c r="F50" s="1351"/>
      <c r="G50" s="1351"/>
      <c r="H50" s="1352"/>
      <c r="I50" s="1352"/>
      <c r="J50" s="1351"/>
      <c r="K50" s="1352"/>
      <c r="L50" s="1351"/>
      <c r="M50" s="1359"/>
      <c r="N50" s="1359"/>
      <c r="O50" s="1359"/>
      <c r="P50" s="1359"/>
      <c r="Q50" s="1359"/>
      <c r="R50" s="1359"/>
      <c r="S50" s="1359"/>
      <c r="T50" s="1359"/>
      <c r="U50" s="1359"/>
      <c r="V50" s="1359"/>
      <c r="W50" s="1359"/>
      <c r="X50" s="1359"/>
      <c r="Y50" s="1359"/>
      <c r="Z50" s="1359"/>
      <c r="AA50" s="1359"/>
      <c r="AB50" s="1359">
        <f t="shared" si="29"/>
        <v>0</v>
      </c>
      <c r="AC50" s="1366" t="str">
        <f t="shared" si="30"/>
        <v/>
      </c>
      <c r="AD50" s="2814"/>
      <c r="AE50" s="2828"/>
      <c r="AF50" s="2829"/>
      <c r="AG50" s="2829"/>
      <c r="AH50" s="2830"/>
      <c r="AI50" s="2830"/>
      <c r="AJ50" s="2830"/>
      <c r="AK50" s="2829"/>
      <c r="AL50" s="2829"/>
      <c r="AM50" s="2323"/>
      <c r="AN50" s="1407" t="s">
        <v>335</v>
      </c>
      <c r="AO50" s="1408">
        <f>N56</f>
        <v>18427913.307114448</v>
      </c>
      <c r="AP50" s="1408">
        <f>M56</f>
        <v>17667906.378160439</v>
      </c>
      <c r="AQ50" s="1408">
        <f>AO50-AP50</f>
        <v>760006.92895400897</v>
      </c>
      <c r="AR50" s="1426">
        <f>(AO50-AP50)/AP50</f>
        <v>4.3016241578768197E-2</v>
      </c>
      <c r="AT50" s="1370"/>
    </row>
    <row r="51" spans="1:51" ht="12" customHeight="1" outlineLevel="1" thickTop="1" x14ac:dyDescent="0.2">
      <c r="A51" s="1364"/>
      <c r="B51" s="1351"/>
      <c r="C51" s="1351"/>
      <c r="D51" s="1351"/>
      <c r="E51" s="1351"/>
      <c r="F51" s="1351"/>
      <c r="G51" s="1351"/>
      <c r="H51" s="1352"/>
      <c r="I51" s="1352"/>
      <c r="J51" s="1351"/>
      <c r="K51" s="1352"/>
      <c r="L51" s="1351"/>
      <c r="M51" s="1359"/>
      <c r="N51" s="1359"/>
      <c r="O51" s="1359"/>
      <c r="P51" s="1359"/>
      <c r="Q51" s="1359"/>
      <c r="R51" s="1359"/>
      <c r="S51" s="1359"/>
      <c r="T51" s="1359"/>
      <c r="U51" s="1359"/>
      <c r="V51" s="1359"/>
      <c r="W51" s="1359"/>
      <c r="X51" s="1359"/>
      <c r="Y51" s="1359"/>
      <c r="Z51" s="1359"/>
      <c r="AA51" s="1359"/>
      <c r="AB51" s="1359">
        <f t="shared" si="29"/>
        <v>0</v>
      </c>
      <c r="AC51" s="1366" t="str">
        <f t="shared" si="30"/>
        <v/>
      </c>
      <c r="AD51" s="2814"/>
      <c r="AE51" s="2828"/>
      <c r="AF51" s="2829"/>
      <c r="AG51" s="2829"/>
      <c r="AH51" s="2830"/>
      <c r="AI51" s="2830"/>
      <c r="AJ51" s="2830"/>
      <c r="AK51" s="2829"/>
      <c r="AL51" s="2829"/>
      <c r="AM51" s="2323"/>
      <c r="AN51" s="1381" t="s">
        <v>448</v>
      </c>
      <c r="AO51" s="1372">
        <f>L54</f>
        <v>16635885</v>
      </c>
      <c r="AP51" s="1372">
        <f>J54</f>
        <v>15426983.539999999</v>
      </c>
      <c r="AQ51" s="1377"/>
      <c r="AR51" s="1380"/>
      <c r="AT51" s="1370"/>
    </row>
    <row r="52" spans="1:51" ht="12" customHeight="1" outlineLevel="1" thickBot="1" x14ac:dyDescent="0.25">
      <c r="A52" s="1364" t="s">
        <v>419</v>
      </c>
      <c r="B52" s="1351">
        <f t="shared" ref="B52:G52" si="31">SUM(B37)</f>
        <v>14101891.68</v>
      </c>
      <c r="C52" s="1351">
        <f t="shared" si="31"/>
        <v>18119821</v>
      </c>
      <c r="D52" s="1351">
        <f t="shared" si="31"/>
        <v>16686239.140000001</v>
      </c>
      <c r="E52" s="1351">
        <f t="shared" si="31"/>
        <v>17443650.530000001</v>
      </c>
      <c r="F52" s="1351">
        <f t="shared" si="31"/>
        <v>17602659.68</v>
      </c>
      <c r="G52" s="1351">
        <f t="shared" si="31"/>
        <v>18478745.710000001</v>
      </c>
      <c r="H52" s="1352">
        <f>SUM(H37)</f>
        <v>19581128.77</v>
      </c>
      <c r="I52" s="1352">
        <f>SUM(I37)</f>
        <v>20611532.18</v>
      </c>
      <c r="J52" s="1351">
        <f t="shared" ref="J52:S52" si="32">J37</f>
        <v>21382144.539999999</v>
      </c>
      <c r="K52" s="1352">
        <f t="shared" si="32"/>
        <v>22582446.489</v>
      </c>
      <c r="L52" s="1351">
        <f t="shared" si="32"/>
        <v>22812282</v>
      </c>
      <c r="M52" s="1359">
        <f t="shared" si="32"/>
        <v>22476419</v>
      </c>
      <c r="N52" s="1359" t="e">
        <f t="shared" si="32"/>
        <v>#REF!</v>
      </c>
      <c r="O52" s="1359">
        <f t="shared" si="32"/>
        <v>24094257.039999999</v>
      </c>
      <c r="P52" s="1359">
        <v>24932432.782400001</v>
      </c>
      <c r="Q52" s="1359">
        <v>25841103</v>
      </c>
      <c r="R52" s="1359">
        <v>27574422.789999999</v>
      </c>
      <c r="S52" s="1359">
        <f t="shared" si="32"/>
        <v>27941001.789999999</v>
      </c>
      <c r="T52" s="1359">
        <f>T37</f>
        <v>29373410.589999996</v>
      </c>
      <c r="U52" s="1359"/>
      <c r="V52" s="1359">
        <f t="shared" ref="V52:AA52" si="33">V37</f>
        <v>30749207.049999997</v>
      </c>
      <c r="W52" s="1359">
        <f t="shared" si="33"/>
        <v>33505321.199999999</v>
      </c>
      <c r="X52" s="1359">
        <f t="shared" si="33"/>
        <v>33473589.029599972</v>
      </c>
      <c r="Y52" s="1359">
        <f t="shared" si="33"/>
        <v>35127207.305000007</v>
      </c>
      <c r="Z52" s="1359">
        <f t="shared" si="33"/>
        <v>36204394.884149998</v>
      </c>
      <c r="AA52" s="1359">
        <f t="shared" si="33"/>
        <v>38345080.760000005</v>
      </c>
      <c r="AB52" s="1359">
        <f t="shared" si="29"/>
        <v>1077187.5791499913</v>
      </c>
      <c r="AC52" s="1366">
        <f t="shared" si="30"/>
        <v>3.0665334986555118E-2</v>
      </c>
      <c r="AD52" s="2816"/>
      <c r="AE52" s="2828"/>
      <c r="AF52" s="2829"/>
      <c r="AG52" s="2829"/>
      <c r="AH52" s="2830"/>
      <c r="AI52" s="2830"/>
      <c r="AJ52" s="2830"/>
      <c r="AK52" s="2829"/>
      <c r="AL52" s="2829"/>
      <c r="AM52" s="2323"/>
      <c r="AN52" s="1427" t="s">
        <v>449</v>
      </c>
      <c r="AO52" s="1428" t="e">
        <f>N58</f>
        <v>#REF!</v>
      </c>
      <c r="AP52" s="1428">
        <f>M58</f>
        <v>-421174.37816043943</v>
      </c>
      <c r="AQ52" s="1429"/>
      <c r="AR52" s="1430"/>
      <c r="AT52" s="1370"/>
    </row>
    <row r="53" spans="1:51" ht="12" customHeight="1" outlineLevel="1" thickTop="1" thickBot="1" x14ac:dyDescent="0.25">
      <c r="A53" s="1364" t="s">
        <v>281</v>
      </c>
      <c r="B53" s="1351">
        <f t="shared" ref="B53:G53" si="34">SUM(B48)</f>
        <v>4339944</v>
      </c>
      <c r="C53" s="1351">
        <f t="shared" si="34"/>
        <v>6755509</v>
      </c>
      <c r="D53" s="1351">
        <f t="shared" si="34"/>
        <v>5336790.6899999995</v>
      </c>
      <c r="E53" s="1351">
        <f t="shared" si="34"/>
        <v>5249026</v>
      </c>
      <c r="F53" s="1351">
        <f t="shared" si="34"/>
        <v>4627806</v>
      </c>
      <c r="G53" s="1351">
        <f t="shared" si="34"/>
        <v>4611225</v>
      </c>
      <c r="H53" s="1352">
        <f>SUM(H48)</f>
        <v>5618048.9199999999</v>
      </c>
      <c r="I53" s="1431">
        <f>SUM(I48)</f>
        <v>5805606</v>
      </c>
      <c r="J53" s="1351">
        <f t="shared" ref="J53:S53" si="35">J48</f>
        <v>5955161</v>
      </c>
      <c r="K53" s="1431">
        <f t="shared" si="35"/>
        <v>6235577</v>
      </c>
      <c r="L53" s="1432">
        <f t="shared" si="35"/>
        <v>6176397</v>
      </c>
      <c r="M53" s="1433">
        <f t="shared" si="35"/>
        <v>5229687</v>
      </c>
      <c r="N53" s="1433">
        <f t="shared" si="35"/>
        <v>6124851.3300000001</v>
      </c>
      <c r="O53" s="1433">
        <f t="shared" si="35"/>
        <v>5764041</v>
      </c>
      <c r="P53" s="1433">
        <v>6134868</v>
      </c>
      <c r="Q53" s="1433">
        <v>5850840</v>
      </c>
      <c r="R53" s="1433">
        <v>6651096</v>
      </c>
      <c r="S53" s="1433">
        <f t="shared" si="35"/>
        <v>5940021</v>
      </c>
      <c r="T53" s="1433">
        <f t="shared" ref="T53:W53" si="36">T48</f>
        <v>5937703</v>
      </c>
      <c r="U53" s="1433"/>
      <c r="V53" s="1433">
        <f t="shared" si="36"/>
        <v>6798266.5800000001</v>
      </c>
      <c r="W53" s="1433">
        <f t="shared" si="36"/>
        <v>8015656</v>
      </c>
      <c r="X53" s="1433">
        <f t="shared" ref="X53:Z53" si="37">X48</f>
        <v>7238960.5199999996</v>
      </c>
      <c r="Y53" s="1433">
        <f t="shared" si="37"/>
        <v>8097982.6699999999</v>
      </c>
      <c r="Z53" s="1433">
        <f t="shared" si="37"/>
        <v>8845245.25</v>
      </c>
      <c r="AA53" s="1433">
        <f t="shared" ref="AA53" si="38">AA48</f>
        <v>10031357.432339791</v>
      </c>
      <c r="AB53" s="1433">
        <f t="shared" si="29"/>
        <v>747262.58000000007</v>
      </c>
      <c r="AC53" s="2236">
        <f t="shared" si="30"/>
        <v>9.2277621532623019E-2</v>
      </c>
      <c r="AD53" s="2814"/>
      <c r="AE53" s="2828"/>
      <c r="AF53" s="2829"/>
      <c r="AG53" s="2829"/>
      <c r="AH53" s="2830"/>
      <c r="AI53" s="2830"/>
      <c r="AJ53" s="2830"/>
      <c r="AK53" s="2829"/>
      <c r="AL53" s="2829"/>
      <c r="AM53" s="2323"/>
      <c r="AN53" s="1434"/>
      <c r="AO53" s="1435"/>
      <c r="AP53" s="1435"/>
      <c r="AQ53" s="1435"/>
      <c r="AR53" s="1436"/>
      <c r="AT53" s="1370"/>
    </row>
    <row r="54" spans="1:51" ht="12" customHeight="1" outlineLevel="1" thickBot="1" x14ac:dyDescent="0.25">
      <c r="A54" s="1437" t="s">
        <v>282</v>
      </c>
      <c r="B54" s="1438">
        <f t="shared" ref="B54:I54" si="39">SUM(B37-B48)</f>
        <v>9761947.6799999997</v>
      </c>
      <c r="C54" s="1438">
        <f t="shared" si="39"/>
        <v>11364312</v>
      </c>
      <c r="D54" s="1438">
        <f t="shared" si="39"/>
        <v>11349448.450000001</v>
      </c>
      <c r="E54" s="1438">
        <f t="shared" si="39"/>
        <v>12194624.530000001</v>
      </c>
      <c r="F54" s="1438">
        <f t="shared" si="39"/>
        <v>12974853.68</v>
      </c>
      <c r="G54" s="1439">
        <f t="shared" si="39"/>
        <v>13867520.710000001</v>
      </c>
      <c r="H54" s="1440">
        <f t="shared" si="39"/>
        <v>13963079.85</v>
      </c>
      <c r="I54" s="1441">
        <f t="shared" si="39"/>
        <v>14805926.18</v>
      </c>
      <c r="J54" s="1442">
        <f t="shared" ref="J54:O54" si="40">J37-J48</f>
        <v>15426983.539999999</v>
      </c>
      <c r="K54" s="1441">
        <f t="shared" si="40"/>
        <v>16346869.489</v>
      </c>
      <c r="L54" s="1442">
        <f t="shared" si="40"/>
        <v>16635885</v>
      </c>
      <c r="M54" s="1443">
        <f t="shared" si="40"/>
        <v>17246732</v>
      </c>
      <c r="N54" s="1443" t="e">
        <f t="shared" si="40"/>
        <v>#REF!</v>
      </c>
      <c r="O54" s="1443">
        <f t="shared" si="40"/>
        <v>18330216.039999999</v>
      </c>
      <c r="P54" s="1443">
        <v>18797564.782400001</v>
      </c>
      <c r="Q54" s="1443">
        <v>19990263</v>
      </c>
      <c r="R54" s="1443">
        <v>20923326.789999999</v>
      </c>
      <c r="S54" s="1443">
        <f>S37-S48</f>
        <v>22000980.789999999</v>
      </c>
      <c r="T54" s="1443">
        <f>T37-T48</f>
        <v>23435707.589999996</v>
      </c>
      <c r="U54" s="1443"/>
      <c r="V54" s="1443">
        <f t="shared" ref="V54:AA54" si="41">V37-V48</f>
        <v>23950940.469999999</v>
      </c>
      <c r="W54" s="1443">
        <f t="shared" si="41"/>
        <v>25489665.199999999</v>
      </c>
      <c r="X54" s="1443">
        <f t="shared" si="41"/>
        <v>26234628.509599973</v>
      </c>
      <c r="Y54" s="1443">
        <f t="shared" si="41"/>
        <v>27029224.635000005</v>
      </c>
      <c r="Z54" s="1443">
        <f t="shared" si="41"/>
        <v>27359149.634149998</v>
      </c>
      <c r="AA54" s="1443">
        <f t="shared" si="41"/>
        <v>28313723.327660214</v>
      </c>
      <c r="AB54" s="1443">
        <f t="shared" si="29"/>
        <v>329924.99914999306</v>
      </c>
      <c r="AC54" s="1696">
        <f t="shared" si="30"/>
        <v>1.2206232461539976E-2</v>
      </c>
      <c r="AD54" s="2812"/>
      <c r="AE54" s="2828"/>
      <c r="AF54" s="2829"/>
      <c r="AG54" s="2829"/>
      <c r="AH54" s="2830"/>
      <c r="AI54" s="2830"/>
      <c r="AJ54" s="2830"/>
      <c r="AK54" s="2829"/>
      <c r="AL54" s="2829"/>
      <c r="AM54" s="2323"/>
      <c r="AN54" s="1371"/>
      <c r="AO54" s="1377"/>
      <c r="AP54" s="1377"/>
      <c r="AQ54" s="1377"/>
      <c r="AR54" s="1380"/>
      <c r="AS54" s="1508"/>
      <c r="AT54" s="1370"/>
      <c r="AU54" s="1925">
        <f>V54/T54-1</f>
        <v>2.1984950871287268E-2</v>
      </c>
      <c r="AV54" s="1925">
        <f>W54/V54-1</f>
        <v>6.4244856352398516E-2</v>
      </c>
      <c r="AW54" s="1925">
        <f>X54/W54-1</f>
        <v>2.922609236938789E-2</v>
      </c>
      <c r="AX54" s="1925">
        <f>Y54/X54-1</f>
        <v>3.0288064689357741E-2</v>
      </c>
      <c r="AY54" s="1925">
        <f>Z54/Y54-1</f>
        <v>1.2206232461539956E-2</v>
      </c>
    </row>
    <row r="55" spans="1:51" ht="12" customHeight="1" outlineLevel="1" x14ac:dyDescent="0.2">
      <c r="A55" s="1364"/>
      <c r="B55" s="1351"/>
      <c r="C55" s="1351"/>
      <c r="D55" s="1351"/>
      <c r="E55" s="1351"/>
      <c r="F55" s="1351"/>
      <c r="G55" s="1351"/>
      <c r="H55" s="1352"/>
      <c r="I55" s="1403"/>
      <c r="J55" s="1404"/>
      <c r="K55" s="1405"/>
      <c r="L55" s="1404"/>
      <c r="M55" s="1406"/>
      <c r="N55" s="1444"/>
      <c r="O55" s="1444"/>
      <c r="P55" s="1444"/>
      <c r="Q55" s="1444"/>
      <c r="R55" s="1444"/>
      <c r="S55" s="1444"/>
      <c r="T55" s="1406"/>
      <c r="U55" s="1406"/>
      <c r="V55" s="1406"/>
      <c r="W55" s="1406"/>
      <c r="X55" s="1406"/>
      <c r="Y55" s="1406"/>
      <c r="Z55" s="1406"/>
      <c r="AA55" s="1406"/>
      <c r="AB55" s="1406">
        <f t="shared" si="29"/>
        <v>0</v>
      </c>
      <c r="AC55" s="2233" t="str">
        <f t="shared" si="30"/>
        <v/>
      </c>
      <c r="AD55" s="2814"/>
      <c r="AE55" s="2828"/>
      <c r="AF55" s="2829"/>
      <c r="AG55" s="2829"/>
      <c r="AH55" s="2830"/>
      <c r="AI55" s="2830"/>
      <c r="AJ55" s="2830"/>
      <c r="AK55" s="2829"/>
      <c r="AL55" s="2829"/>
      <c r="AM55" s="2323"/>
      <c r="AN55" s="1434"/>
      <c r="AO55" s="1435"/>
      <c r="AP55" s="1435"/>
      <c r="AQ55" s="1435"/>
      <c r="AR55" s="1436"/>
      <c r="AT55" s="1370"/>
    </row>
    <row r="56" spans="1:51" ht="12" customHeight="1" outlineLevel="1" x14ac:dyDescent="0.2">
      <c r="A56" s="1364" t="s">
        <v>283</v>
      </c>
      <c r="B56" s="1351">
        <v>9914549</v>
      </c>
      <c r="C56" s="1351">
        <v>10818060</v>
      </c>
      <c r="D56" s="1351">
        <v>11558450</v>
      </c>
      <c r="E56" s="1351">
        <v>12209405</v>
      </c>
      <c r="F56" s="1351">
        <v>13503770</v>
      </c>
      <c r="G56" s="1351">
        <v>14184689</v>
      </c>
      <c r="H56" s="1351">
        <v>14081197</v>
      </c>
      <c r="I56" s="1352">
        <f>SUM('LEVY LIMIT'!J30)</f>
        <v>15125846.094999999</v>
      </c>
      <c r="J56" s="1351">
        <f>'LEVY LIMIT'!L30</f>
        <v>15486660.523125</v>
      </c>
      <c r="K56" s="1352">
        <f>'LEVY LIMIT'!N30</f>
        <v>16389184.565453125</v>
      </c>
      <c r="L56" s="1351">
        <f>'LEVY LIMIT'!P30</f>
        <v>17026539.772839453</v>
      </c>
      <c r="M56" s="1359">
        <f>'LEVY LIMIT'!R30</f>
        <v>17667906.378160439</v>
      </c>
      <c r="N56" s="1319">
        <f>'LEVY LIMIT'!T30</f>
        <v>18427913.307114448</v>
      </c>
      <c r="O56" s="1319">
        <f>'LEVY LIMIT'!V30</f>
        <v>18936244.860399999</v>
      </c>
      <c r="P56" s="1319">
        <v>19586020.799999997</v>
      </c>
      <c r="Q56" s="1319">
        <v>20686198</v>
      </c>
      <c r="R56" s="1319">
        <v>21692916.615000002</v>
      </c>
      <c r="S56" s="1319">
        <v>22005527</v>
      </c>
      <c r="T56" s="1319">
        <f>'LEVY LIMIT'!AF30</f>
        <v>23524851.279999997</v>
      </c>
      <c r="V56" s="1546">
        <f>'LEVY LIMIT'!AH30</f>
        <v>24035527.800000001</v>
      </c>
      <c r="W56" s="1319">
        <f>'LEVY LIMIT'!AJ30</f>
        <v>25785183.564999998</v>
      </c>
      <c r="X56" s="1319">
        <f>'LEVY LIMIT'!AL30</f>
        <v>26390435.276999999</v>
      </c>
      <c r="Y56" s="1319">
        <f>'LEVY LIMIT'!AN30</f>
        <v>27114430.425000001</v>
      </c>
      <c r="Z56" s="1319">
        <f>'LEVY LIMIT'!AP30</f>
        <v>27557140.985000003</v>
      </c>
      <c r="AA56" s="1319">
        <f>'LEVY LIMIT'!AR30</f>
        <v>28397525.010000002</v>
      </c>
      <c r="AB56" s="1319">
        <f>AA56-Z56</f>
        <v>840384.02499999851</v>
      </c>
      <c r="AC56" s="1697">
        <f>AB56/Z56</f>
        <v>3.0496052745727115E-2</v>
      </c>
      <c r="AD56" s="2823"/>
      <c r="AE56" s="2828"/>
      <c r="AF56" s="2829"/>
      <c r="AG56" s="2829"/>
      <c r="AH56" s="2830"/>
      <c r="AI56" s="2830"/>
      <c r="AJ56" s="2830"/>
      <c r="AK56" s="2829"/>
      <c r="AL56" s="2829"/>
      <c r="AM56" s="2323"/>
      <c r="AN56" s="1434"/>
      <c r="AO56" s="1435"/>
      <c r="AP56" s="1435"/>
      <c r="AQ56" s="1435"/>
      <c r="AR56" s="1436"/>
      <c r="AT56" s="1370"/>
    </row>
    <row r="57" spans="1:51" ht="12" customHeight="1" thickBot="1" x14ac:dyDescent="0.25">
      <c r="A57" s="1364"/>
      <c r="B57" s="1351"/>
      <c r="C57" s="1351"/>
      <c r="D57" s="1351"/>
      <c r="E57" s="1351"/>
      <c r="F57" s="1351"/>
      <c r="G57" s="1351"/>
      <c r="H57" s="1351"/>
      <c r="I57" s="1352"/>
      <c r="J57" s="1352"/>
      <c r="K57" s="1403"/>
      <c r="L57" s="1404"/>
      <c r="M57" s="1406"/>
      <c r="N57" s="1444"/>
      <c r="O57" s="1444"/>
      <c r="P57" s="1444"/>
      <c r="Q57" s="1444"/>
      <c r="R57" s="1444"/>
      <c r="S57" s="1444"/>
      <c r="T57" s="1406"/>
      <c r="U57" s="1406"/>
      <c r="V57" s="1406"/>
      <c r="W57" s="1406"/>
      <c r="X57" s="1406"/>
      <c r="Y57" s="1406"/>
      <c r="Z57" s="1406"/>
      <c r="AA57" s="1406"/>
      <c r="AB57" s="1406">
        <f>S57-R57</f>
        <v>0</v>
      </c>
      <c r="AC57" s="2233" t="str">
        <f t="shared" ref="AC57:AC62" si="42">IF(T57&gt;0,AB57/T57,"")</f>
        <v/>
      </c>
      <c r="AD57" s="2814"/>
      <c r="AE57" s="2834">
        <f>SUM(AE10:AE17)</f>
        <v>-359462.40999999957</v>
      </c>
      <c r="AF57" s="2835">
        <f>SUM(AF10:AF17)</f>
        <v>-421989</v>
      </c>
      <c r="AG57" s="2835">
        <f>SUM(AG10:AG17)</f>
        <v>300000</v>
      </c>
      <c r="AH57" s="2836">
        <f>SUM(AH10:AH21)</f>
        <v>565253.09233978705</v>
      </c>
      <c r="AI57" s="2836"/>
      <c r="AJ57" s="2836"/>
      <c r="AK57" s="2867"/>
      <c r="AL57" s="2868">
        <f>SUM(AL10:AL19)</f>
        <v>852562.90766021237</v>
      </c>
      <c r="AM57" s="2323"/>
      <c r="AN57" s="1434"/>
      <c r="AO57" s="1435"/>
      <c r="AP57" s="1435"/>
      <c r="AQ57" s="1435"/>
      <c r="AR57" s="1436"/>
      <c r="AT57" s="1370"/>
    </row>
    <row r="58" spans="1:51" ht="12" customHeight="1" thickBot="1" x14ac:dyDescent="0.25">
      <c r="A58" s="1364" t="s">
        <v>275</v>
      </c>
      <c r="B58" s="1351">
        <f t="shared" ref="B58:L58" si="43">SUM(B54-B56)</f>
        <v>-152601.3200000003</v>
      </c>
      <c r="C58" s="1351">
        <f t="shared" si="43"/>
        <v>546252</v>
      </c>
      <c r="D58" s="1351">
        <f t="shared" si="43"/>
        <v>-209001.54999999888</v>
      </c>
      <c r="E58" s="1351">
        <f t="shared" si="43"/>
        <v>-14780.469999998808</v>
      </c>
      <c r="F58" s="1351">
        <f t="shared" si="43"/>
        <v>-528916.3200000003</v>
      </c>
      <c r="G58" s="1351">
        <f t="shared" si="43"/>
        <v>-317168.28999999911</v>
      </c>
      <c r="H58" s="1351">
        <f t="shared" si="43"/>
        <v>-118117.15000000037</v>
      </c>
      <c r="I58" s="1445">
        <f t="shared" si="43"/>
        <v>-319919.91499999911</v>
      </c>
      <c r="J58" s="1446">
        <f t="shared" si="43"/>
        <v>-59676.983125001192</v>
      </c>
      <c r="K58" s="1447">
        <f t="shared" si="43"/>
        <v>-42315.076453125104</v>
      </c>
      <c r="L58" s="1448">
        <f t="shared" si="43"/>
        <v>-390654.77283945307</v>
      </c>
      <c r="M58" s="1449">
        <f>M54-M56</f>
        <v>-421174.37816043943</v>
      </c>
      <c r="N58" s="1450" t="e">
        <f>N54-N56</f>
        <v>#REF!</v>
      </c>
      <c r="O58" s="1450">
        <f>O54-O56</f>
        <v>-606028.82039999962</v>
      </c>
      <c r="P58" s="1450">
        <v>-788456.01759999618</v>
      </c>
      <c r="Q58" s="1450">
        <f>Q54-Q56</f>
        <v>-695935</v>
      </c>
      <c r="R58" s="1450">
        <v>-769589.82500000298</v>
      </c>
      <c r="S58" s="1450">
        <f>S54-S56</f>
        <v>-4546.2100000008941</v>
      </c>
      <c r="T58" s="1450">
        <f>T54-T56</f>
        <v>-89143.690000001341</v>
      </c>
      <c r="U58" s="1450"/>
      <c r="V58" s="1450">
        <f t="shared" ref="V58:Z58" si="44">V54-V56</f>
        <v>-84587.330000001937</v>
      </c>
      <c r="W58" s="1450">
        <f t="shared" si="44"/>
        <v>-295518.36499999836</v>
      </c>
      <c r="X58" s="1450">
        <f t="shared" si="44"/>
        <v>-155806.76740002632</v>
      </c>
      <c r="Y58" s="1450">
        <f t="shared" si="44"/>
        <v>-85205.789999995381</v>
      </c>
      <c r="Z58" s="1450">
        <f t="shared" si="44"/>
        <v>-197991.3508500047</v>
      </c>
      <c r="AA58" s="1450">
        <f>AA54-AA56</f>
        <v>-83801.682339787483</v>
      </c>
      <c r="AB58" s="1450"/>
      <c r="AC58" s="2237" t="str">
        <f t="shared" si="42"/>
        <v/>
      </c>
      <c r="AD58" s="2824" t="s">
        <v>414</v>
      </c>
      <c r="AE58" s="2837">
        <f>AA58+SUM(AE10:AE17)</f>
        <v>-443264.09233978705</v>
      </c>
      <c r="AF58" s="2838">
        <f>AE58+AF57</f>
        <v>-865253.09233978705</v>
      </c>
      <c r="AG58" s="2838">
        <f>AF58+AG57</f>
        <v>-565253.09233978705</v>
      </c>
      <c r="AH58" s="2838">
        <f>AG58+AH57</f>
        <v>0</v>
      </c>
      <c r="AI58" s="2858">
        <f>AH58</f>
        <v>0</v>
      </c>
      <c r="AJ58" s="2856"/>
      <c r="AK58" s="2857"/>
      <c r="AL58" s="2856"/>
      <c r="AM58" s="2323"/>
      <c r="AN58" s="1434"/>
      <c r="AO58" s="1435"/>
      <c r="AP58" s="1435"/>
      <c r="AQ58" s="1435"/>
      <c r="AR58" s="1436"/>
      <c r="AT58" s="1370">
        <f>AA58+108907</f>
        <v>25105.317660212517</v>
      </c>
      <c r="AU58" s="1370"/>
    </row>
    <row r="59" spans="1:51" ht="12" customHeight="1" x14ac:dyDescent="0.2">
      <c r="A59" s="1364"/>
      <c r="B59" s="1351"/>
      <c r="C59" s="1351"/>
      <c r="D59" s="1351"/>
      <c r="E59" s="1351"/>
      <c r="F59" s="1351"/>
      <c r="G59" s="1351"/>
      <c r="H59" s="1352"/>
      <c r="I59" s="1403"/>
      <c r="J59" s="1451">
        <v>1289199574</v>
      </c>
      <c r="K59" s="1452"/>
      <c r="L59" s="1451"/>
      <c r="N59" s="1453"/>
      <c r="O59" s="1454"/>
      <c r="P59" s="1454"/>
      <c r="Q59" s="1454"/>
      <c r="R59" s="1454"/>
      <c r="S59" s="1454"/>
      <c r="T59" s="1454"/>
      <c r="U59" s="1454"/>
      <c r="V59" s="1454"/>
      <c r="W59" s="1454"/>
      <c r="X59" s="1454"/>
      <c r="Y59" s="1454"/>
      <c r="Z59" s="1454"/>
      <c r="AA59" s="1454"/>
      <c r="AB59" s="1454">
        <f>S59-R59</f>
        <v>0</v>
      </c>
      <c r="AC59" s="1454" t="str">
        <f t="shared" si="42"/>
        <v/>
      </c>
      <c r="AD59" s="1364"/>
      <c r="AE59" s="1345"/>
      <c r="AF59" s="1345"/>
      <c r="AG59" s="1345"/>
      <c r="AH59" s="1345"/>
      <c r="AI59" s="1345"/>
      <c r="AJ59" s="1699">
        <v>0</v>
      </c>
      <c r="AK59" s="1699"/>
      <c r="AL59" s="1699"/>
      <c r="AM59" s="1699"/>
      <c r="AN59" s="1455"/>
      <c r="AO59" s="1456"/>
      <c r="AP59" s="1456"/>
      <c r="AQ59" s="1457"/>
    </row>
    <row r="60" spans="1:51" ht="12" customHeight="1" x14ac:dyDescent="0.2">
      <c r="A60" s="1364" t="s">
        <v>415</v>
      </c>
      <c r="B60" s="1351">
        <v>654286038</v>
      </c>
      <c r="C60" s="1351">
        <v>765225249</v>
      </c>
      <c r="D60" s="1351">
        <v>828426894</v>
      </c>
      <c r="E60" s="1351">
        <v>957191878</v>
      </c>
      <c r="F60" s="1351">
        <v>1063512597</v>
      </c>
      <c r="G60" s="1351">
        <v>1149877339</v>
      </c>
      <c r="H60" s="1351">
        <v>1197519716</v>
      </c>
      <c r="I60" s="1352">
        <v>1278395170</v>
      </c>
      <c r="J60" s="1351">
        <v>1289199574</v>
      </c>
      <c r="K60" s="1352">
        <f>J60*(1+0.025)</f>
        <v>1321429563.3499999</v>
      </c>
      <c r="L60" s="1351">
        <v>1199414915</v>
      </c>
      <c r="M60" s="1406">
        <v>1162962400</v>
      </c>
      <c r="N60" s="1351">
        <v>1152261489</v>
      </c>
      <c r="O60" s="1458">
        <v>1149229840</v>
      </c>
      <c r="P60" s="1458">
        <v>1163186270</v>
      </c>
      <c r="Q60" s="1458">
        <v>1215213580</v>
      </c>
      <c r="R60" s="1458">
        <v>1266545220</v>
      </c>
      <c r="S60" s="1458">
        <v>1298826259</v>
      </c>
      <c r="T60" s="1458">
        <v>1362278394</v>
      </c>
      <c r="U60" s="1458"/>
      <c r="V60" s="1458">
        <v>1408588756</v>
      </c>
      <c r="W60" s="1458">
        <v>1443019087</v>
      </c>
      <c r="X60" s="1458">
        <v>1463800844</v>
      </c>
      <c r="Y60" s="1458">
        <v>1622796155</v>
      </c>
      <c r="Z60" s="1458">
        <v>1671480040</v>
      </c>
      <c r="AA60" s="1458"/>
      <c r="AB60" s="1458"/>
      <c r="AC60" s="1458">
        <f t="shared" si="42"/>
        <v>0</v>
      </c>
      <c r="AD60" s="1459"/>
      <c r="AE60" s="2859" t="s">
        <v>2478</v>
      </c>
      <c r="AF60" s="2859"/>
      <c r="AG60" s="2859"/>
      <c r="AH60" s="2859"/>
      <c r="AI60" s="2855"/>
      <c r="AJ60" s="2855"/>
      <c r="AK60" s="2855"/>
      <c r="AL60" s="1345"/>
      <c r="AM60" s="1345"/>
      <c r="AN60" s="1460" t="s">
        <v>322</v>
      </c>
      <c r="AO60" s="1456"/>
      <c r="AP60" s="1456"/>
      <c r="AQ60" s="1457"/>
    </row>
    <row r="61" spans="1:51" ht="12" customHeight="1" thickBot="1" x14ac:dyDescent="0.25">
      <c r="A61" s="1364"/>
      <c r="B61" s="1351" t="s">
        <v>164</v>
      </c>
      <c r="C61" s="1351"/>
      <c r="D61" s="1351"/>
      <c r="E61" s="1351"/>
      <c r="F61" s="1351"/>
      <c r="G61" s="1351"/>
      <c r="H61" s="1351"/>
      <c r="I61" s="1352"/>
      <c r="J61" s="1461"/>
      <c r="K61" s="1375"/>
      <c r="L61" s="1461"/>
      <c r="M61" s="1462"/>
      <c r="N61" s="1463"/>
      <c r="O61" s="1463"/>
      <c r="P61" s="1463"/>
      <c r="Q61" s="1463"/>
      <c r="R61" s="1463"/>
      <c r="S61" s="1463"/>
      <c r="T61" s="1463"/>
      <c r="U61" s="1463"/>
      <c r="V61" s="1463"/>
      <c r="W61" s="1463">
        <v>1408588756</v>
      </c>
      <c r="X61" s="1463"/>
      <c r="Y61" s="1463"/>
      <c r="Z61" s="1463"/>
      <c r="AA61" s="1463"/>
      <c r="AB61" s="1463">
        <f>S61-R61</f>
        <v>0</v>
      </c>
      <c r="AC61" s="1463" t="str">
        <f t="shared" si="42"/>
        <v/>
      </c>
      <c r="AD61" s="1364">
        <v>8</v>
      </c>
      <c r="AE61" s="2859" t="s">
        <v>2480</v>
      </c>
      <c r="AF61" s="2859"/>
      <c r="AG61" s="2859"/>
      <c r="AH61" s="2859"/>
      <c r="AI61" s="2855"/>
      <c r="AJ61" s="2855"/>
      <c r="AK61" s="2855"/>
      <c r="AL61" s="1345"/>
      <c r="AM61" s="1345"/>
      <c r="AN61" s="1464"/>
      <c r="AO61" s="1465"/>
      <c r="AP61" s="1465"/>
      <c r="AQ61" s="1466"/>
    </row>
    <row r="62" spans="1:51" ht="12" customHeight="1" thickBot="1" x14ac:dyDescent="0.25">
      <c r="A62" s="1467" t="s">
        <v>416</v>
      </c>
      <c r="B62" s="1468">
        <f t="shared" ref="B62:M62" si="45">((B54/B60)*1000)</f>
        <v>14.919999989362449</v>
      </c>
      <c r="C62" s="1468">
        <f t="shared" si="45"/>
        <v>14.85093704742615</v>
      </c>
      <c r="D62" s="1468">
        <f t="shared" si="45"/>
        <v>13.700000002655637</v>
      </c>
      <c r="E62" s="1468">
        <f t="shared" si="45"/>
        <v>12.740000004471414</v>
      </c>
      <c r="F62" s="1468">
        <f t="shared" si="45"/>
        <v>12.199999996803045</v>
      </c>
      <c r="G62" s="1468">
        <f t="shared" si="45"/>
        <v>12.060000001443633</v>
      </c>
      <c r="H62" s="1468">
        <f t="shared" si="45"/>
        <v>11.659999967800111</v>
      </c>
      <c r="I62" s="1469">
        <f t="shared" si="45"/>
        <v>11.581650594002166</v>
      </c>
      <c r="J62" s="1470">
        <f t="shared" si="45"/>
        <v>11.966326898584594</v>
      </c>
      <c r="K62" s="1471">
        <f t="shared" si="45"/>
        <v>12.370594651718333</v>
      </c>
      <c r="L62" s="1468">
        <f t="shared" si="45"/>
        <v>13.870000107510753</v>
      </c>
      <c r="M62" s="1468">
        <f t="shared" si="45"/>
        <v>14.829999662929774</v>
      </c>
      <c r="N62" s="1468" t="e">
        <f>((N54/N60)*1000)</f>
        <v>#REF!</v>
      </c>
      <c r="O62" s="1468">
        <f>((O54/O60)*1000)</f>
        <v>15.950000080053613</v>
      </c>
      <c r="P62" s="1468">
        <v>16.160408068090419</v>
      </c>
      <c r="Q62" s="1468">
        <f>Q54/Q60*1000</f>
        <v>16.44999967824586</v>
      </c>
      <c r="R62" s="1468">
        <v>16.519999807034132</v>
      </c>
      <c r="S62" s="1468">
        <f>((S54/S60)*1000)</f>
        <v>16.939125335315534</v>
      </c>
      <c r="T62" s="1468">
        <f>((T54/T60)*1000)</f>
        <v>17.203317393287527</v>
      </c>
      <c r="U62" s="1468"/>
      <c r="V62" s="1468">
        <f>((V54/V60)*1000)</f>
        <v>17.003501105612969</v>
      </c>
      <c r="W62" s="1468">
        <f>((W54/W60)*1000)</f>
        <v>17.664121999240056</v>
      </c>
      <c r="X62" s="1468">
        <f>((X54/X60)*1000)</f>
        <v>17.922266281737418</v>
      </c>
      <c r="Y62" s="1468">
        <f>((Y54/Y60)*1000)</f>
        <v>16.655958021418904</v>
      </c>
      <c r="Z62" s="1468">
        <f>((Z54/Z60)*1000)</f>
        <v>16.368217974143441</v>
      </c>
      <c r="AA62" s="1468"/>
      <c r="AB62" s="1468"/>
      <c r="AC62" s="1468">
        <f t="shared" si="42"/>
        <v>0</v>
      </c>
      <c r="AD62" s="1544"/>
      <c r="AE62" s="2859" t="s">
        <v>2482</v>
      </c>
      <c r="AF62" s="2859"/>
      <c r="AG62" s="2859"/>
      <c r="AH62" s="2859"/>
      <c r="AI62" s="2855"/>
      <c r="AJ62" s="2855"/>
      <c r="AK62" s="2855"/>
      <c r="AL62" s="1345"/>
      <c r="AM62" s="1345"/>
    </row>
    <row r="63" spans="1:51" ht="12" customHeight="1" x14ac:dyDescent="0.2">
      <c r="A63" s="1472"/>
      <c r="B63" s="1472"/>
      <c r="C63" s="1472"/>
      <c r="D63" s="1472"/>
      <c r="E63" s="1472"/>
      <c r="F63" s="1472"/>
      <c r="G63" s="1472"/>
      <c r="H63" s="1472"/>
      <c r="I63" s="1472"/>
      <c r="J63" s="1472"/>
      <c r="K63" s="1472"/>
      <c r="L63" s="1472"/>
      <c r="M63" s="1472"/>
      <c r="N63" s="1472"/>
      <c r="O63" s="1472"/>
      <c r="P63" s="1472"/>
      <c r="Q63" s="1472"/>
      <c r="R63" s="1472"/>
      <c r="S63" s="1472"/>
      <c r="T63" s="1472"/>
      <c r="U63" s="1472"/>
      <c r="V63" s="1472"/>
      <c r="W63" s="1472"/>
      <c r="X63" s="1472"/>
      <c r="Y63" s="1472"/>
      <c r="Z63" s="1472"/>
      <c r="AA63" s="1472"/>
      <c r="AB63" s="1472"/>
      <c r="AC63" s="1472"/>
      <c r="AD63" s="1472"/>
      <c r="AE63" s="2859" t="s">
        <v>2484</v>
      </c>
      <c r="AF63" s="2859"/>
      <c r="AG63" s="2859"/>
      <c r="AH63" s="2859"/>
      <c r="AI63" s="2851"/>
      <c r="AJ63" s="1345"/>
      <c r="AK63" s="1345"/>
      <c r="AL63" s="1345"/>
      <c r="AM63" s="1345"/>
    </row>
    <row r="64" spans="1:51" ht="12" customHeight="1" x14ac:dyDescent="0.2">
      <c r="A64" s="1473" t="s">
        <v>6</v>
      </c>
      <c r="B64" s="1474"/>
      <c r="C64" s="1474"/>
      <c r="D64" s="1474"/>
      <c r="E64" s="1475"/>
      <c r="F64" s="1475"/>
      <c r="G64" s="1475"/>
      <c r="H64" s="1474"/>
      <c r="I64" s="1473"/>
      <c r="J64" s="1476">
        <v>1324987</v>
      </c>
      <c r="K64" s="1477">
        <v>1379523</v>
      </c>
      <c r="L64" s="1477">
        <v>1188197</v>
      </c>
      <c r="M64" s="1477">
        <v>1025644</v>
      </c>
      <c r="N64" s="1478">
        <v>1217661</v>
      </c>
      <c r="O64" s="1478">
        <v>1220632</v>
      </c>
      <c r="P64" s="1478">
        <v>1701286</v>
      </c>
      <c r="Q64" s="1478">
        <v>1582536</v>
      </c>
      <c r="R64" s="1476">
        <v>1897634</v>
      </c>
      <c r="S64" s="1477">
        <v>1640052</v>
      </c>
      <c r="T64" s="1477">
        <v>1611613</v>
      </c>
      <c r="U64" s="1477"/>
      <c r="V64" s="1477">
        <f>1600000 + (2266932.58-1600000)</f>
        <v>2266932.58</v>
      </c>
      <c r="W64" s="1477">
        <v>2564754</v>
      </c>
      <c r="X64" s="1477">
        <v>2046950</v>
      </c>
      <c r="Y64" s="1477">
        <v>2618095</v>
      </c>
      <c r="Z64" s="1477">
        <v>3288779</v>
      </c>
      <c r="AA64" s="1477">
        <v>3022081</v>
      </c>
      <c r="AB64" s="1477"/>
      <c r="AC64" s="1477"/>
      <c r="AD64" s="260"/>
      <c r="AE64" s="1345"/>
      <c r="AF64" s="1345"/>
      <c r="AG64" s="1345"/>
      <c r="AH64" s="1345"/>
      <c r="AI64" s="1345"/>
      <c r="AJ64" s="1345"/>
      <c r="AK64" s="1345"/>
      <c r="AL64" s="1345"/>
      <c r="AM64" s="1345"/>
      <c r="AN64" s="1479"/>
    </row>
    <row r="65" spans="1:39" ht="12" customHeight="1" x14ac:dyDescent="0.2">
      <c r="A65" s="1480" t="s">
        <v>189</v>
      </c>
      <c r="B65" s="1481"/>
      <c r="C65" s="1481"/>
      <c r="D65" s="1481"/>
      <c r="E65" s="1482"/>
      <c r="F65" s="1482"/>
      <c r="G65" s="1482"/>
      <c r="H65" s="1481"/>
      <c r="I65" s="1483"/>
      <c r="J65" s="1484">
        <v>600000</v>
      </c>
      <c r="K65" s="1485">
        <f>600000-99879</f>
        <v>500121</v>
      </c>
      <c r="L65" s="1485">
        <v>550000</v>
      </c>
      <c r="M65" s="1485">
        <v>600000</v>
      </c>
      <c r="N65" s="1486">
        <v>600000</v>
      </c>
      <c r="O65" s="1486">
        <v>650000</v>
      </c>
      <c r="P65" s="1486">
        <v>750000</v>
      </c>
      <c r="Q65" s="1486">
        <v>750000</v>
      </c>
      <c r="R65" s="1484">
        <v>750000</v>
      </c>
      <c r="S65" s="1485">
        <v>700000</v>
      </c>
      <c r="T65" s="1485">
        <v>702000</v>
      </c>
      <c r="U65" s="1485"/>
      <c r="V65" s="1485">
        <v>1125000</v>
      </c>
      <c r="W65" s="1485">
        <v>897254</v>
      </c>
      <c r="X65" s="1485">
        <f>1353950-65000-260000</f>
        <v>1028950</v>
      </c>
      <c r="Y65" s="1700">
        <f>1768095-164500 -14000 +85000-80000-400000</f>
        <v>1194595</v>
      </c>
      <c r="Z65" s="1700">
        <f>1298454</f>
        <v>1298454</v>
      </c>
      <c r="AA65" s="1700">
        <f>1447056-131437 + 400000-284000-200000</f>
        <v>1231619</v>
      </c>
      <c r="AB65" s="1485"/>
      <c r="AC65" s="1485"/>
      <c r="AD65" s="1701"/>
      <c r="AE65" s="1345"/>
      <c r="AF65" s="1345"/>
      <c r="AG65" s="1345"/>
      <c r="AH65" s="1345"/>
      <c r="AI65" s="1345"/>
      <c r="AJ65" s="1345"/>
      <c r="AK65" s="1345"/>
      <c r="AL65" s="1345"/>
      <c r="AM65" s="1345"/>
    </row>
    <row r="66" spans="1:39" ht="12" customHeight="1" x14ac:dyDescent="0.2">
      <c r="A66" s="1480" t="s">
        <v>516</v>
      </c>
      <c r="B66" s="1481"/>
      <c r="C66" s="1481"/>
      <c r="D66" s="1481"/>
      <c r="E66" s="1482"/>
      <c r="F66" s="1482"/>
      <c r="G66" s="1482"/>
      <c r="H66" s="1481"/>
      <c r="I66" s="1480"/>
      <c r="J66" s="1484">
        <f t="shared" ref="J66:N66" si="46">J45+J47</f>
        <v>757101</v>
      </c>
      <c r="K66" s="1485">
        <f t="shared" si="46"/>
        <v>887238</v>
      </c>
      <c r="L66" s="1485">
        <f t="shared" si="46"/>
        <v>638197</v>
      </c>
      <c r="M66" s="1485">
        <f t="shared" si="46"/>
        <v>424444</v>
      </c>
      <c r="N66" s="1485">
        <f t="shared" si="46"/>
        <v>617661</v>
      </c>
      <c r="O66" s="1485">
        <v>572467</v>
      </c>
      <c r="P66" s="1485">
        <v>951286</v>
      </c>
      <c r="Q66" s="1485">
        <v>832536</v>
      </c>
      <c r="R66" s="1487">
        <f>R45+R47</f>
        <v>1147634</v>
      </c>
      <c r="S66" s="1487">
        <f>S45+S47</f>
        <v>940052</v>
      </c>
      <c r="T66" s="1487">
        <f>T45+T47</f>
        <v>909613</v>
      </c>
      <c r="U66" s="1487"/>
      <c r="V66" s="1487">
        <f t="shared" ref="V66:AA66" si="47">V45+V47</f>
        <v>1141932.58</v>
      </c>
      <c r="W66" s="1487">
        <f t="shared" si="47"/>
        <v>1667500</v>
      </c>
      <c r="X66" s="1487">
        <f t="shared" si="47"/>
        <v>1018000</v>
      </c>
      <c r="Y66" s="1487">
        <f t="shared" si="47"/>
        <v>1423500</v>
      </c>
      <c r="Z66" s="1487">
        <f t="shared" si="47"/>
        <v>1990325</v>
      </c>
      <c r="AA66" s="1487">
        <f t="shared" si="47"/>
        <v>1790462</v>
      </c>
      <c r="AB66" s="1487"/>
      <c r="AC66" s="1487"/>
      <c r="AD66" s="1472"/>
      <c r="AE66" s="1345"/>
      <c r="AF66" s="1345"/>
      <c r="AG66" s="1345"/>
      <c r="AH66" s="1345"/>
      <c r="AI66" s="1345"/>
      <c r="AJ66" s="1345"/>
      <c r="AK66" s="1345"/>
      <c r="AL66" s="1345"/>
      <c r="AM66" s="1345"/>
    </row>
    <row r="67" spans="1:39" ht="12" customHeight="1" x14ac:dyDescent="0.2">
      <c r="A67" s="1488" t="s">
        <v>517</v>
      </c>
      <c r="B67" s="1489"/>
      <c r="C67" s="1489"/>
      <c r="D67" s="1489"/>
      <c r="E67" s="1490"/>
      <c r="F67" s="1490"/>
      <c r="G67" s="1490"/>
      <c r="H67" s="1489"/>
      <c r="I67" s="1491"/>
      <c r="J67" s="1492">
        <f t="shared" ref="J67:N67" si="48">J64-(J65+J66)</f>
        <v>-32114</v>
      </c>
      <c r="K67" s="1493">
        <f t="shared" si="48"/>
        <v>-7836</v>
      </c>
      <c r="L67" s="1493">
        <f t="shared" si="48"/>
        <v>0</v>
      </c>
      <c r="M67" s="1494">
        <f t="shared" si="48"/>
        <v>1200</v>
      </c>
      <c r="N67" s="1494">
        <f t="shared" si="48"/>
        <v>0</v>
      </c>
      <c r="O67" s="1494">
        <v>-1835</v>
      </c>
      <c r="P67" s="1494">
        <v>0</v>
      </c>
      <c r="Q67" s="1494">
        <v>0</v>
      </c>
      <c r="R67" s="1494">
        <v>0</v>
      </c>
      <c r="S67" s="1495">
        <f>S64-(S65+S66)</f>
        <v>0</v>
      </c>
      <c r="T67" s="1495">
        <f>T64-(T65+T66)</f>
        <v>0</v>
      </c>
      <c r="U67" s="1495"/>
      <c r="V67" s="1495">
        <f>V64-(V65+V66)</f>
        <v>0</v>
      </c>
      <c r="W67" s="1495">
        <f>W64-(W65+W66)</f>
        <v>0</v>
      </c>
      <c r="X67" s="1495">
        <f>X64-(X65+X66)</f>
        <v>0</v>
      </c>
      <c r="Y67" s="1495">
        <f>Y64-(Y65+Y66)</f>
        <v>0</v>
      </c>
      <c r="Z67" s="1495"/>
      <c r="AA67" s="1495"/>
      <c r="AB67" s="1495"/>
      <c r="AC67" s="1495"/>
      <c r="AE67" s="1345"/>
      <c r="AF67" s="1345"/>
      <c r="AG67" s="1345"/>
      <c r="AH67" s="1345"/>
      <c r="AI67" s="1345"/>
      <c r="AJ67" s="1345"/>
      <c r="AK67" s="1345"/>
      <c r="AL67" s="1345"/>
      <c r="AM67" s="1345"/>
    </row>
    <row r="68" spans="1:39" ht="12" customHeight="1" x14ac:dyDescent="0.2">
      <c r="A68" s="1554" t="s">
        <v>951</v>
      </c>
      <c r="B68" s="1472"/>
      <c r="C68" s="1472"/>
      <c r="D68" s="1472"/>
      <c r="E68" s="1497"/>
      <c r="F68" s="1472"/>
      <c r="G68" s="1472"/>
      <c r="H68" s="1472"/>
      <c r="I68" s="1472"/>
      <c r="J68" s="1472"/>
      <c r="K68" s="1472"/>
      <c r="L68" s="1472"/>
      <c r="M68" s="1472"/>
      <c r="N68" s="1472"/>
      <c r="O68" s="1472"/>
      <c r="P68" s="1472"/>
      <c r="Q68" s="1472"/>
      <c r="R68" s="1547"/>
      <c r="S68" s="1547"/>
      <c r="T68" s="1547"/>
      <c r="U68" s="1547"/>
      <c r="V68" s="1547"/>
      <c r="W68" s="1547"/>
      <c r="X68" s="1675" t="s">
        <v>280</v>
      </c>
      <c r="Y68" s="1675"/>
      <c r="Z68" s="1675"/>
      <c r="AA68" s="1675"/>
      <c r="AB68" s="1675"/>
      <c r="AC68" s="1675"/>
    </row>
    <row r="69" spans="1:39" ht="12" customHeight="1" x14ac:dyDescent="0.2">
      <c r="A69" s="1554" t="s">
        <v>1062</v>
      </c>
      <c r="B69" s="1547"/>
      <c r="C69" s="1547"/>
      <c r="D69" s="1547"/>
      <c r="E69" s="1548"/>
      <c r="F69" s="1547"/>
      <c r="G69" s="1547"/>
      <c r="H69" s="1547"/>
      <c r="I69" s="1547"/>
      <c r="J69" s="1549"/>
      <c r="K69" s="1549"/>
      <c r="L69" s="1549"/>
      <c r="M69" s="1549"/>
      <c r="N69" s="1549"/>
      <c r="O69" s="1549"/>
      <c r="P69" s="1549"/>
      <c r="Q69" s="1549"/>
      <c r="R69" s="1549"/>
      <c r="S69" s="1553" t="s">
        <v>935</v>
      </c>
      <c r="T69" s="1678"/>
      <c r="U69" s="1679"/>
      <c r="V69" s="1678"/>
      <c r="W69" s="1678"/>
      <c r="X69" s="1678"/>
      <c r="Y69" s="1678"/>
      <c r="Z69" s="1678"/>
      <c r="AA69" s="1678"/>
      <c r="AB69" s="1678"/>
      <c r="AC69" s="1678"/>
      <c r="AD69" s="1680"/>
    </row>
    <row r="70" spans="1:39" ht="12" customHeight="1" x14ac:dyDescent="0.2">
      <c r="A70" s="2976" t="s">
        <v>1077</v>
      </c>
      <c r="B70" s="2977"/>
      <c r="C70" s="2977"/>
      <c r="D70" s="2977"/>
      <c r="E70" s="2977"/>
      <c r="F70" s="2977"/>
      <c r="G70" s="2977"/>
      <c r="H70" s="2977"/>
      <c r="I70" s="2977"/>
      <c r="J70" s="2977"/>
      <c r="K70" s="2977"/>
      <c r="L70" s="2977"/>
      <c r="M70" s="2977"/>
      <c r="N70" s="2977"/>
      <c r="O70" s="2977"/>
      <c r="P70" s="2977"/>
      <c r="Q70" s="2977"/>
      <c r="R70" s="2977"/>
      <c r="S70" s="1552">
        <f>V10</f>
        <v>1485270</v>
      </c>
      <c r="T70" s="1550"/>
      <c r="U70" s="1681"/>
      <c r="V70" s="1681"/>
      <c r="W70" s="1731"/>
      <c r="X70" s="1698"/>
      <c r="Y70" s="1682"/>
      <c r="Z70" s="1682"/>
      <c r="AA70" s="1682"/>
      <c r="AB70" s="1682"/>
      <c r="AC70" s="1682"/>
      <c r="AD70" s="1683"/>
    </row>
    <row r="71" spans="1:39" ht="12" customHeight="1" x14ac:dyDescent="0.2">
      <c r="A71" s="2976"/>
      <c r="B71" s="2977"/>
      <c r="C71" s="2977"/>
      <c r="D71" s="2977"/>
      <c r="E71" s="2977"/>
      <c r="F71" s="2977"/>
      <c r="G71" s="2977"/>
      <c r="H71" s="2977"/>
      <c r="I71" s="2977"/>
      <c r="J71" s="2977"/>
      <c r="K71" s="2977"/>
      <c r="L71" s="2977"/>
      <c r="M71" s="2977"/>
      <c r="N71" s="2977"/>
      <c r="O71" s="2977"/>
      <c r="P71" s="2977"/>
      <c r="Q71" s="2977"/>
      <c r="R71" s="2977"/>
      <c r="S71" s="1552"/>
      <c r="T71" s="1681"/>
      <c r="U71" s="1681"/>
      <c r="V71" s="1681"/>
      <c r="W71" s="1731"/>
      <c r="X71" s="1681"/>
      <c r="Y71" s="1681"/>
      <c r="Z71" s="1681"/>
      <c r="AA71" s="1681"/>
      <c r="AB71" s="1681"/>
      <c r="AC71" s="1681"/>
      <c r="AD71" s="1683"/>
    </row>
    <row r="72" spans="1:39" ht="12" customHeight="1" x14ac:dyDescent="0.2">
      <c r="A72" s="2976"/>
      <c r="B72" s="2977"/>
      <c r="C72" s="2977"/>
      <c r="D72" s="2977"/>
      <c r="E72" s="2977"/>
      <c r="F72" s="2977"/>
      <c r="G72" s="2977"/>
      <c r="H72" s="2977"/>
      <c r="I72" s="2977"/>
      <c r="J72" s="2977"/>
      <c r="K72" s="2977"/>
      <c r="L72" s="2977"/>
      <c r="M72" s="2977"/>
      <c r="N72" s="2977"/>
      <c r="O72" s="2977"/>
      <c r="P72" s="2977"/>
      <c r="Q72" s="2977"/>
      <c r="R72" s="2977"/>
      <c r="S72" s="1552"/>
      <c r="T72" s="1550"/>
      <c r="U72" s="1681"/>
      <c r="V72" s="1681"/>
      <c r="W72" s="1681"/>
      <c r="X72" s="1681"/>
      <c r="Y72" s="1681"/>
      <c r="Z72" s="1681"/>
      <c r="AA72" s="1681"/>
      <c r="AB72" s="1681"/>
      <c r="AC72" s="1681"/>
      <c r="AD72" s="1683"/>
    </row>
    <row r="73" spans="1:39" ht="12" customHeight="1" x14ac:dyDescent="0.2">
      <c r="A73" s="1551"/>
      <c r="B73" s="1550"/>
      <c r="C73" s="1550"/>
      <c r="D73" s="1550"/>
      <c r="E73" s="1550"/>
      <c r="F73" s="1550"/>
      <c r="G73" s="1550"/>
      <c r="H73" s="1550"/>
      <c r="I73" s="1550"/>
      <c r="J73" s="1550"/>
      <c r="K73" s="1550"/>
      <c r="L73" s="1550"/>
      <c r="M73" s="1550"/>
      <c r="N73" s="1550"/>
      <c r="O73" s="1550"/>
      <c r="P73" s="1550"/>
      <c r="Q73" s="1550"/>
      <c r="R73" s="1550"/>
      <c r="S73" s="1552">
        <f>V17</f>
        <v>3934577</v>
      </c>
      <c r="T73" s="1550"/>
      <c r="U73" s="1681"/>
      <c r="V73" s="1681"/>
      <c r="W73" s="1681"/>
      <c r="X73" s="1681"/>
      <c r="Y73" s="1681"/>
      <c r="Z73" s="1681"/>
      <c r="AA73" s="1681"/>
      <c r="AB73" s="1681"/>
      <c r="AC73" s="1681"/>
      <c r="AD73" s="1683"/>
    </row>
    <row r="74" spans="1:39" ht="12" customHeight="1" x14ac:dyDescent="0.2"/>
    <row r="75" spans="1:39" ht="12" customHeight="1" x14ac:dyDescent="0.2"/>
    <row r="76" spans="1:39" ht="12" customHeight="1" x14ac:dyDescent="0.2"/>
    <row r="77" spans="1:39" ht="12" customHeight="1" x14ac:dyDescent="0.2"/>
    <row r="78" spans="1:39" ht="12" customHeight="1" x14ac:dyDescent="0.2"/>
    <row r="79" spans="1:39" ht="12" customHeight="1" x14ac:dyDescent="0.2"/>
    <row r="80" spans="1:39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</sheetData>
  <mergeCells count="10">
    <mergeCell ref="A70:R70"/>
    <mergeCell ref="AB6:AC6"/>
    <mergeCell ref="AB5:AC5"/>
    <mergeCell ref="A71:R71"/>
    <mergeCell ref="A72:R72"/>
    <mergeCell ref="AL5:AL7"/>
    <mergeCell ref="AF5:AF7"/>
    <mergeCell ref="AG5:AG7"/>
    <mergeCell ref="AH5:AH7"/>
    <mergeCell ref="AK5:AK7"/>
  </mergeCells>
  <phoneticPr fontId="39" type="noConversion"/>
  <printOptions gridLines="1"/>
  <pageMargins left="0.23622047244094491" right="0.23622047244094491" top="0.74803149606299213" bottom="0.51181102362204722" header="0.31496062992125984" footer="0"/>
  <pageSetup scale="77" orientation="portrait" r:id="rId1"/>
  <headerFooter scaleWithDoc="0" alignWithMargins="0">
    <oddHeader xml:space="preserve">&amp;LMarch 27, 2023
&amp;A
&amp;CTOWN OF TOPSFIELD FINANCE COMMITTEE
BUDGET WORKSHEETS
&amp;R&amp;"Arial,Bold"&amp;12VERSION  1.7
FY 2024
</oddHeader>
    <oddFooter xml:space="preserve">&amp;R
</oddFooter>
  </headerFooter>
  <rowBreaks count="1" manualBreakCount="1">
    <brk id="68" max="16383" man="1"/>
  </rowBreaks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Y52"/>
  <sheetViews>
    <sheetView workbookViewId="0">
      <selection activeCell="AR30" sqref="AR30"/>
    </sheetView>
  </sheetViews>
  <sheetFormatPr defaultColWidth="5.7109375" defaultRowHeight="11.25" x14ac:dyDescent="0.2"/>
  <cols>
    <col min="1" max="1" width="0.7109375" style="7" customWidth="1"/>
    <col min="2" max="2" width="2" style="7" customWidth="1"/>
    <col min="3" max="5" width="5.7109375" style="7" customWidth="1"/>
    <col min="6" max="6" width="12.42578125" style="7" customWidth="1"/>
    <col min="7" max="7" width="17.7109375" style="7" customWidth="1"/>
    <col min="8" max="8" width="1.7109375" style="7" customWidth="1"/>
    <col min="9" max="9" width="5.7109375" style="7" customWidth="1"/>
    <col min="10" max="10" width="9.85546875" style="7" hidden="1" customWidth="1"/>
    <col min="11" max="11" width="1.42578125" style="7" hidden="1" customWidth="1"/>
    <col min="12" max="12" width="10.7109375" style="7" hidden="1" customWidth="1"/>
    <col min="13" max="13" width="1.42578125" style="7" hidden="1" customWidth="1"/>
    <col min="14" max="14" width="10.7109375" style="7" hidden="1" customWidth="1"/>
    <col min="15" max="15" width="1.42578125" style="7" hidden="1" customWidth="1"/>
    <col min="16" max="16" width="10.7109375" style="7" hidden="1" customWidth="1"/>
    <col min="17" max="17" width="1.7109375" style="7" hidden="1" customWidth="1"/>
    <col min="18" max="18" width="10.7109375" style="7" hidden="1" customWidth="1"/>
    <col min="19" max="19" width="2.28515625" style="7" hidden="1" customWidth="1"/>
    <col min="20" max="20" width="9.7109375" style="7" hidden="1" customWidth="1"/>
    <col min="21" max="21" width="2.28515625" style="7" hidden="1" customWidth="1"/>
    <col min="22" max="22" width="9.7109375" style="7" hidden="1" customWidth="1"/>
    <col min="23" max="23" width="2.28515625" style="7" hidden="1" customWidth="1"/>
    <col min="24" max="24" width="11.140625" style="7" hidden="1" customWidth="1"/>
    <col min="25" max="25" width="2.28515625" style="7" hidden="1" customWidth="1"/>
    <col min="26" max="26" width="11.140625" style="7" hidden="1" customWidth="1"/>
    <col min="27" max="27" width="2.28515625" style="7" hidden="1" customWidth="1"/>
    <col min="28" max="28" width="11.140625" style="7" hidden="1" customWidth="1"/>
    <col min="29" max="29" width="2.28515625" style="7" hidden="1" customWidth="1"/>
    <col min="30" max="30" width="11.140625" style="7" hidden="1" customWidth="1"/>
    <col min="31" max="31" width="3.7109375" style="7" hidden="1" customWidth="1"/>
    <col min="32" max="32" width="11" style="7" hidden="1" customWidth="1"/>
    <col min="33" max="33" width="3.7109375" style="7" customWidth="1"/>
    <col min="34" max="34" width="11" style="7" customWidth="1"/>
    <col min="35" max="35" width="3.7109375" style="7" customWidth="1"/>
    <col min="36" max="36" width="11" style="7" customWidth="1"/>
    <col min="37" max="37" width="3.7109375" style="7" customWidth="1"/>
    <col min="38" max="38" width="11" style="7" customWidth="1"/>
    <col min="39" max="39" width="3.7109375" style="7" customWidth="1"/>
    <col min="40" max="40" width="11" style="7" customWidth="1"/>
    <col min="41" max="41" width="3.7109375" style="7" customWidth="1"/>
    <col min="42" max="42" width="11" style="7" customWidth="1"/>
    <col min="43" max="43" width="3.7109375" style="7" customWidth="1"/>
    <col min="44" max="44" width="11" style="7" customWidth="1"/>
    <col min="45" max="45" width="5.7109375" style="7"/>
    <col min="46" max="46" width="19" style="7" customWidth="1"/>
    <col min="47" max="50" width="5.7109375" style="7"/>
    <col min="51" max="51" width="8.7109375" style="7" bestFit="1" customWidth="1"/>
    <col min="52" max="16384" width="5.7109375" style="7"/>
  </cols>
  <sheetData>
    <row r="1" spans="2:51" ht="12" x14ac:dyDescent="0.2">
      <c r="F1" s="486" t="s">
        <v>79</v>
      </c>
      <c r="G1" s="487"/>
      <c r="H1" s="487"/>
      <c r="I1" s="487"/>
      <c r="J1" s="487"/>
      <c r="K1" s="487"/>
      <c r="L1" s="488"/>
      <c r="M1" s="489"/>
      <c r="N1" s="488"/>
      <c r="O1" s="488"/>
      <c r="P1" s="488"/>
      <c r="Q1" s="505"/>
      <c r="R1" s="266"/>
      <c r="S1" s="267"/>
      <c r="V1" s="1555" t="str">
        <f>F1</f>
        <v>DISCLAIMER: THIS DOCUMENT IS A "WORK-IN-PROGRESS'. IT HAS BEEN PREPARED FOR AND IS INTENDED</v>
      </c>
    </row>
    <row r="2" spans="2:51" ht="12" x14ac:dyDescent="0.2">
      <c r="F2" s="490" t="s">
        <v>402</v>
      </c>
      <c r="G2" s="491"/>
      <c r="H2" s="492"/>
      <c r="I2" s="492"/>
      <c r="J2" s="492"/>
      <c r="K2" s="492"/>
      <c r="L2" s="493"/>
      <c r="M2" s="494"/>
      <c r="N2" s="493"/>
      <c r="O2" s="493"/>
      <c r="P2" s="493"/>
      <c r="Q2" s="504"/>
      <c r="S2" s="258"/>
      <c r="V2" s="1555" t="str">
        <f t="shared" ref="V2:V3" si="0">F2</f>
        <v>SOLELY FOR THE USE OF THE TOPSFIELD FINANCE COMMITTEE FOR MODELING AND PLANNING PURPOSES.</v>
      </c>
    </row>
    <row r="3" spans="2:51" ht="12.75" thickBot="1" x14ac:dyDescent="0.25">
      <c r="F3" s="495" t="s">
        <v>99</v>
      </c>
      <c r="G3" s="496"/>
      <c r="H3" s="497"/>
      <c r="I3" s="497"/>
      <c r="J3" s="497"/>
      <c r="K3" s="497"/>
      <c r="L3" s="498"/>
      <c r="M3" s="499"/>
      <c r="N3" s="498"/>
      <c r="O3" s="498"/>
      <c r="P3" s="498"/>
      <c r="Q3" s="506"/>
      <c r="R3" s="290"/>
      <c r="S3" s="298"/>
      <c r="V3" s="1555" t="str">
        <f t="shared" si="0"/>
        <v>IT IS NOT TO BE CONSIDERED AS A RECOMMENDATION OF THE FINANCE COMMITTEE.</v>
      </c>
    </row>
    <row r="4" spans="2:51" x14ac:dyDescent="0.2">
      <c r="B4" s="8" t="s">
        <v>342</v>
      </c>
      <c r="C4" s="9"/>
      <c r="D4" s="9"/>
      <c r="E4" s="9"/>
      <c r="F4" s="9"/>
      <c r="G4" s="9"/>
      <c r="I4" s="500"/>
      <c r="J4" s="501" t="s">
        <v>585</v>
      </c>
      <c r="K4" s="501"/>
      <c r="L4" s="502" t="s">
        <v>17</v>
      </c>
      <c r="M4" s="501"/>
      <c r="N4" s="502" t="s">
        <v>18</v>
      </c>
      <c r="O4" s="501"/>
      <c r="P4" s="502" t="s">
        <v>76</v>
      </c>
      <c r="Q4" s="501"/>
      <c r="R4" s="502" t="s">
        <v>21</v>
      </c>
      <c r="S4" s="501"/>
      <c r="T4" s="534" t="s">
        <v>195</v>
      </c>
      <c r="U4" s="422"/>
      <c r="V4" s="534" t="s">
        <v>403</v>
      </c>
      <c r="W4" s="534"/>
      <c r="X4" s="534" t="s">
        <v>241</v>
      </c>
      <c r="Y4" s="422"/>
      <c r="Z4" s="534" t="s">
        <v>242</v>
      </c>
      <c r="AA4" s="422"/>
      <c r="AB4" s="534" t="s">
        <v>596</v>
      </c>
      <c r="AC4" s="422"/>
      <c r="AD4" s="534" t="s">
        <v>804</v>
      </c>
      <c r="AE4" s="422"/>
      <c r="AF4" s="593" t="s">
        <v>862</v>
      </c>
      <c r="AG4" s="422"/>
      <c r="AH4" s="534" t="s">
        <v>912</v>
      </c>
      <c r="AI4" s="422"/>
      <c r="AJ4" s="534" t="s">
        <v>975</v>
      </c>
      <c r="AK4" s="422"/>
      <c r="AL4" s="534" t="s">
        <v>1010</v>
      </c>
      <c r="AM4" s="422"/>
      <c r="AN4" s="534" t="s">
        <v>1047</v>
      </c>
      <c r="AO4" s="422"/>
      <c r="AP4" s="534" t="s">
        <v>1075</v>
      </c>
      <c r="AQ4" s="534"/>
      <c r="AR4" s="534" t="s">
        <v>1103</v>
      </c>
    </row>
    <row r="5" spans="2:51" x14ac:dyDescent="0.2">
      <c r="J5" s="10"/>
    </row>
    <row r="6" spans="2:51" x14ac:dyDescent="0.2">
      <c r="B6" s="7" t="s">
        <v>287</v>
      </c>
      <c r="C6" s="7" t="s">
        <v>258</v>
      </c>
      <c r="J6" s="14">
        <v>13474669</v>
      </c>
      <c r="L6" s="14">
        <f>J15</f>
        <v>14184854.725</v>
      </c>
      <c r="N6" s="14">
        <f>L15</f>
        <v>14723544.093125001</v>
      </c>
      <c r="P6" s="14">
        <f>N15</f>
        <v>15454564.695453126</v>
      </c>
      <c r="R6" s="14">
        <f>P15+65265</f>
        <v>16146517.812839454</v>
      </c>
      <c r="T6" s="14">
        <f>R15</f>
        <v>16770916.75816044</v>
      </c>
      <c r="V6" s="14">
        <f>ROUND(T15,0)</f>
        <v>17502715</v>
      </c>
      <c r="W6" s="14"/>
      <c r="X6" s="14">
        <v>17888276</v>
      </c>
      <c r="Z6" s="14">
        <f>ROUND(X15,0)</f>
        <v>18795345</v>
      </c>
      <c r="AB6" s="14">
        <f>ROUND(Z15,0)</f>
        <v>19882669</v>
      </c>
      <c r="AD6" s="14">
        <f>ROUND(AB15,0)</f>
        <v>20915197</v>
      </c>
      <c r="AF6" s="14">
        <f>ROUND(AD15,0)</f>
        <v>21663706</v>
      </c>
      <c r="AH6" s="14">
        <f>ROUND(AF15,0)-1</f>
        <v>22285112</v>
      </c>
      <c r="AJ6" s="14">
        <f>ROUND(AH15,0)</f>
        <v>22917281</v>
      </c>
      <c r="AL6" s="14">
        <f>ROUND(AJ15,0)</f>
        <v>24422083</v>
      </c>
      <c r="AN6" s="14">
        <f>ROUND(AL15,0)</f>
        <v>25256907</v>
      </c>
      <c r="AP6" s="14">
        <f>ROUND(AN15,0)</f>
        <v>26038049</v>
      </c>
      <c r="AR6" s="14">
        <f>ROUND(AP15,0)</f>
        <v>26851890</v>
      </c>
    </row>
    <row r="7" spans="2:51" x14ac:dyDescent="0.2">
      <c r="C7" s="7" t="s">
        <v>29</v>
      </c>
      <c r="H7" s="7" t="s">
        <v>152</v>
      </c>
      <c r="I7" s="7" t="s">
        <v>160</v>
      </c>
      <c r="J7" s="14">
        <v>0</v>
      </c>
      <c r="L7" s="7">
        <v>0</v>
      </c>
      <c r="N7" s="7">
        <v>0</v>
      </c>
      <c r="P7" s="7">
        <v>0</v>
      </c>
      <c r="R7" s="7">
        <v>0</v>
      </c>
      <c r="T7" s="7">
        <v>0</v>
      </c>
      <c r="V7" s="7">
        <v>0</v>
      </c>
      <c r="X7" s="7">
        <v>0</v>
      </c>
      <c r="Z7" s="7">
        <v>0</v>
      </c>
      <c r="AB7" s="7">
        <v>0</v>
      </c>
      <c r="AD7" s="7">
        <v>0</v>
      </c>
      <c r="AF7" s="7">
        <v>0</v>
      </c>
      <c r="AH7" s="7">
        <v>0</v>
      </c>
    </row>
    <row r="8" spans="2:51" x14ac:dyDescent="0.2">
      <c r="C8" s="7" t="s">
        <v>147</v>
      </c>
      <c r="H8" s="7" t="s">
        <v>152</v>
      </c>
      <c r="I8" s="7" t="s">
        <v>160</v>
      </c>
      <c r="J8" s="14">
        <f>SUM(J6+J7)*0.025</f>
        <v>336866.72500000003</v>
      </c>
      <c r="L8" s="82">
        <f>(L6+L7)*0.025</f>
        <v>354621.36812500004</v>
      </c>
      <c r="N8" s="82">
        <f>(N6+N7)*0.025</f>
        <v>368088.60232812504</v>
      </c>
      <c r="P8" s="82">
        <f>(P6+P7)*0.025</f>
        <v>386364.11738632817</v>
      </c>
      <c r="R8" s="82">
        <f>(R6+R7)*0.025</f>
        <v>403662.94532098639</v>
      </c>
      <c r="T8" s="82">
        <f>(T6+T7)*0.025</f>
        <v>419272.91895401105</v>
      </c>
      <c r="V8" s="82">
        <f>(V6+V7)*0.025</f>
        <v>437567.875</v>
      </c>
      <c r="W8" s="82"/>
      <c r="X8" s="82">
        <v>447206.9</v>
      </c>
      <c r="Z8" s="82">
        <f>(Z6+Z7)*0.025</f>
        <v>469883.625</v>
      </c>
      <c r="AB8" s="82">
        <f>(AB6+AB7)*0.025</f>
        <v>497066.72500000003</v>
      </c>
      <c r="AD8" s="82">
        <f>(AD6+AD7)*0.025</f>
        <v>522879.92500000005</v>
      </c>
      <c r="AF8" s="82">
        <f>(AF6+AF7)*0.025</f>
        <v>541592.65</v>
      </c>
      <c r="AH8" s="82">
        <f>(AH6+AH7)*0.025</f>
        <v>557127.80000000005</v>
      </c>
      <c r="AJ8" s="82">
        <f>(AJ6+AJ7)*0.025</f>
        <v>572932.02500000002</v>
      </c>
      <c r="AL8" s="82">
        <f>(AL6+AL7)*0.025</f>
        <v>610552.07500000007</v>
      </c>
      <c r="AN8" s="82">
        <f>(AN6+AN7)*0.025</f>
        <v>631422.67500000005</v>
      </c>
      <c r="AP8" s="82">
        <f>(AP6+AP7)*0.025</f>
        <v>650951.22500000009</v>
      </c>
      <c r="AR8" s="82">
        <f>(AR6+AR7)*0.025</f>
        <v>671297.25</v>
      </c>
    </row>
    <row r="9" spans="2:51" x14ac:dyDescent="0.2">
      <c r="C9" s="7" t="s">
        <v>400</v>
      </c>
      <c r="H9" s="7" t="s">
        <v>152</v>
      </c>
      <c r="I9" s="7" t="s">
        <v>160</v>
      </c>
      <c r="J9" s="14">
        <v>190928</v>
      </c>
      <c r="L9" s="82">
        <f>125000+59068</f>
        <v>184068</v>
      </c>
      <c r="N9" s="82">
        <v>221475</v>
      </c>
      <c r="P9" s="82">
        <v>110265</v>
      </c>
      <c r="R9" s="540">
        <v>116429</v>
      </c>
      <c r="T9" s="602">
        <v>120986.79</v>
      </c>
      <c r="V9" s="602">
        <v>174438</v>
      </c>
      <c r="W9" s="602"/>
      <c r="X9" s="602">
        <v>459862</v>
      </c>
      <c r="Y9" s="603"/>
      <c r="Z9" s="602">
        <v>417940</v>
      </c>
      <c r="AA9" s="603"/>
      <c r="AB9" s="602">
        <v>342461</v>
      </c>
      <c r="AD9" s="586">
        <v>85629</v>
      </c>
      <c r="AF9" s="586">
        <v>79814</v>
      </c>
      <c r="AH9" s="586">
        <v>75041</v>
      </c>
      <c r="AJ9" s="586">
        <v>338802</v>
      </c>
      <c r="AL9" s="586">
        <v>224272</v>
      </c>
      <c r="AN9" s="586">
        <v>149719</v>
      </c>
      <c r="AP9" s="586">
        <v>162890</v>
      </c>
      <c r="AR9" s="586">
        <v>75000</v>
      </c>
    </row>
    <row r="10" spans="2:51" x14ac:dyDescent="0.2">
      <c r="C10" s="7" t="s">
        <v>30</v>
      </c>
      <c r="H10" s="7" t="s">
        <v>152</v>
      </c>
      <c r="I10" s="7" t="s">
        <v>160</v>
      </c>
      <c r="J10" s="14">
        <v>182391</v>
      </c>
      <c r="L10" s="7">
        <v>0</v>
      </c>
      <c r="N10" s="7">
        <v>0</v>
      </c>
      <c r="P10" s="82">
        <v>130059</v>
      </c>
      <c r="R10" s="7">
        <v>104307</v>
      </c>
      <c r="T10" s="7">
        <v>191539</v>
      </c>
      <c r="V10" s="7">
        <v>0</v>
      </c>
      <c r="X10" s="7">
        <v>0</v>
      </c>
      <c r="Z10" s="7">
        <v>199500</v>
      </c>
      <c r="AB10" s="14">
        <v>193000</v>
      </c>
      <c r="AD10" s="14">
        <v>140000</v>
      </c>
      <c r="AF10" s="7">
        <v>0</v>
      </c>
      <c r="AH10" s="7">
        <v>0</v>
      </c>
      <c r="AJ10" s="7">
        <v>593068</v>
      </c>
      <c r="AL10" s="7">
        <f>SUM('PROJECTED SCH. B'!D33:D33)</f>
        <v>0</v>
      </c>
      <c r="AP10" s="82">
        <f>'PROJECTED SCH. B'!D51</f>
        <v>0</v>
      </c>
      <c r="AR10" s="82">
        <f>'PROJECTED SCH. B'!F51</f>
        <v>0</v>
      </c>
    </row>
    <row r="11" spans="2:51" x14ac:dyDescent="0.2">
      <c r="C11" s="7" t="s">
        <v>164</v>
      </c>
      <c r="H11" s="7" t="s">
        <v>152</v>
      </c>
      <c r="I11" s="7" t="s">
        <v>160</v>
      </c>
      <c r="J11" s="14">
        <v>0</v>
      </c>
      <c r="AY11" s="2198"/>
    </row>
    <row r="12" spans="2:51" x14ac:dyDescent="0.2">
      <c r="C12" s="13" t="s">
        <v>164</v>
      </c>
      <c r="H12" s="7" t="s">
        <v>152</v>
      </c>
      <c r="I12" s="7" t="s">
        <v>160</v>
      </c>
      <c r="J12" s="14">
        <v>0</v>
      </c>
      <c r="L12" s="7">
        <v>0</v>
      </c>
      <c r="N12" s="7">
        <v>141457</v>
      </c>
    </row>
    <row r="13" spans="2:51" x14ac:dyDescent="0.2">
      <c r="C13" s="7" t="s">
        <v>31</v>
      </c>
      <c r="H13" s="7" t="s">
        <v>148</v>
      </c>
      <c r="I13" s="7" t="s">
        <v>160</v>
      </c>
      <c r="J13" s="14">
        <f>SUM(J6:J12)</f>
        <v>14184854.725</v>
      </c>
      <c r="L13" s="14">
        <f>SUM(L6:L12)</f>
        <v>14723544.093125001</v>
      </c>
      <c r="N13" s="14">
        <f>SUM(N6:N12)</f>
        <v>15454564.695453126</v>
      </c>
      <c r="P13" s="14">
        <f>SUM(P6:P12)</f>
        <v>16081252.812839454</v>
      </c>
      <c r="R13" s="14">
        <f>SUM(R6:R12)</f>
        <v>16770916.75816044</v>
      </c>
      <c r="T13" s="14">
        <f>SUM(T6:T12)</f>
        <v>17502715.467114449</v>
      </c>
      <c r="V13" s="14">
        <f>SUM(V6:V12)</f>
        <v>18114720.875</v>
      </c>
      <c r="W13" s="14"/>
      <c r="X13" s="14">
        <f>SUM(X6:X12)</f>
        <v>18795344.899999999</v>
      </c>
      <c r="Z13" s="14">
        <f>SUM(Z6:Z12)</f>
        <v>19882668.625</v>
      </c>
      <c r="AB13" s="14">
        <f>SUM(AB6:AB12)</f>
        <v>20915196.725000001</v>
      </c>
      <c r="AD13" s="14">
        <f>SUM(AD6:AD12)</f>
        <v>21663705.925000001</v>
      </c>
      <c r="AF13" s="14">
        <f>SUM(AF6:AF12)</f>
        <v>22285112.649999999</v>
      </c>
      <c r="AH13" s="14">
        <f>SUM(AH6:AH12)</f>
        <v>22917280.800000001</v>
      </c>
      <c r="AJ13" s="14">
        <f>SUM(AJ6:AJ12)</f>
        <v>24422083.024999999</v>
      </c>
      <c r="AL13" s="14">
        <f>SUM(AL6:AL12)</f>
        <v>25256907.074999999</v>
      </c>
      <c r="AN13" s="14">
        <f>SUM(AN6:AN12)</f>
        <v>26038048.675000001</v>
      </c>
      <c r="AP13" s="14">
        <f>SUM(AP6:AP12)</f>
        <v>26851890.225000001</v>
      </c>
      <c r="AR13" s="14">
        <f>SUM(AR6:AR12)</f>
        <v>27598187.25</v>
      </c>
    </row>
    <row r="14" spans="2:51" x14ac:dyDescent="0.2">
      <c r="C14" s="7" t="s">
        <v>9</v>
      </c>
      <c r="F14" s="14"/>
      <c r="G14" s="14"/>
      <c r="I14" s="11" t="s">
        <v>160</v>
      </c>
      <c r="J14" s="12"/>
    </row>
    <row r="15" spans="2:51" x14ac:dyDescent="0.2">
      <c r="C15" s="15" t="s">
        <v>250</v>
      </c>
      <c r="H15" s="7" t="s">
        <v>148</v>
      </c>
      <c r="I15" s="16" t="s">
        <v>160</v>
      </c>
      <c r="J15" s="17">
        <f>SUM(J13)</f>
        <v>14184854.725</v>
      </c>
      <c r="L15" s="423">
        <f>L13</f>
        <v>14723544.093125001</v>
      </c>
      <c r="N15" s="423">
        <f>N13</f>
        <v>15454564.695453126</v>
      </c>
      <c r="P15" s="423">
        <f>P13</f>
        <v>16081252.812839454</v>
      </c>
      <c r="R15" s="423">
        <f>R13</f>
        <v>16770916.75816044</v>
      </c>
      <c r="T15" s="423">
        <f>T13</f>
        <v>17502715.467114449</v>
      </c>
      <c r="V15" s="423">
        <f>V13</f>
        <v>18114720.875</v>
      </c>
      <c r="W15" s="573"/>
      <c r="X15" s="423">
        <f>X13</f>
        <v>18795344.899999999</v>
      </c>
      <c r="Z15" s="423">
        <f>Z13</f>
        <v>19882668.625</v>
      </c>
      <c r="AB15" s="423">
        <f>AB13</f>
        <v>20915196.725000001</v>
      </c>
      <c r="AD15" s="423">
        <f>AD13</f>
        <v>21663705.925000001</v>
      </c>
      <c r="AF15" s="423">
        <f>AF13</f>
        <v>22285112.649999999</v>
      </c>
      <c r="AH15" s="423">
        <f>AH13</f>
        <v>22917280.800000001</v>
      </c>
      <c r="AJ15" s="423">
        <f>AJ13</f>
        <v>24422083.024999999</v>
      </c>
      <c r="AL15" s="423">
        <f>AL13</f>
        <v>25256907.074999999</v>
      </c>
      <c r="AN15" s="423">
        <f>AN13</f>
        <v>26038048.675000001</v>
      </c>
      <c r="AP15" s="423">
        <f>AP13</f>
        <v>26851890.225000001</v>
      </c>
      <c r="AR15" s="423">
        <f>AR13</f>
        <v>27598187.25</v>
      </c>
    </row>
    <row r="18" spans="2:44" x14ac:dyDescent="0.2">
      <c r="B18" s="9" t="s">
        <v>88</v>
      </c>
      <c r="C18" s="9"/>
      <c r="D18" s="9"/>
      <c r="E18" s="9"/>
      <c r="F18" s="9"/>
      <c r="G18" s="9"/>
      <c r="H18" s="18"/>
    </row>
    <row r="19" spans="2:44" x14ac:dyDescent="0.2">
      <c r="C19" s="7" t="s">
        <v>85</v>
      </c>
      <c r="I19" s="7" t="s">
        <v>160</v>
      </c>
      <c r="J19" s="14">
        <f>SUM(J15)</f>
        <v>14184854.725</v>
      </c>
      <c r="L19" s="82">
        <f>L15+L25</f>
        <v>14714026.093125001</v>
      </c>
      <c r="N19" s="14">
        <f>N15</f>
        <v>15454564.695453126</v>
      </c>
      <c r="P19" s="14">
        <f>P15</f>
        <v>16081252.812839454</v>
      </c>
      <c r="R19" s="14">
        <f>R15</f>
        <v>16770916.75816044</v>
      </c>
      <c r="T19" s="14">
        <f>T15</f>
        <v>17502715.467114449</v>
      </c>
      <c r="V19" s="14">
        <f>V15</f>
        <v>18114720.875</v>
      </c>
      <c r="W19" s="14"/>
      <c r="X19" s="14">
        <v>18795364.899999999</v>
      </c>
      <c r="Z19" s="14">
        <f>Z15</f>
        <v>19882668.625</v>
      </c>
      <c r="AB19" s="14">
        <f>AB15</f>
        <v>20915196.725000001</v>
      </c>
      <c r="AD19" s="14">
        <f>AD15</f>
        <v>21663705.925000001</v>
      </c>
      <c r="AF19" s="14">
        <f>AF15</f>
        <v>22285112.649999999</v>
      </c>
      <c r="AH19" s="14">
        <f>AH15</f>
        <v>22917280.800000001</v>
      </c>
      <c r="AJ19" s="14">
        <f>AJ15</f>
        <v>24422083.024999999</v>
      </c>
      <c r="AL19" s="14">
        <f>AL15</f>
        <v>25256907.074999999</v>
      </c>
      <c r="AN19" s="14">
        <f>AN15</f>
        <v>26038048.675000001</v>
      </c>
      <c r="AP19" s="14">
        <f>AP15</f>
        <v>26851890.225000001</v>
      </c>
      <c r="AR19" s="14">
        <f>AR15</f>
        <v>27598187.25</v>
      </c>
    </row>
    <row r="20" spans="2:44" x14ac:dyDescent="0.2">
      <c r="C20" s="7" t="s">
        <v>86</v>
      </c>
      <c r="H20" s="7" t="s">
        <v>152</v>
      </c>
      <c r="I20" s="7" t="s">
        <v>160</v>
      </c>
      <c r="J20" s="14">
        <f>SUM('DE 1'!J36)</f>
        <v>940991.37</v>
      </c>
      <c r="K20" s="7" t="s">
        <v>46</v>
      </c>
      <c r="L20" s="82">
        <f>'DE 1'!E94</f>
        <v>867410.43</v>
      </c>
      <c r="N20" s="82">
        <f>'DE 1'!J94</f>
        <v>934619.87</v>
      </c>
      <c r="P20" s="82">
        <f>'DE 1'!J120</f>
        <v>933085.96000000008</v>
      </c>
      <c r="R20" s="82">
        <f>'DE 1'!J146</f>
        <v>897000.62</v>
      </c>
      <c r="T20" s="82">
        <f>'DE 1'!J177</f>
        <v>925197.84</v>
      </c>
      <c r="V20" s="82">
        <f>'DE 1'!J208</f>
        <v>821523.98539999989</v>
      </c>
      <c r="W20" s="82"/>
      <c r="X20" s="82">
        <v>790655.9</v>
      </c>
      <c r="Z20" s="82">
        <f>'DE 1'!J270</f>
        <v>803529.43</v>
      </c>
      <c r="AB20" s="82">
        <f>'DE 1'!J301</f>
        <v>777719.89</v>
      </c>
      <c r="AD20" s="82">
        <f>'DE 1'!J332</f>
        <v>802449.89</v>
      </c>
      <c r="AF20" s="601">
        <f>'DE 1'!J373</f>
        <v>839738.63</v>
      </c>
      <c r="AH20" s="601">
        <f>'DE 1'!$J418*0+1268247</f>
        <v>1268247</v>
      </c>
      <c r="AJ20" s="601">
        <f>'DE 1'!J470+AM20*0</f>
        <v>1463100.54</v>
      </c>
      <c r="AL20" s="601">
        <f>'DE 1'!J517</f>
        <v>1283528.202</v>
      </c>
      <c r="AN20" s="601">
        <f>'DE 1'!J563</f>
        <v>1226381.75</v>
      </c>
      <c r="AP20" s="2202">
        <f>'DE 1'!J610</f>
        <v>805250.76</v>
      </c>
      <c r="AR20" s="2202">
        <f>'DE 1'!J657</f>
        <v>949337.76</v>
      </c>
    </row>
    <row r="21" spans="2:44" x14ac:dyDescent="0.2">
      <c r="C21" s="7" t="s">
        <v>206</v>
      </c>
      <c r="J21" s="14"/>
      <c r="L21" s="7">
        <v>0</v>
      </c>
      <c r="N21" s="7">
        <v>0</v>
      </c>
      <c r="P21" s="7">
        <v>0</v>
      </c>
      <c r="R21" s="410"/>
    </row>
    <row r="22" spans="2:44" x14ac:dyDescent="0.2">
      <c r="C22" s="7" t="s">
        <v>63</v>
      </c>
      <c r="H22" s="7" t="s">
        <v>152</v>
      </c>
      <c r="I22" s="7" t="s">
        <v>160</v>
      </c>
      <c r="J22" s="14"/>
      <c r="L22" s="7">
        <v>0</v>
      </c>
      <c r="N22" s="7">
        <v>0</v>
      </c>
      <c r="P22" s="7">
        <v>0</v>
      </c>
      <c r="R22" s="7">
        <v>0</v>
      </c>
      <c r="T22" s="557"/>
      <c r="V22" s="557"/>
      <c r="W22" s="557"/>
      <c r="X22" s="557"/>
      <c r="Z22" s="557"/>
      <c r="AB22" s="557"/>
      <c r="AD22" s="557"/>
      <c r="AF22" s="1510">
        <v>500000</v>
      </c>
      <c r="AH22" s="557"/>
      <c r="AJ22" s="557"/>
      <c r="AL22" s="557"/>
      <c r="AN22" s="557"/>
      <c r="AP22" s="557"/>
      <c r="AR22" s="557"/>
    </row>
    <row r="23" spans="2:44" x14ac:dyDescent="0.2">
      <c r="C23" s="7" t="s">
        <v>82</v>
      </c>
      <c r="H23" s="7" t="s">
        <v>152</v>
      </c>
      <c r="I23" s="7" t="s">
        <v>160</v>
      </c>
      <c r="J23" s="14"/>
      <c r="L23" s="82">
        <v>-85258</v>
      </c>
      <c r="N23" s="7">
        <v>0</v>
      </c>
      <c r="P23" s="7">
        <v>0</v>
      </c>
      <c r="Q23" s="82"/>
      <c r="R23" s="7">
        <v>-11</v>
      </c>
      <c r="AD23" s="594" t="s">
        <v>164</v>
      </c>
    </row>
    <row r="24" spans="2:44" x14ac:dyDescent="0.2">
      <c r="C24" s="7" t="s">
        <v>83</v>
      </c>
      <c r="H24" s="7" t="s">
        <v>152</v>
      </c>
      <c r="I24" s="7" t="s">
        <v>160</v>
      </c>
      <c r="J24" s="14"/>
      <c r="L24" s="7">
        <v>0</v>
      </c>
      <c r="N24" s="7">
        <v>0</v>
      </c>
      <c r="P24" s="7">
        <v>0</v>
      </c>
      <c r="R24" s="7">
        <v>0</v>
      </c>
    </row>
    <row r="25" spans="2:44" x14ac:dyDescent="0.2">
      <c r="C25" s="546"/>
      <c r="L25" s="82">
        <v>-9518</v>
      </c>
      <c r="P25" s="82">
        <v>12201</v>
      </c>
    </row>
    <row r="26" spans="2:44" x14ac:dyDescent="0.2">
      <c r="C26" s="7" t="s">
        <v>343</v>
      </c>
      <c r="H26" s="7" t="s">
        <v>148</v>
      </c>
      <c r="I26" s="461" t="s">
        <v>160</v>
      </c>
      <c r="J26" s="462">
        <f>SUM(J19:J25)</f>
        <v>15125846.094999999</v>
      </c>
      <c r="L26" s="462">
        <f>SUM(L19:L25)</f>
        <v>15486660.523125</v>
      </c>
      <c r="N26" s="462">
        <f>SUM(N19:N25)</f>
        <v>16389184.565453125</v>
      </c>
      <c r="P26" s="462">
        <f>SUM(P19:P25)</f>
        <v>17026539.772839453</v>
      </c>
      <c r="R26" s="462">
        <f>SUM(R19:R25)</f>
        <v>17667906.378160439</v>
      </c>
      <c r="T26" s="462">
        <f>SUM(T19:T25)</f>
        <v>18427913.307114448</v>
      </c>
      <c r="V26" s="462">
        <f>SUM(V19:V25)</f>
        <v>18936244.860399999</v>
      </c>
      <c r="W26" s="574"/>
      <c r="X26" s="574">
        <v>19586020.799999997</v>
      </c>
      <c r="Z26" s="462">
        <f>SUM(Z19:Z25)</f>
        <v>20686198.055</v>
      </c>
      <c r="AB26" s="462">
        <f>SUM(AB19:AB25)</f>
        <v>21692916.615000002</v>
      </c>
      <c r="AD26" s="462">
        <f>SUM(AD19:AD25)</f>
        <v>22466155.815000001</v>
      </c>
      <c r="AF26" s="462">
        <f>SUM(AF19:AF25)</f>
        <v>23624851.279999997</v>
      </c>
      <c r="AH26" s="462">
        <f>SUM(AH19:AH25)</f>
        <v>24185527.800000001</v>
      </c>
      <c r="AJ26" s="462">
        <f>SUM(AJ19:AJ25)</f>
        <v>25885183.564999998</v>
      </c>
      <c r="AL26" s="462">
        <f>SUM(AL19:AL25)</f>
        <v>26540435.276999999</v>
      </c>
      <c r="AN26" s="462">
        <f>SUM(AN19:AN25)</f>
        <v>27264430.425000001</v>
      </c>
      <c r="AP26" s="462">
        <f>SUM(AP19:AP25)</f>
        <v>27657140.985000003</v>
      </c>
      <c r="AR26" s="462">
        <f>SUM(AR19:AR25)</f>
        <v>28547525.010000002</v>
      </c>
    </row>
    <row r="27" spans="2:44" x14ac:dyDescent="0.2">
      <c r="C27" s="478"/>
      <c r="L27" s="82"/>
      <c r="P27" s="82"/>
    </row>
    <row r="28" spans="2:44" x14ac:dyDescent="0.2">
      <c r="B28" s="546">
        <v>3</v>
      </c>
      <c r="C28" s="548" t="s">
        <v>265</v>
      </c>
      <c r="D28" s="548"/>
      <c r="E28" s="548"/>
      <c r="F28" s="548"/>
      <c r="G28" s="548"/>
      <c r="H28" s="547" t="s">
        <v>344</v>
      </c>
      <c r="L28" s="82"/>
      <c r="P28" s="82"/>
      <c r="AD28" s="14">
        <v>385000</v>
      </c>
      <c r="AF28" s="14">
        <v>100000</v>
      </c>
      <c r="AH28" s="14">
        <v>150000</v>
      </c>
      <c r="AJ28" s="14">
        <v>100000</v>
      </c>
      <c r="AL28" s="14">
        <v>150000</v>
      </c>
      <c r="AN28" s="14">
        <v>150000</v>
      </c>
      <c r="AP28" s="14">
        <v>100000</v>
      </c>
      <c r="AR28" s="14">
        <v>150000</v>
      </c>
    </row>
    <row r="29" spans="2:44" x14ac:dyDescent="0.2">
      <c r="C29" s="478"/>
      <c r="L29" s="82"/>
      <c r="P29" s="82"/>
    </row>
    <row r="30" spans="2:44" x14ac:dyDescent="0.2">
      <c r="C30" s="7" t="s">
        <v>127</v>
      </c>
      <c r="H30" s="7" t="s">
        <v>148</v>
      </c>
      <c r="I30" s="461" t="s">
        <v>160</v>
      </c>
      <c r="J30" s="418">
        <f>J26-J28</f>
        <v>15125846.094999999</v>
      </c>
      <c r="L30" s="418">
        <f>L26-L28</f>
        <v>15486660.523125</v>
      </c>
      <c r="N30" s="418">
        <f>N26-N28</f>
        <v>16389184.565453125</v>
      </c>
      <c r="P30" s="418">
        <f>P26-P28</f>
        <v>17026539.772839453</v>
      </c>
      <c r="R30" s="418">
        <f>R26-R28</f>
        <v>17667906.378160439</v>
      </c>
      <c r="T30" s="418">
        <f>T26-T28</f>
        <v>18427913.307114448</v>
      </c>
      <c r="V30" s="418">
        <f>V26-V28</f>
        <v>18936244.860399999</v>
      </c>
      <c r="W30" s="575"/>
      <c r="X30" s="418">
        <v>19586020.799999997</v>
      </c>
      <c r="Z30" s="418">
        <f>Z26-Z28</f>
        <v>20686198.055</v>
      </c>
      <c r="AB30" s="418">
        <f>AB26-AB28</f>
        <v>21692916.615000002</v>
      </c>
      <c r="AD30" s="418">
        <f>AD26-AD28</f>
        <v>22081155.815000001</v>
      </c>
      <c r="AF30" s="418">
        <f>AF26-AF28</f>
        <v>23524851.279999997</v>
      </c>
      <c r="AH30" s="418">
        <f>AH26-AH28</f>
        <v>24035527.800000001</v>
      </c>
      <c r="AJ30" s="418">
        <f>AJ26-AJ28</f>
        <v>25785183.564999998</v>
      </c>
      <c r="AL30" s="418">
        <f>AL26-AL28</f>
        <v>26390435.276999999</v>
      </c>
      <c r="AN30" s="418">
        <f>AN26-AN28</f>
        <v>27114430.425000001</v>
      </c>
      <c r="AP30" s="418">
        <f>AP26-AP28</f>
        <v>27557140.985000003</v>
      </c>
      <c r="AR30" s="418">
        <f>AR26-AR28</f>
        <v>28397525.010000002</v>
      </c>
    </row>
    <row r="32" spans="2:44" x14ac:dyDescent="0.2">
      <c r="N32" s="82"/>
    </row>
    <row r="34" spans="2:12" x14ac:dyDescent="0.2">
      <c r="B34" s="13"/>
    </row>
    <row r="35" spans="2:12" ht="13.5" x14ac:dyDescent="0.3">
      <c r="J35" s="433"/>
      <c r="L35" s="434"/>
    </row>
    <row r="36" spans="2:12" ht="12.75" x14ac:dyDescent="0.25">
      <c r="J36" s="19"/>
      <c r="L36" s="434"/>
    </row>
    <row r="37" spans="2:12" ht="12.75" x14ac:dyDescent="0.25">
      <c r="J37" s="19"/>
      <c r="L37" s="434"/>
    </row>
    <row r="38" spans="2:12" ht="12.75" x14ac:dyDescent="0.25">
      <c r="J38" s="19"/>
      <c r="L38" s="434"/>
    </row>
    <row r="39" spans="2:12" ht="12.75" x14ac:dyDescent="0.25">
      <c r="J39" s="19"/>
      <c r="L39" s="434"/>
    </row>
    <row r="40" spans="2:12" ht="12.75" x14ac:dyDescent="0.25">
      <c r="J40" s="19"/>
      <c r="L40" s="434"/>
    </row>
    <row r="41" spans="2:12" ht="12.75" x14ac:dyDescent="0.25">
      <c r="J41" s="19"/>
      <c r="L41" s="434"/>
    </row>
    <row r="42" spans="2:12" ht="12.75" x14ac:dyDescent="0.25">
      <c r="J42" s="19"/>
      <c r="L42" s="434"/>
    </row>
    <row r="43" spans="2:12" ht="12.75" x14ac:dyDescent="0.25">
      <c r="J43" s="20"/>
      <c r="L43" s="434"/>
    </row>
    <row r="44" spans="2:12" ht="12.75" x14ac:dyDescent="0.25">
      <c r="J44" s="19"/>
      <c r="L44" s="434"/>
    </row>
    <row r="46" spans="2:12" x14ac:dyDescent="0.2">
      <c r="J46" s="21"/>
    </row>
    <row r="49" spans="10:10" x14ac:dyDescent="0.2">
      <c r="J49" s="21"/>
    </row>
    <row r="52" spans="10:10" x14ac:dyDescent="0.2">
      <c r="J52" s="21"/>
    </row>
  </sheetData>
  <phoneticPr fontId="39" type="noConversion"/>
  <printOptions gridLines="1"/>
  <pageMargins left="0.23622047244094491" right="0.23622047244094491" top="0.70866141732283472" bottom="0" header="0.19685039370078741" footer="0"/>
  <pageSetup fitToWidth="0" orientation="landscape" horizontalDpi="300" verticalDpi="300" r:id="rId1"/>
  <headerFooter alignWithMargins="0">
    <oddHeader xml:space="preserve">&amp;L29-Mar-2022
&amp;A
&amp;CTOWN OF TOPSFIELD FINANCE COMMITTEE
BUDGET WORKSHEETS
&amp;R&amp;"Arial,Bold"&amp;12VERSION 2.5
FY 2023
</oddHeader>
    <oddFooter xml:space="preserve">&amp;R
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703"/>
  <sheetViews>
    <sheetView topLeftCell="A8" workbookViewId="0"/>
  </sheetViews>
  <sheetFormatPr defaultColWidth="8.85546875" defaultRowHeight="9.75" x14ac:dyDescent="0.2"/>
  <cols>
    <col min="1" max="1" width="5.42578125" style="1" customWidth="1"/>
    <col min="2" max="2" width="23.7109375" style="1" customWidth="1"/>
    <col min="3" max="3" width="15.85546875" style="22" customWidth="1"/>
    <col min="4" max="4" width="6.42578125" style="1" customWidth="1"/>
    <col min="5" max="5" width="10.7109375" style="1" customWidth="1"/>
    <col min="6" max="6" width="12.7109375" style="1" customWidth="1"/>
    <col min="7" max="7" width="13.28515625" style="1" customWidth="1"/>
    <col min="8" max="8" width="2.85546875" style="1" customWidth="1"/>
    <col min="9" max="9" width="18.42578125" style="1" customWidth="1"/>
    <col min="10" max="10" width="11.28515625" style="1" customWidth="1"/>
    <col min="11" max="11" width="12.28515625" style="1" customWidth="1"/>
    <col min="12" max="16384" width="8.85546875" style="1"/>
  </cols>
  <sheetData>
    <row r="1" spans="1:22" ht="12" hidden="1" x14ac:dyDescent="0.2">
      <c r="C1" s="486" t="s">
        <v>79</v>
      </c>
      <c r="D1" s="487"/>
      <c r="E1" s="487"/>
      <c r="F1" s="487"/>
      <c r="G1" s="487"/>
      <c r="H1" s="487"/>
      <c r="I1" s="488"/>
      <c r="J1" s="489"/>
      <c r="K1" s="507"/>
      <c r="L1" s="493"/>
      <c r="M1" s="493"/>
    </row>
    <row r="2" spans="1:22" ht="12" hidden="1" x14ac:dyDescent="0.2">
      <c r="C2" s="490" t="s">
        <v>402</v>
      </c>
      <c r="D2" s="491"/>
      <c r="E2" s="492"/>
      <c r="F2" s="492"/>
      <c r="G2" s="492"/>
      <c r="H2" s="492"/>
      <c r="I2" s="493"/>
      <c r="J2" s="494"/>
      <c r="K2" s="508"/>
      <c r="L2" s="493"/>
      <c r="M2" s="493"/>
    </row>
    <row r="3" spans="1:22" ht="12.75" hidden="1" thickBot="1" x14ac:dyDescent="0.25">
      <c r="C3" s="495" t="s">
        <v>99</v>
      </c>
      <c r="D3" s="496"/>
      <c r="E3" s="497"/>
      <c r="F3" s="497"/>
      <c r="G3" s="497"/>
      <c r="H3" s="497"/>
      <c r="I3" s="498"/>
      <c r="J3" s="499"/>
      <c r="K3" s="509"/>
      <c r="L3" s="493"/>
      <c r="M3" s="493"/>
    </row>
    <row r="4" spans="1:22" hidden="1" x14ac:dyDescent="0.2">
      <c r="G4" s="4"/>
    </row>
    <row r="5" spans="1:22" ht="12" hidden="1" x14ac:dyDescent="0.2">
      <c r="A5" s="23"/>
      <c r="B5" s="24" t="s">
        <v>442</v>
      </c>
      <c r="C5" s="24"/>
      <c r="D5" s="23"/>
      <c r="E5" s="23"/>
      <c r="F5" s="23"/>
      <c r="G5" s="23"/>
      <c r="H5" s="23"/>
      <c r="I5" s="23"/>
      <c r="J5" s="23"/>
      <c r="V5" s="504"/>
    </row>
    <row r="6" spans="1:22" ht="11.25" hidden="1" customHeight="1" x14ac:dyDescent="0.2">
      <c r="B6" s="24" t="s">
        <v>303</v>
      </c>
      <c r="C6" s="24"/>
      <c r="D6" s="23"/>
      <c r="E6" s="23"/>
      <c r="F6" s="23"/>
      <c r="G6" s="23"/>
      <c r="H6" s="23"/>
      <c r="I6" s="23"/>
      <c r="J6" s="23"/>
      <c r="V6" s="504"/>
    </row>
    <row r="7" spans="1:22" ht="11.25" hidden="1" customHeight="1" x14ac:dyDescent="0.2">
      <c r="B7" s="24" t="s">
        <v>307</v>
      </c>
      <c r="C7" s="24"/>
      <c r="D7" s="23"/>
      <c r="E7" s="23"/>
      <c r="F7" s="23"/>
      <c r="G7" s="23"/>
      <c r="H7" s="23"/>
      <c r="I7" s="23"/>
      <c r="J7" s="23"/>
      <c r="V7" s="504"/>
    </row>
    <row r="8" spans="1:22" ht="3" customHeight="1" x14ac:dyDescent="0.2">
      <c r="B8" s="24"/>
      <c r="C8" s="24"/>
      <c r="D8" s="23"/>
      <c r="E8" s="23"/>
      <c r="F8" s="23"/>
      <c r="G8" s="23"/>
      <c r="H8" s="23"/>
      <c r="I8" s="23"/>
      <c r="J8" s="23"/>
    </row>
    <row r="9" spans="1:22" s="25" customFormat="1" ht="12" customHeight="1" x14ac:dyDescent="0.2">
      <c r="B9" s="26" t="s">
        <v>432</v>
      </c>
      <c r="C9" s="26"/>
      <c r="D9" s="27"/>
      <c r="E9" s="27"/>
      <c r="F9" s="27"/>
      <c r="G9" s="27"/>
      <c r="H9" s="27"/>
      <c r="I9" s="27"/>
      <c r="J9" s="27"/>
      <c r="K9" s="1"/>
      <c r="L9" s="1"/>
      <c r="M9" s="1"/>
    </row>
    <row r="10" spans="1:22" ht="3" customHeight="1" x14ac:dyDescent="0.2">
      <c r="A10" s="28"/>
      <c r="B10" s="28"/>
      <c r="H10" s="28"/>
      <c r="I10" s="28"/>
    </row>
    <row r="11" spans="1:22" s="32" customFormat="1" x14ac:dyDescent="0.2">
      <c r="A11" s="29"/>
      <c r="B11" s="30" t="s">
        <v>698</v>
      </c>
      <c r="C11" s="31" t="s">
        <v>699</v>
      </c>
      <c r="D11" s="31" t="s">
        <v>700</v>
      </c>
      <c r="E11" s="31" t="s">
        <v>701</v>
      </c>
      <c r="F11" s="31" t="s">
        <v>702</v>
      </c>
      <c r="G11" s="31" t="s">
        <v>703</v>
      </c>
      <c r="H11" s="32" t="s">
        <v>164</v>
      </c>
      <c r="I11" s="32" t="s">
        <v>704</v>
      </c>
      <c r="J11" s="31" t="s">
        <v>705</v>
      </c>
      <c r="K11" s="1"/>
      <c r="L11" s="1"/>
      <c r="M11" s="1"/>
    </row>
    <row r="12" spans="1:22" s="32" customFormat="1" x14ac:dyDescent="0.2">
      <c r="A12" s="29"/>
      <c r="B12" s="30"/>
      <c r="C12" s="33" t="s">
        <v>574</v>
      </c>
      <c r="D12" s="33"/>
      <c r="E12" s="33"/>
      <c r="F12" s="33"/>
      <c r="G12" s="33"/>
      <c r="J12" s="33"/>
      <c r="K12" s="1"/>
      <c r="L12" s="1"/>
      <c r="M12" s="1"/>
    </row>
    <row r="13" spans="1:22" s="32" customFormat="1" x14ac:dyDescent="0.2">
      <c r="A13" s="29"/>
      <c r="B13" s="30" t="s">
        <v>858</v>
      </c>
      <c r="C13" s="33" t="s">
        <v>859</v>
      </c>
      <c r="D13" s="33" t="s">
        <v>727</v>
      </c>
      <c r="E13" s="33" t="s">
        <v>799</v>
      </c>
      <c r="F13" s="33" t="s">
        <v>800</v>
      </c>
      <c r="G13" s="33" t="s">
        <v>622</v>
      </c>
      <c r="J13" s="33" t="s">
        <v>354</v>
      </c>
      <c r="K13" s="1"/>
      <c r="L13" s="1"/>
      <c r="M13" s="1"/>
    </row>
    <row r="14" spans="1:22" s="32" customFormat="1" x14ac:dyDescent="0.2">
      <c r="A14" s="29"/>
      <c r="B14" s="30" t="s">
        <v>829</v>
      </c>
      <c r="C14" s="33" t="s">
        <v>830</v>
      </c>
      <c r="D14" s="33" t="s">
        <v>831</v>
      </c>
      <c r="E14" s="33" t="s">
        <v>849</v>
      </c>
      <c r="F14" s="33" t="s">
        <v>850</v>
      </c>
      <c r="G14" s="33" t="s">
        <v>850</v>
      </c>
      <c r="H14" s="32" t="s">
        <v>851</v>
      </c>
      <c r="I14" s="32" t="s">
        <v>852</v>
      </c>
      <c r="J14" s="33" t="s">
        <v>792</v>
      </c>
      <c r="K14" s="1"/>
      <c r="L14" s="1"/>
      <c r="M14" s="1"/>
    </row>
    <row r="15" spans="1:22" s="32" customFormat="1" x14ac:dyDescent="0.2">
      <c r="A15" s="29"/>
      <c r="B15" s="30" t="s">
        <v>793</v>
      </c>
      <c r="C15" s="33" t="s">
        <v>794</v>
      </c>
      <c r="D15" s="33" t="s">
        <v>854</v>
      </c>
      <c r="E15" s="33" t="s">
        <v>850</v>
      </c>
      <c r="F15" s="33" t="s">
        <v>855</v>
      </c>
      <c r="G15" s="33" t="s">
        <v>855</v>
      </c>
      <c r="H15" s="29" t="s">
        <v>856</v>
      </c>
      <c r="I15" s="32" t="s">
        <v>824</v>
      </c>
      <c r="J15" s="33" t="s">
        <v>850</v>
      </c>
      <c r="K15" s="1"/>
      <c r="L15" s="1"/>
      <c r="M15" s="1"/>
    </row>
    <row r="16" spans="1:22" s="32" customFormat="1" x14ac:dyDescent="0.2">
      <c r="A16" s="34"/>
      <c r="B16" s="35" t="s">
        <v>825</v>
      </c>
      <c r="C16" s="33" t="s">
        <v>826</v>
      </c>
      <c r="D16" s="33" t="s">
        <v>827</v>
      </c>
      <c r="E16" s="33" t="s">
        <v>855</v>
      </c>
      <c r="F16" s="33" t="s">
        <v>295</v>
      </c>
      <c r="G16" s="33" t="s">
        <v>667</v>
      </c>
      <c r="H16" s="29"/>
      <c r="I16" s="32" t="s">
        <v>764</v>
      </c>
      <c r="J16" s="33" t="s">
        <v>855</v>
      </c>
      <c r="K16" s="1"/>
      <c r="L16" s="1"/>
      <c r="M16" s="1"/>
    </row>
    <row r="17" spans="1:11" x14ac:dyDescent="0.2">
      <c r="A17" s="36"/>
      <c r="B17" s="37">
        <v>31904</v>
      </c>
      <c r="C17" s="38">
        <v>32021</v>
      </c>
      <c r="D17" s="39" t="s">
        <v>765</v>
      </c>
      <c r="E17" s="40">
        <v>-10886</v>
      </c>
      <c r="F17" s="40">
        <v>0</v>
      </c>
      <c r="G17" s="40">
        <v>0</v>
      </c>
      <c r="H17" s="41" t="s">
        <v>766</v>
      </c>
      <c r="I17" s="41">
        <v>10886</v>
      </c>
      <c r="J17" s="42">
        <f>SUM(G17-I17)</f>
        <v>-10886</v>
      </c>
    </row>
    <row r="18" spans="1:11" x14ac:dyDescent="0.2">
      <c r="A18" s="43"/>
      <c r="B18" s="44" t="s">
        <v>536</v>
      </c>
      <c r="C18" s="45"/>
      <c r="D18" s="46"/>
      <c r="E18" s="47"/>
      <c r="F18" s="47"/>
      <c r="G18" s="47"/>
      <c r="H18" s="48"/>
      <c r="I18" s="48"/>
      <c r="J18" s="49"/>
    </row>
    <row r="19" spans="1:11" x14ac:dyDescent="0.2">
      <c r="A19" s="36" t="s">
        <v>537</v>
      </c>
      <c r="B19" s="50">
        <v>35368</v>
      </c>
      <c r="C19" s="51"/>
      <c r="D19" s="52"/>
      <c r="E19" s="53"/>
      <c r="F19" s="53"/>
      <c r="G19" s="53"/>
      <c r="I19" s="54"/>
      <c r="J19" s="53"/>
    </row>
    <row r="20" spans="1:11" x14ac:dyDescent="0.2">
      <c r="A20" s="43" t="s">
        <v>663</v>
      </c>
      <c r="B20" s="44" t="s">
        <v>664</v>
      </c>
      <c r="C20" s="45">
        <v>36951</v>
      </c>
      <c r="D20" s="46" t="s">
        <v>765</v>
      </c>
      <c r="E20" s="49">
        <v>42461.25</v>
      </c>
      <c r="F20" s="47">
        <v>108461.25</v>
      </c>
      <c r="G20" s="47">
        <v>111061.25</v>
      </c>
      <c r="H20" s="48" t="s">
        <v>665</v>
      </c>
      <c r="I20" s="48">
        <v>66000</v>
      </c>
      <c r="J20" s="49">
        <f>SUM(G20-I20)</f>
        <v>45061.25</v>
      </c>
    </row>
    <row r="21" spans="1:11" x14ac:dyDescent="0.2">
      <c r="A21" s="36" t="s">
        <v>666</v>
      </c>
      <c r="B21" s="37">
        <v>35558</v>
      </c>
      <c r="C21" s="51">
        <v>35993</v>
      </c>
      <c r="D21" s="55" t="s">
        <v>673</v>
      </c>
      <c r="E21" s="56"/>
      <c r="F21" s="56"/>
      <c r="G21" s="57">
        <v>0</v>
      </c>
      <c r="H21" s="58" t="s">
        <v>674</v>
      </c>
      <c r="I21" s="40"/>
      <c r="J21" s="56">
        <f>SUM(G21-I21)</f>
        <v>0</v>
      </c>
      <c r="K21" s="6"/>
    </row>
    <row r="22" spans="1:11" x14ac:dyDescent="0.2">
      <c r="A22" s="43" t="s">
        <v>685</v>
      </c>
      <c r="B22" s="37" t="s">
        <v>747</v>
      </c>
      <c r="C22" s="51"/>
      <c r="D22" s="52" t="s">
        <v>765</v>
      </c>
      <c r="E22" s="59">
        <v>161291.45000000001</v>
      </c>
      <c r="F22" s="56">
        <v>673971.38</v>
      </c>
      <c r="G22" s="413">
        <v>688438</v>
      </c>
      <c r="H22" s="60"/>
      <c r="I22" s="413">
        <v>202829</v>
      </c>
      <c r="J22" s="56">
        <f>SUM(G22-I22)</f>
        <v>485609</v>
      </c>
    </row>
    <row r="23" spans="1:11" x14ac:dyDescent="0.2">
      <c r="A23" s="61"/>
      <c r="B23" s="44" t="s">
        <v>615</v>
      </c>
      <c r="C23" s="45"/>
      <c r="D23" s="46" t="s">
        <v>673</v>
      </c>
      <c r="E23" s="49"/>
      <c r="F23" s="59">
        <v>5349871.9800000004</v>
      </c>
      <c r="G23" s="59"/>
      <c r="H23" s="60"/>
      <c r="I23" s="59"/>
      <c r="J23" s="56"/>
    </row>
    <row r="24" spans="1:11" x14ac:dyDescent="0.2">
      <c r="A24" s="36" t="s">
        <v>616</v>
      </c>
      <c r="B24" s="37">
        <v>35558</v>
      </c>
      <c r="C24" s="51">
        <v>35972</v>
      </c>
      <c r="D24" s="52"/>
      <c r="E24" s="62"/>
      <c r="F24" s="42"/>
      <c r="G24" s="42"/>
      <c r="H24" s="58"/>
      <c r="I24" s="40"/>
      <c r="J24" s="40"/>
      <c r="K24" s="6"/>
    </row>
    <row r="25" spans="1:11" x14ac:dyDescent="0.2">
      <c r="A25" s="43" t="s">
        <v>617</v>
      </c>
      <c r="B25" s="44" t="s">
        <v>618</v>
      </c>
      <c r="C25" s="45">
        <v>37330</v>
      </c>
      <c r="D25" s="52" t="s">
        <v>765</v>
      </c>
      <c r="E25" s="62">
        <v>33957.5</v>
      </c>
      <c r="F25" s="49">
        <v>33957.5</v>
      </c>
      <c r="G25" s="49">
        <v>33395</v>
      </c>
      <c r="H25" s="63" t="s">
        <v>766</v>
      </c>
      <c r="I25" s="47"/>
      <c r="J25" s="47">
        <f>SUM(G25-I25)</f>
        <v>33395</v>
      </c>
    </row>
    <row r="26" spans="1:11" x14ac:dyDescent="0.2">
      <c r="A26" s="36"/>
      <c r="B26" s="37" t="s">
        <v>445</v>
      </c>
      <c r="C26" s="64"/>
      <c r="D26" s="65"/>
      <c r="E26" s="54"/>
      <c r="F26" s="3"/>
      <c r="G26" s="3"/>
      <c r="I26" s="3"/>
      <c r="J26" s="3"/>
    </row>
    <row r="27" spans="1:11" x14ac:dyDescent="0.2">
      <c r="A27" s="43"/>
      <c r="B27" s="44" t="s">
        <v>678</v>
      </c>
      <c r="C27" s="66">
        <v>37330</v>
      </c>
      <c r="D27" s="67" t="s">
        <v>765</v>
      </c>
      <c r="E27" s="47">
        <v>144561.5</v>
      </c>
      <c r="F27" s="47">
        <v>676297.5</v>
      </c>
      <c r="G27" s="47">
        <v>679672.5</v>
      </c>
      <c r="H27" s="48" t="s">
        <v>766</v>
      </c>
      <c r="I27" s="47">
        <v>531736</v>
      </c>
      <c r="J27" s="47">
        <f>SUM(G27-I27)</f>
        <v>147936.5</v>
      </c>
    </row>
    <row r="28" spans="1:11" x14ac:dyDescent="0.2">
      <c r="A28" s="68"/>
      <c r="B28" s="398">
        <v>37012</v>
      </c>
      <c r="C28" s="399"/>
      <c r="D28" s="65"/>
      <c r="E28" s="40"/>
      <c r="F28" s="40"/>
      <c r="G28" s="40"/>
      <c r="H28" s="41"/>
      <c r="I28" s="40"/>
      <c r="J28" s="42"/>
    </row>
    <row r="29" spans="1:11" x14ac:dyDescent="0.2">
      <c r="A29" s="43"/>
      <c r="B29" s="44" t="s">
        <v>564</v>
      </c>
      <c r="C29" s="400">
        <v>37330</v>
      </c>
      <c r="D29" s="67" t="s">
        <v>765</v>
      </c>
      <c r="E29" s="47">
        <v>10165</v>
      </c>
      <c r="F29" s="47">
        <v>10165</v>
      </c>
      <c r="G29" s="47">
        <v>9977.5</v>
      </c>
      <c r="H29" s="48"/>
      <c r="I29" s="47"/>
      <c r="J29" s="47">
        <f>SUM(G29-I29)</f>
        <v>9977.5</v>
      </c>
    </row>
    <row r="30" spans="1:11" x14ac:dyDescent="0.2">
      <c r="A30" s="36" t="s">
        <v>769</v>
      </c>
      <c r="B30" s="37">
        <v>35922</v>
      </c>
      <c r="C30" s="51"/>
      <c r="D30" s="52"/>
      <c r="E30" s="59"/>
      <c r="F30" s="59"/>
      <c r="G30" s="59"/>
      <c r="H30" s="62"/>
      <c r="I30" s="59"/>
      <c r="J30" s="56"/>
    </row>
    <row r="31" spans="1:11" x14ac:dyDescent="0.2">
      <c r="A31" s="43" t="s">
        <v>770</v>
      </c>
      <c r="B31" s="44" t="s">
        <v>598</v>
      </c>
      <c r="C31" s="45">
        <v>36951</v>
      </c>
      <c r="D31" s="46" t="s">
        <v>765</v>
      </c>
      <c r="E31" s="59">
        <v>95328.75</v>
      </c>
      <c r="F31" s="59">
        <v>95328.75</v>
      </c>
      <c r="G31" s="59">
        <v>98528.75</v>
      </c>
      <c r="H31" s="62" t="s">
        <v>614</v>
      </c>
      <c r="I31" s="59"/>
      <c r="J31" s="56">
        <f>SUM(G31-I31)</f>
        <v>98528.75</v>
      </c>
    </row>
    <row r="32" spans="1:11" x14ac:dyDescent="0.2">
      <c r="A32" s="68" t="s">
        <v>537</v>
      </c>
      <c r="B32" s="69">
        <v>36426</v>
      </c>
      <c r="C32" s="38">
        <v>36651</v>
      </c>
      <c r="D32" s="70"/>
      <c r="E32" s="42"/>
      <c r="F32" s="40"/>
      <c r="G32" s="40"/>
      <c r="H32" s="41"/>
      <c r="I32" s="40"/>
      <c r="J32" s="40"/>
    </row>
    <row r="33" spans="1:13" x14ac:dyDescent="0.2">
      <c r="A33" s="43" t="s">
        <v>599</v>
      </c>
      <c r="B33" s="46" t="s">
        <v>600</v>
      </c>
      <c r="C33" s="45">
        <v>36951</v>
      </c>
      <c r="D33" s="71" t="s">
        <v>765</v>
      </c>
      <c r="E33" s="49">
        <v>99736.97</v>
      </c>
      <c r="F33" s="47">
        <v>110818.75</v>
      </c>
      <c r="G33" s="47">
        <v>113618.75</v>
      </c>
      <c r="H33" s="48"/>
      <c r="I33" s="47">
        <v>11361.88</v>
      </c>
      <c r="J33" s="47">
        <f>SUM(G33-I33)</f>
        <v>102256.87</v>
      </c>
    </row>
    <row r="34" spans="1:13" x14ac:dyDescent="0.2">
      <c r="A34" s="36" t="s">
        <v>601</v>
      </c>
      <c r="B34" s="50">
        <v>36650</v>
      </c>
      <c r="C34" s="51">
        <v>36791</v>
      </c>
      <c r="D34" s="52"/>
      <c r="E34" s="42"/>
      <c r="F34" s="40"/>
      <c r="G34" s="40"/>
      <c r="H34" s="41"/>
      <c r="I34" s="40"/>
      <c r="J34" s="40"/>
    </row>
    <row r="35" spans="1:13" x14ac:dyDescent="0.2">
      <c r="A35" s="43" t="s">
        <v>602</v>
      </c>
      <c r="B35" s="2" t="s">
        <v>471</v>
      </c>
      <c r="C35" s="45">
        <v>36951</v>
      </c>
      <c r="D35" s="46" t="s">
        <v>765</v>
      </c>
      <c r="E35" s="49">
        <v>29912.5</v>
      </c>
      <c r="F35" s="47">
        <v>29912.5</v>
      </c>
      <c r="G35" s="47">
        <v>29112.5</v>
      </c>
      <c r="H35" s="48"/>
      <c r="I35" s="47">
        <v>0</v>
      </c>
      <c r="J35" s="47">
        <f>SUM(G35-I35)</f>
        <v>29112.5</v>
      </c>
    </row>
    <row r="36" spans="1:13" x14ac:dyDescent="0.2">
      <c r="A36" s="43"/>
      <c r="B36" s="428" t="s">
        <v>603</v>
      </c>
      <c r="C36" s="429"/>
      <c r="D36" s="429"/>
      <c r="E36" s="430">
        <f>SUM(E17:E35)</f>
        <v>606528.92000000004</v>
      </c>
      <c r="F36" s="431">
        <f>SUM(F17:F35)</f>
        <v>7088784.6100000003</v>
      </c>
      <c r="G36" s="431">
        <f>SUM(G17:G35)</f>
        <v>1763804.25</v>
      </c>
      <c r="H36" s="432">
        <f>SUM(H17:H31)</f>
        <v>0</v>
      </c>
      <c r="I36" s="432">
        <f>SUM(I17:I35)</f>
        <v>822812.88</v>
      </c>
      <c r="J36" s="430">
        <f>SUM(J17:J35)</f>
        <v>940991.37</v>
      </c>
      <c r="L36" s="6"/>
    </row>
    <row r="37" spans="1:13" s="4" customFormat="1" x14ac:dyDescent="0.2">
      <c r="B37" s="4" t="s">
        <v>485</v>
      </c>
      <c r="C37" s="22"/>
      <c r="D37" s="1"/>
      <c r="E37" s="1"/>
      <c r="F37" s="1"/>
      <c r="H37" s="1"/>
      <c r="I37" s="1"/>
      <c r="J37" s="1"/>
      <c r="K37" s="1"/>
      <c r="L37" s="1"/>
      <c r="M37" s="1"/>
    </row>
    <row r="38" spans="1:13" x14ac:dyDescent="0.2">
      <c r="B38" s="1" t="s">
        <v>619</v>
      </c>
      <c r="C38" s="24"/>
      <c r="D38" s="23"/>
      <c r="E38" s="23"/>
      <c r="F38" s="23"/>
      <c r="G38" s="23"/>
      <c r="H38" s="23"/>
      <c r="I38" s="23"/>
      <c r="J38" s="23"/>
    </row>
    <row r="39" spans="1:13" ht="9" customHeight="1" x14ac:dyDescent="0.2">
      <c r="B39" s="1" t="s">
        <v>620</v>
      </c>
      <c r="C39" s="24"/>
      <c r="D39" s="23"/>
      <c r="E39" s="23"/>
      <c r="F39" s="23"/>
      <c r="G39" s="23"/>
      <c r="H39" s="23"/>
      <c r="I39" s="23"/>
      <c r="J39" s="23"/>
    </row>
    <row r="40" spans="1:13" x14ac:dyDescent="0.2">
      <c r="B40" s="1" t="s">
        <v>779</v>
      </c>
      <c r="C40" s="24"/>
      <c r="D40" s="23"/>
      <c r="E40" s="23"/>
      <c r="F40" s="23"/>
      <c r="G40" s="23"/>
      <c r="H40" s="23"/>
      <c r="I40" s="23"/>
      <c r="J40" s="23"/>
    </row>
    <row r="41" spans="1:13" x14ac:dyDescent="0.2">
      <c r="B41" s="1" t="s">
        <v>780</v>
      </c>
      <c r="C41" s="24"/>
      <c r="D41" s="23"/>
      <c r="E41" s="23"/>
      <c r="F41" s="23"/>
      <c r="G41" s="23"/>
      <c r="H41" s="23"/>
      <c r="I41" s="23"/>
      <c r="J41" s="23"/>
    </row>
    <row r="42" spans="1:13" x14ac:dyDescent="0.2">
      <c r="B42" s="1" t="s">
        <v>781</v>
      </c>
      <c r="C42" s="26">
        <v>225000</v>
      </c>
      <c r="D42" s="27"/>
      <c r="E42" s="27"/>
      <c r="F42" s="27"/>
      <c r="G42" s="27"/>
      <c r="H42" s="27"/>
      <c r="I42" s="27"/>
      <c r="J42" s="27"/>
    </row>
    <row r="43" spans="1:13" x14ac:dyDescent="0.2">
      <c r="B43" s="4" t="s">
        <v>782</v>
      </c>
      <c r="C43" s="1"/>
    </row>
    <row r="44" spans="1:13" x14ac:dyDescent="0.2">
      <c r="B44" s="1" t="s">
        <v>857</v>
      </c>
      <c r="C44" s="1"/>
      <c r="D44" s="72"/>
    </row>
    <row r="45" spans="1:13" ht="9.75" customHeight="1" x14ac:dyDescent="0.2">
      <c r="B45" s="1" t="s">
        <v>621</v>
      </c>
      <c r="C45" s="1"/>
      <c r="D45" s="23"/>
      <c r="E45" s="73"/>
      <c r="F45" s="23"/>
      <c r="J45" s="22"/>
    </row>
    <row r="46" spans="1:13" ht="2.25" customHeight="1" x14ac:dyDescent="0.2"/>
    <row r="47" spans="1:13" ht="10.5" customHeight="1" x14ac:dyDescent="0.2">
      <c r="C47" s="1"/>
      <c r="D47" s="72"/>
      <c r="E47" s="32" t="s">
        <v>134</v>
      </c>
      <c r="F47" s="32" t="s">
        <v>26</v>
      </c>
      <c r="G47" s="32" t="s">
        <v>133</v>
      </c>
      <c r="H47" s="32"/>
      <c r="I47" s="32" t="s">
        <v>24</v>
      </c>
      <c r="J47" s="32" t="s">
        <v>25</v>
      </c>
    </row>
    <row r="48" spans="1:13" ht="10.5" customHeight="1" x14ac:dyDescent="0.2">
      <c r="B48" s="424"/>
      <c r="C48" s="425"/>
      <c r="D48" s="425"/>
      <c r="E48" s="425"/>
      <c r="F48" s="425"/>
      <c r="G48" s="426" t="s">
        <v>19</v>
      </c>
      <c r="H48" s="425"/>
      <c r="I48" s="425"/>
      <c r="J48" s="427"/>
      <c r="K48" s="453" t="s">
        <v>23</v>
      </c>
    </row>
    <row r="49" spans="2:11" x14ac:dyDescent="0.2">
      <c r="B49" s="37">
        <v>31904</v>
      </c>
      <c r="C49" s="38">
        <v>32021</v>
      </c>
      <c r="D49" s="39" t="s">
        <v>765</v>
      </c>
      <c r="E49" s="40">
        <v>-10886</v>
      </c>
      <c r="F49" s="40">
        <v>0</v>
      </c>
      <c r="G49" s="40">
        <v>0</v>
      </c>
      <c r="H49" s="41" t="s">
        <v>766</v>
      </c>
      <c r="I49" s="41">
        <v>10886</v>
      </c>
      <c r="J49" s="42">
        <f>SUM(G49-I49)</f>
        <v>-10886</v>
      </c>
      <c r="K49" s="65" t="s">
        <v>462</v>
      </c>
    </row>
    <row r="50" spans="2:11" x14ac:dyDescent="0.2">
      <c r="B50" s="44" t="s">
        <v>536</v>
      </c>
      <c r="C50" s="45"/>
      <c r="D50" s="46"/>
      <c r="E50" s="47"/>
      <c r="F50" s="47"/>
      <c r="G50" s="47"/>
      <c r="H50" s="48"/>
      <c r="I50" s="48"/>
      <c r="J50" s="49"/>
      <c r="K50" s="55"/>
    </row>
    <row r="51" spans="2:11" x14ac:dyDescent="0.2">
      <c r="B51" s="50">
        <v>35368</v>
      </c>
      <c r="C51" s="51"/>
      <c r="D51" s="52"/>
      <c r="E51" s="53"/>
      <c r="F51" s="53"/>
      <c r="G51" s="53"/>
      <c r="I51" s="54"/>
      <c r="J51" s="53"/>
      <c r="K51" s="55"/>
    </row>
    <row r="52" spans="2:11" x14ac:dyDescent="0.2">
      <c r="B52" s="44" t="s">
        <v>664</v>
      </c>
      <c r="C52" s="45">
        <v>36951</v>
      </c>
      <c r="D52" s="46" t="s">
        <v>765</v>
      </c>
      <c r="E52" s="49">
        <v>45061.25</v>
      </c>
      <c r="F52" s="47">
        <v>111061.25</v>
      </c>
      <c r="G52" s="47">
        <v>108461.25</v>
      </c>
      <c r="H52" s="48" t="s">
        <v>665</v>
      </c>
      <c r="I52" s="48">
        <v>66000</v>
      </c>
      <c r="J52" s="49">
        <f>SUM(G52-I52)</f>
        <v>42461.25</v>
      </c>
      <c r="K52" s="55" t="s">
        <v>462</v>
      </c>
    </row>
    <row r="53" spans="2:11" x14ac:dyDescent="0.2">
      <c r="B53" s="37">
        <v>35558</v>
      </c>
      <c r="C53" s="51">
        <v>35993</v>
      </c>
      <c r="D53" s="55" t="s">
        <v>673</v>
      </c>
      <c r="E53" s="56"/>
      <c r="F53" s="56"/>
      <c r="G53" s="57">
        <v>0</v>
      </c>
      <c r="H53" s="58" t="s">
        <v>674</v>
      </c>
      <c r="I53" s="40"/>
      <c r="J53" s="56">
        <f>SUM(G53-I53)</f>
        <v>0</v>
      </c>
      <c r="K53" s="55"/>
    </row>
    <row r="54" spans="2:11" x14ac:dyDescent="0.2">
      <c r="B54" s="37" t="s">
        <v>747</v>
      </c>
      <c r="C54" s="51"/>
      <c r="D54" s="52" t="s">
        <v>765</v>
      </c>
      <c r="E54" s="59">
        <v>485609</v>
      </c>
      <c r="F54" s="56">
        <v>673971</v>
      </c>
      <c r="G54" s="59">
        <v>695122.68</v>
      </c>
      <c r="H54" s="60"/>
      <c r="I54" s="59">
        <v>367854.12</v>
      </c>
      <c r="J54" s="56">
        <v>327268.56</v>
      </c>
      <c r="K54" s="55" t="s">
        <v>462</v>
      </c>
    </row>
    <row r="55" spans="2:11" x14ac:dyDescent="0.2">
      <c r="B55" s="44"/>
      <c r="C55" s="45"/>
      <c r="D55" s="46" t="s">
        <v>673</v>
      </c>
      <c r="E55" s="49"/>
      <c r="F55" s="59"/>
      <c r="G55" s="59"/>
      <c r="H55" s="60"/>
      <c r="I55" s="59"/>
      <c r="J55" s="56"/>
      <c r="K55" s="55"/>
    </row>
    <row r="56" spans="2:11" x14ac:dyDescent="0.2">
      <c r="B56" s="37">
        <v>35558</v>
      </c>
      <c r="C56" s="51">
        <v>35972</v>
      </c>
      <c r="D56" s="52"/>
      <c r="E56" s="62"/>
      <c r="F56" s="42"/>
      <c r="G56" s="42"/>
      <c r="H56" s="58"/>
      <c r="I56" s="40"/>
      <c r="J56" s="40"/>
      <c r="K56" s="55"/>
    </row>
    <row r="57" spans="2:11" x14ac:dyDescent="0.2">
      <c r="B57" s="44" t="s">
        <v>618</v>
      </c>
      <c r="C57" s="45">
        <v>37330</v>
      </c>
      <c r="D57" s="52" t="s">
        <v>765</v>
      </c>
      <c r="E57" s="62">
        <v>33395</v>
      </c>
      <c r="F57" s="49">
        <v>33395</v>
      </c>
      <c r="G57" s="49">
        <v>37832.5</v>
      </c>
      <c r="H57" s="63" t="s">
        <v>766</v>
      </c>
      <c r="I57" s="47"/>
      <c r="J57" s="47">
        <f>SUM(G57-I57)</f>
        <v>37832.5</v>
      </c>
      <c r="K57" s="55" t="s">
        <v>462</v>
      </c>
    </row>
    <row r="58" spans="2:11" x14ac:dyDescent="0.2">
      <c r="B58" s="37" t="s">
        <v>445</v>
      </c>
      <c r="C58" s="64"/>
      <c r="D58" s="65"/>
      <c r="E58" s="54"/>
      <c r="F58" s="3"/>
      <c r="G58" s="3"/>
      <c r="I58" s="3"/>
      <c r="J58" s="3"/>
      <c r="K58" s="55"/>
    </row>
    <row r="59" spans="2:11" x14ac:dyDescent="0.2">
      <c r="B59" s="44" t="s">
        <v>377</v>
      </c>
      <c r="C59" s="66">
        <v>37330</v>
      </c>
      <c r="D59" s="67" t="s">
        <v>765</v>
      </c>
      <c r="E59" s="47">
        <v>147936.5</v>
      </c>
      <c r="F59" s="47">
        <v>679672.5</v>
      </c>
      <c r="G59" s="47">
        <v>682485</v>
      </c>
      <c r="H59" s="48" t="s">
        <v>766</v>
      </c>
      <c r="I59" s="47">
        <v>531736</v>
      </c>
      <c r="J59" s="47">
        <v>150749</v>
      </c>
      <c r="K59" s="55" t="s">
        <v>462</v>
      </c>
    </row>
    <row r="60" spans="2:11" x14ac:dyDescent="0.2">
      <c r="B60" s="398">
        <v>37012</v>
      </c>
      <c r="C60" s="399"/>
      <c r="D60" s="65"/>
      <c r="E60" s="40"/>
      <c r="F60" s="40"/>
      <c r="G60" s="40"/>
      <c r="H60" s="41"/>
      <c r="I60" s="40"/>
      <c r="J60" s="42"/>
      <c r="K60" s="55"/>
    </row>
    <row r="61" spans="2:11" x14ac:dyDescent="0.2">
      <c r="B61" s="44" t="s">
        <v>564</v>
      </c>
      <c r="C61" s="400">
        <v>37330</v>
      </c>
      <c r="D61" s="67" t="s">
        <v>765</v>
      </c>
      <c r="E61" s="47">
        <v>9977.5</v>
      </c>
      <c r="F61" s="47">
        <v>0</v>
      </c>
      <c r="G61" s="47">
        <v>9790</v>
      </c>
      <c r="H61" s="48"/>
      <c r="I61" s="47"/>
      <c r="J61" s="47">
        <f>SUM(G61-I61)</f>
        <v>9790</v>
      </c>
      <c r="K61" s="55" t="s">
        <v>462</v>
      </c>
    </row>
    <row r="62" spans="2:11" x14ac:dyDescent="0.2">
      <c r="B62" s="37">
        <v>35922</v>
      </c>
      <c r="C62" s="51"/>
      <c r="D62" s="52"/>
      <c r="E62" s="59"/>
      <c r="F62" s="59"/>
      <c r="G62" s="59"/>
      <c r="H62" s="62"/>
      <c r="I62" s="59"/>
      <c r="J62" s="56"/>
      <c r="K62" s="55"/>
    </row>
    <row r="63" spans="2:11" x14ac:dyDescent="0.2">
      <c r="B63" s="44" t="s">
        <v>598</v>
      </c>
      <c r="C63" s="45">
        <v>36951</v>
      </c>
      <c r="D63" s="46" t="s">
        <v>765</v>
      </c>
      <c r="E63" s="59">
        <v>98528.75</v>
      </c>
      <c r="F63" s="59">
        <v>96528.75</v>
      </c>
      <c r="G63" s="59">
        <v>96528.75</v>
      </c>
      <c r="H63" s="62" t="s">
        <v>614</v>
      </c>
      <c r="I63" s="59"/>
      <c r="J63" s="56">
        <f>SUM(G63-I63)</f>
        <v>96528.75</v>
      </c>
      <c r="K63" s="55" t="s">
        <v>462</v>
      </c>
    </row>
    <row r="64" spans="2:11" x14ac:dyDescent="0.2">
      <c r="B64" s="69">
        <v>36426</v>
      </c>
      <c r="C64" s="38">
        <v>36651</v>
      </c>
      <c r="D64" s="70"/>
      <c r="E64" s="42"/>
      <c r="F64" s="40"/>
      <c r="G64" s="40"/>
      <c r="H64" s="41"/>
      <c r="I64" s="40"/>
      <c r="J64" s="40"/>
      <c r="K64" s="55"/>
    </row>
    <row r="65" spans="2:11" x14ac:dyDescent="0.2">
      <c r="B65" s="46" t="s">
        <v>600</v>
      </c>
      <c r="C65" s="45">
        <v>36951</v>
      </c>
      <c r="D65" s="71" t="s">
        <v>765</v>
      </c>
      <c r="E65" s="49">
        <v>113618.75</v>
      </c>
      <c r="F65" s="47">
        <v>102256.88</v>
      </c>
      <c r="G65" s="47">
        <v>111218.75</v>
      </c>
      <c r="H65" s="48"/>
      <c r="I65" s="47">
        <v>11121.88</v>
      </c>
      <c r="J65" s="47">
        <f>SUM(G65-I65)</f>
        <v>100096.87</v>
      </c>
      <c r="K65" s="55" t="s">
        <v>462</v>
      </c>
    </row>
    <row r="66" spans="2:11" x14ac:dyDescent="0.2">
      <c r="B66" s="50">
        <v>36650</v>
      </c>
      <c r="C66" s="51">
        <v>36791</v>
      </c>
      <c r="D66" s="52"/>
      <c r="E66" s="42"/>
      <c r="F66" s="40"/>
      <c r="G66" s="40"/>
      <c r="H66" s="41"/>
      <c r="I66" s="40"/>
      <c r="J66" s="40"/>
      <c r="K66" s="55"/>
    </row>
    <row r="67" spans="2:11" x14ac:dyDescent="0.2">
      <c r="B67" s="2" t="s">
        <v>471</v>
      </c>
      <c r="C67" s="45">
        <v>36951</v>
      </c>
      <c r="D67" s="46" t="s">
        <v>765</v>
      </c>
      <c r="E67" s="49">
        <v>29112.5</v>
      </c>
      <c r="F67" s="47">
        <v>29912.5</v>
      </c>
      <c r="G67" s="47">
        <v>28312.5</v>
      </c>
      <c r="H67" s="48"/>
      <c r="I67" s="47">
        <v>0</v>
      </c>
      <c r="J67" s="47">
        <f>SUM(G67-I67)</f>
        <v>28312.5</v>
      </c>
      <c r="K67" s="55" t="s">
        <v>462</v>
      </c>
    </row>
    <row r="68" spans="2:11" x14ac:dyDescent="0.2">
      <c r="B68" s="428" t="s">
        <v>603</v>
      </c>
      <c r="C68" s="429"/>
      <c r="D68" s="429"/>
      <c r="E68" s="430">
        <f>SUM(E49:E67)</f>
        <v>952353.25</v>
      </c>
      <c r="F68" s="431">
        <f>SUM(F49:F67)</f>
        <v>1726797.88</v>
      </c>
      <c r="G68" s="431">
        <f>SUM(G49:G67)</f>
        <v>1769751.4300000002</v>
      </c>
      <c r="H68" s="432">
        <f>SUM(H49:H63)</f>
        <v>0</v>
      </c>
      <c r="I68" s="432">
        <f>SUM(I49:I67)</f>
        <v>987598</v>
      </c>
      <c r="J68" s="430">
        <f>SUM(J49:J67)</f>
        <v>782153.43</v>
      </c>
      <c r="K68" s="67" t="s">
        <v>192</v>
      </c>
    </row>
    <row r="69" spans="2:11" x14ac:dyDescent="0.2">
      <c r="C69" s="1"/>
    </row>
    <row r="70" spans="2:11" x14ac:dyDescent="0.2">
      <c r="C70" s="1"/>
    </row>
    <row r="71" spans="2:11" x14ac:dyDescent="0.2">
      <c r="C71" s="1"/>
      <c r="D71" s="72"/>
      <c r="E71" s="32" t="s">
        <v>259</v>
      </c>
      <c r="F71" s="32" t="s">
        <v>260</v>
      </c>
      <c r="G71" s="32" t="s">
        <v>262</v>
      </c>
      <c r="H71" s="32"/>
      <c r="I71" s="32" t="s">
        <v>24</v>
      </c>
      <c r="J71" s="32" t="s">
        <v>261</v>
      </c>
    </row>
    <row r="72" spans="2:11" x14ac:dyDescent="0.2">
      <c r="B72" s="424"/>
      <c r="C72" s="425"/>
      <c r="D72" s="425"/>
      <c r="E72" s="425"/>
      <c r="F72" s="425"/>
      <c r="G72" s="426" t="s">
        <v>401</v>
      </c>
      <c r="H72" s="425"/>
      <c r="I72" s="425"/>
      <c r="J72" s="427"/>
      <c r="K72" s="453" t="s">
        <v>23</v>
      </c>
    </row>
    <row r="73" spans="2:11" x14ac:dyDescent="0.2">
      <c r="B73" s="37">
        <v>31904</v>
      </c>
      <c r="C73" s="38">
        <v>32021</v>
      </c>
      <c r="D73" s="39" t="s">
        <v>765</v>
      </c>
      <c r="E73" s="40">
        <v>-10886</v>
      </c>
      <c r="F73" s="40">
        <v>0</v>
      </c>
      <c r="G73" s="40">
        <v>0</v>
      </c>
      <c r="H73" s="41" t="s">
        <v>766</v>
      </c>
      <c r="I73" s="41">
        <v>10886</v>
      </c>
      <c r="J73" s="42">
        <f>SUM(G73-I73)</f>
        <v>-10886</v>
      </c>
      <c r="K73" s="65" t="s">
        <v>462</v>
      </c>
    </row>
    <row r="74" spans="2:11" x14ac:dyDescent="0.2">
      <c r="B74" s="44" t="s">
        <v>536</v>
      </c>
      <c r="C74" s="45"/>
      <c r="D74" s="46"/>
      <c r="E74" s="47"/>
      <c r="F74" s="47"/>
      <c r="G74" s="47"/>
      <c r="H74" s="48"/>
      <c r="I74" s="48"/>
      <c r="J74" s="49"/>
      <c r="K74" s="55"/>
    </row>
    <row r="75" spans="2:11" x14ac:dyDescent="0.2">
      <c r="B75" s="50">
        <v>35368</v>
      </c>
      <c r="C75" s="51"/>
      <c r="D75" s="52"/>
      <c r="E75" s="53"/>
      <c r="F75" s="53"/>
      <c r="G75" s="53"/>
      <c r="I75" s="54"/>
      <c r="J75" s="53"/>
      <c r="K75" s="55"/>
    </row>
    <row r="76" spans="2:11" x14ac:dyDescent="0.2">
      <c r="B76" s="44" t="s">
        <v>664</v>
      </c>
      <c r="C76" s="45">
        <v>36951</v>
      </c>
      <c r="D76" s="46" t="s">
        <v>765</v>
      </c>
      <c r="E76" s="49">
        <v>42461.25</v>
      </c>
      <c r="F76" s="47"/>
      <c r="G76" s="47">
        <v>110861.25</v>
      </c>
      <c r="H76" s="48" t="s">
        <v>665</v>
      </c>
      <c r="I76" s="48">
        <v>66000</v>
      </c>
      <c r="J76" s="49">
        <v>44861.25</v>
      </c>
      <c r="K76" s="55" t="s">
        <v>462</v>
      </c>
    </row>
    <row r="77" spans="2:11" x14ac:dyDescent="0.2">
      <c r="B77" s="37">
        <v>35558</v>
      </c>
      <c r="C77" s="51">
        <v>35993</v>
      </c>
      <c r="D77" s="55" t="s">
        <v>673</v>
      </c>
      <c r="E77" s="56">
        <v>0</v>
      </c>
      <c r="F77" s="56"/>
      <c r="G77" s="57">
        <v>0</v>
      </c>
      <c r="H77" s="58" t="s">
        <v>674</v>
      </c>
      <c r="I77" s="40"/>
      <c r="J77" s="56">
        <f>SUM(G77-I77)</f>
        <v>0</v>
      </c>
      <c r="K77" s="55"/>
    </row>
    <row r="78" spans="2:11" x14ac:dyDescent="0.2">
      <c r="B78" s="37" t="s">
        <v>747</v>
      </c>
      <c r="C78" s="51"/>
      <c r="D78" s="52" t="s">
        <v>765</v>
      </c>
      <c r="E78" s="59">
        <v>327268.56</v>
      </c>
      <c r="F78" s="56"/>
      <c r="G78" s="59">
        <v>696342</v>
      </c>
      <c r="H78" s="60"/>
      <c r="I78" s="59">
        <v>374364.39</v>
      </c>
      <c r="J78" s="56">
        <v>334829</v>
      </c>
      <c r="K78" s="55" t="s">
        <v>462</v>
      </c>
    </row>
    <row r="79" spans="2:11" x14ac:dyDescent="0.2">
      <c r="B79" s="44"/>
      <c r="C79" s="45"/>
      <c r="D79" s="46" t="s">
        <v>673</v>
      </c>
      <c r="E79" s="49"/>
      <c r="F79" s="59"/>
      <c r="G79" s="59"/>
      <c r="H79" s="60"/>
      <c r="I79" s="59"/>
      <c r="J79" s="56"/>
      <c r="K79" s="55"/>
    </row>
    <row r="80" spans="2:11" x14ac:dyDescent="0.2">
      <c r="B80" s="37">
        <v>35558</v>
      </c>
      <c r="C80" s="51">
        <v>35972</v>
      </c>
      <c r="D80" s="52"/>
      <c r="E80" s="62"/>
      <c r="F80" s="42"/>
      <c r="G80" s="42"/>
      <c r="H80" s="58"/>
      <c r="I80" s="40"/>
      <c r="J80" s="40"/>
      <c r="K80" s="55"/>
    </row>
    <row r="81" spans="2:11" x14ac:dyDescent="0.2">
      <c r="B81" s="44" t="s">
        <v>618</v>
      </c>
      <c r="C81" s="45">
        <v>37330</v>
      </c>
      <c r="D81" s="52" t="s">
        <v>765</v>
      </c>
      <c r="E81" s="62">
        <v>37832.5</v>
      </c>
      <c r="F81" s="49"/>
      <c r="G81" s="49">
        <v>37032</v>
      </c>
      <c r="H81" s="63" t="s">
        <v>766</v>
      </c>
      <c r="I81" s="47"/>
      <c r="J81" s="47">
        <v>37032.5</v>
      </c>
      <c r="K81" s="55" t="s">
        <v>462</v>
      </c>
    </row>
    <row r="82" spans="2:11" x14ac:dyDescent="0.2">
      <c r="B82" s="37" t="s">
        <v>445</v>
      </c>
      <c r="C82" s="64"/>
      <c r="D82" s="65"/>
      <c r="E82" s="54"/>
      <c r="F82" s="3"/>
      <c r="G82" s="3"/>
      <c r="I82" s="3"/>
      <c r="J82" s="3"/>
      <c r="K82" s="55"/>
    </row>
    <row r="83" spans="2:11" x14ac:dyDescent="0.2">
      <c r="B83" s="44" t="s">
        <v>377</v>
      </c>
      <c r="C83" s="66">
        <v>37330</v>
      </c>
      <c r="D83" s="67" t="s">
        <v>765</v>
      </c>
      <c r="E83" s="47">
        <v>236006</v>
      </c>
      <c r="F83" s="47"/>
      <c r="G83" s="47">
        <v>683885</v>
      </c>
      <c r="H83" s="48" t="s">
        <v>766</v>
      </c>
      <c r="I83" s="47">
        <v>419170</v>
      </c>
      <c r="J83" s="47">
        <v>264715</v>
      </c>
      <c r="K83" s="55" t="s">
        <v>462</v>
      </c>
    </row>
    <row r="84" spans="2:11" x14ac:dyDescent="0.2">
      <c r="B84" s="398">
        <v>37012</v>
      </c>
      <c r="C84" s="399"/>
      <c r="D84" s="65"/>
      <c r="E84" s="40"/>
      <c r="F84" s="40"/>
      <c r="G84" s="40"/>
      <c r="H84" s="41"/>
      <c r="I84" s="40"/>
      <c r="J84" s="42"/>
      <c r="K84" s="55"/>
    </row>
    <row r="85" spans="2:11" x14ac:dyDescent="0.2">
      <c r="B85" s="44" t="s">
        <v>564</v>
      </c>
      <c r="C85" s="400">
        <v>37330</v>
      </c>
      <c r="D85" s="67" t="s">
        <v>765</v>
      </c>
      <c r="E85" s="47">
        <v>9790</v>
      </c>
      <c r="F85" s="47">
        <v>0</v>
      </c>
      <c r="G85" s="47">
        <v>9590</v>
      </c>
      <c r="H85" s="48"/>
      <c r="I85" s="47"/>
      <c r="J85" s="47">
        <v>9590</v>
      </c>
      <c r="K85" s="55" t="s">
        <v>462</v>
      </c>
    </row>
    <row r="86" spans="2:11" x14ac:dyDescent="0.2">
      <c r="B86" s="37">
        <v>35922</v>
      </c>
      <c r="C86" s="51"/>
      <c r="D86" s="52"/>
      <c r="E86" s="59"/>
      <c r="F86" s="59"/>
      <c r="G86" s="59"/>
      <c r="H86" s="62"/>
      <c r="I86" s="59"/>
      <c r="J86" s="56"/>
      <c r="K86" s="55"/>
    </row>
    <row r="87" spans="2:11" x14ac:dyDescent="0.2">
      <c r="B87" s="44" t="s">
        <v>598</v>
      </c>
      <c r="C87" s="45">
        <v>36951</v>
      </c>
      <c r="D87" s="46" t="s">
        <v>765</v>
      </c>
      <c r="E87" s="59">
        <v>96528.75</v>
      </c>
      <c r="F87" s="59"/>
      <c r="G87" s="59">
        <v>99528.75</v>
      </c>
      <c r="H87" s="62" t="s">
        <v>614</v>
      </c>
      <c r="I87" s="59"/>
      <c r="J87" s="56">
        <f>SUM(G87-I87)</f>
        <v>99528.75</v>
      </c>
      <c r="K87" s="55" t="s">
        <v>462</v>
      </c>
    </row>
    <row r="88" spans="2:11" x14ac:dyDescent="0.2">
      <c r="B88" s="69">
        <v>36426</v>
      </c>
      <c r="C88" s="38">
        <v>36651</v>
      </c>
      <c r="D88" s="70"/>
      <c r="E88" s="42"/>
      <c r="F88" s="40"/>
      <c r="G88" s="40"/>
      <c r="H88" s="41"/>
      <c r="I88" s="40"/>
      <c r="J88" s="40"/>
      <c r="K88" s="55"/>
    </row>
    <row r="89" spans="2:11" x14ac:dyDescent="0.2">
      <c r="B89" s="46" t="s">
        <v>600</v>
      </c>
      <c r="C89" s="45">
        <v>36951</v>
      </c>
      <c r="D89" s="71" t="s">
        <v>765</v>
      </c>
      <c r="E89" s="49">
        <v>100096.87</v>
      </c>
      <c r="F89" s="47"/>
      <c r="G89" s="47">
        <v>113818.75</v>
      </c>
      <c r="H89" s="48"/>
      <c r="I89" s="47">
        <v>11381.88</v>
      </c>
      <c r="J89" s="47">
        <f>SUM(G89-I89)</f>
        <v>102436.87</v>
      </c>
      <c r="K89" s="55" t="s">
        <v>462</v>
      </c>
    </row>
    <row r="90" spans="2:11" x14ac:dyDescent="0.2">
      <c r="B90" s="50">
        <v>36650</v>
      </c>
      <c r="C90" s="51">
        <v>36791</v>
      </c>
      <c r="D90" s="52"/>
      <c r="E90" s="42"/>
      <c r="F90" s="40"/>
      <c r="G90" s="40"/>
      <c r="H90" s="41"/>
      <c r="I90" s="40"/>
      <c r="J90" s="40"/>
      <c r="K90" s="55"/>
    </row>
    <row r="91" spans="2:11" x14ac:dyDescent="0.2">
      <c r="B91" s="3" t="s">
        <v>471</v>
      </c>
      <c r="C91" s="51">
        <v>36951</v>
      </c>
      <c r="D91" s="52" t="s">
        <v>765</v>
      </c>
      <c r="E91" s="56">
        <v>28312.5</v>
      </c>
      <c r="F91" s="59"/>
      <c r="G91" s="59">
        <v>27512.5</v>
      </c>
      <c r="H91" s="62"/>
      <c r="I91" s="59">
        <v>0</v>
      </c>
      <c r="J91" s="59">
        <f>SUM(G91-I91)</f>
        <v>27512.5</v>
      </c>
      <c r="K91" s="55" t="s">
        <v>462</v>
      </c>
    </row>
    <row r="92" spans="2:11" x14ac:dyDescent="0.2">
      <c r="B92" s="68"/>
      <c r="C92" s="475"/>
      <c r="D92" s="65"/>
      <c r="E92" s="42"/>
      <c r="F92" s="42"/>
      <c r="G92" s="42"/>
      <c r="H92" s="58"/>
      <c r="I92" s="40"/>
      <c r="J92" s="42"/>
      <c r="K92" s="52"/>
    </row>
    <row r="93" spans="2:11" x14ac:dyDescent="0.2">
      <c r="B93" s="477" t="s">
        <v>267</v>
      </c>
      <c r="C93" s="476"/>
      <c r="D93" s="67"/>
      <c r="E93" s="49"/>
      <c r="F93" s="49"/>
      <c r="G93" s="49"/>
      <c r="H93" s="63"/>
      <c r="I93" s="47"/>
      <c r="J93" s="49">
        <v>25000</v>
      </c>
      <c r="K93" s="52"/>
    </row>
    <row r="94" spans="2:11" x14ac:dyDescent="0.2">
      <c r="B94" s="470" t="s">
        <v>603</v>
      </c>
      <c r="C94" s="471"/>
      <c r="D94" s="471"/>
      <c r="E94" s="472">
        <v>867410.43</v>
      </c>
      <c r="F94" s="473">
        <f>SUM(F73:F91)</f>
        <v>0</v>
      </c>
      <c r="G94" s="473">
        <f>SUM(G73:G91)</f>
        <v>1778570.25</v>
      </c>
      <c r="H94" s="474">
        <f>SUM(H73:H87)</f>
        <v>0</v>
      </c>
      <c r="I94" s="474">
        <f>SUM(I73:I91)</f>
        <v>881802.27</v>
      </c>
      <c r="J94" s="472">
        <f>SUM(J73:J93)</f>
        <v>934619.87</v>
      </c>
      <c r="K94" s="67" t="s">
        <v>192</v>
      </c>
    </row>
    <row r="95" spans="2:11" x14ac:dyDescent="0.2">
      <c r="C95" s="1"/>
    </row>
    <row r="96" spans="2:11" x14ac:dyDescent="0.2">
      <c r="C96" s="1"/>
    </row>
    <row r="97" spans="2:11" x14ac:dyDescent="0.2">
      <c r="C97" s="1"/>
      <c r="D97" s="72"/>
      <c r="E97" s="32" t="s">
        <v>41</v>
      </c>
      <c r="F97" s="32" t="s">
        <v>77</v>
      </c>
      <c r="G97" s="32" t="s">
        <v>78</v>
      </c>
      <c r="H97" s="32"/>
      <c r="I97" s="32" t="s">
        <v>24</v>
      </c>
      <c r="J97" s="32" t="s">
        <v>109</v>
      </c>
    </row>
    <row r="98" spans="2:11" x14ac:dyDescent="0.2">
      <c r="B98" s="424"/>
      <c r="C98" s="425"/>
      <c r="D98" s="425"/>
      <c r="E98" s="425"/>
      <c r="F98" s="425"/>
      <c r="G98" s="426" t="s">
        <v>42</v>
      </c>
      <c r="H98" s="425"/>
      <c r="I98" s="425"/>
      <c r="J98" s="427"/>
      <c r="K98" s="453" t="s">
        <v>23</v>
      </c>
    </row>
    <row r="99" spans="2:11" x14ac:dyDescent="0.2">
      <c r="B99" s="37">
        <v>31904</v>
      </c>
      <c r="C99" s="38">
        <v>32021</v>
      </c>
      <c r="D99" s="39" t="s">
        <v>765</v>
      </c>
      <c r="E99" s="40">
        <v>-10886</v>
      </c>
      <c r="F99" s="40">
        <v>0</v>
      </c>
      <c r="G99" s="40">
        <v>0</v>
      </c>
      <c r="H99" s="41" t="s">
        <v>766</v>
      </c>
      <c r="I99" s="41">
        <v>10886</v>
      </c>
      <c r="J99" s="42">
        <f>SUM(G99-I99)</f>
        <v>-10886</v>
      </c>
      <c r="K99" s="65" t="s">
        <v>462</v>
      </c>
    </row>
    <row r="100" spans="2:11" x14ac:dyDescent="0.2">
      <c r="B100" s="44" t="s">
        <v>536</v>
      </c>
      <c r="C100" s="45"/>
      <c r="D100" s="46"/>
      <c r="E100" s="47"/>
      <c r="F100" s="47"/>
      <c r="G100" s="47"/>
      <c r="H100" s="48"/>
      <c r="I100" s="48"/>
      <c r="J100" s="49"/>
      <c r="K100" s="55"/>
    </row>
    <row r="101" spans="2:11" x14ac:dyDescent="0.2">
      <c r="B101" s="50">
        <v>35368</v>
      </c>
      <c r="C101" s="51"/>
      <c r="D101" s="52"/>
      <c r="E101" s="53"/>
      <c r="F101" s="53"/>
      <c r="G101" s="53"/>
      <c r="I101" s="54"/>
      <c r="J101" s="53"/>
      <c r="K101" s="55"/>
    </row>
    <row r="102" spans="2:11" x14ac:dyDescent="0.2">
      <c r="B102" s="44" t="s">
        <v>664</v>
      </c>
      <c r="C102" s="45">
        <v>36951</v>
      </c>
      <c r="D102" s="46" t="s">
        <v>765</v>
      </c>
      <c r="E102" s="49">
        <v>44861.25</v>
      </c>
      <c r="F102" s="47">
        <v>110861.25</v>
      </c>
      <c r="G102" s="47">
        <v>109967.5</v>
      </c>
      <c r="H102" s="48" t="s">
        <v>665</v>
      </c>
      <c r="I102" s="48">
        <v>66000</v>
      </c>
      <c r="J102" s="49">
        <v>47061.25</v>
      </c>
      <c r="K102" s="55" t="s">
        <v>462</v>
      </c>
    </row>
    <row r="103" spans="2:11" x14ac:dyDescent="0.2">
      <c r="B103" s="37">
        <v>35558</v>
      </c>
      <c r="C103" s="51">
        <v>35993</v>
      </c>
      <c r="D103" s="55" t="s">
        <v>673</v>
      </c>
      <c r="E103" s="56">
        <v>0</v>
      </c>
      <c r="F103" s="56"/>
      <c r="G103" s="57">
        <v>0</v>
      </c>
      <c r="H103" s="58" t="s">
        <v>674</v>
      </c>
      <c r="I103" s="40"/>
      <c r="J103" s="56">
        <f>SUM(G103-I103)</f>
        <v>0</v>
      </c>
      <c r="K103" s="55"/>
    </row>
    <row r="104" spans="2:11" x14ac:dyDescent="0.2">
      <c r="B104" s="37" t="s">
        <v>747</v>
      </c>
      <c r="C104" s="51"/>
      <c r="D104" s="52" t="s">
        <v>765</v>
      </c>
      <c r="E104" s="59">
        <v>334829</v>
      </c>
      <c r="F104" s="59">
        <v>708683.5</v>
      </c>
      <c r="G104" s="59">
        <v>711135.74</v>
      </c>
      <c r="H104" s="60"/>
      <c r="I104" s="59">
        <v>389445.13</v>
      </c>
      <c r="J104" s="57">
        <v>328085.09000000003</v>
      </c>
      <c r="K104" s="55" t="s">
        <v>462</v>
      </c>
    </row>
    <row r="105" spans="2:11" x14ac:dyDescent="0.2">
      <c r="B105" s="44"/>
      <c r="C105" s="45"/>
      <c r="D105" s="46" t="s">
        <v>673</v>
      </c>
      <c r="E105" s="49"/>
      <c r="G105" s="59"/>
      <c r="H105" s="60"/>
      <c r="I105" s="59"/>
      <c r="J105" s="56"/>
      <c r="K105" s="55"/>
    </row>
    <row r="106" spans="2:11" x14ac:dyDescent="0.2">
      <c r="B106" s="37">
        <v>35558</v>
      </c>
      <c r="C106" s="51">
        <v>35972</v>
      </c>
      <c r="D106" s="52"/>
      <c r="E106" s="62"/>
      <c r="F106" s="42"/>
      <c r="G106" s="42"/>
      <c r="H106" s="58"/>
      <c r="I106" s="40"/>
      <c r="J106" s="40"/>
      <c r="K106" s="55"/>
    </row>
    <row r="107" spans="2:11" x14ac:dyDescent="0.2">
      <c r="B107" s="44" t="s">
        <v>618</v>
      </c>
      <c r="C107" s="45">
        <v>37330</v>
      </c>
      <c r="D107" s="52" t="s">
        <v>765</v>
      </c>
      <c r="E107" s="62">
        <v>37032.5</v>
      </c>
      <c r="F107" s="49">
        <v>37032.5</v>
      </c>
      <c r="G107" s="49">
        <v>36182.5</v>
      </c>
      <c r="H107" s="63" t="s">
        <v>766</v>
      </c>
      <c r="I107" s="47"/>
      <c r="J107" s="47">
        <v>36182.5</v>
      </c>
      <c r="K107" s="55" t="s">
        <v>462</v>
      </c>
    </row>
    <row r="108" spans="2:11" x14ac:dyDescent="0.2">
      <c r="B108" s="37" t="s">
        <v>445</v>
      </c>
      <c r="C108" s="64"/>
      <c r="D108" s="65"/>
      <c r="E108" s="54"/>
      <c r="F108" s="3"/>
      <c r="G108" s="3"/>
      <c r="I108" s="3"/>
      <c r="J108" s="3"/>
      <c r="K108" s="55"/>
    </row>
    <row r="109" spans="2:11" x14ac:dyDescent="0.2">
      <c r="B109" s="44" t="s">
        <v>377</v>
      </c>
      <c r="C109" s="66">
        <v>37330</v>
      </c>
      <c r="D109" s="67" t="s">
        <v>765</v>
      </c>
      <c r="E109" s="47">
        <v>264715</v>
      </c>
      <c r="F109" s="47">
        <v>683885</v>
      </c>
      <c r="G109" s="47">
        <v>688797.5</v>
      </c>
      <c r="H109" s="48" t="s">
        <v>766</v>
      </c>
      <c r="I109" s="47">
        <v>419170</v>
      </c>
      <c r="J109" s="47">
        <v>269627.5</v>
      </c>
      <c r="K109" s="55" t="s">
        <v>462</v>
      </c>
    </row>
    <row r="110" spans="2:11" x14ac:dyDescent="0.2">
      <c r="B110" s="398">
        <v>37012</v>
      </c>
      <c r="C110" s="399"/>
      <c r="D110" s="65"/>
      <c r="E110" s="40"/>
      <c r="F110" s="40"/>
      <c r="G110" s="40"/>
      <c r="H110" s="41"/>
      <c r="I110" s="40"/>
      <c r="J110" s="42"/>
      <c r="K110" s="55"/>
    </row>
    <row r="111" spans="2:11" x14ac:dyDescent="0.2">
      <c r="B111" s="44" t="s">
        <v>564</v>
      </c>
      <c r="C111" s="400">
        <v>37330</v>
      </c>
      <c r="D111" s="67" t="s">
        <v>765</v>
      </c>
      <c r="E111" s="47">
        <v>9590</v>
      </c>
      <c r="F111" s="47">
        <v>9590</v>
      </c>
      <c r="G111" s="47">
        <v>9377.5</v>
      </c>
      <c r="H111" s="48"/>
      <c r="I111" s="47"/>
      <c r="J111" s="47">
        <v>9377.5</v>
      </c>
      <c r="K111" s="55" t="s">
        <v>462</v>
      </c>
    </row>
    <row r="112" spans="2:11" x14ac:dyDescent="0.2">
      <c r="B112" s="37">
        <v>35922</v>
      </c>
      <c r="C112" s="51"/>
      <c r="D112" s="52"/>
      <c r="E112" s="59"/>
      <c r="F112" s="59"/>
      <c r="G112" s="59"/>
      <c r="H112" s="62"/>
      <c r="I112" s="59"/>
      <c r="J112" s="56"/>
      <c r="K112" s="55"/>
    </row>
    <row r="113" spans="2:11" x14ac:dyDescent="0.2">
      <c r="B113" s="44" t="s">
        <v>598</v>
      </c>
      <c r="C113" s="45">
        <v>36951</v>
      </c>
      <c r="D113" s="46" t="s">
        <v>765</v>
      </c>
      <c r="E113" s="59">
        <v>99528.75</v>
      </c>
      <c r="F113" s="59">
        <v>99528.75</v>
      </c>
      <c r="G113" s="59">
        <v>97328.75</v>
      </c>
      <c r="H113" s="62" t="s">
        <v>614</v>
      </c>
      <c r="I113" s="59"/>
      <c r="J113" s="56">
        <f>SUM(G113-I113)</f>
        <v>97328.75</v>
      </c>
      <c r="K113" s="55" t="s">
        <v>462</v>
      </c>
    </row>
    <row r="114" spans="2:11" x14ac:dyDescent="0.2">
      <c r="B114" s="69">
        <v>36426</v>
      </c>
      <c r="C114" s="38">
        <v>36651</v>
      </c>
      <c r="D114" s="70"/>
      <c r="E114" s="42"/>
      <c r="F114" s="40"/>
      <c r="G114" s="40"/>
      <c r="H114" s="41"/>
      <c r="I114" s="40"/>
      <c r="J114" s="40"/>
      <c r="K114" s="55"/>
    </row>
    <row r="115" spans="2:11" x14ac:dyDescent="0.2">
      <c r="B115" s="46" t="s">
        <v>600</v>
      </c>
      <c r="C115" s="45">
        <v>36951</v>
      </c>
      <c r="D115" s="71" t="s">
        <v>765</v>
      </c>
      <c r="E115" s="49">
        <v>102436.87</v>
      </c>
      <c r="F115" s="47">
        <v>113818.75</v>
      </c>
      <c r="G115" s="47">
        <v>116218.75</v>
      </c>
      <c r="H115" s="48"/>
      <c r="I115" s="47">
        <v>11621.88</v>
      </c>
      <c r="J115" s="47">
        <f>SUM(G115-I115)</f>
        <v>104596.87</v>
      </c>
      <c r="K115" s="55" t="s">
        <v>462</v>
      </c>
    </row>
    <row r="116" spans="2:11" x14ac:dyDescent="0.2">
      <c r="B116" s="50">
        <v>36650</v>
      </c>
      <c r="C116" s="51">
        <v>36791</v>
      </c>
      <c r="D116" s="52"/>
      <c r="E116" s="42"/>
      <c r="F116" s="40"/>
      <c r="G116" s="40"/>
      <c r="H116" s="41"/>
      <c r="I116" s="40"/>
      <c r="J116" s="40"/>
      <c r="K116" s="55"/>
    </row>
    <row r="117" spans="2:11" x14ac:dyDescent="0.2">
      <c r="B117" s="3" t="s">
        <v>471</v>
      </c>
      <c r="C117" s="51">
        <v>36951</v>
      </c>
      <c r="D117" s="52" t="s">
        <v>765</v>
      </c>
      <c r="E117" s="56">
        <v>27512.5</v>
      </c>
      <c r="F117" s="59">
        <v>27512</v>
      </c>
      <c r="G117" s="59">
        <v>26712.5</v>
      </c>
      <c r="H117" s="62"/>
      <c r="I117" s="59">
        <v>0</v>
      </c>
      <c r="J117" s="59">
        <f>SUM(G117-I117)</f>
        <v>26712.5</v>
      </c>
      <c r="K117" s="55" t="s">
        <v>462</v>
      </c>
    </row>
    <row r="118" spans="2:11" x14ac:dyDescent="0.2">
      <c r="B118" s="68"/>
      <c r="C118" s="475"/>
      <c r="D118" s="65"/>
      <c r="E118" s="42"/>
      <c r="F118" s="42"/>
      <c r="G118" s="42"/>
      <c r="H118" s="58"/>
      <c r="I118" s="40"/>
      <c r="J118" s="42"/>
      <c r="K118" s="52"/>
    </row>
    <row r="119" spans="2:11" x14ac:dyDescent="0.2">
      <c r="B119" s="477" t="s">
        <v>267</v>
      </c>
      <c r="C119" s="476"/>
      <c r="D119" s="67"/>
      <c r="E119" s="49">
        <v>25000</v>
      </c>
      <c r="F119" s="49">
        <v>25000</v>
      </c>
      <c r="G119" s="49">
        <v>25000</v>
      </c>
      <c r="H119" s="63"/>
      <c r="I119" s="47"/>
      <c r="J119" s="49">
        <v>25000</v>
      </c>
      <c r="K119" s="52"/>
    </row>
    <row r="120" spans="2:11" x14ac:dyDescent="0.2">
      <c r="B120" s="470" t="s">
        <v>603</v>
      </c>
      <c r="C120" s="471"/>
      <c r="D120" s="471"/>
      <c r="E120" s="472">
        <v>867410.43</v>
      </c>
      <c r="F120" s="473">
        <f>SUM(F99:F119)</f>
        <v>1815911.75</v>
      </c>
      <c r="G120" s="473">
        <f>SUM(G99:G119)</f>
        <v>1820720.74</v>
      </c>
      <c r="H120" s="474">
        <f>SUM(H99:H113)</f>
        <v>0</v>
      </c>
      <c r="I120" s="474">
        <f>SUM(I99:I117)</f>
        <v>897123.01</v>
      </c>
      <c r="J120" s="472">
        <f>SUM(J99:J119)</f>
        <v>933085.96000000008</v>
      </c>
      <c r="K120" s="67" t="s">
        <v>192</v>
      </c>
    </row>
    <row r="123" spans="2:11" x14ac:dyDescent="0.2">
      <c r="C123" s="1"/>
      <c r="D123" s="72"/>
      <c r="E123" s="32" t="s">
        <v>11</v>
      </c>
      <c r="F123" s="32" t="s">
        <v>331</v>
      </c>
      <c r="G123" s="32" t="s">
        <v>333</v>
      </c>
      <c r="H123" s="32"/>
      <c r="I123" s="32" t="s">
        <v>24</v>
      </c>
      <c r="J123" s="32" t="s">
        <v>332</v>
      </c>
    </row>
    <row r="124" spans="2:11" x14ac:dyDescent="0.2">
      <c r="B124" s="424"/>
      <c r="C124" s="425"/>
      <c r="D124" s="425"/>
      <c r="E124" s="425"/>
      <c r="F124" s="425"/>
      <c r="G124" s="426" t="s">
        <v>20</v>
      </c>
      <c r="H124" s="425"/>
      <c r="I124" s="425"/>
      <c r="J124" s="427"/>
      <c r="K124" s="453" t="s">
        <v>23</v>
      </c>
    </row>
    <row r="125" spans="2:11" x14ac:dyDescent="0.2">
      <c r="B125" s="37">
        <v>31904</v>
      </c>
      <c r="C125" s="38">
        <v>32021</v>
      </c>
      <c r="D125" s="39" t="s">
        <v>765</v>
      </c>
      <c r="E125" s="40">
        <v>-10886</v>
      </c>
      <c r="F125" s="40">
        <v>0</v>
      </c>
      <c r="G125" s="40">
        <v>0</v>
      </c>
      <c r="H125" s="41" t="s">
        <v>766</v>
      </c>
      <c r="I125" s="41">
        <v>10887</v>
      </c>
      <c r="J125" s="42">
        <f>SUM(G125-I125)</f>
        <v>-10887</v>
      </c>
      <c r="K125" s="65" t="s">
        <v>462</v>
      </c>
    </row>
    <row r="126" spans="2:11" x14ac:dyDescent="0.2">
      <c r="B126" s="44" t="s">
        <v>536</v>
      </c>
      <c r="C126" s="45"/>
      <c r="D126" s="46"/>
      <c r="E126" s="47"/>
      <c r="F126" s="47"/>
      <c r="G126" s="47"/>
      <c r="H126" s="48"/>
      <c r="I126" s="48"/>
      <c r="J126" s="49"/>
      <c r="K126" s="55"/>
    </row>
    <row r="127" spans="2:11" x14ac:dyDescent="0.2">
      <c r="B127" s="50">
        <v>35368</v>
      </c>
      <c r="C127" s="51"/>
      <c r="D127" s="52"/>
      <c r="E127" s="53"/>
      <c r="F127" s="53"/>
      <c r="G127" s="53"/>
      <c r="I127" s="54"/>
      <c r="J127" s="53"/>
      <c r="K127" s="55"/>
    </row>
    <row r="128" spans="2:11" x14ac:dyDescent="0.2">
      <c r="B128" s="44" t="s">
        <v>664</v>
      </c>
      <c r="C128" s="45">
        <v>36951</v>
      </c>
      <c r="D128" s="46" t="s">
        <v>765</v>
      </c>
      <c r="E128" s="49">
        <v>44861.25</v>
      </c>
      <c r="F128" s="47">
        <v>110861.25</v>
      </c>
      <c r="G128" s="47">
        <v>109967.5</v>
      </c>
      <c r="H128" s="48" t="s">
        <v>665</v>
      </c>
      <c r="I128" s="48">
        <v>66000</v>
      </c>
      <c r="J128" s="49">
        <v>43967.5</v>
      </c>
      <c r="K128" s="55" t="s">
        <v>462</v>
      </c>
    </row>
    <row r="129" spans="2:12" x14ac:dyDescent="0.2">
      <c r="B129" s="37">
        <v>35558</v>
      </c>
      <c r="C129" s="51">
        <v>35993</v>
      </c>
      <c r="D129" s="55" t="s">
        <v>673</v>
      </c>
      <c r="E129" s="56">
        <v>0</v>
      </c>
      <c r="F129" s="56"/>
      <c r="G129" s="57">
        <v>0</v>
      </c>
      <c r="H129" s="58" t="s">
        <v>674</v>
      </c>
      <c r="I129" s="40"/>
      <c r="J129" s="56">
        <f>SUM(G129-I129)</f>
        <v>0</v>
      </c>
      <c r="K129" s="55"/>
    </row>
    <row r="130" spans="2:12" x14ac:dyDescent="0.2">
      <c r="B130" s="37" t="s">
        <v>747</v>
      </c>
      <c r="C130" s="51"/>
      <c r="D130" s="52" t="s">
        <v>765</v>
      </c>
      <c r="E130" s="59">
        <v>334829</v>
      </c>
      <c r="F130" s="59">
        <v>708683.5</v>
      </c>
      <c r="G130" s="59">
        <v>711135.74</v>
      </c>
      <c r="H130" s="60"/>
      <c r="I130" s="59">
        <v>315814.57</v>
      </c>
      <c r="J130" s="542">
        <f>378133-62306</f>
        <v>315827</v>
      </c>
      <c r="K130" s="55" t="s">
        <v>468</v>
      </c>
    </row>
    <row r="131" spans="2:12" x14ac:dyDescent="0.2">
      <c r="B131" s="44"/>
      <c r="C131" s="45"/>
      <c r="D131" s="46" t="s">
        <v>673</v>
      </c>
      <c r="E131" s="49"/>
      <c r="G131" s="59"/>
      <c r="H131" s="60"/>
      <c r="I131" s="59"/>
      <c r="J131" s="56"/>
      <c r="K131" s="55"/>
    </row>
    <row r="132" spans="2:12" x14ac:dyDescent="0.2">
      <c r="B132" s="37">
        <v>35558</v>
      </c>
      <c r="C132" s="51">
        <v>35972</v>
      </c>
      <c r="D132" s="52"/>
      <c r="E132" s="62"/>
      <c r="F132" s="42"/>
      <c r="G132" s="42"/>
      <c r="H132" s="58"/>
      <c r="I132" s="40"/>
      <c r="J132" s="40"/>
      <c r="K132" s="55"/>
    </row>
    <row r="133" spans="2:12" x14ac:dyDescent="0.2">
      <c r="B133" s="44" t="s">
        <v>618</v>
      </c>
      <c r="C133" s="45">
        <v>37330</v>
      </c>
      <c r="D133" s="52" t="s">
        <v>765</v>
      </c>
      <c r="E133" s="62">
        <v>37032.5</v>
      </c>
      <c r="F133" s="49">
        <v>37032.5</v>
      </c>
      <c r="G133" s="49">
        <v>36182.5</v>
      </c>
      <c r="H133" s="63" t="s">
        <v>766</v>
      </c>
      <c r="I133" s="47"/>
      <c r="J133" s="47">
        <v>35182.5</v>
      </c>
      <c r="K133" s="55" t="s">
        <v>462</v>
      </c>
    </row>
    <row r="134" spans="2:12" x14ac:dyDescent="0.2">
      <c r="B134" s="37" t="s">
        <v>445</v>
      </c>
      <c r="C134" s="64"/>
      <c r="D134" s="65"/>
      <c r="E134" s="54"/>
      <c r="F134" s="3"/>
      <c r="G134" s="3"/>
      <c r="I134" s="3"/>
      <c r="J134" s="3"/>
      <c r="K134" s="55"/>
    </row>
    <row r="135" spans="2:12" x14ac:dyDescent="0.2">
      <c r="B135" s="44" t="s">
        <v>377</v>
      </c>
      <c r="C135" s="66">
        <v>37330</v>
      </c>
      <c r="D135" s="67" t="s">
        <v>765</v>
      </c>
      <c r="E135" s="47">
        <v>264715</v>
      </c>
      <c r="F135" s="47">
        <v>683885</v>
      </c>
      <c r="G135" s="47">
        <v>688797.5</v>
      </c>
      <c r="H135" s="48" t="s">
        <v>766</v>
      </c>
      <c r="I135" s="47">
        <v>419171</v>
      </c>
      <c r="J135" s="47">
        <v>265877.5</v>
      </c>
      <c r="K135" s="55" t="s">
        <v>462</v>
      </c>
    </row>
    <row r="136" spans="2:12" x14ac:dyDescent="0.2">
      <c r="B136" s="398">
        <v>37012</v>
      </c>
      <c r="C136" s="399"/>
      <c r="D136" s="65"/>
      <c r="E136" s="40"/>
      <c r="F136" s="40"/>
      <c r="G136" s="40"/>
      <c r="H136" s="41"/>
      <c r="I136" s="40"/>
      <c r="J136" s="42"/>
      <c r="K136" s="55"/>
    </row>
    <row r="137" spans="2:12" x14ac:dyDescent="0.2">
      <c r="B137" s="44" t="s">
        <v>564</v>
      </c>
      <c r="C137" s="400">
        <v>37330</v>
      </c>
      <c r="D137" s="67" t="s">
        <v>765</v>
      </c>
      <c r="E137" s="47">
        <v>9590</v>
      </c>
      <c r="F137" s="47">
        <v>9590</v>
      </c>
      <c r="G137" s="47">
        <v>9377.5</v>
      </c>
      <c r="H137" s="48"/>
      <c r="I137" s="47"/>
      <c r="J137" s="47">
        <v>9127.5</v>
      </c>
      <c r="K137" s="55" t="s">
        <v>462</v>
      </c>
    </row>
    <row r="138" spans="2:12" x14ac:dyDescent="0.2">
      <c r="B138" s="37">
        <v>35922</v>
      </c>
      <c r="C138" s="51"/>
      <c r="D138" s="52"/>
      <c r="E138" s="59"/>
      <c r="F138" s="59"/>
      <c r="G138" s="59"/>
      <c r="H138" s="62"/>
      <c r="I138" s="59"/>
      <c r="J138" s="56"/>
      <c r="K138" s="55"/>
    </row>
    <row r="139" spans="2:12" x14ac:dyDescent="0.2">
      <c r="B139" s="44" t="s">
        <v>598</v>
      </c>
      <c r="C139" s="45">
        <v>36951</v>
      </c>
      <c r="D139" s="46" t="s">
        <v>765</v>
      </c>
      <c r="E139" s="59">
        <v>99528.75</v>
      </c>
      <c r="F139" s="59">
        <v>99528.75</v>
      </c>
      <c r="G139" s="59">
        <v>97328.75</v>
      </c>
      <c r="H139" s="62" t="s">
        <v>614</v>
      </c>
      <c r="I139" s="59"/>
      <c r="J139" s="56">
        <v>100060</v>
      </c>
      <c r="K139" s="55" t="s">
        <v>462</v>
      </c>
      <c r="L139" s="1" t="s">
        <v>164</v>
      </c>
    </row>
    <row r="140" spans="2:12" x14ac:dyDescent="0.2">
      <c r="B140" s="69">
        <v>36426</v>
      </c>
      <c r="C140" s="38">
        <v>36651</v>
      </c>
      <c r="D140" s="70"/>
      <c r="E140" s="42"/>
      <c r="F140" s="40"/>
      <c r="G140" s="40"/>
      <c r="H140" s="41"/>
      <c r="I140" s="40"/>
      <c r="J140" s="40"/>
      <c r="K140" s="55"/>
    </row>
    <row r="141" spans="2:12" x14ac:dyDescent="0.2">
      <c r="B141" s="46" t="s">
        <v>600</v>
      </c>
      <c r="C141" s="45">
        <v>36951</v>
      </c>
      <c r="D141" s="71" t="s">
        <v>765</v>
      </c>
      <c r="E141" s="49">
        <v>102436.87</v>
      </c>
      <c r="F141" s="47">
        <v>113818.75</v>
      </c>
      <c r="G141" s="47">
        <v>116218.75</v>
      </c>
      <c r="H141" s="48"/>
      <c r="I141" s="47">
        <v>11333.13</v>
      </c>
      <c r="J141" s="47">
        <v>101998.12</v>
      </c>
      <c r="K141" s="55" t="s">
        <v>462</v>
      </c>
    </row>
    <row r="142" spans="2:12" x14ac:dyDescent="0.2">
      <c r="B142" s="50">
        <v>36650</v>
      </c>
      <c r="C142" s="51">
        <v>36791</v>
      </c>
      <c r="D142" s="52"/>
      <c r="E142" s="42"/>
      <c r="F142" s="40"/>
      <c r="G142" s="40"/>
      <c r="H142" s="41"/>
      <c r="I142" s="40"/>
      <c r="J142" s="40"/>
      <c r="K142" s="55"/>
    </row>
    <row r="143" spans="2:12" x14ac:dyDescent="0.2">
      <c r="B143" s="3" t="s">
        <v>471</v>
      </c>
      <c r="C143" s="51">
        <v>36951</v>
      </c>
      <c r="D143" s="52" t="s">
        <v>765</v>
      </c>
      <c r="E143" s="56">
        <v>27512.5</v>
      </c>
      <c r="F143" s="59">
        <v>27512</v>
      </c>
      <c r="G143" s="59">
        <v>26712.5</v>
      </c>
      <c r="H143" s="62"/>
      <c r="I143" s="59">
        <v>0</v>
      </c>
      <c r="J143" s="59">
        <v>30887.5</v>
      </c>
      <c r="K143" s="55" t="s">
        <v>462</v>
      </c>
    </row>
    <row r="144" spans="2:12" x14ac:dyDescent="0.2">
      <c r="B144" s="68" t="s">
        <v>120</v>
      </c>
      <c r="C144" s="475"/>
      <c r="D144" s="65"/>
      <c r="E144" s="42"/>
      <c r="F144" s="42"/>
      <c r="G144" s="42"/>
      <c r="H144" s="58"/>
      <c r="I144" s="40"/>
      <c r="J144" s="42"/>
      <c r="K144" s="52"/>
    </row>
    <row r="145" spans="2:12" x14ac:dyDescent="0.2">
      <c r="B145" s="477" t="s">
        <v>267</v>
      </c>
      <c r="C145" s="476"/>
      <c r="D145" s="67"/>
      <c r="E145" s="49">
        <v>25000</v>
      </c>
      <c r="F145" s="49">
        <v>25000</v>
      </c>
      <c r="G145" s="49">
        <v>25000</v>
      </c>
      <c r="H145" s="63"/>
      <c r="I145" s="47"/>
      <c r="J145" s="49">
        <v>4960</v>
      </c>
      <c r="K145" s="52"/>
    </row>
    <row r="146" spans="2:12" x14ac:dyDescent="0.2">
      <c r="B146" s="470" t="s">
        <v>603</v>
      </c>
      <c r="C146" s="471"/>
      <c r="D146" s="471"/>
      <c r="E146" s="472">
        <v>867410.43</v>
      </c>
      <c r="F146" s="473">
        <f>SUM(F125:F145)</f>
        <v>1815911.75</v>
      </c>
      <c r="G146" s="473">
        <f>SUM(G125:G145)</f>
        <v>1820720.74</v>
      </c>
      <c r="H146" s="474">
        <f>SUM(H125:H139)</f>
        <v>0</v>
      </c>
      <c r="I146" s="474">
        <f>SUM(I125:I143)</f>
        <v>823205.70000000007</v>
      </c>
      <c r="J146" s="472">
        <f>SUM(J125:J145)</f>
        <v>897000.62</v>
      </c>
      <c r="K146" s="67" t="s">
        <v>192</v>
      </c>
    </row>
    <row r="149" spans="2:12" x14ac:dyDescent="0.2">
      <c r="C149" s="1"/>
      <c r="D149" s="72"/>
      <c r="E149" s="32" t="s">
        <v>410</v>
      </c>
      <c r="F149" s="32" t="s">
        <v>321</v>
      </c>
      <c r="G149" s="32" t="s">
        <v>406</v>
      </c>
      <c r="H149" s="32"/>
      <c r="I149" s="32" t="s">
        <v>623</v>
      </c>
      <c r="J149" s="32" t="s">
        <v>28</v>
      </c>
    </row>
    <row r="150" spans="2:12" x14ac:dyDescent="0.2">
      <c r="B150" s="424"/>
      <c r="C150" s="425"/>
      <c r="D150" s="425"/>
      <c r="E150" s="425"/>
      <c r="F150" s="425"/>
      <c r="G150" s="426" t="s">
        <v>194</v>
      </c>
      <c r="H150" s="425"/>
      <c r="I150" s="425"/>
      <c r="J150" s="427"/>
      <c r="K150" s="453" t="s">
        <v>23</v>
      </c>
    </row>
    <row r="151" spans="2:12" x14ac:dyDescent="0.2">
      <c r="B151" s="37">
        <v>31904</v>
      </c>
      <c r="C151" s="38">
        <v>32021</v>
      </c>
      <c r="D151" s="39" t="s">
        <v>765</v>
      </c>
      <c r="E151" s="40">
        <v>-10887</v>
      </c>
      <c r="F151" s="40">
        <v>0</v>
      </c>
      <c r="G151" s="40">
        <v>0</v>
      </c>
      <c r="H151" s="41" t="s">
        <v>766</v>
      </c>
      <c r="I151" s="41"/>
      <c r="J151" s="42">
        <f>SUM(G151-I151)</f>
        <v>0</v>
      </c>
      <c r="K151" s="65"/>
      <c r="L151" s="1" t="s">
        <v>38</v>
      </c>
    </row>
    <row r="152" spans="2:12" x14ac:dyDescent="0.2">
      <c r="B152" s="44" t="s">
        <v>536</v>
      </c>
      <c r="C152" s="45"/>
      <c r="D152" s="46"/>
      <c r="E152" s="47"/>
      <c r="F152" s="47"/>
      <c r="G152" s="47"/>
      <c r="H152" s="48"/>
      <c r="I152" s="48"/>
      <c r="J152" s="49"/>
      <c r="K152" s="55"/>
      <c r="L152" s="1" t="s">
        <v>174</v>
      </c>
    </row>
    <row r="153" spans="2:12" x14ac:dyDescent="0.2">
      <c r="B153" s="50">
        <v>35368</v>
      </c>
      <c r="C153" s="51"/>
      <c r="D153" s="52"/>
      <c r="E153" s="53"/>
      <c r="F153" s="53"/>
      <c r="G153" s="53"/>
      <c r="I153" s="54"/>
      <c r="J153" s="53"/>
      <c r="K153" s="55"/>
    </row>
    <row r="154" spans="2:12" x14ac:dyDescent="0.2">
      <c r="B154" s="50" t="s">
        <v>624</v>
      </c>
      <c r="C154" s="51">
        <v>36951</v>
      </c>
      <c r="D154" s="52" t="s">
        <v>765</v>
      </c>
      <c r="E154" s="56">
        <v>43968</v>
      </c>
      <c r="F154" s="59">
        <v>109967.5</v>
      </c>
      <c r="G154" s="59">
        <v>103107.5</v>
      </c>
      <c r="H154" s="62" t="s">
        <v>665</v>
      </c>
      <c r="I154" s="62">
        <v>66000</v>
      </c>
      <c r="J154" s="379">
        <f>G154-(I154+I155)</f>
        <v>34606.28</v>
      </c>
      <c r="K154" s="55"/>
    </row>
    <row r="155" spans="2:12" x14ac:dyDescent="0.2">
      <c r="B155" s="44" t="s">
        <v>625</v>
      </c>
      <c r="C155" s="45">
        <v>40558</v>
      </c>
      <c r="D155" s="46" t="s">
        <v>765</v>
      </c>
      <c r="E155" s="49"/>
      <c r="F155" s="47"/>
      <c r="G155" s="47"/>
      <c r="H155" s="28" t="s">
        <v>626</v>
      </c>
      <c r="I155" s="47">
        <v>2501.2199999999998</v>
      </c>
      <c r="J155" s="543"/>
      <c r="K155" s="55"/>
    </row>
    <row r="156" spans="2:12" x14ac:dyDescent="0.2">
      <c r="B156" s="37">
        <v>35558</v>
      </c>
      <c r="C156" s="51">
        <v>35993</v>
      </c>
      <c r="D156" s="55" t="s">
        <v>673</v>
      </c>
      <c r="E156" s="56">
        <v>0</v>
      </c>
      <c r="F156" s="56"/>
      <c r="G156" s="57">
        <v>0</v>
      </c>
      <c r="H156" s="58" t="s">
        <v>674</v>
      </c>
      <c r="I156" s="40"/>
      <c r="J156" s="56">
        <f>SUM(G156-I156)</f>
        <v>0</v>
      </c>
      <c r="K156" s="55"/>
    </row>
    <row r="157" spans="2:12" x14ac:dyDescent="0.2">
      <c r="B157" s="37" t="s">
        <v>747</v>
      </c>
      <c r="C157" s="51"/>
      <c r="D157" s="52" t="s">
        <v>765</v>
      </c>
      <c r="E157" s="47">
        <v>315815</v>
      </c>
      <c r="F157" s="59">
        <v>693947.11</v>
      </c>
      <c r="G157" s="59">
        <v>693569.96</v>
      </c>
      <c r="H157" s="60"/>
      <c r="I157" s="59">
        <v>378741.99</v>
      </c>
      <c r="J157" s="544">
        <f>SUM(G157-I157)</f>
        <v>314827.96999999997</v>
      </c>
      <c r="K157" s="55"/>
    </row>
    <row r="158" spans="2:12" x14ac:dyDescent="0.2">
      <c r="B158" s="44"/>
      <c r="C158" s="45"/>
      <c r="D158" s="46" t="s">
        <v>673</v>
      </c>
      <c r="E158" s="49"/>
      <c r="G158" s="59"/>
      <c r="H158" s="60"/>
      <c r="I158" s="59"/>
      <c r="J158" s="56"/>
      <c r="K158" s="55"/>
    </row>
    <row r="159" spans="2:12" x14ac:dyDescent="0.2">
      <c r="B159" s="37">
        <v>35558</v>
      </c>
      <c r="C159" s="51">
        <v>35972</v>
      </c>
      <c r="D159" s="52"/>
      <c r="E159" s="62"/>
      <c r="F159" s="42"/>
      <c r="G159" s="42"/>
      <c r="H159" s="58"/>
      <c r="I159" s="40"/>
      <c r="J159" s="40"/>
      <c r="K159" s="55"/>
    </row>
    <row r="160" spans="2:12" x14ac:dyDescent="0.2">
      <c r="B160" s="44" t="s">
        <v>618</v>
      </c>
      <c r="C160" s="45">
        <v>37330</v>
      </c>
      <c r="D160" s="52" t="s">
        <v>765</v>
      </c>
      <c r="E160" s="62">
        <v>35183</v>
      </c>
      <c r="F160" s="49">
        <v>35182.5</v>
      </c>
      <c r="G160" s="49">
        <v>34332.5</v>
      </c>
      <c r="H160" s="63" t="s">
        <v>766</v>
      </c>
      <c r="I160" s="47"/>
      <c r="J160" s="545">
        <f>SUM(G160-I160)</f>
        <v>34332.5</v>
      </c>
      <c r="K160" s="55"/>
    </row>
    <row r="161" spans="2:11" x14ac:dyDescent="0.2">
      <c r="B161" s="37" t="s">
        <v>445</v>
      </c>
      <c r="C161" s="64"/>
      <c r="D161" s="65"/>
      <c r="E161" s="54"/>
      <c r="F161" s="3"/>
      <c r="G161" s="3"/>
      <c r="I161" s="3"/>
      <c r="J161" s="3"/>
      <c r="K161" s="55"/>
    </row>
    <row r="162" spans="2:11" x14ac:dyDescent="0.2">
      <c r="B162" s="44" t="s">
        <v>377</v>
      </c>
      <c r="C162" s="66">
        <v>37330</v>
      </c>
      <c r="D162" s="67" t="s">
        <v>765</v>
      </c>
      <c r="E162" s="47">
        <v>265878</v>
      </c>
      <c r="F162" s="47">
        <v>685047.5</v>
      </c>
      <c r="G162" s="47">
        <v>688472.5</v>
      </c>
      <c r="H162" s="48" t="s">
        <v>766</v>
      </c>
      <c r="I162" s="47">
        <v>419170</v>
      </c>
      <c r="J162" s="545">
        <f>SUM(G162-I162)</f>
        <v>269302.5</v>
      </c>
      <c r="K162" s="55"/>
    </row>
    <row r="163" spans="2:11" x14ac:dyDescent="0.2">
      <c r="B163" s="398">
        <v>37012</v>
      </c>
      <c r="C163" s="399"/>
      <c r="D163" s="65"/>
      <c r="E163" s="40"/>
      <c r="F163" s="40"/>
      <c r="G163" s="40"/>
      <c r="H163" s="41"/>
      <c r="I163" s="40"/>
      <c r="J163" s="42"/>
      <c r="K163" s="55"/>
    </row>
    <row r="164" spans="2:11" x14ac:dyDescent="0.2">
      <c r="B164" s="44" t="s">
        <v>564</v>
      </c>
      <c r="C164" s="400">
        <v>37330</v>
      </c>
      <c r="D164" s="67" t="s">
        <v>765</v>
      </c>
      <c r="E164" s="47">
        <v>9128</v>
      </c>
      <c r="F164" s="47">
        <v>9127.5</v>
      </c>
      <c r="G164" s="47">
        <v>13915</v>
      </c>
      <c r="H164" s="48"/>
      <c r="I164" s="47"/>
      <c r="J164" s="545">
        <f>SUM(G164-I164)</f>
        <v>13915</v>
      </c>
      <c r="K164" s="55"/>
    </row>
    <row r="165" spans="2:11" x14ac:dyDescent="0.2">
      <c r="B165" s="37">
        <v>35922</v>
      </c>
      <c r="C165" s="51"/>
      <c r="D165" s="52"/>
      <c r="E165" s="59"/>
      <c r="F165" s="59"/>
      <c r="G165" s="59"/>
      <c r="H165" s="62"/>
      <c r="I165" s="59"/>
      <c r="J165" s="56"/>
      <c r="K165" s="55"/>
    </row>
    <row r="166" spans="2:11" x14ac:dyDescent="0.2">
      <c r="B166" s="37" t="s">
        <v>598</v>
      </c>
      <c r="C166" s="51">
        <v>36951</v>
      </c>
      <c r="D166" s="52" t="s">
        <v>765</v>
      </c>
      <c r="E166" s="59">
        <v>100060</v>
      </c>
      <c r="F166" s="59">
        <v>100060</v>
      </c>
      <c r="G166" s="59">
        <v>87860</v>
      </c>
      <c r="H166" s="62" t="s">
        <v>614</v>
      </c>
      <c r="I166" s="59"/>
      <c r="J166" s="379">
        <f>G166-(I166+I167)</f>
        <v>84867.57</v>
      </c>
      <c r="K166" s="55"/>
    </row>
    <row r="167" spans="2:11" x14ac:dyDescent="0.2">
      <c r="B167" s="44" t="s">
        <v>625</v>
      </c>
      <c r="C167" s="45">
        <v>40558</v>
      </c>
      <c r="D167" s="46" t="s">
        <v>765</v>
      </c>
      <c r="E167" s="59"/>
      <c r="F167" s="59"/>
      <c r="G167" s="59"/>
      <c r="H167" s="62" t="s">
        <v>627</v>
      </c>
      <c r="I167" s="59">
        <v>2992.43</v>
      </c>
      <c r="J167" s="554"/>
      <c r="K167" s="55"/>
    </row>
    <row r="168" spans="2:11" x14ac:dyDescent="0.2">
      <c r="B168" s="69">
        <v>36426</v>
      </c>
      <c r="C168" s="38">
        <v>36651</v>
      </c>
      <c r="D168" s="70"/>
      <c r="E168" s="42"/>
      <c r="F168" s="40"/>
      <c r="G168" s="40"/>
      <c r="H168" s="41"/>
      <c r="I168" s="40"/>
      <c r="J168" s="40"/>
      <c r="K168" s="55"/>
    </row>
    <row r="169" spans="2:11" x14ac:dyDescent="0.2">
      <c r="B169" s="52" t="s">
        <v>600</v>
      </c>
      <c r="C169" s="51">
        <v>36951</v>
      </c>
      <c r="D169" s="22" t="s">
        <v>765</v>
      </c>
      <c r="E169" s="56">
        <v>101998</v>
      </c>
      <c r="F169" s="59">
        <v>113331.25</v>
      </c>
      <c r="G169" s="59">
        <v>107352.5</v>
      </c>
      <c r="H169" s="62" t="s">
        <v>205</v>
      </c>
      <c r="I169" s="59">
        <v>10735.25</v>
      </c>
      <c r="J169" s="379">
        <f>G169-(I169+I170)</f>
        <v>96298.47</v>
      </c>
      <c r="K169" s="55"/>
    </row>
    <row r="170" spans="2:11" x14ac:dyDescent="0.2">
      <c r="B170" s="46" t="s">
        <v>625</v>
      </c>
      <c r="C170" s="45">
        <v>40558</v>
      </c>
      <c r="D170" s="71" t="s">
        <v>765</v>
      </c>
      <c r="E170" s="49"/>
      <c r="F170" s="47"/>
      <c r="G170" s="47"/>
      <c r="H170" s="48" t="s">
        <v>627</v>
      </c>
      <c r="I170" s="47">
        <v>318.77999999999997</v>
      </c>
      <c r="J170" s="545"/>
      <c r="K170" s="55"/>
    </row>
    <row r="171" spans="2:11" x14ac:dyDescent="0.2">
      <c r="B171" s="50">
        <v>36650</v>
      </c>
      <c r="C171" s="51">
        <v>36791</v>
      </c>
      <c r="D171" s="52"/>
      <c r="E171" s="56"/>
      <c r="F171" s="59"/>
      <c r="G171" s="59"/>
      <c r="H171" s="62"/>
      <c r="I171" s="59"/>
      <c r="J171" s="59"/>
      <c r="K171" s="55"/>
    </row>
    <row r="172" spans="2:11" x14ac:dyDescent="0.2">
      <c r="B172" s="3" t="s">
        <v>471</v>
      </c>
      <c r="C172" s="51">
        <v>36951</v>
      </c>
      <c r="D172" s="52" t="s">
        <v>765</v>
      </c>
      <c r="E172" s="5"/>
      <c r="F172" s="5"/>
      <c r="G172" s="5"/>
      <c r="H172" s="36"/>
      <c r="I172" s="3"/>
      <c r="J172" s="5"/>
      <c r="K172" s="55"/>
    </row>
    <row r="173" spans="2:11" x14ac:dyDescent="0.2">
      <c r="B173" s="2" t="s">
        <v>625</v>
      </c>
      <c r="C173" s="45">
        <v>40558</v>
      </c>
      <c r="D173" s="46" t="s">
        <v>765</v>
      </c>
      <c r="E173" s="49">
        <v>30888</v>
      </c>
      <c r="F173" s="47">
        <v>30887.5</v>
      </c>
      <c r="G173" s="47">
        <v>26440</v>
      </c>
      <c r="H173" s="48" t="s">
        <v>627</v>
      </c>
      <c r="I173" s="47">
        <v>450.3</v>
      </c>
      <c r="J173" s="545">
        <f>SUM(G173-I173)</f>
        <v>25989.7</v>
      </c>
      <c r="K173" s="52"/>
    </row>
    <row r="174" spans="2:11" x14ac:dyDescent="0.2">
      <c r="B174" s="50">
        <v>39205</v>
      </c>
      <c r="C174" s="51">
        <v>39835</v>
      </c>
      <c r="D174" s="52" t="s">
        <v>673</v>
      </c>
      <c r="E174" s="56"/>
      <c r="F174" s="59"/>
      <c r="G174" s="59"/>
      <c r="H174" s="62"/>
      <c r="I174" s="59"/>
      <c r="J174" s="554"/>
      <c r="K174" s="52"/>
    </row>
    <row r="175" spans="2:11" x14ac:dyDescent="0.2">
      <c r="B175" s="2" t="s">
        <v>60</v>
      </c>
      <c r="C175" s="45">
        <v>40564</v>
      </c>
      <c r="D175" s="46" t="s">
        <v>765</v>
      </c>
      <c r="G175" s="47"/>
      <c r="H175" s="48"/>
      <c r="I175" s="47"/>
      <c r="K175" s="52"/>
    </row>
    <row r="176" spans="2:11" x14ac:dyDescent="0.2">
      <c r="B176" s="2" t="s">
        <v>625</v>
      </c>
      <c r="C176" s="45">
        <v>40558</v>
      </c>
      <c r="D176" s="46" t="s">
        <v>765</v>
      </c>
      <c r="E176" s="49">
        <v>4960</v>
      </c>
      <c r="F176" s="47">
        <v>4960</v>
      </c>
      <c r="G176" s="47">
        <v>51980</v>
      </c>
      <c r="H176" s="48" t="s">
        <v>627</v>
      </c>
      <c r="I176" s="48">
        <v>922.15</v>
      </c>
      <c r="J176" s="545">
        <f>SUM(G176-I176)</f>
        <v>51057.85</v>
      </c>
      <c r="K176" s="52"/>
    </row>
    <row r="177" spans="2:12" x14ac:dyDescent="0.2">
      <c r="B177" s="470" t="s">
        <v>603</v>
      </c>
      <c r="C177" s="471"/>
      <c r="D177" s="471"/>
      <c r="E177" s="472">
        <v>867410.43</v>
      </c>
      <c r="F177" s="473">
        <f>SUM(F151:F176)</f>
        <v>1782510.8599999999</v>
      </c>
      <c r="G177" s="473">
        <f>SUM(G151:G176)</f>
        <v>1807029.96</v>
      </c>
      <c r="H177" s="474"/>
      <c r="I177" s="474">
        <f>SUM(I151:I176)</f>
        <v>881832.12000000011</v>
      </c>
      <c r="J177" s="472">
        <f>SUM(J151:J176)</f>
        <v>925197.84</v>
      </c>
      <c r="K177" s="67" t="s">
        <v>192</v>
      </c>
    </row>
    <row r="178" spans="2:12" x14ac:dyDescent="0.2">
      <c r="B178" s="558"/>
      <c r="C178" s="32"/>
      <c r="D178" s="32"/>
      <c r="E178" s="559"/>
      <c r="F178" s="559"/>
      <c r="G178" s="559"/>
      <c r="H178" s="559"/>
      <c r="I178" s="559"/>
      <c r="J178" s="559"/>
      <c r="K178" s="22"/>
    </row>
    <row r="179" spans="2:12" x14ac:dyDescent="0.2">
      <c r="B179" s="558"/>
      <c r="C179" s="32"/>
      <c r="D179" s="32"/>
      <c r="E179" s="559"/>
      <c r="F179" s="559"/>
      <c r="G179" s="559"/>
      <c r="H179" s="559"/>
      <c r="I179" s="559"/>
      <c r="J179" s="559"/>
      <c r="K179" s="22"/>
    </row>
    <row r="180" spans="2:12" x14ac:dyDescent="0.2">
      <c r="C180" s="1"/>
      <c r="D180" s="72"/>
      <c r="E180" s="32" t="s">
        <v>404</v>
      </c>
      <c r="F180" s="32" t="s">
        <v>32</v>
      </c>
      <c r="G180" s="32" t="s">
        <v>33</v>
      </c>
      <c r="H180" s="32"/>
      <c r="I180" s="32" t="s">
        <v>623</v>
      </c>
      <c r="J180" s="32" t="s">
        <v>128</v>
      </c>
    </row>
    <row r="181" spans="2:12" x14ac:dyDescent="0.2">
      <c r="B181" s="424"/>
      <c r="C181" s="425"/>
      <c r="D181" s="425"/>
      <c r="E181" s="425"/>
      <c r="F181" s="425"/>
      <c r="G181" s="426" t="s">
        <v>16</v>
      </c>
      <c r="H181" s="425"/>
      <c r="I181" s="425"/>
      <c r="J181" s="427"/>
      <c r="K181" s="453" t="s">
        <v>23</v>
      </c>
    </row>
    <row r="182" spans="2:12" x14ac:dyDescent="0.2">
      <c r="B182" s="37">
        <v>31904</v>
      </c>
      <c r="C182" s="38">
        <v>32021</v>
      </c>
      <c r="D182" s="39" t="s">
        <v>765</v>
      </c>
      <c r="E182" s="40"/>
      <c r="F182" s="40">
        <v>0</v>
      </c>
      <c r="G182" s="40">
        <v>0</v>
      </c>
      <c r="H182" s="41" t="s">
        <v>766</v>
      </c>
      <c r="I182" s="41"/>
      <c r="J182" s="42">
        <f>SUM(G182-I182)</f>
        <v>0</v>
      </c>
      <c r="K182" s="65"/>
      <c r="L182" s="251" t="s">
        <v>853</v>
      </c>
    </row>
    <row r="183" spans="2:12" x14ac:dyDescent="0.2">
      <c r="B183" s="44" t="s">
        <v>536</v>
      </c>
      <c r="C183" s="45"/>
      <c r="D183" s="46"/>
      <c r="E183" s="47"/>
      <c r="F183" s="47"/>
      <c r="G183" s="47"/>
      <c r="H183" s="48"/>
      <c r="I183" s="48"/>
      <c r="J183" s="49"/>
      <c r="K183" s="55"/>
    </row>
    <row r="184" spans="2:12" x14ac:dyDescent="0.2">
      <c r="B184" s="50">
        <v>35368</v>
      </c>
      <c r="C184" s="51"/>
      <c r="D184" s="52"/>
      <c r="E184" s="53"/>
      <c r="F184" s="53"/>
      <c r="G184" s="53"/>
      <c r="I184" s="54"/>
      <c r="J184" s="53"/>
      <c r="K184" s="55"/>
    </row>
    <row r="185" spans="2:12" x14ac:dyDescent="0.2">
      <c r="B185" s="50" t="s">
        <v>624</v>
      </c>
      <c r="C185" s="51">
        <v>36951</v>
      </c>
      <c r="D185" s="52" t="s">
        <v>765</v>
      </c>
      <c r="E185" s="56">
        <v>34606.28</v>
      </c>
      <c r="F185" s="59">
        <v>103107.5</v>
      </c>
      <c r="G185" s="59">
        <v>101587.5</v>
      </c>
      <c r="H185" s="62" t="s">
        <v>665</v>
      </c>
      <c r="I185" s="62">
        <v>66000</v>
      </c>
      <c r="J185" s="379">
        <f>G185-(I185+I186)</f>
        <v>35460.089999999997</v>
      </c>
      <c r="K185" s="55"/>
    </row>
    <row r="186" spans="2:12" x14ac:dyDescent="0.2">
      <c r="B186" s="44" t="s">
        <v>625</v>
      </c>
      <c r="C186" s="45">
        <v>40558</v>
      </c>
      <c r="D186" s="46" t="s">
        <v>765</v>
      </c>
      <c r="E186" s="49"/>
      <c r="F186" s="47"/>
      <c r="G186" s="47"/>
      <c r="H186" s="28" t="s">
        <v>626</v>
      </c>
      <c r="I186" s="47">
        <v>127.41</v>
      </c>
      <c r="J186" s="543"/>
      <c r="K186" s="55"/>
    </row>
    <row r="187" spans="2:12" x14ac:dyDescent="0.2">
      <c r="B187" s="37">
        <v>35558</v>
      </c>
      <c r="C187" s="51">
        <v>35993</v>
      </c>
      <c r="D187" s="55" t="s">
        <v>673</v>
      </c>
      <c r="E187" s="56">
        <v>0</v>
      </c>
      <c r="F187" s="56"/>
      <c r="G187" s="57">
        <v>0</v>
      </c>
      <c r="H187" s="58" t="s">
        <v>674</v>
      </c>
      <c r="I187" s="40"/>
      <c r="J187" s="56">
        <f>SUM(G187-I187)</f>
        <v>0</v>
      </c>
      <c r="K187" s="55"/>
    </row>
    <row r="188" spans="2:12" x14ac:dyDescent="0.2">
      <c r="B188" s="37" t="s">
        <v>747</v>
      </c>
      <c r="C188" s="51"/>
      <c r="D188" s="52" t="s">
        <v>765</v>
      </c>
      <c r="E188" s="47">
        <v>314827.96999999997</v>
      </c>
      <c r="F188" s="59">
        <v>693569.96</v>
      </c>
      <c r="G188" s="567">
        <f>2368989*0.2794</f>
        <v>661895.52659999998</v>
      </c>
      <c r="H188" s="60"/>
      <c r="I188" s="568">
        <f>SUM(1291498*0.2794)</f>
        <v>360844.54119999998</v>
      </c>
      <c r="J188" s="544">
        <f>SUM(G188-I188)</f>
        <v>301050.98540000001</v>
      </c>
      <c r="K188" s="55"/>
      <c r="L188" s="1" t="s">
        <v>633</v>
      </c>
    </row>
    <row r="189" spans="2:12" x14ac:dyDescent="0.2">
      <c r="B189" s="44"/>
      <c r="C189" s="45"/>
      <c r="D189" s="46" t="s">
        <v>673</v>
      </c>
      <c r="E189" s="49"/>
      <c r="G189" s="59"/>
      <c r="H189" s="60"/>
      <c r="I189" s="59"/>
      <c r="J189" s="56"/>
      <c r="K189" s="55"/>
    </row>
    <row r="190" spans="2:12" x14ac:dyDescent="0.2">
      <c r="B190" s="37">
        <v>35558</v>
      </c>
      <c r="C190" s="51">
        <v>35972</v>
      </c>
      <c r="D190" s="52"/>
      <c r="E190" s="62"/>
      <c r="F190" s="42"/>
      <c r="G190" s="42"/>
      <c r="H190" s="58"/>
      <c r="I190" s="40"/>
      <c r="J190" s="40"/>
      <c r="K190" s="55"/>
    </row>
    <row r="191" spans="2:12" x14ac:dyDescent="0.2">
      <c r="B191" s="44" t="s">
        <v>618</v>
      </c>
      <c r="C191" s="45">
        <v>37330</v>
      </c>
      <c r="D191" s="52" t="s">
        <v>765</v>
      </c>
      <c r="E191" s="62">
        <v>34332.5</v>
      </c>
      <c r="F191" s="49">
        <v>34332.5</v>
      </c>
      <c r="G191" s="49">
        <v>29260.11</v>
      </c>
      <c r="H191" s="63" t="s">
        <v>766</v>
      </c>
      <c r="I191" s="47">
        <v>96.63</v>
      </c>
      <c r="J191" s="545">
        <f>SUM(G191-I191)</f>
        <v>29163.48</v>
      </c>
      <c r="K191" s="55"/>
    </row>
    <row r="192" spans="2:12" x14ac:dyDescent="0.2">
      <c r="B192" s="37" t="s">
        <v>445</v>
      </c>
      <c r="C192" s="64"/>
      <c r="D192" s="65"/>
      <c r="E192" s="54"/>
      <c r="F192" s="3"/>
      <c r="G192" s="3"/>
      <c r="I192" s="3"/>
      <c r="J192" s="3"/>
      <c r="K192" s="55"/>
    </row>
    <row r="193" spans="2:11" x14ac:dyDescent="0.2">
      <c r="B193" s="44" t="s">
        <v>377</v>
      </c>
      <c r="C193" s="66">
        <v>37330</v>
      </c>
      <c r="D193" s="67" t="s">
        <v>765</v>
      </c>
      <c r="E193" s="47">
        <v>269302.5</v>
      </c>
      <c r="F193" s="47">
        <v>688472.5</v>
      </c>
      <c r="G193" s="63">
        <f>138000+41625.31</f>
        <v>179625.31</v>
      </c>
      <c r="H193" s="48" t="s">
        <v>766</v>
      </c>
      <c r="I193" s="47">
        <v>226.37</v>
      </c>
      <c r="J193" s="545">
        <f>SUM(G193-I193)</f>
        <v>179398.94</v>
      </c>
      <c r="K193" s="55"/>
    </row>
    <row r="194" spans="2:11" x14ac:dyDescent="0.2">
      <c r="B194" s="398">
        <v>37012</v>
      </c>
      <c r="C194" s="399"/>
      <c r="D194" s="65"/>
      <c r="E194" s="40"/>
      <c r="F194" s="40"/>
      <c r="G194" s="40"/>
      <c r="H194" s="41"/>
      <c r="I194" s="40"/>
      <c r="J194" s="42"/>
      <c r="K194" s="55"/>
    </row>
    <row r="195" spans="2:11" x14ac:dyDescent="0.2">
      <c r="B195" s="44" t="s">
        <v>564</v>
      </c>
      <c r="C195" s="400">
        <v>37330</v>
      </c>
      <c r="D195" s="67" t="s">
        <v>765</v>
      </c>
      <c r="E195" s="47">
        <v>13915</v>
      </c>
      <c r="F195" s="47">
        <v>13915</v>
      </c>
      <c r="G195" s="63">
        <f>10000+2105.83</f>
        <v>12105.83</v>
      </c>
      <c r="H195" s="48"/>
      <c r="I195" s="47">
        <v>233</v>
      </c>
      <c r="J195" s="545">
        <f>SUM(G195-I195)</f>
        <v>11872.83</v>
      </c>
      <c r="K195" s="55"/>
    </row>
    <row r="196" spans="2:11" x14ac:dyDescent="0.2">
      <c r="B196" s="37">
        <v>35922</v>
      </c>
      <c r="C196" s="51"/>
      <c r="D196" s="52"/>
      <c r="E196" s="59"/>
      <c r="F196" s="59"/>
      <c r="G196" s="59"/>
      <c r="H196" s="62"/>
      <c r="I196" s="59"/>
      <c r="J196" s="56"/>
      <c r="K196" s="55"/>
    </row>
    <row r="197" spans="2:11" x14ac:dyDescent="0.2">
      <c r="B197" s="37" t="s">
        <v>598</v>
      </c>
      <c r="C197" s="51">
        <v>36951</v>
      </c>
      <c r="D197" s="52" t="s">
        <v>765</v>
      </c>
      <c r="E197" s="59">
        <v>84867.57</v>
      </c>
      <c r="F197" s="59">
        <v>87860</v>
      </c>
      <c r="G197" s="59">
        <v>90910</v>
      </c>
      <c r="H197" s="62" t="s">
        <v>614</v>
      </c>
      <c r="I197" s="59"/>
      <c r="J197" s="379">
        <f>G197-(I197+I198)</f>
        <v>90730.26</v>
      </c>
      <c r="K197" s="55"/>
    </row>
    <row r="198" spans="2:11" x14ac:dyDescent="0.2">
      <c r="B198" s="44" t="s">
        <v>625</v>
      </c>
      <c r="C198" s="45">
        <v>40558</v>
      </c>
      <c r="D198" s="46" t="s">
        <v>765</v>
      </c>
      <c r="E198" s="59"/>
      <c r="F198" s="59"/>
      <c r="G198" s="59"/>
      <c r="H198" s="62" t="s">
        <v>627</v>
      </c>
      <c r="I198" s="59">
        <v>179.74</v>
      </c>
      <c r="J198" s="554"/>
      <c r="K198" s="55"/>
    </row>
    <row r="199" spans="2:11" x14ac:dyDescent="0.2">
      <c r="B199" s="69">
        <v>36426</v>
      </c>
      <c r="C199" s="38">
        <v>36651</v>
      </c>
      <c r="D199" s="70"/>
      <c r="E199" s="42"/>
      <c r="F199" s="40"/>
      <c r="G199" s="40"/>
      <c r="H199" s="41"/>
      <c r="I199" s="40"/>
      <c r="J199" s="40"/>
      <c r="K199" s="55"/>
    </row>
    <row r="200" spans="2:11" x14ac:dyDescent="0.2">
      <c r="B200" s="52" t="s">
        <v>600</v>
      </c>
      <c r="C200" s="51">
        <v>36951</v>
      </c>
      <c r="D200" s="22" t="s">
        <v>765</v>
      </c>
      <c r="E200" s="56">
        <v>96298.47</v>
      </c>
      <c r="F200" s="59">
        <v>107352.5</v>
      </c>
      <c r="G200" s="59">
        <v>106862.5</v>
      </c>
      <c r="H200" s="62" t="s">
        <v>205</v>
      </c>
      <c r="I200" s="59">
        <v>10836.77</v>
      </c>
      <c r="J200" s="379">
        <f>G200-(I200+I201)</f>
        <v>96025.73</v>
      </c>
      <c r="K200" s="55"/>
    </row>
    <row r="201" spans="2:11" x14ac:dyDescent="0.2">
      <c r="B201" s="46" t="s">
        <v>625</v>
      </c>
      <c r="C201" s="45">
        <v>40558</v>
      </c>
      <c r="D201" s="71" t="s">
        <v>765</v>
      </c>
      <c r="E201" s="49"/>
      <c r="F201" s="47"/>
      <c r="G201" s="47"/>
      <c r="H201" s="48" t="s">
        <v>627</v>
      </c>
      <c r="I201" s="47"/>
      <c r="J201" s="545"/>
      <c r="K201" s="55"/>
    </row>
    <row r="202" spans="2:11" x14ac:dyDescent="0.2">
      <c r="B202" s="50">
        <v>36650</v>
      </c>
      <c r="C202" s="51">
        <v>36791</v>
      </c>
      <c r="D202" s="52"/>
      <c r="E202" s="56"/>
      <c r="F202" s="59"/>
      <c r="G202" s="59"/>
      <c r="H202" s="62"/>
      <c r="I202" s="59"/>
      <c r="J202" s="59"/>
      <c r="K202" s="55"/>
    </row>
    <row r="203" spans="2:11" x14ac:dyDescent="0.2">
      <c r="B203" s="3" t="s">
        <v>471</v>
      </c>
      <c r="C203" s="51">
        <v>36951</v>
      </c>
      <c r="D203" s="52" t="s">
        <v>765</v>
      </c>
      <c r="E203" s="5"/>
      <c r="F203" s="5"/>
      <c r="G203" s="5"/>
      <c r="H203" s="36"/>
      <c r="I203" s="3"/>
      <c r="J203" s="5"/>
      <c r="K203" s="55"/>
    </row>
    <row r="204" spans="2:11" x14ac:dyDescent="0.2">
      <c r="B204" s="2" t="s">
        <v>625</v>
      </c>
      <c r="C204" s="45">
        <v>40558</v>
      </c>
      <c r="D204" s="46" t="s">
        <v>765</v>
      </c>
      <c r="E204" s="49">
        <v>25989.7</v>
      </c>
      <c r="F204" s="47">
        <v>26440</v>
      </c>
      <c r="G204" s="47">
        <v>27750</v>
      </c>
      <c r="H204" s="48" t="s">
        <v>627</v>
      </c>
      <c r="I204" s="47">
        <v>137.1</v>
      </c>
      <c r="J204" s="545">
        <f>SUM(G204-I204)</f>
        <v>27612.9</v>
      </c>
      <c r="K204" s="52"/>
    </row>
    <row r="205" spans="2:11" x14ac:dyDescent="0.2">
      <c r="B205" s="50">
        <v>39205</v>
      </c>
      <c r="C205" s="51">
        <v>39835</v>
      </c>
      <c r="D205" s="52" t="s">
        <v>673</v>
      </c>
      <c r="E205" s="56"/>
      <c r="F205" s="59"/>
      <c r="G205" s="59"/>
      <c r="H205" s="62"/>
      <c r="I205" s="59"/>
      <c r="J205" s="554"/>
      <c r="K205" s="52"/>
    </row>
    <row r="206" spans="2:11" x14ac:dyDescent="0.2">
      <c r="B206" s="2" t="s">
        <v>60</v>
      </c>
      <c r="C206" s="45">
        <v>40564</v>
      </c>
      <c r="D206" s="46" t="s">
        <v>765</v>
      </c>
      <c r="G206" s="47"/>
      <c r="H206" s="48"/>
      <c r="I206" s="47"/>
      <c r="K206" s="52"/>
    </row>
    <row r="207" spans="2:11" x14ac:dyDescent="0.2">
      <c r="B207" s="2" t="s">
        <v>625</v>
      </c>
      <c r="C207" s="45">
        <v>40558</v>
      </c>
      <c r="D207" s="46" t="s">
        <v>765</v>
      </c>
      <c r="E207" s="49">
        <v>51057.85</v>
      </c>
      <c r="F207" s="47">
        <v>51980</v>
      </c>
      <c r="G207" s="47">
        <v>50780</v>
      </c>
      <c r="H207" s="48" t="s">
        <v>627</v>
      </c>
      <c r="I207" s="48">
        <v>571.23</v>
      </c>
      <c r="J207" s="545">
        <f>SUM(G207-I207)</f>
        <v>50208.77</v>
      </c>
      <c r="K207" s="52"/>
    </row>
    <row r="208" spans="2:11" x14ac:dyDescent="0.2">
      <c r="B208" s="470" t="s">
        <v>603</v>
      </c>
      <c r="C208" s="471"/>
      <c r="D208" s="471"/>
      <c r="E208" s="472">
        <v>867410.43</v>
      </c>
      <c r="F208" s="473">
        <f>SUM(F182:F207)</f>
        <v>1807029.96</v>
      </c>
      <c r="G208" s="473">
        <f>SUM(G182:G207)</f>
        <v>1260776.7766</v>
      </c>
      <c r="H208" s="474"/>
      <c r="I208" s="474">
        <f>SUM(I182:I207)</f>
        <v>439252.79119999998</v>
      </c>
      <c r="J208" s="472">
        <f>SUM(J182:J207)</f>
        <v>821523.98539999989</v>
      </c>
      <c r="K208" s="67" t="s">
        <v>192</v>
      </c>
    </row>
    <row r="210" spans="2:12" x14ac:dyDescent="0.2">
      <c r="B210" s="4"/>
      <c r="I210" s="1" t="s">
        <v>758</v>
      </c>
      <c r="J210" s="6">
        <f>G208-I208</f>
        <v>821523.98540000001</v>
      </c>
    </row>
    <row r="211" spans="2:12" x14ac:dyDescent="0.2">
      <c r="C211" s="1"/>
      <c r="D211" s="72"/>
      <c r="E211" s="32" t="s">
        <v>785</v>
      </c>
      <c r="F211" s="32" t="s">
        <v>786</v>
      </c>
      <c r="G211" s="32" t="s">
        <v>787</v>
      </c>
      <c r="H211" s="32"/>
      <c r="I211" s="32" t="s">
        <v>623</v>
      </c>
      <c r="J211" s="32" t="s">
        <v>788</v>
      </c>
    </row>
    <row r="212" spans="2:12" x14ac:dyDescent="0.2">
      <c r="B212" s="424"/>
      <c r="C212" s="425"/>
      <c r="D212" s="425"/>
      <c r="E212" s="425"/>
      <c r="F212" s="425"/>
      <c r="G212" s="426" t="s">
        <v>16</v>
      </c>
      <c r="H212" s="425"/>
      <c r="I212" s="425"/>
      <c r="J212" s="427"/>
      <c r="K212" s="453" t="s">
        <v>23</v>
      </c>
    </row>
    <row r="213" spans="2:12" x14ac:dyDescent="0.2">
      <c r="B213" s="37">
        <v>31904</v>
      </c>
      <c r="C213" s="38">
        <v>32021</v>
      </c>
      <c r="D213" s="39" t="s">
        <v>765</v>
      </c>
      <c r="E213" s="40"/>
      <c r="F213" s="40">
        <v>0</v>
      </c>
      <c r="G213" s="40">
        <v>0</v>
      </c>
      <c r="H213" s="41" t="s">
        <v>766</v>
      </c>
      <c r="I213" s="41"/>
      <c r="J213" s="42">
        <f>SUM(G213-I213)</f>
        <v>0</v>
      </c>
      <c r="K213" s="65"/>
      <c r="L213" s="251"/>
    </row>
    <row r="214" spans="2:12" x14ac:dyDescent="0.2">
      <c r="B214" s="44" t="s">
        <v>536</v>
      </c>
      <c r="C214" s="45"/>
      <c r="D214" s="46"/>
      <c r="E214" s="47"/>
      <c r="F214" s="47"/>
      <c r="G214" s="47"/>
      <c r="H214" s="48"/>
      <c r="I214" s="48"/>
      <c r="J214" s="49"/>
      <c r="K214" s="55"/>
    </row>
    <row r="215" spans="2:12" x14ac:dyDescent="0.2">
      <c r="B215" s="50">
        <v>35368</v>
      </c>
      <c r="C215" s="51"/>
      <c r="D215" s="52"/>
      <c r="E215" s="53"/>
      <c r="F215" s="53"/>
      <c r="G215" s="53"/>
      <c r="I215" s="54"/>
      <c r="J215" s="53"/>
      <c r="K215" s="55"/>
    </row>
    <row r="216" spans="2:12" x14ac:dyDescent="0.2">
      <c r="B216" s="50" t="s">
        <v>624</v>
      </c>
      <c r="C216" s="51">
        <v>36951</v>
      </c>
      <c r="D216" s="52" t="s">
        <v>765</v>
      </c>
      <c r="E216" s="56">
        <v>35461</v>
      </c>
      <c r="F216" s="59">
        <f>'LONG-TERM DEBT'!V57+'LONG-TERM DEBT'!V97</f>
        <v>101587.5</v>
      </c>
      <c r="G216" s="59">
        <f>'LONG-TERM DEBT'!W57+'LONG-TERM DEBT'!W97</f>
        <v>104037.5</v>
      </c>
      <c r="H216" s="62" t="s">
        <v>665</v>
      </c>
      <c r="I216" s="62">
        <v>66000</v>
      </c>
      <c r="J216" s="379">
        <f>G216-(I216+I217)</f>
        <v>37910.089999999997</v>
      </c>
      <c r="K216" s="55"/>
    </row>
    <row r="217" spans="2:12" x14ac:dyDescent="0.2">
      <c r="B217" s="44" t="s">
        <v>625</v>
      </c>
      <c r="C217" s="45">
        <v>40558</v>
      </c>
      <c r="D217" s="46" t="s">
        <v>765</v>
      </c>
      <c r="E217" s="49"/>
      <c r="F217" s="47"/>
      <c r="G217" s="47"/>
      <c r="H217" s="28" t="s">
        <v>626</v>
      </c>
      <c r="I217" s="47">
        <v>127.41</v>
      </c>
      <c r="J217" s="543"/>
      <c r="K217" s="55"/>
    </row>
    <row r="218" spans="2:12" x14ac:dyDescent="0.2">
      <c r="B218" s="37">
        <v>35558</v>
      </c>
      <c r="C218" s="51">
        <v>35993</v>
      </c>
      <c r="D218" s="55" t="s">
        <v>673</v>
      </c>
      <c r="E218" s="56">
        <v>0</v>
      </c>
      <c r="F218" s="56"/>
      <c r="G218" s="57">
        <v>0</v>
      </c>
      <c r="H218" s="58" t="s">
        <v>674</v>
      </c>
      <c r="I218" s="40"/>
      <c r="J218" s="56">
        <f>SUM(G218-I218)</f>
        <v>0</v>
      </c>
      <c r="K218" s="55" t="s">
        <v>143</v>
      </c>
    </row>
    <row r="219" spans="2:12" x14ac:dyDescent="0.2">
      <c r="B219" s="37" t="s">
        <v>747</v>
      </c>
      <c r="C219" s="51"/>
      <c r="D219" s="52" t="s">
        <v>765</v>
      </c>
      <c r="E219" s="47">
        <v>301101</v>
      </c>
      <c r="F219" s="59">
        <v>661895.53</v>
      </c>
      <c r="G219" s="567">
        <v>619939</v>
      </c>
      <c r="H219" s="60"/>
      <c r="I219" s="568">
        <v>357064.85</v>
      </c>
      <c r="J219" s="544">
        <f>SUM(G219-I219)</f>
        <v>262874.15000000002</v>
      </c>
      <c r="K219" s="55" t="s">
        <v>144</v>
      </c>
      <c r="L219" s="1" t="s">
        <v>633</v>
      </c>
    </row>
    <row r="220" spans="2:12" x14ac:dyDescent="0.2">
      <c r="B220" s="44"/>
      <c r="C220" s="45"/>
      <c r="D220" s="46" t="s">
        <v>673</v>
      </c>
      <c r="E220" s="49"/>
      <c r="G220" s="59"/>
      <c r="H220" s="60"/>
      <c r="I220" s="59"/>
      <c r="J220" s="56"/>
      <c r="K220" s="55">
        <v>298001.21999999997</v>
      </c>
    </row>
    <row r="221" spans="2:12" x14ac:dyDescent="0.2">
      <c r="B221" s="37">
        <v>35558</v>
      </c>
      <c r="C221" s="51">
        <v>35972</v>
      </c>
      <c r="D221" s="52"/>
      <c r="E221" s="62"/>
      <c r="F221" s="42"/>
      <c r="G221" s="42"/>
      <c r="H221" s="58"/>
      <c r="I221" s="40"/>
      <c r="J221" s="40"/>
      <c r="K221" s="55"/>
    </row>
    <row r="222" spans="2:12" x14ac:dyDescent="0.2">
      <c r="B222" s="44" t="s">
        <v>618</v>
      </c>
      <c r="C222" s="45">
        <v>37330</v>
      </c>
      <c r="D222" s="52" t="s">
        <v>765</v>
      </c>
      <c r="E222" s="62">
        <v>29163</v>
      </c>
      <c r="F222" s="49">
        <f>'LONG-TERM DEBT'!V63+'LONG-TERM DEBT'!V103</f>
        <v>29260.11</v>
      </c>
      <c r="G222" s="49">
        <f>'LONG-TERM DEBT'!W63+'LONG-TERM DEBT'!W103</f>
        <v>31800</v>
      </c>
      <c r="H222" s="63" t="s">
        <v>766</v>
      </c>
      <c r="I222" s="47">
        <v>96.63</v>
      </c>
      <c r="J222" s="545">
        <f>SUM(G222-I222)</f>
        <v>31703.37</v>
      </c>
      <c r="K222" s="55"/>
    </row>
    <row r="223" spans="2:12" x14ac:dyDescent="0.2">
      <c r="B223" s="37" t="s">
        <v>445</v>
      </c>
      <c r="C223" s="64"/>
      <c r="D223" s="65"/>
      <c r="E223" s="54"/>
      <c r="F223" s="3"/>
      <c r="G223" s="3"/>
      <c r="I223" s="3"/>
      <c r="J223" s="3"/>
      <c r="K223" s="55"/>
    </row>
    <row r="224" spans="2:12" x14ac:dyDescent="0.2">
      <c r="B224" s="44" t="s">
        <v>377</v>
      </c>
      <c r="C224" s="66">
        <v>37330</v>
      </c>
      <c r="D224" s="67" t="s">
        <v>765</v>
      </c>
      <c r="E224" s="47">
        <v>179399</v>
      </c>
      <c r="F224" s="47">
        <f>'LONG-TERM DEBT'!V65+'LONG-TERM DEBT'!V105</f>
        <v>179625.31</v>
      </c>
      <c r="G224" s="47">
        <f>'LONG-TERM DEBT'!W65+'LONG-TERM DEBT'!W105</f>
        <v>178750</v>
      </c>
      <c r="H224" s="48" t="s">
        <v>766</v>
      </c>
      <c r="I224" s="47">
        <v>226.37</v>
      </c>
      <c r="J224" s="545">
        <f>SUM(G224-I224)</f>
        <v>178523.63</v>
      </c>
      <c r="K224" s="55"/>
    </row>
    <row r="225" spans="2:11" x14ac:dyDescent="0.2">
      <c r="B225" s="398">
        <v>37012</v>
      </c>
      <c r="C225" s="399"/>
      <c r="D225" s="65"/>
      <c r="E225" s="40"/>
      <c r="F225" s="40"/>
      <c r="G225" s="40"/>
      <c r="H225" s="41"/>
      <c r="I225" s="40"/>
      <c r="J225" s="42"/>
      <c r="K225" s="55"/>
    </row>
    <row r="226" spans="2:11" x14ac:dyDescent="0.2">
      <c r="B226" s="44" t="s">
        <v>564</v>
      </c>
      <c r="C226" s="400">
        <v>37330</v>
      </c>
      <c r="D226" s="67" t="s">
        <v>765</v>
      </c>
      <c r="E226" s="47">
        <v>11873</v>
      </c>
      <c r="F226" s="47">
        <f>'LONG-TERM DEBT'!V66+'LONG-TERM DEBT'!V106</f>
        <v>12105.83</v>
      </c>
      <c r="G226" s="47">
        <f>'LONG-TERM DEBT'!W66+'LONG-TERM DEBT'!W106</f>
        <v>11900</v>
      </c>
      <c r="H226" s="48"/>
      <c r="I226" s="47">
        <v>233</v>
      </c>
      <c r="J226" s="545">
        <f>SUM(G226-I226)</f>
        <v>11667</v>
      </c>
      <c r="K226" s="55"/>
    </row>
    <row r="227" spans="2:11" x14ac:dyDescent="0.2">
      <c r="B227" s="37">
        <v>35922</v>
      </c>
      <c r="C227" s="51"/>
      <c r="D227" s="52"/>
      <c r="E227" s="59"/>
      <c r="F227" s="59"/>
      <c r="G227" s="59"/>
      <c r="H227" s="62"/>
      <c r="I227" s="59"/>
      <c r="J227" s="56"/>
      <c r="K227" s="55"/>
    </row>
    <row r="228" spans="2:11" x14ac:dyDescent="0.2">
      <c r="B228" s="37" t="s">
        <v>598</v>
      </c>
      <c r="C228" s="51">
        <v>36951</v>
      </c>
      <c r="D228" s="52" t="s">
        <v>765</v>
      </c>
      <c r="E228" s="59">
        <v>90730</v>
      </c>
      <c r="F228" s="59">
        <f>'LONG-TERM DEBT'!V58+'LONG-TERM DEBT'!V98</f>
        <v>90910</v>
      </c>
      <c r="G228" s="59">
        <f>'LONG-TERM DEBT'!W58+'LONG-TERM DEBT'!W98</f>
        <v>93810</v>
      </c>
      <c r="H228" s="62" t="s">
        <v>614</v>
      </c>
      <c r="I228" s="59"/>
      <c r="J228" s="379">
        <f>G228-(I228+I229)</f>
        <v>93630.26</v>
      </c>
      <c r="K228" s="55"/>
    </row>
    <row r="229" spans="2:11" x14ac:dyDescent="0.2">
      <c r="B229" s="44" t="s">
        <v>625</v>
      </c>
      <c r="C229" s="45">
        <v>40558</v>
      </c>
      <c r="D229" s="46" t="s">
        <v>765</v>
      </c>
      <c r="E229" s="59"/>
      <c r="F229" s="59"/>
      <c r="G229" s="59"/>
      <c r="H229" s="62" t="s">
        <v>627</v>
      </c>
      <c r="I229" s="59">
        <v>179.74</v>
      </c>
      <c r="J229" s="554"/>
      <c r="K229" s="55"/>
    </row>
    <row r="230" spans="2:11" x14ac:dyDescent="0.2">
      <c r="B230" s="69">
        <v>36426</v>
      </c>
      <c r="C230" s="38">
        <v>36651</v>
      </c>
      <c r="D230" s="70"/>
      <c r="E230" s="42"/>
      <c r="F230" s="40"/>
      <c r="G230" s="40"/>
      <c r="H230" s="41"/>
      <c r="I230" s="40"/>
      <c r="J230" s="40"/>
      <c r="K230" s="55"/>
    </row>
    <row r="231" spans="2:11" x14ac:dyDescent="0.2">
      <c r="B231" s="52" t="s">
        <v>600</v>
      </c>
      <c r="C231" s="51">
        <v>36951</v>
      </c>
      <c r="D231" s="22" t="s">
        <v>765</v>
      </c>
      <c r="E231" s="56">
        <v>96026</v>
      </c>
      <c r="F231" s="59">
        <f>'LONG-TERM DEBT'!V56+'LONG-TERM DEBT'!V96+8500+2186.25</f>
        <v>106862.5</v>
      </c>
      <c r="G231" s="59">
        <f>'LONG-TERM DEBT'!W56+'LONG-TERM DEBT'!W96+9000+1931.25</f>
        <v>109312.5</v>
      </c>
      <c r="H231" s="62" t="s">
        <v>205</v>
      </c>
      <c r="I231" s="59">
        <v>10836.77</v>
      </c>
      <c r="J231" s="379">
        <f>G231-(I231+I232)</f>
        <v>98475.73</v>
      </c>
      <c r="K231" s="55"/>
    </row>
    <row r="232" spans="2:11" x14ac:dyDescent="0.2">
      <c r="B232" s="46" t="s">
        <v>625</v>
      </c>
      <c r="C232" s="45">
        <v>40558</v>
      </c>
      <c r="D232" s="71" t="s">
        <v>765</v>
      </c>
      <c r="E232" s="49"/>
      <c r="F232" s="47"/>
      <c r="G232" s="47"/>
      <c r="H232" s="48" t="s">
        <v>627</v>
      </c>
      <c r="I232" s="47"/>
      <c r="J232" s="545"/>
      <c r="K232" s="55"/>
    </row>
    <row r="233" spans="2:11" x14ac:dyDescent="0.2">
      <c r="B233" s="50">
        <v>36650</v>
      </c>
      <c r="C233" s="51">
        <v>36791</v>
      </c>
      <c r="D233" s="52"/>
      <c r="E233" s="56"/>
      <c r="F233" s="59"/>
      <c r="G233" s="59"/>
      <c r="H233" s="62"/>
      <c r="I233" s="59"/>
      <c r="J233" s="59"/>
      <c r="K233" s="55"/>
    </row>
    <row r="234" spans="2:11" x14ac:dyDescent="0.2">
      <c r="B234" s="3" t="s">
        <v>471</v>
      </c>
      <c r="C234" s="51">
        <v>36951</v>
      </c>
      <c r="D234" s="52" t="s">
        <v>765</v>
      </c>
      <c r="E234" s="5"/>
      <c r="F234" s="5"/>
      <c r="G234" s="5"/>
      <c r="H234" s="36"/>
      <c r="I234" s="3"/>
      <c r="J234" s="5"/>
      <c r="K234" s="55"/>
    </row>
    <row r="235" spans="2:11" x14ac:dyDescent="0.2">
      <c r="B235" s="2" t="s">
        <v>625</v>
      </c>
      <c r="C235" s="45">
        <v>40558</v>
      </c>
      <c r="D235" s="46" t="s">
        <v>765</v>
      </c>
      <c r="E235" s="49">
        <v>27613</v>
      </c>
      <c r="F235" s="47">
        <v>27750</v>
      </c>
      <c r="G235" s="47">
        <v>27000</v>
      </c>
      <c r="H235" s="48" t="s">
        <v>627</v>
      </c>
      <c r="I235" s="47">
        <v>137.1</v>
      </c>
      <c r="J235" s="545">
        <f>SUM(G235-I235)</f>
        <v>26862.9</v>
      </c>
      <c r="K235" s="52"/>
    </row>
    <row r="236" spans="2:11" x14ac:dyDescent="0.2">
      <c r="B236" s="50">
        <v>39205</v>
      </c>
      <c r="C236" s="51">
        <v>39835</v>
      </c>
      <c r="D236" s="52" t="s">
        <v>673</v>
      </c>
      <c r="E236" s="56"/>
      <c r="F236" s="59"/>
      <c r="G236" s="59"/>
      <c r="H236" s="62"/>
      <c r="I236" s="59"/>
      <c r="J236" s="554"/>
      <c r="K236" s="52"/>
    </row>
    <row r="237" spans="2:11" x14ac:dyDescent="0.2">
      <c r="B237" s="2" t="s">
        <v>60</v>
      </c>
      <c r="C237" s="45">
        <v>40564</v>
      </c>
      <c r="D237" s="46" t="s">
        <v>765</v>
      </c>
      <c r="G237" s="47"/>
      <c r="H237" s="48"/>
      <c r="I237" s="47"/>
      <c r="K237" s="52"/>
    </row>
    <row r="238" spans="2:11" x14ac:dyDescent="0.2">
      <c r="B238" s="2" t="s">
        <v>625</v>
      </c>
      <c r="C238" s="45">
        <v>40558</v>
      </c>
      <c r="D238" s="46" t="s">
        <v>765</v>
      </c>
      <c r="E238" s="49">
        <v>50209</v>
      </c>
      <c r="F238" s="47">
        <f>'LONG-TERM DEBT'!V61+'LONG-TERM DEBT'!V101</f>
        <v>50780</v>
      </c>
      <c r="G238" s="47">
        <f>'LONG-TERM DEBT'!W61+'LONG-TERM DEBT'!W101</f>
        <v>49580</v>
      </c>
      <c r="H238" s="48" t="s">
        <v>627</v>
      </c>
      <c r="I238" s="48">
        <v>571.23</v>
      </c>
      <c r="J238" s="545">
        <f>SUM(G238-I238)</f>
        <v>49008.77</v>
      </c>
      <c r="K238" s="52"/>
    </row>
    <row r="239" spans="2:11" x14ac:dyDescent="0.2">
      <c r="B239" s="470" t="s">
        <v>603</v>
      </c>
      <c r="C239" s="471"/>
      <c r="D239" s="471"/>
      <c r="E239" s="473">
        <f>SUM(E213:E238)</f>
        <v>821575</v>
      </c>
      <c r="F239" s="473">
        <f>SUM(F213:F238)</f>
        <v>1260776.7799999998</v>
      </c>
      <c r="G239" s="473">
        <f>SUM(G213:G238)</f>
        <v>1226129</v>
      </c>
      <c r="H239" s="474"/>
      <c r="I239" s="474">
        <f>SUM(I213:I238)</f>
        <v>435473.1</v>
      </c>
      <c r="J239" s="472">
        <f>SUM(J213:J238)</f>
        <v>790655.9</v>
      </c>
      <c r="K239" s="67" t="s">
        <v>192</v>
      </c>
    </row>
    <row r="240" spans="2:11" x14ac:dyDescent="0.2">
      <c r="B240" s="558"/>
      <c r="C240" s="32"/>
      <c r="D240" s="32"/>
      <c r="E240" s="559"/>
      <c r="F240" s="559"/>
      <c r="G240" s="559"/>
      <c r="H240" s="559"/>
      <c r="I240" s="559"/>
      <c r="J240" s="559"/>
      <c r="K240" s="22"/>
    </row>
    <row r="241" spans="2:12" x14ac:dyDescent="0.2">
      <c r="B241" s="558"/>
      <c r="C241" s="32"/>
      <c r="D241" s="32"/>
      <c r="E241" s="559"/>
      <c r="F241" s="559"/>
      <c r="G241" s="559"/>
      <c r="H241" s="559"/>
      <c r="I241" s="559"/>
      <c r="J241" s="559"/>
      <c r="K241" s="22"/>
    </row>
    <row r="242" spans="2:12" x14ac:dyDescent="0.2">
      <c r="C242" s="1"/>
      <c r="D242" s="72"/>
      <c r="E242" s="32" t="s">
        <v>183</v>
      </c>
      <c r="F242" s="32" t="s">
        <v>125</v>
      </c>
      <c r="G242" s="32" t="s">
        <v>126</v>
      </c>
      <c r="H242" s="32"/>
      <c r="I242" s="32" t="s">
        <v>623</v>
      </c>
      <c r="J242" s="32" t="s">
        <v>197</v>
      </c>
    </row>
    <row r="243" spans="2:12" x14ac:dyDescent="0.2">
      <c r="B243" s="424"/>
      <c r="C243" s="425"/>
      <c r="D243" s="425"/>
      <c r="E243" s="425"/>
      <c r="F243" s="425"/>
      <c r="G243" s="426" t="s">
        <v>196</v>
      </c>
      <c r="H243" s="425"/>
      <c r="I243" s="425"/>
      <c r="J243" s="427"/>
      <c r="K243" s="453" t="s">
        <v>23</v>
      </c>
    </row>
    <row r="244" spans="2:12" x14ac:dyDescent="0.2">
      <c r="B244" s="37">
        <v>31904</v>
      </c>
      <c r="C244" s="38">
        <v>32021</v>
      </c>
      <c r="D244" s="39" t="s">
        <v>765</v>
      </c>
      <c r="E244" s="40"/>
      <c r="F244" s="40">
        <v>0</v>
      </c>
      <c r="G244" s="40">
        <v>0</v>
      </c>
      <c r="H244" s="41" t="s">
        <v>766</v>
      </c>
      <c r="I244" s="41"/>
      <c r="J244" s="42">
        <f>SUM(G244-I244)</f>
        <v>0</v>
      </c>
      <c r="K244" s="65"/>
      <c r="L244" s="251"/>
    </row>
    <row r="245" spans="2:12" x14ac:dyDescent="0.2">
      <c r="B245" s="44" t="s">
        <v>536</v>
      </c>
      <c r="C245" s="45"/>
      <c r="D245" s="46"/>
      <c r="E245" s="47"/>
      <c r="F245" s="47"/>
      <c r="G245" s="47"/>
      <c r="H245" s="48"/>
      <c r="I245" s="48"/>
      <c r="J245" s="49"/>
      <c r="K245" s="55"/>
    </row>
    <row r="246" spans="2:12" x14ac:dyDescent="0.2">
      <c r="B246" s="50">
        <v>35368</v>
      </c>
      <c r="C246" s="51"/>
      <c r="D246" s="52"/>
      <c r="E246" s="53"/>
      <c r="F246" s="53"/>
      <c r="G246" s="53"/>
      <c r="I246" s="54"/>
      <c r="J246" s="53"/>
      <c r="K246" s="55"/>
    </row>
    <row r="247" spans="2:12" x14ac:dyDescent="0.2">
      <c r="B247" s="50" t="s">
        <v>624</v>
      </c>
      <c r="C247" s="51">
        <v>36951</v>
      </c>
      <c r="D247" s="52" t="s">
        <v>765</v>
      </c>
      <c r="E247" s="56">
        <v>37910</v>
      </c>
      <c r="F247" s="59">
        <f>'LONG-TERM DEBT'!W57+'LONG-TERM DEBT'!W97</f>
        <v>104037.5</v>
      </c>
      <c r="G247" s="59">
        <f>'LONG-TERM DEBT'!X57+'LONG-TERM DEBT'!X97</f>
        <v>105437.5</v>
      </c>
      <c r="H247" s="62" t="s">
        <v>665</v>
      </c>
      <c r="I247" s="62">
        <v>66000</v>
      </c>
      <c r="J247" s="379">
        <f>G247-(I247+I248)</f>
        <v>39310.089999999997</v>
      </c>
      <c r="K247" s="55"/>
    </row>
    <row r="248" spans="2:12" x14ac:dyDescent="0.2">
      <c r="B248" s="44" t="s">
        <v>625</v>
      </c>
      <c r="C248" s="45">
        <v>40558</v>
      </c>
      <c r="D248" s="46" t="s">
        <v>765</v>
      </c>
      <c r="E248" s="49"/>
      <c r="F248" s="47"/>
      <c r="G248" s="47"/>
      <c r="H248" s="28" t="s">
        <v>626</v>
      </c>
      <c r="I248" s="47">
        <v>127.41</v>
      </c>
      <c r="J248" s="543"/>
      <c r="K248" s="55"/>
    </row>
    <row r="249" spans="2:12" x14ac:dyDescent="0.2">
      <c r="B249" s="37">
        <v>35558</v>
      </c>
      <c r="C249" s="51">
        <v>35993</v>
      </c>
      <c r="D249" s="55" t="s">
        <v>673</v>
      </c>
      <c r="E249" s="56">
        <v>0</v>
      </c>
      <c r="F249" s="56"/>
      <c r="G249" s="57">
        <v>0</v>
      </c>
      <c r="H249" s="58" t="s">
        <v>674</v>
      </c>
      <c r="I249" s="40"/>
      <c r="J249" s="56">
        <f>SUM(G249-I249)</f>
        <v>0</v>
      </c>
      <c r="K249" s="55"/>
    </row>
    <row r="250" spans="2:12" x14ac:dyDescent="0.2">
      <c r="B250" s="37" t="s">
        <v>747</v>
      </c>
      <c r="C250" s="51"/>
      <c r="D250" s="52" t="s">
        <v>765</v>
      </c>
      <c r="E250" s="47">
        <v>298001.28999999998</v>
      </c>
      <c r="F250" s="59">
        <v>655066.14</v>
      </c>
      <c r="G250" s="60">
        <v>632705.85</v>
      </c>
      <c r="H250" s="60"/>
      <c r="I250" s="583">
        <v>344523.17</v>
      </c>
      <c r="J250" s="544">
        <f>SUM(G250-I250)</f>
        <v>288182.68</v>
      </c>
      <c r="K250" s="55"/>
      <c r="L250" s="1" t="s">
        <v>749</v>
      </c>
    </row>
    <row r="251" spans="2:12" x14ac:dyDescent="0.2">
      <c r="B251" s="44"/>
      <c r="C251" s="45"/>
      <c r="D251" s="46" t="s">
        <v>673</v>
      </c>
      <c r="E251" s="49"/>
      <c r="G251" s="59"/>
      <c r="H251" s="60"/>
      <c r="I251" s="59"/>
      <c r="J251" s="56"/>
      <c r="K251" s="55"/>
    </row>
    <row r="252" spans="2:12" x14ac:dyDescent="0.2">
      <c r="B252" s="37">
        <v>35558</v>
      </c>
      <c r="C252" s="51">
        <v>35972</v>
      </c>
      <c r="D252" s="52"/>
      <c r="E252" s="62"/>
      <c r="F252" s="42"/>
      <c r="G252" s="42"/>
      <c r="H252" s="58"/>
      <c r="I252" s="40"/>
      <c r="J252" s="40"/>
      <c r="K252" s="55"/>
    </row>
    <row r="253" spans="2:12" x14ac:dyDescent="0.2">
      <c r="B253" s="44" t="s">
        <v>618</v>
      </c>
      <c r="C253" s="45">
        <v>37330</v>
      </c>
      <c r="D253" s="52" t="s">
        <v>765</v>
      </c>
      <c r="E253" s="62">
        <v>31703</v>
      </c>
      <c r="F253" s="49">
        <f>'LONG-TERM DEBT'!W63+'LONG-TERM DEBT'!W103</f>
        <v>31800</v>
      </c>
      <c r="G253" s="49">
        <f>'LONG-TERM DEBT'!X63+'LONG-TERM DEBT'!X103</f>
        <v>31050</v>
      </c>
      <c r="H253" s="63" t="s">
        <v>766</v>
      </c>
      <c r="I253" s="47">
        <v>96.63</v>
      </c>
      <c r="J253" s="545">
        <f>SUM(G253-I253)</f>
        <v>30953.37</v>
      </c>
      <c r="K253" s="55"/>
    </row>
    <row r="254" spans="2:12" x14ac:dyDescent="0.2">
      <c r="B254" s="37" t="s">
        <v>445</v>
      </c>
      <c r="C254" s="64"/>
      <c r="D254" s="65"/>
      <c r="E254" s="54"/>
      <c r="F254" s="3"/>
      <c r="G254" s="3"/>
      <c r="I254" s="3"/>
      <c r="J254" s="3"/>
      <c r="K254" s="55"/>
    </row>
    <row r="255" spans="2:12" x14ac:dyDescent="0.2">
      <c r="B255" s="44" t="s">
        <v>377</v>
      </c>
      <c r="C255" s="66">
        <v>37330</v>
      </c>
      <c r="D255" s="67" t="s">
        <v>765</v>
      </c>
      <c r="E255" s="47">
        <v>178524</v>
      </c>
      <c r="F255" s="47">
        <f>'LONG-TERM DEBT'!W65+'LONG-TERM DEBT'!W105</f>
        <v>178750</v>
      </c>
      <c r="G255" s="47">
        <f>'LONG-TERM DEBT'!X65+'LONG-TERM DEBT'!X105</f>
        <v>179550</v>
      </c>
      <c r="H255" s="48" t="s">
        <v>766</v>
      </c>
      <c r="I255" s="47">
        <v>226.37</v>
      </c>
      <c r="J255" s="545">
        <f>SUM(G255-I255)</f>
        <v>179323.63</v>
      </c>
      <c r="K255" s="55"/>
    </row>
    <row r="256" spans="2:12" x14ac:dyDescent="0.2">
      <c r="B256" s="398">
        <v>37012</v>
      </c>
      <c r="C256" s="399"/>
      <c r="D256" s="65"/>
      <c r="E256" s="40"/>
      <c r="F256" s="40"/>
      <c r="G256" s="40"/>
      <c r="H256" s="41"/>
      <c r="I256" s="40"/>
      <c r="J256" s="42"/>
      <c r="K256" s="55"/>
    </row>
    <row r="257" spans="2:11" x14ac:dyDescent="0.2">
      <c r="B257" s="44" t="s">
        <v>564</v>
      </c>
      <c r="C257" s="400">
        <v>37330</v>
      </c>
      <c r="D257" s="67" t="s">
        <v>765</v>
      </c>
      <c r="E257" s="47">
        <v>11667</v>
      </c>
      <c r="F257" s="47">
        <f>'LONG-TERM DEBT'!W66+'LONG-TERM DEBT'!W106</f>
        <v>11900</v>
      </c>
      <c r="G257" s="47">
        <f>'LONG-TERM DEBT'!X66+'LONG-TERM DEBT'!X106</f>
        <v>11600</v>
      </c>
      <c r="H257" s="48"/>
      <c r="I257" s="47">
        <v>233</v>
      </c>
      <c r="J257" s="545">
        <f>SUM(G257-I257)</f>
        <v>11367</v>
      </c>
      <c r="K257" s="55"/>
    </row>
    <row r="258" spans="2:11" x14ac:dyDescent="0.2">
      <c r="B258" s="37">
        <v>35922</v>
      </c>
      <c r="C258" s="51"/>
      <c r="D258" s="52"/>
      <c r="E258" s="59"/>
      <c r="F258" s="59"/>
      <c r="G258" s="59"/>
      <c r="H258" s="62"/>
      <c r="I258" s="59"/>
      <c r="J258" s="56"/>
      <c r="K258" s="55"/>
    </row>
    <row r="259" spans="2:11" x14ac:dyDescent="0.2">
      <c r="B259" s="37" t="s">
        <v>598</v>
      </c>
      <c r="C259" s="51">
        <v>36951</v>
      </c>
      <c r="D259" s="52" t="s">
        <v>765</v>
      </c>
      <c r="E259" s="59">
        <v>93630</v>
      </c>
      <c r="F259" s="59">
        <f>'LONG-TERM DEBT'!W58+'LONG-TERM DEBT'!W98</f>
        <v>93810</v>
      </c>
      <c r="G259" s="59">
        <f>'LONG-TERM DEBT'!X58+'LONG-TERM DEBT'!X98</f>
        <v>90810</v>
      </c>
      <c r="H259" s="62" t="s">
        <v>614</v>
      </c>
      <c r="I259" s="59"/>
      <c r="J259" s="379">
        <f>G259-(I259+I260)</f>
        <v>90630.26</v>
      </c>
      <c r="K259" s="55"/>
    </row>
    <row r="260" spans="2:11" x14ac:dyDescent="0.2">
      <c r="B260" s="44" t="s">
        <v>625</v>
      </c>
      <c r="C260" s="45">
        <v>40558</v>
      </c>
      <c r="D260" s="46" t="s">
        <v>765</v>
      </c>
      <c r="E260" s="59"/>
      <c r="F260" s="59"/>
      <c r="G260" s="59"/>
      <c r="H260" s="62" t="s">
        <v>627</v>
      </c>
      <c r="I260" s="59">
        <v>179.74</v>
      </c>
      <c r="J260" s="554"/>
      <c r="K260" s="55"/>
    </row>
    <row r="261" spans="2:11" x14ac:dyDescent="0.2">
      <c r="B261" s="69">
        <v>36426</v>
      </c>
      <c r="C261" s="38">
        <v>36651</v>
      </c>
      <c r="D261" s="70"/>
      <c r="E261" s="42"/>
      <c r="F261" s="40"/>
      <c r="G261" s="40"/>
      <c r="H261" s="41"/>
      <c r="I261" s="40"/>
      <c r="J261" s="40"/>
      <c r="K261" s="55"/>
    </row>
    <row r="262" spans="2:11" x14ac:dyDescent="0.2">
      <c r="B262" s="52" t="s">
        <v>600</v>
      </c>
      <c r="C262" s="51">
        <v>36951</v>
      </c>
      <c r="D262" s="22" t="s">
        <v>765</v>
      </c>
      <c r="E262" s="56">
        <v>98476</v>
      </c>
      <c r="F262" s="59">
        <f>'LONG-TERM DEBT'!W56+'LONG-TERM DEBT'!W96+9000+1931.25</f>
        <v>109312.5</v>
      </c>
      <c r="G262" s="59">
        <f>'LONG-TERM DEBT'!X56+'LONG-TERM DEBT'!X96+8500+1571.25</f>
        <v>100712.5</v>
      </c>
      <c r="H262" s="62" t="s">
        <v>205</v>
      </c>
      <c r="I262" s="59">
        <v>10221.77</v>
      </c>
      <c r="J262" s="379">
        <f>G262-(I262+I263)</f>
        <v>90490.73</v>
      </c>
      <c r="K262" s="55"/>
    </row>
    <row r="263" spans="2:11" x14ac:dyDescent="0.2">
      <c r="B263" s="46" t="s">
        <v>625</v>
      </c>
      <c r="C263" s="45">
        <v>40558</v>
      </c>
      <c r="D263" s="71" t="s">
        <v>765</v>
      </c>
      <c r="E263" s="49"/>
      <c r="F263" s="47"/>
      <c r="G263" s="47"/>
      <c r="H263" s="48" t="s">
        <v>627</v>
      </c>
      <c r="I263" s="47"/>
      <c r="J263" s="545"/>
      <c r="K263" s="55"/>
    </row>
    <row r="264" spans="2:11" x14ac:dyDescent="0.2">
      <c r="B264" s="50">
        <v>36650</v>
      </c>
      <c r="C264" s="51">
        <v>36791</v>
      </c>
      <c r="D264" s="52"/>
      <c r="E264" s="56"/>
      <c r="F264" s="59"/>
      <c r="G264" s="59"/>
      <c r="H264" s="62"/>
      <c r="I264" s="59"/>
      <c r="J264" s="59"/>
      <c r="K264" s="55"/>
    </row>
    <row r="265" spans="2:11" x14ac:dyDescent="0.2">
      <c r="B265" s="3" t="s">
        <v>471</v>
      </c>
      <c r="C265" s="51">
        <v>36951</v>
      </c>
      <c r="D265" s="52" t="s">
        <v>765</v>
      </c>
      <c r="E265" s="5"/>
      <c r="F265" s="5"/>
      <c r="G265" s="5"/>
      <c r="H265" s="36"/>
      <c r="I265" s="3"/>
      <c r="J265" s="5"/>
      <c r="K265" s="55"/>
    </row>
    <row r="266" spans="2:11" x14ac:dyDescent="0.2">
      <c r="B266" s="2" t="s">
        <v>625</v>
      </c>
      <c r="C266" s="45">
        <v>40558</v>
      </c>
      <c r="D266" s="46" t="s">
        <v>765</v>
      </c>
      <c r="E266" s="49">
        <v>26863</v>
      </c>
      <c r="F266" s="47">
        <v>27000</v>
      </c>
      <c r="G266" s="59">
        <f>'LONG-TERM DEBT'!X52+'LONG-TERM DEBT'!X92</f>
        <v>26000</v>
      </c>
      <c r="H266" s="48" t="s">
        <v>627</v>
      </c>
      <c r="I266" s="47">
        <v>137.1</v>
      </c>
      <c r="J266" s="545">
        <f>SUM(G266-I266)</f>
        <v>25862.9</v>
      </c>
      <c r="K266" s="52"/>
    </row>
    <row r="267" spans="2:11" x14ac:dyDescent="0.2">
      <c r="B267" s="50">
        <v>39205</v>
      </c>
      <c r="C267" s="51">
        <v>39835</v>
      </c>
      <c r="D267" s="52" t="s">
        <v>673</v>
      </c>
      <c r="E267" s="56"/>
      <c r="F267" s="59"/>
      <c r="G267" s="59"/>
      <c r="H267" s="62"/>
      <c r="I267" s="59"/>
      <c r="J267" s="554"/>
      <c r="K267" s="52"/>
    </row>
    <row r="268" spans="2:11" x14ac:dyDescent="0.2">
      <c r="B268" s="2" t="s">
        <v>60</v>
      </c>
      <c r="C268" s="45">
        <v>40564</v>
      </c>
      <c r="D268" s="46" t="s">
        <v>765</v>
      </c>
      <c r="G268" s="47"/>
      <c r="H268" s="48"/>
      <c r="I268" s="47"/>
      <c r="K268" s="52"/>
    </row>
    <row r="269" spans="2:11" x14ac:dyDescent="0.2">
      <c r="B269" s="2" t="s">
        <v>625</v>
      </c>
      <c r="C269" s="45">
        <v>40558</v>
      </c>
      <c r="D269" s="46" t="s">
        <v>765</v>
      </c>
      <c r="E269" s="49">
        <v>49009</v>
      </c>
      <c r="F269" s="47">
        <f>'LONG-TERM DEBT'!W61+'LONG-TERM DEBT'!W101</f>
        <v>49580</v>
      </c>
      <c r="G269" s="47">
        <f>'LONG-TERM DEBT'!X61+'LONG-TERM DEBT'!X101</f>
        <v>47980</v>
      </c>
      <c r="H269" s="48" t="s">
        <v>627</v>
      </c>
      <c r="I269" s="48">
        <v>571.23</v>
      </c>
      <c r="J269" s="545">
        <f>SUM(G269-I269)</f>
        <v>47408.77</v>
      </c>
      <c r="K269" s="52"/>
    </row>
    <row r="270" spans="2:11" x14ac:dyDescent="0.2">
      <c r="B270" s="470" t="s">
        <v>603</v>
      </c>
      <c r="C270" s="471"/>
      <c r="D270" s="471"/>
      <c r="E270" s="473">
        <f>SUM(E244:E269)</f>
        <v>825783.29</v>
      </c>
      <c r="F270" s="473">
        <f>SUM(F244:F269)</f>
        <v>1261256.1400000001</v>
      </c>
      <c r="G270" s="473">
        <f>SUM(G244:G269)</f>
        <v>1225845.8500000001</v>
      </c>
      <c r="H270" s="474"/>
      <c r="I270" s="474">
        <f>SUM(I244:I269)</f>
        <v>422316.41999999993</v>
      </c>
      <c r="J270" s="472">
        <f>SUM(J244:J269)</f>
        <v>803529.43</v>
      </c>
      <c r="K270" s="67" t="s">
        <v>192</v>
      </c>
    </row>
    <row r="271" spans="2:11" x14ac:dyDescent="0.2">
      <c r="B271" s="558"/>
      <c r="C271" s="32"/>
      <c r="D271" s="32"/>
      <c r="E271" s="559"/>
      <c r="F271" s="559"/>
      <c r="G271" s="559"/>
      <c r="H271" s="559"/>
      <c r="I271" s="559"/>
      <c r="J271" s="559"/>
      <c r="K271" s="22"/>
    </row>
    <row r="272" spans="2:11" x14ac:dyDescent="0.2">
      <c r="B272" s="558"/>
      <c r="C272" s="32"/>
      <c r="D272" s="32"/>
      <c r="E272" s="559"/>
      <c r="F272" s="559"/>
      <c r="G272" s="559"/>
      <c r="H272" s="559"/>
      <c r="I272" s="559"/>
      <c r="J272" s="559"/>
      <c r="K272" s="22"/>
    </row>
    <row r="273" spans="2:12" x14ac:dyDescent="0.2">
      <c r="C273" s="1"/>
      <c r="D273" s="72"/>
      <c r="E273" s="32" t="s">
        <v>597</v>
      </c>
      <c r="F273" s="32" t="s">
        <v>739</v>
      </c>
      <c r="G273" s="32" t="s">
        <v>740</v>
      </c>
      <c r="H273" s="32"/>
      <c r="I273" s="32" t="s">
        <v>623</v>
      </c>
      <c r="J273" s="32" t="s">
        <v>741</v>
      </c>
    </row>
    <row r="274" spans="2:12" x14ac:dyDescent="0.2">
      <c r="B274" s="424"/>
      <c r="C274" s="425"/>
      <c r="D274" s="425"/>
      <c r="E274" s="425"/>
      <c r="F274" s="425"/>
      <c r="G274" s="426" t="s">
        <v>196</v>
      </c>
      <c r="H274" s="425"/>
      <c r="I274" s="425"/>
      <c r="J274" s="427"/>
      <c r="K274" s="453" t="s">
        <v>23</v>
      </c>
    </row>
    <row r="275" spans="2:12" x14ac:dyDescent="0.2">
      <c r="B275" s="37">
        <v>31904</v>
      </c>
      <c r="C275" s="38">
        <v>32021</v>
      </c>
      <c r="D275" s="39" t="s">
        <v>765</v>
      </c>
      <c r="E275" s="40"/>
      <c r="F275" s="40">
        <v>0</v>
      </c>
      <c r="G275" s="40">
        <v>0</v>
      </c>
      <c r="H275" s="41" t="s">
        <v>766</v>
      </c>
      <c r="I275" s="41"/>
      <c r="J275" s="42">
        <f>SUM(G275-I275)</f>
        <v>0</v>
      </c>
      <c r="K275" s="65"/>
      <c r="L275" s="251"/>
    </row>
    <row r="276" spans="2:12" x14ac:dyDescent="0.2">
      <c r="B276" s="44" t="s">
        <v>536</v>
      </c>
      <c r="C276" s="45"/>
      <c r="D276" s="46"/>
      <c r="E276" s="47"/>
      <c r="F276" s="47"/>
      <c r="G276" s="47"/>
      <c r="H276" s="48"/>
      <c r="I276" s="48"/>
      <c r="J276" s="49"/>
      <c r="K276" s="55"/>
    </row>
    <row r="277" spans="2:12" x14ac:dyDescent="0.2">
      <c r="B277" s="50">
        <v>35368</v>
      </c>
      <c r="C277" s="51"/>
      <c r="D277" s="52"/>
      <c r="E277" s="53"/>
      <c r="F277" s="53"/>
      <c r="G277" s="53"/>
      <c r="I277" s="54"/>
      <c r="J277" s="53"/>
      <c r="K277" s="55"/>
    </row>
    <row r="278" spans="2:12" x14ac:dyDescent="0.2">
      <c r="B278" s="50" t="s">
        <v>624</v>
      </c>
      <c r="C278" s="51">
        <v>36951</v>
      </c>
      <c r="D278" s="52" t="s">
        <v>765</v>
      </c>
      <c r="E278" s="56">
        <f>J247</f>
        <v>39310.089999999997</v>
      </c>
      <c r="F278" s="59">
        <f>'LONG-TERM DEBT'!X57+'LONG-TERM DEBT'!X97</f>
        <v>105437.5</v>
      </c>
      <c r="G278" s="59">
        <f>'LONG-TERM DEBT'!Y57+'LONG-TERM DEBT'!Y97</f>
        <v>106637.5</v>
      </c>
      <c r="H278" s="62" t="s">
        <v>665</v>
      </c>
      <c r="I278" s="62">
        <v>66000</v>
      </c>
      <c r="J278" s="379">
        <f>G278-(I278+I279)</f>
        <v>40510.089999999997</v>
      </c>
      <c r="K278" s="55"/>
    </row>
    <row r="279" spans="2:12" x14ac:dyDescent="0.2">
      <c r="B279" s="44" t="s">
        <v>625</v>
      </c>
      <c r="C279" s="45">
        <v>40558</v>
      </c>
      <c r="D279" s="46" t="s">
        <v>765</v>
      </c>
      <c r="E279" s="49"/>
      <c r="F279" s="47"/>
      <c r="G279" s="47"/>
      <c r="H279" s="28" t="s">
        <v>626</v>
      </c>
      <c r="I279" s="47">
        <v>127.41</v>
      </c>
      <c r="J279" s="543"/>
      <c r="K279" s="55"/>
    </row>
    <row r="280" spans="2:12" x14ac:dyDescent="0.2">
      <c r="B280" s="37">
        <v>35558</v>
      </c>
      <c r="C280" s="51">
        <v>35993</v>
      </c>
      <c r="D280" s="55" t="s">
        <v>673</v>
      </c>
      <c r="E280" s="56">
        <v>0</v>
      </c>
      <c r="F280" s="56"/>
      <c r="G280" s="57">
        <v>0</v>
      </c>
      <c r="H280" s="58" t="s">
        <v>674</v>
      </c>
      <c r="I280" s="40"/>
      <c r="J280" s="56">
        <f>SUM(G280-I280)</f>
        <v>0</v>
      </c>
      <c r="K280" s="55"/>
    </row>
    <row r="281" spans="2:12" x14ac:dyDescent="0.2">
      <c r="B281" s="37" t="s">
        <v>747</v>
      </c>
      <c r="C281" s="51"/>
      <c r="D281" s="52" t="s">
        <v>765</v>
      </c>
      <c r="E281" s="47">
        <f>J250</f>
        <v>288182.68</v>
      </c>
      <c r="F281" s="60">
        <v>632705.85</v>
      </c>
      <c r="G281" s="60">
        <v>635466.47</v>
      </c>
      <c r="H281" s="60"/>
      <c r="I281" s="583">
        <v>344870.43</v>
      </c>
      <c r="J281" s="544">
        <f>SUM(G281-I281)</f>
        <v>290596.03999999998</v>
      </c>
      <c r="K281" s="55"/>
      <c r="L281" s="1" t="s">
        <v>749</v>
      </c>
    </row>
    <row r="282" spans="2:12" x14ac:dyDescent="0.2">
      <c r="B282" s="44"/>
      <c r="C282" s="45"/>
      <c r="D282" s="46" t="s">
        <v>673</v>
      </c>
      <c r="E282" s="49"/>
      <c r="G282" s="59"/>
      <c r="H282" s="60"/>
      <c r="I282" s="59"/>
      <c r="J282" s="56"/>
      <c r="K282" s="55"/>
    </row>
    <row r="283" spans="2:12" x14ac:dyDescent="0.2">
      <c r="B283" s="37">
        <v>35558</v>
      </c>
      <c r="C283" s="51">
        <v>35972</v>
      </c>
      <c r="D283" s="52"/>
      <c r="E283" s="62"/>
      <c r="F283" s="42"/>
      <c r="G283" s="42"/>
      <c r="H283" s="58"/>
      <c r="I283" s="40"/>
      <c r="J283" s="40"/>
      <c r="K283" s="55"/>
    </row>
    <row r="284" spans="2:12" x14ac:dyDescent="0.2">
      <c r="B284" s="44" t="s">
        <v>618</v>
      </c>
      <c r="C284" s="45">
        <v>37330</v>
      </c>
      <c r="D284" s="52" t="s">
        <v>765</v>
      </c>
      <c r="E284" s="62">
        <f>J253</f>
        <v>30953.37</v>
      </c>
      <c r="F284" s="49">
        <f>'LONG-TERM DEBT'!X63+'LONG-TERM DEBT'!X103</f>
        <v>31050</v>
      </c>
      <c r="G284" s="49">
        <f>'LONG-TERM DEBT'!Y63+'LONG-TERM DEBT'!Y103</f>
        <v>30300</v>
      </c>
      <c r="H284" s="63" t="s">
        <v>766</v>
      </c>
      <c r="I284" s="47">
        <v>96.63</v>
      </c>
      <c r="J284" s="545">
        <f>SUM(G284-I284)</f>
        <v>30203.37</v>
      </c>
      <c r="K284" s="55"/>
    </row>
    <row r="285" spans="2:12" x14ac:dyDescent="0.2">
      <c r="B285" s="37" t="s">
        <v>445</v>
      </c>
      <c r="C285" s="64"/>
      <c r="D285" s="65"/>
      <c r="E285" s="54"/>
      <c r="F285" s="3"/>
      <c r="G285" s="3"/>
      <c r="I285" s="3"/>
      <c r="J285" s="3"/>
      <c r="K285" s="55"/>
    </row>
    <row r="286" spans="2:12" x14ac:dyDescent="0.2">
      <c r="B286" s="44" t="s">
        <v>377</v>
      </c>
      <c r="C286" s="66">
        <v>37330</v>
      </c>
      <c r="D286" s="67" t="s">
        <v>765</v>
      </c>
      <c r="E286" s="47">
        <f>J255</f>
        <v>179323.63</v>
      </c>
      <c r="F286" s="47">
        <f>'LONG-TERM DEBT'!X65+'LONG-TERM DEBT'!X105</f>
        <v>179550</v>
      </c>
      <c r="G286" s="47">
        <f>'LONG-TERM DEBT'!Y65+'LONG-TERM DEBT'!Y105</f>
        <v>180200</v>
      </c>
      <c r="H286" s="48" t="s">
        <v>766</v>
      </c>
      <c r="I286" s="47">
        <v>226.37</v>
      </c>
      <c r="J286" s="545">
        <f>SUM(G286-I286)</f>
        <v>179973.63</v>
      </c>
      <c r="K286" s="55"/>
    </row>
    <row r="287" spans="2:12" x14ac:dyDescent="0.2">
      <c r="B287" s="398">
        <v>37012</v>
      </c>
      <c r="C287" s="399"/>
      <c r="D287" s="65"/>
      <c r="E287" s="40"/>
      <c r="F287" s="40"/>
      <c r="G287" s="40"/>
      <c r="H287" s="41"/>
      <c r="I287" s="40"/>
      <c r="J287" s="42"/>
      <c r="K287" s="55"/>
    </row>
    <row r="288" spans="2:12" x14ac:dyDescent="0.2">
      <c r="B288" s="44" t="s">
        <v>564</v>
      </c>
      <c r="C288" s="400">
        <v>37330</v>
      </c>
      <c r="D288" s="67" t="s">
        <v>765</v>
      </c>
      <c r="E288" s="47">
        <f>J257</f>
        <v>11367</v>
      </c>
      <c r="F288" s="47">
        <f>'LONG-TERM DEBT'!X66+'LONG-TERM DEBT'!X106</f>
        <v>11600</v>
      </c>
      <c r="G288" s="47">
        <f>'LONG-TERM DEBT'!Y66+'LONG-TERM DEBT'!Y106</f>
        <v>11300</v>
      </c>
      <c r="H288" s="48"/>
      <c r="I288" s="47">
        <v>233</v>
      </c>
      <c r="J288" s="545">
        <f>SUM(G288-I288)</f>
        <v>11067</v>
      </c>
      <c r="K288" s="55"/>
    </row>
    <row r="289" spans="2:11" x14ac:dyDescent="0.2">
      <c r="B289" s="37">
        <v>35922</v>
      </c>
      <c r="C289" s="51"/>
      <c r="D289" s="52"/>
      <c r="E289" s="59"/>
      <c r="F289" s="59"/>
      <c r="G289" s="59"/>
      <c r="H289" s="62"/>
      <c r="I289" s="59"/>
      <c r="J289" s="56"/>
      <c r="K289" s="55"/>
    </row>
    <row r="290" spans="2:11" x14ac:dyDescent="0.2">
      <c r="B290" s="37" t="s">
        <v>598</v>
      </c>
      <c r="C290" s="51">
        <v>36951</v>
      </c>
      <c r="D290" s="52" t="s">
        <v>765</v>
      </c>
      <c r="E290" s="59">
        <f>J259</f>
        <v>90630.26</v>
      </c>
      <c r="F290" s="59">
        <f>'LONG-TERM DEBT'!X58+'LONG-TERM DEBT'!X98</f>
        <v>90810</v>
      </c>
      <c r="G290" s="59">
        <f>'LONG-TERM DEBT'!Y58+'LONG-TERM DEBT'!Y98</f>
        <v>87810</v>
      </c>
      <c r="H290" s="62" t="s">
        <v>614</v>
      </c>
      <c r="I290" s="59"/>
      <c r="J290" s="379">
        <f>G290-(I290+I291)</f>
        <v>87630.26</v>
      </c>
      <c r="K290" s="55"/>
    </row>
    <row r="291" spans="2:11" x14ac:dyDescent="0.2">
      <c r="B291" s="44" t="s">
        <v>625</v>
      </c>
      <c r="C291" s="45">
        <v>40558</v>
      </c>
      <c r="D291" s="46" t="s">
        <v>765</v>
      </c>
      <c r="E291" s="59"/>
      <c r="F291" s="59"/>
      <c r="G291" s="59"/>
      <c r="H291" s="62" t="s">
        <v>627</v>
      </c>
      <c r="I291" s="59">
        <v>179.74</v>
      </c>
      <c r="J291" s="554"/>
      <c r="K291" s="55"/>
    </row>
    <row r="292" spans="2:11" x14ac:dyDescent="0.2">
      <c r="B292" s="69">
        <v>36426</v>
      </c>
      <c r="C292" s="38">
        <v>36651</v>
      </c>
      <c r="D292" s="70"/>
      <c r="E292" s="42"/>
      <c r="F292" s="40"/>
      <c r="G292" s="40"/>
      <c r="H292" s="41"/>
      <c r="I292" s="40"/>
      <c r="J292" s="40"/>
      <c r="K292" s="55"/>
    </row>
    <row r="293" spans="2:11" x14ac:dyDescent="0.2">
      <c r="B293" s="52" t="s">
        <v>600</v>
      </c>
      <c r="C293" s="51">
        <v>36951</v>
      </c>
      <c r="D293" s="22" t="s">
        <v>765</v>
      </c>
      <c r="E293" s="56">
        <f>J262</f>
        <v>90490.73</v>
      </c>
      <c r="F293" s="59">
        <f>'LONG-TERM DEBT'!X56+'LONG-TERM DEBT'!X96+9000+1931.25</f>
        <v>101572.5</v>
      </c>
      <c r="G293" s="59">
        <f>'LONG-TERM DEBT'!Y56+'LONG-TERM DEBT'!Y96+9000+1231.25</f>
        <v>102312.5</v>
      </c>
      <c r="H293" s="62" t="s">
        <v>205</v>
      </c>
      <c r="I293" s="59">
        <v>10381.77</v>
      </c>
      <c r="J293" s="379">
        <f>G293-(I293+I294)</f>
        <v>91930.73</v>
      </c>
      <c r="K293" s="55"/>
    </row>
    <row r="294" spans="2:11" x14ac:dyDescent="0.2">
      <c r="B294" s="46" t="s">
        <v>625</v>
      </c>
      <c r="C294" s="45">
        <v>40558</v>
      </c>
      <c r="D294" s="71" t="s">
        <v>765</v>
      </c>
      <c r="E294" s="49"/>
      <c r="F294" s="47"/>
      <c r="G294" s="47"/>
      <c r="H294" s="48" t="s">
        <v>627</v>
      </c>
      <c r="I294" s="47"/>
      <c r="J294" s="545"/>
      <c r="K294" s="55"/>
    </row>
    <row r="295" spans="2:11" x14ac:dyDescent="0.2">
      <c r="B295" s="50">
        <v>36650</v>
      </c>
      <c r="C295" s="51">
        <v>36791</v>
      </c>
      <c r="D295" s="52"/>
      <c r="E295" s="56"/>
      <c r="F295" s="59"/>
      <c r="G295" s="59"/>
      <c r="H295" s="62"/>
      <c r="I295" s="59"/>
      <c r="J295" s="59"/>
      <c r="K295" s="55"/>
    </row>
    <row r="296" spans="2:11" x14ac:dyDescent="0.2">
      <c r="B296" s="3" t="s">
        <v>471</v>
      </c>
      <c r="C296" s="51">
        <v>36951</v>
      </c>
      <c r="D296" s="52" t="s">
        <v>765</v>
      </c>
      <c r="E296" s="5"/>
      <c r="F296" s="5"/>
      <c r="G296" s="5"/>
      <c r="H296" s="36"/>
      <c r="I296" s="3"/>
      <c r="J296" s="5"/>
      <c r="K296" s="55"/>
    </row>
    <row r="297" spans="2:11" x14ac:dyDescent="0.2">
      <c r="B297" s="2" t="s">
        <v>625</v>
      </c>
      <c r="C297" s="45">
        <v>40558</v>
      </c>
      <c r="D297" s="46" t="s">
        <v>765</v>
      </c>
      <c r="E297" s="49">
        <f>J266</f>
        <v>25862.9</v>
      </c>
      <c r="F297" s="47">
        <v>26000</v>
      </c>
      <c r="G297" s="47"/>
      <c r="H297" s="48" t="s">
        <v>627</v>
      </c>
      <c r="I297" s="47"/>
      <c r="J297" s="545">
        <f>SUM(G297-I297)</f>
        <v>0</v>
      </c>
      <c r="K297" s="52"/>
    </row>
    <row r="298" spans="2:11" x14ac:dyDescent="0.2">
      <c r="B298" s="50">
        <v>39205</v>
      </c>
      <c r="C298" s="51">
        <v>39835</v>
      </c>
      <c r="D298" s="52" t="s">
        <v>673</v>
      </c>
      <c r="E298" s="56"/>
      <c r="F298" s="59"/>
      <c r="G298" s="59"/>
      <c r="H298" s="62"/>
      <c r="I298" s="59"/>
      <c r="J298" s="554"/>
      <c r="K298" s="52"/>
    </row>
    <row r="299" spans="2:11" x14ac:dyDescent="0.2">
      <c r="B299" s="2" t="s">
        <v>60</v>
      </c>
      <c r="C299" s="45">
        <v>40564</v>
      </c>
      <c r="D299" s="46" t="s">
        <v>765</v>
      </c>
      <c r="G299" s="47"/>
      <c r="H299" s="48"/>
      <c r="I299" s="47"/>
      <c r="K299" s="52"/>
    </row>
    <row r="300" spans="2:11" x14ac:dyDescent="0.2">
      <c r="B300" s="2" t="s">
        <v>625</v>
      </c>
      <c r="C300" s="45">
        <v>40558</v>
      </c>
      <c r="D300" s="46" t="s">
        <v>765</v>
      </c>
      <c r="E300" s="49">
        <f>J269</f>
        <v>47408.77</v>
      </c>
      <c r="F300" s="47">
        <f>'LONG-TERM DEBT'!X61+'LONG-TERM DEBT'!X101</f>
        <v>47980</v>
      </c>
      <c r="G300" s="47">
        <f>'LONG-TERM DEBT'!Y61+'LONG-TERM DEBT'!Y101</f>
        <v>46380</v>
      </c>
      <c r="H300" s="48" t="s">
        <v>627</v>
      </c>
      <c r="I300" s="48">
        <v>571.23</v>
      </c>
      <c r="J300" s="545">
        <f>SUM(G300-I300)</f>
        <v>45808.77</v>
      </c>
      <c r="K300" s="52"/>
    </row>
    <row r="301" spans="2:11" x14ac:dyDescent="0.2">
      <c r="B301" s="470" t="s">
        <v>603</v>
      </c>
      <c r="C301" s="471"/>
      <c r="D301" s="471"/>
      <c r="E301" s="473">
        <f>SUM(E275:E300)</f>
        <v>803529.43</v>
      </c>
      <c r="F301" s="473">
        <f>SUM(F275:F300)</f>
        <v>1226705.8500000001</v>
      </c>
      <c r="G301" s="473">
        <f>SUM(G275:G300)</f>
        <v>1200406.47</v>
      </c>
      <c r="H301" s="474"/>
      <c r="I301" s="474">
        <f>SUM(I275:I300)</f>
        <v>422686.57999999996</v>
      </c>
      <c r="J301" s="472">
        <f>SUM(J275:J300)</f>
        <v>777719.89</v>
      </c>
      <c r="K301" s="67" t="s">
        <v>192</v>
      </c>
    </row>
    <row r="304" spans="2:11" x14ac:dyDescent="0.2">
      <c r="C304" s="1"/>
      <c r="D304" s="72"/>
      <c r="E304" s="32" t="s">
        <v>805</v>
      </c>
      <c r="F304" s="32" t="s">
        <v>806</v>
      </c>
      <c r="G304" s="32" t="s">
        <v>807</v>
      </c>
      <c r="H304" s="32"/>
      <c r="I304" s="32" t="s">
        <v>623</v>
      </c>
      <c r="J304" s="32" t="s">
        <v>808</v>
      </c>
    </row>
    <row r="305" spans="2:12" x14ac:dyDescent="0.2">
      <c r="B305" s="424"/>
      <c r="C305" s="425"/>
      <c r="D305" s="425"/>
      <c r="E305" s="425"/>
      <c r="F305" s="425"/>
      <c r="G305" s="426" t="s">
        <v>809</v>
      </c>
      <c r="H305" s="425"/>
      <c r="I305" s="425"/>
      <c r="J305" s="427"/>
      <c r="K305" s="453" t="s">
        <v>23</v>
      </c>
    </row>
    <row r="306" spans="2:12" x14ac:dyDescent="0.2">
      <c r="B306" s="37">
        <v>31904</v>
      </c>
      <c r="C306" s="38">
        <v>32021</v>
      </c>
      <c r="D306" s="39" t="s">
        <v>765</v>
      </c>
      <c r="E306" s="40"/>
      <c r="F306" s="40">
        <v>0</v>
      </c>
      <c r="G306" s="40">
        <v>0</v>
      </c>
      <c r="H306" s="41" t="s">
        <v>766</v>
      </c>
      <c r="I306" s="41"/>
      <c r="J306" s="42">
        <f>SUM(G306-I306)</f>
        <v>0</v>
      </c>
      <c r="K306" s="65"/>
      <c r="L306" s="251"/>
    </row>
    <row r="307" spans="2:12" x14ac:dyDescent="0.2">
      <c r="B307" s="44" t="s">
        <v>536</v>
      </c>
      <c r="C307" s="45"/>
      <c r="D307" s="46"/>
      <c r="E307" s="47"/>
      <c r="F307" s="47"/>
      <c r="G307" s="47"/>
      <c r="H307" s="48"/>
      <c r="I307" s="48"/>
      <c r="J307" s="49"/>
      <c r="K307" s="55"/>
    </row>
    <row r="308" spans="2:12" x14ac:dyDescent="0.2">
      <c r="B308" s="50">
        <v>35368</v>
      </c>
      <c r="C308" s="51"/>
      <c r="D308" s="52"/>
      <c r="E308" s="53"/>
      <c r="F308" s="53"/>
      <c r="G308" s="53"/>
      <c r="I308" s="54"/>
      <c r="J308" s="53"/>
      <c r="K308" s="55"/>
    </row>
    <row r="309" spans="2:12" x14ac:dyDescent="0.2">
      <c r="B309" s="50" t="s">
        <v>624</v>
      </c>
      <c r="C309" s="51">
        <v>36951</v>
      </c>
      <c r="D309" s="52" t="s">
        <v>765</v>
      </c>
      <c r="E309" s="56">
        <f>J278</f>
        <v>40510.089999999997</v>
      </c>
      <c r="F309" s="59">
        <f>'LONG-TERM DEBT'!Y57+'LONG-TERM DEBT'!Y97</f>
        <v>106637.5</v>
      </c>
      <c r="G309" s="59">
        <f>'LONG-TERM DEBT'!Z57+'LONG-TERM DEBT'!Z97</f>
        <v>99637.5</v>
      </c>
      <c r="H309" s="62" t="s">
        <v>665</v>
      </c>
      <c r="I309" s="62">
        <v>66000</v>
      </c>
      <c r="J309" s="379">
        <f>G309-(I309+I310)</f>
        <v>33510.089999999997</v>
      </c>
      <c r="K309" s="55"/>
      <c r="L309" s="379">
        <f>I309-(K309+K310)</f>
        <v>66000</v>
      </c>
    </row>
    <row r="310" spans="2:12" x14ac:dyDescent="0.2">
      <c r="B310" s="44" t="s">
        <v>625</v>
      </c>
      <c r="C310" s="45">
        <v>40558</v>
      </c>
      <c r="D310" s="46" t="s">
        <v>765</v>
      </c>
      <c r="E310" s="49"/>
      <c r="F310" s="47"/>
      <c r="G310" s="47"/>
      <c r="H310" s="28" t="s">
        <v>626</v>
      </c>
      <c r="I310" s="47">
        <v>127.41</v>
      </c>
      <c r="J310" s="543"/>
      <c r="K310" s="55"/>
    </row>
    <row r="311" spans="2:12" x14ac:dyDescent="0.2">
      <c r="B311" s="37">
        <v>35558</v>
      </c>
      <c r="C311" s="51">
        <v>35993</v>
      </c>
      <c r="D311" s="55" t="s">
        <v>673</v>
      </c>
      <c r="E311" s="56">
        <v>0</v>
      </c>
      <c r="F311" s="56"/>
      <c r="G311" s="57">
        <v>0</v>
      </c>
      <c r="H311" s="58" t="s">
        <v>674</v>
      </c>
      <c r="I311" s="40"/>
      <c r="J311" s="56">
        <f>SUM(G311-I311)</f>
        <v>0</v>
      </c>
      <c r="K311" s="55"/>
    </row>
    <row r="312" spans="2:12" x14ac:dyDescent="0.2">
      <c r="B312" s="37" t="s">
        <v>747</v>
      </c>
      <c r="C312" s="51"/>
      <c r="D312" s="52" t="s">
        <v>765</v>
      </c>
      <c r="E312" s="47">
        <f>J281</f>
        <v>290596.03999999998</v>
      </c>
      <c r="F312" s="60">
        <v>635466.47</v>
      </c>
      <c r="G312" s="60">
        <v>635466.47</v>
      </c>
      <c r="H312" s="60"/>
      <c r="I312" s="583">
        <v>344870.43</v>
      </c>
      <c r="J312" s="597">
        <f>G312-I312</f>
        <v>290596.03999999998</v>
      </c>
      <c r="K312" s="55"/>
      <c r="L312" s="1" t="s">
        <v>749</v>
      </c>
    </row>
    <row r="313" spans="2:12" x14ac:dyDescent="0.2">
      <c r="B313" s="44"/>
      <c r="C313" s="45"/>
      <c r="D313" s="46" t="s">
        <v>673</v>
      </c>
      <c r="E313" s="49"/>
      <c r="G313" s="59"/>
      <c r="H313" s="60"/>
      <c r="I313" s="59"/>
      <c r="J313" s="56"/>
      <c r="K313" s="55"/>
    </row>
    <row r="314" spans="2:12" x14ac:dyDescent="0.2">
      <c r="B314" s="37">
        <v>35558</v>
      </c>
      <c r="C314" s="51">
        <v>35972</v>
      </c>
      <c r="D314" s="52"/>
      <c r="E314" s="62"/>
      <c r="F314" s="42"/>
      <c r="G314" s="42"/>
      <c r="H314" s="58"/>
      <c r="I314" s="40"/>
      <c r="J314" s="40"/>
      <c r="K314" s="55"/>
    </row>
    <row r="315" spans="2:12" x14ac:dyDescent="0.2">
      <c r="B315" s="44" t="s">
        <v>618</v>
      </c>
      <c r="C315" s="45">
        <v>37330</v>
      </c>
      <c r="D315" s="52" t="s">
        <v>765</v>
      </c>
      <c r="E315" s="62">
        <f>J284</f>
        <v>30203.37</v>
      </c>
      <c r="F315" s="49">
        <f>'LONG-TERM DEBT'!Y63+'LONG-TERM DEBT'!Y103</f>
        <v>30300</v>
      </c>
      <c r="G315" s="49">
        <f>'LONG-TERM DEBT'!Z63+'LONG-TERM DEBT'!Z103</f>
        <v>29550</v>
      </c>
      <c r="H315" s="63" t="s">
        <v>766</v>
      </c>
      <c r="I315" s="47">
        <v>96.63</v>
      </c>
      <c r="J315" s="598">
        <f>G315-I315</f>
        <v>29453.37</v>
      </c>
      <c r="K315" s="55"/>
    </row>
    <row r="316" spans="2:12" x14ac:dyDescent="0.2">
      <c r="B316" s="37" t="s">
        <v>445</v>
      </c>
      <c r="C316" s="64"/>
      <c r="D316" s="65"/>
      <c r="E316" s="54"/>
      <c r="F316" s="3"/>
      <c r="G316" s="3"/>
      <c r="I316" s="3"/>
      <c r="J316" s="599"/>
      <c r="K316" s="55"/>
    </row>
    <row r="317" spans="2:12" x14ac:dyDescent="0.2">
      <c r="B317" s="44" t="s">
        <v>377</v>
      </c>
      <c r="C317" s="66">
        <v>37330</v>
      </c>
      <c r="D317" s="67" t="s">
        <v>765</v>
      </c>
      <c r="E317" s="47">
        <f>J286</f>
        <v>179973.63</v>
      </c>
      <c r="F317" s="47">
        <f>'LONG-TERM DEBT'!Y65+'LONG-TERM DEBT'!Y105</f>
        <v>180200</v>
      </c>
      <c r="G317" s="47">
        <f>'LONG-TERM DEBT'!Z65+'LONG-TERM DEBT'!Z105</f>
        <v>180700</v>
      </c>
      <c r="H317" s="48" t="s">
        <v>766</v>
      </c>
      <c r="I317" s="47">
        <v>226.37</v>
      </c>
      <c r="J317" s="598">
        <f>G317-I317</f>
        <v>180473.63</v>
      </c>
      <c r="K317" s="55"/>
    </row>
    <row r="318" spans="2:12" x14ac:dyDescent="0.2">
      <c r="B318" s="398">
        <v>37012</v>
      </c>
      <c r="C318" s="399"/>
      <c r="D318" s="65"/>
      <c r="E318" s="40"/>
      <c r="F318" s="40"/>
      <c r="G318" s="40"/>
      <c r="H318" s="41"/>
      <c r="I318" s="40"/>
      <c r="J318" s="42"/>
      <c r="K318" s="55"/>
    </row>
    <row r="319" spans="2:12" x14ac:dyDescent="0.2">
      <c r="B319" s="44" t="s">
        <v>564</v>
      </c>
      <c r="C319" s="400">
        <v>37330</v>
      </c>
      <c r="D319" s="67" t="s">
        <v>765</v>
      </c>
      <c r="E319" s="47">
        <f>J288</f>
        <v>11067</v>
      </c>
      <c r="F319" s="47">
        <f>'LONG-TERM DEBT'!Y66+'LONG-TERM DEBT'!Y106</f>
        <v>11300</v>
      </c>
      <c r="G319" s="47">
        <f>'LONG-TERM DEBT'!Z$66+'LONG-TERM DEBT'!Z$106</f>
        <v>11000</v>
      </c>
      <c r="H319" s="48"/>
      <c r="I319" s="47">
        <v>233</v>
      </c>
      <c r="J319" s="598">
        <f>SUM(G319-I319)</f>
        <v>10767</v>
      </c>
      <c r="K319" s="55"/>
    </row>
    <row r="320" spans="2:12" x14ac:dyDescent="0.2">
      <c r="B320" s="37">
        <v>35922</v>
      </c>
      <c r="C320" s="51"/>
      <c r="D320" s="52"/>
      <c r="E320" s="59"/>
      <c r="F320" s="59"/>
      <c r="G320" s="59"/>
      <c r="H320" s="62"/>
      <c r="I320" s="59"/>
      <c r="J320" s="56"/>
      <c r="K320" s="55"/>
    </row>
    <row r="321" spans="2:11" x14ac:dyDescent="0.2">
      <c r="B321" s="37" t="s">
        <v>598</v>
      </c>
      <c r="C321" s="51">
        <v>36951</v>
      </c>
      <c r="D321" s="52" t="s">
        <v>765</v>
      </c>
      <c r="E321" s="59">
        <f>J290</f>
        <v>87630.26</v>
      </c>
      <c r="F321" s="59">
        <f>'LONG-TERM DEBT'!Y58+'LONG-TERM DEBT'!Y98</f>
        <v>87810</v>
      </c>
      <c r="G321" s="59">
        <f>'LONG-TERM DEBT'!Z$58+'LONG-TERM DEBT'!Z$98</f>
        <v>91310</v>
      </c>
      <c r="H321" s="62" t="s">
        <v>614</v>
      </c>
      <c r="I321" s="59"/>
      <c r="J321" s="379">
        <f>G321-(I321+I322)</f>
        <v>91130.26</v>
      </c>
      <c r="K321" s="55"/>
    </row>
    <row r="322" spans="2:11" x14ac:dyDescent="0.2">
      <c r="B322" s="44" t="s">
        <v>625</v>
      </c>
      <c r="C322" s="45">
        <v>40558</v>
      </c>
      <c r="D322" s="46" t="s">
        <v>765</v>
      </c>
      <c r="E322" s="59"/>
      <c r="F322" s="59"/>
      <c r="G322" s="59"/>
      <c r="H322" s="62" t="s">
        <v>627</v>
      </c>
      <c r="I322" s="59">
        <v>179.74</v>
      </c>
      <c r="J322" s="554"/>
      <c r="K322" s="55"/>
    </row>
    <row r="323" spans="2:11" x14ac:dyDescent="0.2">
      <c r="B323" s="69">
        <v>36426</v>
      </c>
      <c r="C323" s="38">
        <v>36651</v>
      </c>
      <c r="D323" s="70"/>
      <c r="E323" s="42"/>
      <c r="F323" s="40"/>
      <c r="G323" s="40"/>
      <c r="H323" s="41"/>
      <c r="I323" s="40"/>
      <c r="J323" s="40"/>
      <c r="K323" s="55"/>
    </row>
    <row r="324" spans="2:11" x14ac:dyDescent="0.2">
      <c r="B324" s="52" t="s">
        <v>600</v>
      </c>
      <c r="C324" s="51">
        <v>36951</v>
      </c>
      <c r="D324" s="22" t="s">
        <v>765</v>
      </c>
      <c r="E324" s="56">
        <f>J293</f>
        <v>91930.73</v>
      </c>
      <c r="F324" s="59">
        <f>'LONG-TERM DEBT'!Y56+'LONG-TERM DEBT'!Y96+9000+1931.25</f>
        <v>103012.5</v>
      </c>
      <c r="G324" s="59">
        <f>'LONG-TERM DEBT'!Z$56+'LONG-TERM DEBT'!Z$96+9000+1931.25</f>
        <v>105892.5</v>
      </c>
      <c r="H324" s="62" t="s">
        <v>205</v>
      </c>
      <c r="I324" s="59">
        <v>10381.77</v>
      </c>
      <c r="J324" s="379">
        <f>G324-(I324+I325)</f>
        <v>95510.73</v>
      </c>
      <c r="K324" s="55"/>
    </row>
    <row r="325" spans="2:11" x14ac:dyDescent="0.2">
      <c r="B325" s="46" t="s">
        <v>625</v>
      </c>
      <c r="C325" s="45">
        <v>40558</v>
      </c>
      <c r="D325" s="71" t="s">
        <v>765</v>
      </c>
      <c r="E325" s="49"/>
      <c r="F325" s="47"/>
      <c r="G325" s="47"/>
      <c r="H325" s="48" t="s">
        <v>627</v>
      </c>
      <c r="I325" s="47"/>
      <c r="J325" s="545"/>
      <c r="K325" s="55"/>
    </row>
    <row r="326" spans="2:11" x14ac:dyDescent="0.2">
      <c r="B326" s="50">
        <v>36650</v>
      </c>
      <c r="C326" s="51">
        <v>36791</v>
      </c>
      <c r="D326" s="52"/>
      <c r="E326" s="56"/>
      <c r="F326" s="59"/>
      <c r="G326" s="59"/>
      <c r="H326" s="62"/>
      <c r="I326" s="59"/>
      <c r="J326" s="59"/>
      <c r="K326" s="55"/>
    </row>
    <row r="327" spans="2:11" x14ac:dyDescent="0.2">
      <c r="B327" s="3" t="s">
        <v>471</v>
      </c>
      <c r="C327" s="51">
        <v>36951</v>
      </c>
      <c r="D327" s="52" t="s">
        <v>765</v>
      </c>
      <c r="E327" s="5"/>
      <c r="F327" s="5"/>
      <c r="G327" s="5"/>
      <c r="H327" s="36"/>
      <c r="I327" s="3"/>
      <c r="J327" s="5"/>
      <c r="K327" s="55"/>
    </row>
    <row r="328" spans="2:11" x14ac:dyDescent="0.2">
      <c r="B328" s="2" t="s">
        <v>625</v>
      </c>
      <c r="C328" s="45">
        <v>40558</v>
      </c>
      <c r="D328" s="46" t="s">
        <v>765</v>
      </c>
      <c r="E328" s="49">
        <f>J297</f>
        <v>0</v>
      </c>
      <c r="F328" s="47">
        <v>26000</v>
      </c>
      <c r="G328" s="47">
        <v>26000</v>
      </c>
      <c r="H328" s="48" t="s">
        <v>627</v>
      </c>
      <c r="I328" s="47"/>
      <c r="J328" s="598">
        <f>SUM(G328-I328)</f>
        <v>26000</v>
      </c>
      <c r="K328" s="52"/>
    </row>
    <row r="329" spans="2:11" x14ac:dyDescent="0.2">
      <c r="B329" s="50">
        <v>39205</v>
      </c>
      <c r="C329" s="51">
        <v>39835</v>
      </c>
      <c r="D329" s="52" t="s">
        <v>673</v>
      </c>
      <c r="E329" s="56"/>
      <c r="F329" s="59"/>
      <c r="G329" s="59"/>
      <c r="H329" s="62"/>
      <c r="I329" s="59"/>
      <c r="J329" s="554"/>
      <c r="K329" s="52"/>
    </row>
    <row r="330" spans="2:11" x14ac:dyDescent="0.2">
      <c r="B330" s="3" t="s">
        <v>60</v>
      </c>
      <c r="C330" s="51">
        <v>40564</v>
      </c>
      <c r="D330" s="52" t="s">
        <v>765</v>
      </c>
      <c r="E330" s="5"/>
      <c r="F330" s="5"/>
      <c r="G330" s="56"/>
      <c r="H330" s="60"/>
      <c r="I330" s="59"/>
      <c r="K330" s="52"/>
    </row>
    <row r="331" spans="2:11" x14ac:dyDescent="0.2">
      <c r="B331" s="2" t="s">
        <v>625</v>
      </c>
      <c r="C331" s="45">
        <v>40558</v>
      </c>
      <c r="D331" s="46" t="s">
        <v>765</v>
      </c>
      <c r="E331" s="49">
        <f>J300</f>
        <v>45808.77</v>
      </c>
      <c r="F331" s="49">
        <f>'LONG-TERM DEBT'!Y61+'LONG-TERM DEBT'!Y101</f>
        <v>46380</v>
      </c>
      <c r="G331" s="49">
        <f>'LONG-TERM DEBT'!Z$61+'LONG-TERM DEBT'!Z$101</f>
        <v>45580</v>
      </c>
      <c r="H331" s="63" t="s">
        <v>627</v>
      </c>
      <c r="I331" s="47">
        <v>571.23</v>
      </c>
      <c r="J331" s="598">
        <f>SUM(G331-I331)</f>
        <v>45008.77</v>
      </c>
      <c r="K331" s="52"/>
    </row>
    <row r="332" spans="2:11" x14ac:dyDescent="0.2">
      <c r="B332" s="470" t="s">
        <v>603</v>
      </c>
      <c r="C332" s="471"/>
      <c r="D332" s="471"/>
      <c r="E332" s="473">
        <f>SUM(E306:E331)</f>
        <v>777719.89</v>
      </c>
      <c r="F332" s="473">
        <f>SUM(F306:F331)</f>
        <v>1227106.47</v>
      </c>
      <c r="G332" s="473">
        <f>SUM(G306:G331)</f>
        <v>1225136.47</v>
      </c>
      <c r="H332" s="474"/>
      <c r="I332" s="474">
        <f>SUM(I306:I331)</f>
        <v>422686.57999999996</v>
      </c>
      <c r="J332" s="472">
        <f>SUM(J306:J331)</f>
        <v>802449.89</v>
      </c>
      <c r="K332" s="67" t="s">
        <v>192</v>
      </c>
    </row>
    <row r="335" spans="2:11" x14ac:dyDescent="0.2">
      <c r="B335" s="53"/>
      <c r="C335" s="53"/>
      <c r="D335" s="613"/>
      <c r="E335" s="31" t="s">
        <v>867</v>
      </c>
      <c r="F335" s="31" t="s">
        <v>868</v>
      </c>
      <c r="G335" s="31" t="s">
        <v>869</v>
      </c>
      <c r="H335" s="31"/>
      <c r="I335" s="31" t="s">
        <v>623</v>
      </c>
      <c r="J335" s="31" t="s">
        <v>870</v>
      </c>
    </row>
    <row r="336" spans="2:11" x14ac:dyDescent="0.2">
      <c r="B336" s="33" t="str">
        <f>B11</f>
        <v>(A)</v>
      </c>
      <c r="C336" s="33" t="str">
        <f t="shared" ref="C336:J336" si="0">C11</f>
        <v>(B)</v>
      </c>
      <c r="D336" s="33" t="str">
        <f t="shared" si="0"/>
        <v>(C)</v>
      </c>
      <c r="E336" s="33" t="str">
        <f t="shared" si="0"/>
        <v>(D)</v>
      </c>
      <c r="F336" s="33" t="str">
        <f t="shared" si="0"/>
        <v>(E)</v>
      </c>
      <c r="G336" s="33" t="str">
        <f t="shared" si="0"/>
        <v>(F)</v>
      </c>
      <c r="H336" s="33" t="str">
        <f t="shared" si="0"/>
        <v xml:space="preserve"> </v>
      </c>
      <c r="I336" s="33" t="str">
        <f t="shared" si="0"/>
        <v>(G)</v>
      </c>
      <c r="J336" s="33" t="str">
        <f t="shared" si="0"/>
        <v>(H)</v>
      </c>
    </row>
    <row r="337" spans="2:13" x14ac:dyDescent="0.2">
      <c r="B337" s="33"/>
      <c r="C337" s="33" t="str">
        <f t="shared" ref="C337" si="1">C12</f>
        <v>DATE OF</v>
      </c>
      <c r="D337" s="33"/>
      <c r="E337" s="33"/>
      <c r="F337" s="33"/>
      <c r="G337" s="33"/>
      <c r="H337" s="33"/>
      <c r="I337" s="33"/>
      <c r="J337" s="33"/>
    </row>
    <row r="338" spans="2:13" x14ac:dyDescent="0.2">
      <c r="B338" s="33" t="str">
        <f t="shared" ref="B338:D338" si="2">B13</f>
        <v>BALLOT VOTE</v>
      </c>
      <c r="C338" s="33" t="str">
        <f t="shared" si="2"/>
        <v xml:space="preserve">ORIGINAL </v>
      </c>
      <c r="D338" s="33" t="str">
        <f t="shared" si="2"/>
        <v>TEMP</v>
      </c>
      <c r="E338" s="33" t="s">
        <v>886</v>
      </c>
      <c r="F338" s="33" t="s">
        <v>887</v>
      </c>
      <c r="G338" s="33" t="s">
        <v>888</v>
      </c>
      <c r="H338" s="33"/>
      <c r="I338" s="33"/>
      <c r="J338" s="33" t="s">
        <v>889</v>
      </c>
    </row>
    <row r="339" spans="2:13" x14ac:dyDescent="0.2">
      <c r="B339" s="33" t="str">
        <f t="shared" ref="B339:J339" si="3">B14</f>
        <v xml:space="preserve">DATE/PURPOSE(S) </v>
      </c>
      <c r="C339" s="33" t="str">
        <f t="shared" si="3"/>
        <v>ISSUANCE</v>
      </c>
      <c r="D339" s="33" t="str">
        <f t="shared" si="3"/>
        <v>OR</v>
      </c>
      <c r="E339" s="33" t="str">
        <f>E14</f>
        <v>EXCLUDED</v>
      </c>
      <c r="F339" s="33" t="str">
        <f t="shared" si="3"/>
        <v>DEBT</v>
      </c>
      <c r="G339" s="33" t="str">
        <f t="shared" si="3"/>
        <v>DEBT</v>
      </c>
      <c r="H339" s="33" t="str">
        <f t="shared" si="3"/>
        <v>(*)</v>
      </c>
      <c r="I339" s="33" t="str">
        <f t="shared" si="3"/>
        <v>REIMBURSEMENTS/</v>
      </c>
      <c r="J339" s="33" t="str">
        <f t="shared" si="3"/>
        <v xml:space="preserve">EXCLUDED </v>
      </c>
    </row>
    <row r="340" spans="2:13" x14ac:dyDescent="0.2">
      <c r="B340" s="614" t="str">
        <f t="shared" ref="B340:J340" si="4">B15</f>
        <v>OF EXCLUSION</v>
      </c>
      <c r="C340" s="614" t="str">
        <f t="shared" si="4"/>
        <v>NOTE/BOND</v>
      </c>
      <c r="D340" s="614" t="str">
        <f t="shared" si="4"/>
        <v>PERM</v>
      </c>
      <c r="E340" s="33" t="str">
        <f>E15</f>
        <v>DEBT</v>
      </c>
      <c r="F340" s="614" t="str">
        <f t="shared" si="4"/>
        <v>SERVICE</v>
      </c>
      <c r="G340" s="614" t="str">
        <f t="shared" si="4"/>
        <v>SERVICE</v>
      </c>
      <c r="H340" s="614" t="str">
        <f t="shared" si="4"/>
        <v>(**)</v>
      </c>
      <c r="I340" s="614" t="str">
        <f t="shared" si="4"/>
        <v>ADJUSTMENTS</v>
      </c>
      <c r="J340" s="614" t="str">
        <f t="shared" si="4"/>
        <v>DEBT</v>
      </c>
    </row>
    <row r="341" spans="2:13" x14ac:dyDescent="0.2">
      <c r="B341" s="424"/>
      <c r="C341" s="425"/>
      <c r="D341" s="425"/>
      <c r="E341" s="425"/>
      <c r="F341" s="425"/>
      <c r="G341" s="426" t="s">
        <v>871</v>
      </c>
      <c r="H341" s="425"/>
      <c r="I341" s="425"/>
      <c r="J341" s="427"/>
      <c r="K341" s="453" t="s">
        <v>23</v>
      </c>
    </row>
    <row r="342" spans="2:13" x14ac:dyDescent="0.2">
      <c r="B342" s="37">
        <v>31904</v>
      </c>
      <c r="C342" s="38">
        <v>32021</v>
      </c>
      <c r="D342" s="39" t="s">
        <v>765</v>
      </c>
      <c r="E342" s="40"/>
      <c r="F342" s="40"/>
      <c r="G342" s="40"/>
      <c r="H342" s="41" t="s">
        <v>766</v>
      </c>
      <c r="I342" s="41"/>
      <c r="J342" s="42"/>
      <c r="K342" s="65"/>
    </row>
    <row r="343" spans="2:13" x14ac:dyDescent="0.2">
      <c r="B343" s="44" t="s">
        <v>536</v>
      </c>
      <c r="C343" s="45"/>
      <c r="D343" s="46"/>
      <c r="E343" s="47"/>
      <c r="F343" s="47"/>
      <c r="G343" s="47"/>
      <c r="H343" s="48"/>
      <c r="I343" s="48"/>
      <c r="J343" s="49"/>
      <c r="K343" s="55"/>
    </row>
    <row r="344" spans="2:13" x14ac:dyDescent="0.2">
      <c r="B344" s="50">
        <v>35368</v>
      </c>
      <c r="C344" s="51"/>
      <c r="D344" s="52"/>
      <c r="E344" s="53"/>
      <c r="F344" s="53"/>
      <c r="G344" s="53"/>
      <c r="I344" s="54"/>
      <c r="J344" s="53"/>
      <c r="K344" s="55"/>
    </row>
    <row r="345" spans="2:13" x14ac:dyDescent="0.2">
      <c r="B345" s="50" t="s">
        <v>624</v>
      </c>
      <c r="C345" s="51">
        <v>36951</v>
      </c>
      <c r="D345" s="52" t="s">
        <v>765</v>
      </c>
      <c r="E345" s="56">
        <f>J309</f>
        <v>33510.089999999997</v>
      </c>
      <c r="F345" s="59">
        <f>'LONG-TERM DEBT'!Z$57+'LONG-TERM DEBT'!Z$97</f>
        <v>99637.5</v>
      </c>
      <c r="G345" s="59">
        <f>'LONG-TERM DEBT'!AA$57+'LONG-TERM DEBT'!AA$97</f>
        <v>102500</v>
      </c>
      <c r="H345" s="62" t="s">
        <v>665</v>
      </c>
      <c r="I345" s="62">
        <v>127.41</v>
      </c>
      <c r="J345" s="379">
        <f>G345-(I345+I346)</f>
        <v>102372.59</v>
      </c>
      <c r="K345" s="55"/>
      <c r="L345" s="1" t="s">
        <v>879</v>
      </c>
    </row>
    <row r="346" spans="2:13" x14ac:dyDescent="0.2">
      <c r="B346" s="37" t="s">
        <v>625</v>
      </c>
      <c r="C346" s="51">
        <v>40558</v>
      </c>
      <c r="D346" s="52" t="s">
        <v>765</v>
      </c>
      <c r="E346" s="56"/>
      <c r="F346" s="59"/>
      <c r="G346" s="59"/>
      <c r="H346" s="1" t="s">
        <v>626</v>
      </c>
      <c r="I346" s="59"/>
      <c r="J346" s="544"/>
      <c r="K346" s="55"/>
    </row>
    <row r="347" spans="2:13" x14ac:dyDescent="0.2">
      <c r="B347" s="615" t="s">
        <v>890</v>
      </c>
      <c r="C347" s="45"/>
      <c r="D347" s="46"/>
      <c r="E347" s="49"/>
      <c r="F347" s="47"/>
      <c r="G347" s="47"/>
      <c r="H347" s="28"/>
      <c r="I347" s="47"/>
      <c r="J347" s="543"/>
      <c r="K347" s="55"/>
    </row>
    <row r="348" spans="2:13" x14ac:dyDescent="0.2">
      <c r="B348" s="37">
        <v>35558</v>
      </c>
      <c r="C348" s="51">
        <v>35993</v>
      </c>
      <c r="D348" s="55" t="s">
        <v>673</v>
      </c>
      <c r="E348" s="56"/>
      <c r="F348" s="56"/>
      <c r="G348" s="57"/>
      <c r="H348" s="60" t="s">
        <v>674</v>
      </c>
      <c r="I348" s="59"/>
      <c r="J348" s="56"/>
      <c r="K348" s="55"/>
    </row>
    <row r="349" spans="2:13" x14ac:dyDescent="0.2">
      <c r="B349" s="37" t="s">
        <v>747</v>
      </c>
      <c r="C349" s="51"/>
      <c r="D349" s="52" t="s">
        <v>765</v>
      </c>
      <c r="E349" s="56">
        <f>J312</f>
        <v>290596.03999999998</v>
      </c>
      <c r="F349" s="60">
        <v>635466.47</v>
      </c>
      <c r="G349" s="60">
        <f>627958.47+4119.64</f>
        <v>632078.11</v>
      </c>
      <c r="H349" s="60"/>
      <c r="I349" s="596">
        <v>341732.08</v>
      </c>
      <c r="J349" s="597">
        <f>G349-I349</f>
        <v>290346.02999999997</v>
      </c>
      <c r="K349" s="55"/>
      <c r="L349" s="1" t="s">
        <v>872</v>
      </c>
    </row>
    <row r="350" spans="2:13" x14ac:dyDescent="0.2">
      <c r="B350" s="44"/>
      <c r="C350" s="45"/>
      <c r="D350" s="46" t="s">
        <v>673</v>
      </c>
      <c r="E350" s="49"/>
      <c r="F350" s="595"/>
      <c r="G350" s="59"/>
      <c r="H350" s="60"/>
      <c r="I350" s="59"/>
      <c r="J350" s="56"/>
      <c r="K350" s="55"/>
    </row>
    <row r="351" spans="2:13" x14ac:dyDescent="0.2">
      <c r="B351" s="37">
        <v>35558</v>
      </c>
      <c r="C351" s="51">
        <v>35972</v>
      </c>
      <c r="D351" s="52"/>
      <c r="E351" s="62"/>
      <c r="F351" s="42"/>
      <c r="G351" s="42"/>
      <c r="H351" s="58"/>
      <c r="I351" s="40"/>
      <c r="J351" s="40"/>
      <c r="K351" s="55"/>
    </row>
    <row r="352" spans="2:13" x14ac:dyDescent="0.2">
      <c r="B352" s="44" t="s">
        <v>618</v>
      </c>
      <c r="C352" s="45">
        <v>37330</v>
      </c>
      <c r="D352" s="52" t="s">
        <v>765</v>
      </c>
      <c r="E352" s="62">
        <f>J315</f>
        <v>29453.37</v>
      </c>
      <c r="F352" s="49">
        <f>'LONG-TERM DEBT'!Z$63+'LONG-TERM DEBT'!Z$103</f>
        <v>29550</v>
      </c>
      <c r="G352" s="49">
        <f>'LONG-TERM DEBT'!AA$63+'LONG-TERM DEBT'!AA$103</f>
        <v>33800</v>
      </c>
      <c r="H352" s="63" t="s">
        <v>766</v>
      </c>
      <c r="I352" s="47">
        <v>96.63</v>
      </c>
      <c r="J352" s="600">
        <f>G352-I352</f>
        <v>33703.370000000003</v>
      </c>
      <c r="K352" s="55"/>
      <c r="M352" s="1" t="s">
        <v>164</v>
      </c>
    </row>
    <row r="353" spans="2:16" x14ac:dyDescent="0.2">
      <c r="B353" s="37" t="s">
        <v>445</v>
      </c>
      <c r="C353" s="64"/>
      <c r="D353" s="65"/>
      <c r="E353" s="54"/>
      <c r="F353" s="3"/>
      <c r="G353" s="3"/>
      <c r="I353" s="3"/>
      <c r="J353" s="3"/>
      <c r="K353" s="55"/>
    </row>
    <row r="354" spans="2:16" x14ac:dyDescent="0.2">
      <c r="B354" s="44" t="s">
        <v>377</v>
      </c>
      <c r="C354" s="66">
        <v>37330</v>
      </c>
      <c r="D354" s="67" t="s">
        <v>765</v>
      </c>
      <c r="E354" s="47">
        <f>J317</f>
        <v>180473.63</v>
      </c>
      <c r="F354" s="47">
        <f>'LONG-TERM DEBT'!Z$65+'LONG-TERM DEBT'!Z$105</f>
        <v>180700</v>
      </c>
      <c r="G354" s="47">
        <f>'LONG-TERM DEBT'!AA65+'LONG-TERM DEBT'!AA105</f>
        <v>176050</v>
      </c>
      <c r="H354" s="48" t="s">
        <v>766</v>
      </c>
      <c r="I354" s="47">
        <v>226.37</v>
      </c>
      <c r="J354" s="600">
        <f>G354-I354</f>
        <v>175823.63</v>
      </c>
      <c r="K354" s="55"/>
    </row>
    <row r="355" spans="2:16" x14ac:dyDescent="0.2">
      <c r="B355" s="398">
        <v>37012</v>
      </c>
      <c r="C355" s="399"/>
      <c r="D355" s="65"/>
      <c r="E355" s="40"/>
      <c r="F355" s="40"/>
      <c r="G355" s="40"/>
      <c r="H355" s="41"/>
      <c r="I355" s="40"/>
      <c r="J355" s="42"/>
      <c r="K355" s="55"/>
    </row>
    <row r="356" spans="2:16" x14ac:dyDescent="0.2">
      <c r="B356" s="44" t="s">
        <v>564</v>
      </c>
      <c r="C356" s="400">
        <v>37330</v>
      </c>
      <c r="D356" s="67" t="s">
        <v>765</v>
      </c>
      <c r="E356" s="47">
        <f>J319</f>
        <v>10767</v>
      </c>
      <c r="F356" s="47">
        <f>'LONG-TERM DEBT'!Z$66+'LONG-TERM DEBT'!Z$106</f>
        <v>11000</v>
      </c>
      <c r="G356" s="47">
        <f>'LONG-TERM DEBT'!AA$66+'LONG-TERM DEBT'!AA$106</f>
        <v>10700</v>
      </c>
      <c r="H356" s="48"/>
      <c r="I356" s="47">
        <v>233</v>
      </c>
      <c r="J356" s="600">
        <f>G356-I356</f>
        <v>10467</v>
      </c>
      <c r="K356" s="55"/>
    </row>
    <row r="357" spans="2:16" x14ac:dyDescent="0.2">
      <c r="B357" s="37">
        <v>35922</v>
      </c>
      <c r="C357" s="51"/>
      <c r="D357" s="52"/>
      <c r="E357" s="59"/>
      <c r="F357" s="59"/>
      <c r="G357" s="59"/>
      <c r="H357" s="62"/>
      <c r="I357" s="59"/>
      <c r="J357" s="56"/>
      <c r="K357" s="55"/>
    </row>
    <row r="358" spans="2:16" x14ac:dyDescent="0.2">
      <c r="B358" s="37" t="s">
        <v>598</v>
      </c>
      <c r="C358" s="51">
        <v>36951</v>
      </c>
      <c r="D358" s="52" t="s">
        <v>765</v>
      </c>
      <c r="E358" s="59">
        <f>J321</f>
        <v>91130.26</v>
      </c>
      <c r="F358" s="59">
        <f>'LONG-TERM DEBT'!Z$58+'LONG-TERM DEBT'!Z$98</f>
        <v>91310</v>
      </c>
      <c r="G358" s="59">
        <f>'LONG-TERM DEBT'!AA$58+'LONG-TERM DEBT'!AA$98</f>
        <v>89510</v>
      </c>
      <c r="H358" s="62" t="s">
        <v>614</v>
      </c>
      <c r="I358" s="59"/>
      <c r="J358" s="379">
        <f>G358-(I358+I359)</f>
        <v>89330.26</v>
      </c>
      <c r="K358" s="55"/>
    </row>
    <row r="359" spans="2:16" x14ac:dyDescent="0.2">
      <c r="B359" s="44" t="s">
        <v>625</v>
      </c>
      <c r="C359" s="45">
        <v>40558</v>
      </c>
      <c r="D359" s="46" t="s">
        <v>765</v>
      </c>
      <c r="E359" s="59"/>
      <c r="F359" s="59"/>
      <c r="G359" s="59"/>
      <c r="H359" s="62" t="s">
        <v>627</v>
      </c>
      <c r="I359" s="59">
        <v>179.74</v>
      </c>
      <c r="J359" s="554"/>
      <c r="K359" s="55"/>
    </row>
    <row r="360" spans="2:16" x14ac:dyDescent="0.2">
      <c r="B360" s="69">
        <v>36426</v>
      </c>
      <c r="C360" s="38">
        <v>36651</v>
      </c>
      <c r="D360" s="70"/>
      <c r="E360" s="42"/>
      <c r="F360" s="40"/>
      <c r="G360" s="40"/>
      <c r="H360" s="41"/>
      <c r="I360" s="40"/>
      <c r="J360" s="40"/>
      <c r="K360" s="55"/>
    </row>
    <row r="361" spans="2:16" x14ac:dyDescent="0.2">
      <c r="B361" s="52" t="s">
        <v>600</v>
      </c>
      <c r="C361" s="51">
        <v>36951</v>
      </c>
      <c r="D361" s="22" t="s">
        <v>765</v>
      </c>
      <c r="E361" s="56">
        <f>J324</f>
        <v>95510.73</v>
      </c>
      <c r="F361" s="59">
        <f>'LONG-TERM DEBT'!Z$56+'LONG-TERM DEBT'!Z$96+9000+1931.25</f>
        <v>105892.5</v>
      </c>
      <c r="G361" s="59">
        <f>'LONG-TERM DEBT'!AA$56+'LONG-TERM DEBT'!AA$96+9000+1931.25</f>
        <v>103968.75</v>
      </c>
      <c r="H361" s="62" t="s">
        <v>205</v>
      </c>
      <c r="I361" s="59">
        <f>I324</f>
        <v>10381.77</v>
      </c>
      <c r="J361" s="379">
        <f>G361-(I361+I362)</f>
        <v>93586.98</v>
      </c>
      <c r="K361" s="55"/>
      <c r="L361" s="1" t="s">
        <v>873</v>
      </c>
    </row>
    <row r="362" spans="2:16" x14ac:dyDescent="0.2">
      <c r="B362" s="46" t="s">
        <v>625</v>
      </c>
      <c r="C362" s="45">
        <v>40558</v>
      </c>
      <c r="D362" s="71" t="s">
        <v>765</v>
      </c>
      <c r="E362" s="49"/>
      <c r="F362" s="47"/>
      <c r="G362" s="47"/>
      <c r="H362" s="48" t="s">
        <v>627</v>
      </c>
      <c r="I362" s="47"/>
      <c r="J362" s="545"/>
      <c r="K362" s="55"/>
    </row>
    <row r="363" spans="2:16" x14ac:dyDescent="0.2">
      <c r="B363" s="50">
        <v>36650</v>
      </c>
      <c r="C363" s="51">
        <v>36791</v>
      </c>
      <c r="D363" s="52"/>
      <c r="E363" s="56"/>
      <c r="F363" s="59"/>
      <c r="G363" s="59"/>
      <c r="H363" s="62"/>
      <c r="I363" s="59"/>
      <c r="J363" s="59"/>
      <c r="K363" s="55"/>
    </row>
    <row r="364" spans="2:16" x14ac:dyDescent="0.2">
      <c r="B364" s="3" t="s">
        <v>471</v>
      </c>
      <c r="C364" s="51">
        <v>36951</v>
      </c>
      <c r="D364" s="52" t="s">
        <v>765</v>
      </c>
      <c r="E364" s="5"/>
      <c r="F364" s="5"/>
      <c r="G364" s="5"/>
      <c r="H364" s="36"/>
      <c r="I364" s="3"/>
      <c r="J364" s="5"/>
      <c r="K364" s="55"/>
      <c r="L364" s="1" t="s">
        <v>874</v>
      </c>
      <c r="P364" s="6"/>
    </row>
    <row r="365" spans="2:16" x14ac:dyDescent="0.2">
      <c r="B365" s="2" t="s">
        <v>625</v>
      </c>
      <c r="C365" s="45">
        <v>40558</v>
      </c>
      <c r="D365" s="46" t="s">
        <v>765</v>
      </c>
      <c r="E365" s="49"/>
      <c r="F365" s="47"/>
      <c r="G365" s="47"/>
      <c r="H365" s="48" t="s">
        <v>627</v>
      </c>
      <c r="I365" s="47"/>
      <c r="J365" s="545"/>
      <c r="K365" s="52"/>
    </row>
    <row r="366" spans="2:16" x14ac:dyDescent="0.2">
      <c r="B366" s="50">
        <v>39205</v>
      </c>
      <c r="C366" s="51">
        <v>39835</v>
      </c>
      <c r="D366" s="52" t="s">
        <v>673</v>
      </c>
      <c r="E366" s="56"/>
      <c r="F366" s="59"/>
      <c r="G366" s="59"/>
      <c r="H366" s="62"/>
      <c r="I366" s="59"/>
      <c r="J366" s="554"/>
      <c r="K366" s="52"/>
    </row>
    <row r="367" spans="2:16" x14ac:dyDescent="0.2">
      <c r="B367" s="3" t="s">
        <v>60</v>
      </c>
      <c r="C367" s="51">
        <v>40564</v>
      </c>
      <c r="D367" s="52" t="s">
        <v>765</v>
      </c>
      <c r="E367" s="379"/>
      <c r="F367" s="5"/>
      <c r="G367" s="59"/>
      <c r="H367" s="62"/>
      <c r="I367" s="59"/>
      <c r="J367" s="5"/>
      <c r="K367" s="52"/>
    </row>
    <row r="368" spans="2:16" x14ac:dyDescent="0.2">
      <c r="B368" s="2" t="s">
        <v>625</v>
      </c>
      <c r="C368" s="45">
        <v>40558</v>
      </c>
      <c r="D368" s="46" t="s">
        <v>765</v>
      </c>
      <c r="E368" s="49">
        <f>J331</f>
        <v>45008.77</v>
      </c>
      <c r="F368" s="49">
        <f>'LONG-TERM DEBT'!Z$61+'LONG-TERM DEBT'!Z$101</f>
        <v>45580</v>
      </c>
      <c r="G368" s="49">
        <f>'LONG-TERM DEBT'!AA$61+'LONG-TERM DEBT'!AA$101</f>
        <v>44680</v>
      </c>
      <c r="H368" s="48" t="s">
        <v>627</v>
      </c>
      <c r="I368" s="47">
        <f>I331</f>
        <v>571.23</v>
      </c>
      <c r="J368" s="598">
        <f>SUM(G368-I368)</f>
        <v>44108.77</v>
      </c>
      <c r="K368" s="52"/>
    </row>
    <row r="369" spans="2:14" x14ac:dyDescent="0.2">
      <c r="B369" s="50">
        <v>42493</v>
      </c>
      <c r="C369" s="51"/>
      <c r="D369" s="52"/>
      <c r="E369" s="56"/>
      <c r="F369" s="59"/>
      <c r="G369" s="59"/>
      <c r="H369" s="62"/>
      <c r="I369" s="40"/>
      <c r="J369" s="554"/>
      <c r="K369" s="22"/>
    </row>
    <row r="370" spans="2:14" x14ac:dyDescent="0.2">
      <c r="B370" s="3" t="s">
        <v>878</v>
      </c>
      <c r="C370" s="51"/>
      <c r="D370" s="52"/>
      <c r="E370" s="379">
        <v>0</v>
      </c>
      <c r="F370" s="5"/>
      <c r="G370" s="59">
        <f>'LONG-TERM DEBT'!AA148+'LONG-TERM DEBT'!AA149</f>
        <v>0</v>
      </c>
      <c r="H370" s="62"/>
      <c r="I370" s="59">
        <f>I333</f>
        <v>0</v>
      </c>
      <c r="J370" s="598">
        <f>SUM(G370-I370)</f>
        <v>0</v>
      </c>
      <c r="K370" s="22"/>
    </row>
    <row r="371" spans="2:14" x14ac:dyDescent="0.2">
      <c r="B371" s="3" t="s">
        <v>884</v>
      </c>
      <c r="C371" s="51"/>
      <c r="D371" s="52"/>
      <c r="E371" s="56"/>
      <c r="F371" s="56"/>
      <c r="G371" s="56">
        <f>'LONG-TERM DEBT'!AA147</f>
        <v>0</v>
      </c>
      <c r="H371" s="62"/>
      <c r="I371" s="59"/>
      <c r="J371" s="598">
        <f>SUM(G371-I371)</f>
        <v>0</v>
      </c>
      <c r="K371" s="22"/>
    </row>
    <row r="372" spans="2:14" x14ac:dyDescent="0.2">
      <c r="B372" s="2" t="s">
        <v>923</v>
      </c>
      <c r="C372" s="45"/>
      <c r="D372" s="46"/>
      <c r="E372" s="47"/>
      <c r="F372" s="47"/>
      <c r="G372" s="47">
        <v>0</v>
      </c>
      <c r="H372" s="48"/>
      <c r="I372" s="48"/>
      <c r="J372" s="598">
        <f>SUM(G372-I372)</f>
        <v>0</v>
      </c>
      <c r="K372" s="22"/>
    </row>
    <row r="373" spans="2:14" x14ac:dyDescent="0.2">
      <c r="B373" s="470" t="s">
        <v>603</v>
      </c>
      <c r="C373" s="471"/>
      <c r="D373" s="471"/>
      <c r="E373" s="473">
        <f>SUM(E342:E368)</f>
        <v>776449.89</v>
      </c>
      <c r="F373" s="473">
        <f>SUM(F342:F368)</f>
        <v>1199136.47</v>
      </c>
      <c r="G373" s="473">
        <f>SUM(G342:G368)</f>
        <v>1193286.8599999999</v>
      </c>
      <c r="H373" s="474"/>
      <c r="I373" s="474">
        <f>SUM(I342:I368)</f>
        <v>353548.23</v>
      </c>
      <c r="J373" s="472">
        <f>SUM(J342:J372)</f>
        <v>839738.63</v>
      </c>
      <c r="L373" s="6">
        <f>SUM(J345:J368)</f>
        <v>839738.63</v>
      </c>
      <c r="M373" s="6">
        <f>L373+24282</f>
        <v>864020.63</v>
      </c>
    </row>
    <row r="376" spans="2:14" x14ac:dyDescent="0.2">
      <c r="B376" s="31"/>
      <c r="C376" s="31"/>
      <c r="D376" s="613"/>
      <c r="E376" s="31" t="s">
        <v>913</v>
      </c>
      <c r="F376" s="31" t="s">
        <v>920</v>
      </c>
      <c r="G376" s="31" t="s">
        <v>914</v>
      </c>
      <c r="H376" s="31"/>
      <c r="I376" s="31" t="s">
        <v>623</v>
      </c>
      <c r="J376" s="31" t="s">
        <v>915</v>
      </c>
    </row>
    <row r="377" spans="2:14" x14ac:dyDescent="0.2">
      <c r="B377" s="33" t="str">
        <f t="shared" ref="B377:B381" si="5">B336</f>
        <v>(A)</v>
      </c>
      <c r="C377" s="33" t="str">
        <f>C336</f>
        <v>(B)</v>
      </c>
      <c r="D377" s="33" t="str">
        <f>D336</f>
        <v>(C)</v>
      </c>
      <c r="E377" s="33" t="str">
        <f>E336</f>
        <v>(D)</v>
      </c>
      <c r="F377" s="33" t="str">
        <f t="shared" ref="F377:J377" si="6">F336</f>
        <v>(E)</v>
      </c>
      <c r="G377" s="33" t="str">
        <f t="shared" si="6"/>
        <v>(F)</v>
      </c>
      <c r="H377" s="33" t="str">
        <f t="shared" si="6"/>
        <v xml:space="preserve"> </v>
      </c>
      <c r="I377" s="33" t="str">
        <f t="shared" si="6"/>
        <v>(G)</v>
      </c>
      <c r="J377" s="33" t="str">
        <f t="shared" si="6"/>
        <v>(H)</v>
      </c>
    </row>
    <row r="378" spans="2:14" x14ac:dyDescent="0.2">
      <c r="B378" s="33"/>
      <c r="C378" s="33" t="str">
        <f>C337</f>
        <v>DATE OF</v>
      </c>
      <c r="D378" s="33"/>
      <c r="E378" s="33"/>
      <c r="F378" s="33"/>
      <c r="G378" s="33"/>
      <c r="H378" s="33"/>
      <c r="I378" s="33"/>
      <c r="J378" s="33"/>
    </row>
    <row r="379" spans="2:14" x14ac:dyDescent="0.2">
      <c r="B379" s="33" t="str">
        <f t="shared" si="5"/>
        <v>BALLOT VOTE</v>
      </c>
      <c r="C379" s="33" t="str">
        <f>C338</f>
        <v xml:space="preserve">ORIGINAL </v>
      </c>
      <c r="D379" s="33" t="str">
        <f t="shared" ref="D379:G381" si="7">D338</f>
        <v>TEMP</v>
      </c>
      <c r="E379" s="33" t="str">
        <f t="shared" si="7"/>
        <v>FY17 NET</v>
      </c>
      <c r="F379" s="33" t="str">
        <f t="shared" si="7"/>
        <v>FY17 GROSS</v>
      </c>
      <c r="G379" s="33" t="str">
        <f t="shared" si="7"/>
        <v xml:space="preserve">FY18 GROSS </v>
      </c>
      <c r="H379" s="33"/>
      <c r="I379" s="33"/>
      <c r="J379" s="33" t="str">
        <f>J338</f>
        <v>FY18 NET</v>
      </c>
    </row>
    <row r="380" spans="2:14" x14ac:dyDescent="0.2">
      <c r="B380" s="33" t="str">
        <f t="shared" si="5"/>
        <v xml:space="preserve">DATE/PURPOSE(S) </v>
      </c>
      <c r="C380" s="33" t="str">
        <f>C339</f>
        <v>ISSUANCE</v>
      </c>
      <c r="D380" s="33" t="str">
        <f t="shared" si="7"/>
        <v>OR</v>
      </c>
      <c r="E380" s="33" t="str">
        <f t="shared" si="7"/>
        <v>EXCLUDED</v>
      </c>
      <c r="F380" s="33" t="str">
        <f t="shared" si="7"/>
        <v>DEBT</v>
      </c>
      <c r="G380" s="33" t="str">
        <f t="shared" si="7"/>
        <v>DEBT</v>
      </c>
      <c r="H380" s="33" t="str">
        <f>H339</f>
        <v>(*)</v>
      </c>
      <c r="I380" s="33" t="str">
        <f>I339</f>
        <v>REIMBURSEMENTS/</v>
      </c>
      <c r="J380" s="33" t="str">
        <f>J339</f>
        <v xml:space="preserve">EXCLUDED </v>
      </c>
    </row>
    <row r="381" spans="2:14" x14ac:dyDescent="0.2">
      <c r="B381" s="614" t="str">
        <f t="shared" si="5"/>
        <v>OF EXCLUSION</v>
      </c>
      <c r="C381" s="614" t="str">
        <f>C340</f>
        <v>NOTE/BOND</v>
      </c>
      <c r="D381" s="33" t="str">
        <f t="shared" si="7"/>
        <v>PERM</v>
      </c>
      <c r="E381" s="33" t="str">
        <f t="shared" si="7"/>
        <v>DEBT</v>
      </c>
      <c r="F381" s="33" t="str">
        <f t="shared" si="7"/>
        <v>SERVICE</v>
      </c>
      <c r="G381" s="33" t="str">
        <f t="shared" si="7"/>
        <v>SERVICE</v>
      </c>
      <c r="H381" s="33" t="str">
        <f>H340</f>
        <v>(**)</v>
      </c>
      <c r="I381" s="33" t="str">
        <f>I340</f>
        <v>ADJUSTMENTS</v>
      </c>
      <c r="J381" s="33" t="str">
        <f>J340</f>
        <v>DEBT</v>
      </c>
    </row>
    <row r="382" spans="2:14" x14ac:dyDescent="0.2">
      <c r="B382" s="424"/>
      <c r="C382" s="425"/>
      <c r="D382" s="425"/>
      <c r="E382" s="425"/>
      <c r="F382" s="425"/>
      <c r="G382" s="426" t="s">
        <v>871</v>
      </c>
      <c r="H382" s="425"/>
      <c r="I382" s="425"/>
      <c r="J382" s="427"/>
    </row>
    <row r="383" spans="2:14" x14ac:dyDescent="0.2">
      <c r="B383" s="37">
        <v>31904</v>
      </c>
      <c r="C383" s="38">
        <v>32021</v>
      </c>
      <c r="D383" s="39" t="s">
        <v>765</v>
      </c>
      <c r="E383" s="40"/>
      <c r="F383" s="40"/>
      <c r="G383" s="40"/>
      <c r="H383" s="41" t="s">
        <v>766</v>
      </c>
      <c r="I383" s="41"/>
      <c r="J383" s="42"/>
    </row>
    <row r="384" spans="2:14" x14ac:dyDescent="0.2">
      <c r="B384" s="44" t="s">
        <v>536</v>
      </c>
      <c r="C384" s="45"/>
      <c r="D384" s="71"/>
      <c r="E384" s="49"/>
      <c r="F384" s="47"/>
      <c r="G384" s="47"/>
      <c r="H384" s="48"/>
      <c r="I384" s="48"/>
      <c r="J384" s="49"/>
      <c r="N384" s="1" t="s">
        <v>164</v>
      </c>
    </row>
    <row r="385" spans="2:12" x14ac:dyDescent="0.2">
      <c r="B385" s="50">
        <v>35368</v>
      </c>
      <c r="C385" s="51"/>
      <c r="D385" s="22"/>
      <c r="E385" s="53"/>
      <c r="F385" s="54"/>
      <c r="G385" s="53"/>
      <c r="I385" s="54"/>
      <c r="J385" s="53"/>
    </row>
    <row r="386" spans="2:12" x14ac:dyDescent="0.2">
      <c r="B386" s="50" t="s">
        <v>624</v>
      </c>
      <c r="C386" s="51">
        <v>36951</v>
      </c>
      <c r="D386" s="22" t="s">
        <v>765</v>
      </c>
      <c r="E386" s="56">
        <f>J345</f>
        <v>102372.59</v>
      </c>
      <c r="F386" s="59">
        <f>'LONG-TERM DEBT'!AA$57+'LONG-TERM DEBT'!AA$97</f>
        <v>102500</v>
      </c>
      <c r="G386" s="59">
        <f>'LONG-TERM DEBT'!AB$57+'LONG-TERM DEBT'!AB$97</f>
        <v>0</v>
      </c>
      <c r="H386" s="62" t="s">
        <v>665</v>
      </c>
      <c r="I386" s="62"/>
      <c r="J386" s="379">
        <f>G386-(I386+I387)</f>
        <v>0</v>
      </c>
    </row>
    <row r="387" spans="2:12" x14ac:dyDescent="0.2">
      <c r="B387" s="37" t="s">
        <v>625</v>
      </c>
      <c r="C387" s="51">
        <v>40558</v>
      </c>
      <c r="D387" s="22" t="s">
        <v>765</v>
      </c>
      <c r="E387" s="56"/>
      <c r="F387" s="59"/>
      <c r="G387" s="59"/>
      <c r="H387" s="1" t="s">
        <v>626</v>
      </c>
      <c r="I387" s="59"/>
      <c r="J387" s="544"/>
    </row>
    <row r="388" spans="2:12" x14ac:dyDescent="0.2">
      <c r="B388" s="615" t="s">
        <v>890</v>
      </c>
      <c r="C388" s="45"/>
      <c r="D388" s="71"/>
      <c r="E388" s="49"/>
      <c r="F388" s="47"/>
      <c r="G388" s="47"/>
      <c r="H388" s="28"/>
      <c r="I388" s="47"/>
      <c r="J388" s="543"/>
    </row>
    <row r="389" spans="2:12" x14ac:dyDescent="0.2">
      <c r="B389" s="37">
        <v>35558</v>
      </c>
      <c r="C389" s="51">
        <v>35993</v>
      </c>
      <c r="D389" s="700" t="s">
        <v>673</v>
      </c>
      <c r="E389" s="56"/>
      <c r="F389" s="59"/>
      <c r="G389" s="57"/>
      <c r="H389" s="60" t="s">
        <v>674</v>
      </c>
      <c r="I389" s="59"/>
      <c r="J389" s="56"/>
    </row>
    <row r="390" spans="2:12" x14ac:dyDescent="0.2">
      <c r="B390" s="37" t="s">
        <v>747</v>
      </c>
      <c r="C390" s="51"/>
      <c r="D390" s="22" t="s">
        <v>765</v>
      </c>
      <c r="E390" s="56">
        <f>J349</f>
        <v>290346.02999999997</v>
      </c>
      <c r="F390" s="62">
        <v>635466.47</v>
      </c>
      <c r="G390" s="60">
        <f>627958.47+4119.64</f>
        <v>632078.11</v>
      </c>
      <c r="H390" s="60"/>
      <c r="I390" s="596">
        <v>341732.08</v>
      </c>
      <c r="J390" s="597">
        <f>G390-I390</f>
        <v>290346.02999999997</v>
      </c>
    </row>
    <row r="391" spans="2:12" x14ac:dyDescent="0.2">
      <c r="B391" s="44"/>
      <c r="C391" s="45"/>
      <c r="D391" s="71" t="s">
        <v>673</v>
      </c>
      <c r="E391" s="49"/>
      <c r="F391" s="2"/>
      <c r="G391" s="59"/>
      <c r="H391" s="60"/>
      <c r="I391" s="59"/>
      <c r="J391" s="56"/>
    </row>
    <row r="392" spans="2:12" x14ac:dyDescent="0.2">
      <c r="B392" s="37">
        <v>35558</v>
      </c>
      <c r="C392" s="51">
        <v>35972</v>
      </c>
      <c r="D392" s="22"/>
      <c r="E392" s="56"/>
      <c r="F392" s="40"/>
      <c r="G392" s="42"/>
      <c r="H392" s="58"/>
      <c r="I392" s="40"/>
      <c r="J392" s="40"/>
    </row>
    <row r="393" spans="2:12" x14ac:dyDescent="0.2">
      <c r="B393" s="44" t="s">
        <v>618</v>
      </c>
      <c r="C393" s="45">
        <v>37330</v>
      </c>
      <c r="D393" s="22" t="s">
        <v>765</v>
      </c>
      <c r="E393" s="56">
        <f>J352</f>
        <v>33703.370000000003</v>
      </c>
      <c r="F393" s="47">
        <f>'LONG-TERM DEBT'!AA$63+'LONG-TERM DEBT'!AA$103</f>
        <v>33800</v>
      </c>
      <c r="G393" s="49">
        <f>'LONG-TERM DEBT'!AB$63+'LONG-TERM DEBT'!AB$103</f>
        <v>32900</v>
      </c>
      <c r="H393" s="63" t="s">
        <v>766</v>
      </c>
      <c r="I393" s="47">
        <v>96.63</v>
      </c>
      <c r="J393" s="600">
        <f>G393-I393</f>
        <v>32803.370000000003</v>
      </c>
    </row>
    <row r="394" spans="2:12" x14ac:dyDescent="0.2">
      <c r="B394" s="37" t="s">
        <v>445</v>
      </c>
      <c r="C394" s="64"/>
      <c r="D394" s="701"/>
      <c r="E394" s="53"/>
      <c r="F394" s="3"/>
      <c r="G394" s="3"/>
      <c r="I394" s="3"/>
      <c r="J394" s="3"/>
    </row>
    <row r="395" spans="2:12" x14ac:dyDescent="0.2">
      <c r="B395" s="44" t="s">
        <v>377</v>
      </c>
      <c r="C395" s="66">
        <v>37330</v>
      </c>
      <c r="D395" s="477" t="s">
        <v>765</v>
      </c>
      <c r="E395" s="56">
        <f>J354</f>
        <v>175823.63</v>
      </c>
      <c r="F395" s="47">
        <f>'LONG-TERM DEBT'!AA$65+'LONG-TERM DEBT'!AA$105</f>
        <v>176050</v>
      </c>
      <c r="G395" s="47">
        <f>'LONG-TERM DEBT'!AB$65+'LONG-TERM DEBT'!AB$105</f>
        <v>176400</v>
      </c>
      <c r="H395" s="48" t="s">
        <v>766</v>
      </c>
      <c r="I395" s="47">
        <v>226.37</v>
      </c>
      <c r="J395" s="600">
        <f>G395-I395</f>
        <v>176173.63</v>
      </c>
      <c r="L395" s="1" t="s">
        <v>164</v>
      </c>
    </row>
    <row r="396" spans="2:12" x14ac:dyDescent="0.2">
      <c r="B396" s="398">
        <v>37012</v>
      </c>
      <c r="C396" s="399"/>
      <c r="D396" s="701"/>
      <c r="E396" s="42"/>
      <c r="F396" s="40"/>
      <c r="G396" s="40"/>
      <c r="H396" s="41"/>
      <c r="I396" s="40"/>
      <c r="J396" s="42"/>
    </row>
    <row r="397" spans="2:12" x14ac:dyDescent="0.2">
      <c r="B397" s="44" t="s">
        <v>564</v>
      </c>
      <c r="C397" s="400">
        <v>37330</v>
      </c>
      <c r="D397" s="477" t="s">
        <v>765</v>
      </c>
      <c r="E397" s="49">
        <f>J356</f>
        <v>10467</v>
      </c>
      <c r="F397" s="47">
        <f>'LONG-TERM DEBT'!AA$66+'LONG-TERM DEBT'!AA$106</f>
        <v>10700</v>
      </c>
      <c r="G397" s="47">
        <f>'LONG-TERM DEBT'!AB$66+'LONG-TERM DEBT'!AB$106</f>
        <v>10400</v>
      </c>
      <c r="H397" s="48"/>
      <c r="I397" s="47">
        <v>233</v>
      </c>
      <c r="J397" s="600">
        <f>G397-I397</f>
        <v>10167</v>
      </c>
    </row>
    <row r="398" spans="2:12" x14ac:dyDescent="0.2">
      <c r="B398" s="37">
        <v>35922</v>
      </c>
      <c r="C398" s="51"/>
      <c r="D398" s="22"/>
      <c r="E398" s="56"/>
      <c r="F398" s="59"/>
      <c r="G398" s="59"/>
      <c r="H398" s="62"/>
      <c r="I398" s="59"/>
      <c r="J398" s="56"/>
    </row>
    <row r="399" spans="2:12" x14ac:dyDescent="0.2">
      <c r="B399" s="37" t="s">
        <v>598</v>
      </c>
      <c r="C399" s="51">
        <v>36951</v>
      </c>
      <c r="D399" s="22" t="s">
        <v>765</v>
      </c>
      <c r="E399" s="56">
        <f>J358</f>
        <v>89330.26</v>
      </c>
      <c r="F399" s="59">
        <f>'LONG-TERM DEBT'!AA$58+'LONG-TERM DEBT'!AA$98</f>
        <v>89510</v>
      </c>
      <c r="G399" s="59">
        <f>'LONG-TERM DEBT'!AB$58+'LONG-TERM DEBT'!AB$98</f>
        <v>87510</v>
      </c>
      <c r="H399" s="62" t="s">
        <v>614</v>
      </c>
      <c r="I399" s="59"/>
      <c r="J399" s="379">
        <f>G399-(I399+I400)</f>
        <v>87330.26</v>
      </c>
    </row>
    <row r="400" spans="2:12" x14ac:dyDescent="0.2">
      <c r="B400" s="44" t="s">
        <v>625</v>
      </c>
      <c r="C400" s="45">
        <v>40558</v>
      </c>
      <c r="D400" s="71" t="s">
        <v>765</v>
      </c>
      <c r="E400" s="56"/>
      <c r="F400" s="59"/>
      <c r="G400" s="59"/>
      <c r="H400" s="62" t="s">
        <v>627</v>
      </c>
      <c r="I400" s="59">
        <v>179.74</v>
      </c>
      <c r="J400" s="554"/>
    </row>
    <row r="401" spans="2:13" x14ac:dyDescent="0.2">
      <c r="B401" s="69">
        <v>36426</v>
      </c>
      <c r="C401" s="38">
        <v>36651</v>
      </c>
      <c r="D401" s="70"/>
      <c r="E401" s="42"/>
      <c r="F401" s="40"/>
      <c r="G401" s="40"/>
      <c r="H401" s="41"/>
      <c r="I401" s="40"/>
      <c r="J401" s="40"/>
    </row>
    <row r="402" spans="2:13" x14ac:dyDescent="0.2">
      <c r="B402" s="52" t="s">
        <v>600</v>
      </c>
      <c r="C402" s="51">
        <v>36951</v>
      </c>
      <c r="D402" s="22" t="s">
        <v>765</v>
      </c>
      <c r="E402" s="56">
        <f>J361</f>
        <v>93586.98</v>
      </c>
      <c r="F402" s="59">
        <f>'LONG-TERM DEBT'!AA$56+'LONG-TERM DEBT'!AA$96+9000+1931.25</f>
        <v>103968.75</v>
      </c>
      <c r="G402" s="59">
        <f>'LONG-TERM DEBT'!AB$56+'LONG-TERM DEBT'!AB$96+9000+1931.25</f>
        <v>106331.25</v>
      </c>
      <c r="H402" s="62" t="s">
        <v>205</v>
      </c>
      <c r="I402" s="59">
        <f>I324</f>
        <v>10381.77</v>
      </c>
      <c r="J402" s="379">
        <f>G402-(I402+I403)</f>
        <v>95949.48</v>
      </c>
    </row>
    <row r="403" spans="2:13" x14ac:dyDescent="0.2">
      <c r="B403" s="46" t="s">
        <v>625</v>
      </c>
      <c r="C403" s="45">
        <v>40558</v>
      </c>
      <c r="D403" s="71" t="s">
        <v>765</v>
      </c>
      <c r="E403" s="49"/>
      <c r="F403" s="47"/>
      <c r="G403" s="47"/>
      <c r="H403" s="48" t="s">
        <v>627</v>
      </c>
      <c r="I403" s="47"/>
      <c r="J403" s="545"/>
    </row>
    <row r="404" spans="2:13" x14ac:dyDescent="0.2">
      <c r="B404" s="50">
        <v>36650</v>
      </c>
      <c r="C404" s="51">
        <v>36791</v>
      </c>
      <c r="D404" s="22"/>
      <c r="E404" s="56"/>
      <c r="F404" s="59"/>
      <c r="G404" s="59"/>
      <c r="H404" s="62"/>
      <c r="I404" s="59"/>
      <c r="J404" s="59"/>
    </row>
    <row r="405" spans="2:13" x14ac:dyDescent="0.2">
      <c r="B405" s="3" t="s">
        <v>471</v>
      </c>
      <c r="C405" s="51">
        <v>36951</v>
      </c>
      <c r="D405" s="22" t="s">
        <v>765</v>
      </c>
      <c r="E405" s="5"/>
      <c r="F405" s="3"/>
      <c r="G405" s="5"/>
      <c r="H405" s="36"/>
      <c r="I405" s="3"/>
      <c r="J405" s="5"/>
    </row>
    <row r="406" spans="2:13" x14ac:dyDescent="0.2">
      <c r="B406" s="2" t="s">
        <v>625</v>
      </c>
      <c r="C406" s="45">
        <v>40558</v>
      </c>
      <c r="D406" s="71" t="s">
        <v>765</v>
      </c>
      <c r="E406" s="49"/>
      <c r="F406" s="47"/>
      <c r="G406" s="47"/>
      <c r="H406" s="48" t="s">
        <v>627</v>
      </c>
      <c r="I406" s="47"/>
      <c r="J406" s="545"/>
    </row>
    <row r="407" spans="2:13" x14ac:dyDescent="0.2">
      <c r="B407" s="50">
        <v>39205</v>
      </c>
      <c r="C407" s="51">
        <v>39835</v>
      </c>
      <c r="D407" s="22" t="s">
        <v>673</v>
      </c>
      <c r="E407" s="56"/>
      <c r="F407" s="59"/>
      <c r="G407" s="59"/>
      <c r="H407" s="62"/>
      <c r="I407" s="59"/>
      <c r="J407" s="554"/>
    </row>
    <row r="408" spans="2:13" x14ac:dyDescent="0.2">
      <c r="B408" s="3" t="s">
        <v>60</v>
      </c>
      <c r="C408" s="51">
        <v>40564</v>
      </c>
      <c r="D408" s="22" t="s">
        <v>765</v>
      </c>
      <c r="E408" s="379"/>
      <c r="F408" s="3"/>
      <c r="G408" s="59"/>
      <c r="H408" s="62"/>
      <c r="I408" s="59"/>
      <c r="J408" s="5"/>
    </row>
    <row r="409" spans="2:13" x14ac:dyDescent="0.2">
      <c r="B409" s="2" t="s">
        <v>625</v>
      </c>
      <c r="C409" s="45">
        <v>40558</v>
      </c>
      <c r="D409" s="71" t="s">
        <v>765</v>
      </c>
      <c r="E409" s="49">
        <f>J368</f>
        <v>44108.77</v>
      </c>
      <c r="F409" s="47">
        <f>'LONG-TERM DEBT'!AA$61+'LONG-TERM DEBT'!AA$101</f>
        <v>44680</v>
      </c>
      <c r="G409" s="49">
        <f>'LONG-TERM DEBT'!AB$61+'LONG-TERM DEBT'!AB$101</f>
        <v>43680</v>
      </c>
      <c r="H409" s="48" t="s">
        <v>627</v>
      </c>
      <c r="I409" s="47">
        <f>I331</f>
        <v>571.23</v>
      </c>
      <c r="J409" s="598">
        <f>SUM(G409-I409)</f>
        <v>43108.77</v>
      </c>
    </row>
    <row r="410" spans="2:13" x14ac:dyDescent="0.2">
      <c r="B410" s="50" t="s">
        <v>924</v>
      </c>
      <c r="C410" s="51"/>
      <c r="D410" s="52"/>
      <c r="E410" s="56"/>
      <c r="F410" s="59"/>
      <c r="G410" s="59"/>
      <c r="H410" s="62"/>
      <c r="I410" s="40"/>
      <c r="J410" s="554"/>
    </row>
    <row r="411" spans="2:13" x14ac:dyDescent="0.2">
      <c r="B411" s="3" t="s">
        <v>916</v>
      </c>
      <c r="C411" s="51">
        <v>43019</v>
      </c>
      <c r="D411" s="52" t="s">
        <v>765</v>
      </c>
      <c r="E411" s="379"/>
      <c r="F411" s="5"/>
      <c r="G411" s="59">
        <f>SUM('LONG-TERM DEBT'!AB$78) + SUM('LONG-TERM DEBT'!AB$117)</f>
        <v>84123.760000000009</v>
      </c>
      <c r="H411" s="62"/>
      <c r="I411" s="59"/>
      <c r="J411" s="604">
        <f>SUM(G411-I411)</f>
        <v>84123.760000000009</v>
      </c>
      <c r="K411" s="1" t="s">
        <v>164</v>
      </c>
    </row>
    <row r="412" spans="2:13" x14ac:dyDescent="0.2">
      <c r="B412" s="2"/>
      <c r="C412" s="45"/>
      <c r="D412" s="46"/>
      <c r="E412" s="702"/>
      <c r="F412" s="595"/>
      <c r="G412" s="47"/>
      <c r="H412" s="48"/>
      <c r="I412" s="47"/>
      <c r="J412" s="598"/>
    </row>
    <row r="413" spans="2:13" x14ac:dyDescent="0.2">
      <c r="B413" s="3" t="s">
        <v>917</v>
      </c>
      <c r="C413" s="51"/>
      <c r="D413" s="52"/>
      <c r="E413" s="379"/>
      <c r="F413" s="5"/>
      <c r="G413" s="59"/>
      <c r="H413" s="62"/>
      <c r="I413" s="59"/>
      <c r="J413" s="604"/>
    </row>
    <row r="414" spans="2:13" x14ac:dyDescent="0.2">
      <c r="B414" s="3"/>
      <c r="C414" s="51"/>
      <c r="D414" s="52"/>
      <c r="E414" s="379"/>
      <c r="F414" s="5"/>
      <c r="G414" s="59"/>
      <c r="H414" s="62"/>
      <c r="I414" s="59"/>
      <c r="J414" s="604"/>
    </row>
    <row r="415" spans="2:13" x14ac:dyDescent="0.2">
      <c r="B415" s="3" t="s">
        <v>918</v>
      </c>
      <c r="C415" s="51"/>
      <c r="D415" s="52" t="s">
        <v>673</v>
      </c>
      <c r="E415" s="379"/>
      <c r="F415" s="5"/>
      <c r="G415" s="59">
        <v>447001</v>
      </c>
      <c r="H415" s="62"/>
      <c r="I415" s="59"/>
      <c r="J415" s="604">
        <v>264177.91999999998</v>
      </c>
    </row>
    <row r="416" spans="2:13" x14ac:dyDescent="0.2">
      <c r="B416" s="3" t="s">
        <v>919</v>
      </c>
      <c r="C416" s="51"/>
      <c r="D416" s="52" t="s">
        <v>673</v>
      </c>
      <c r="E416" s="379"/>
      <c r="F416" s="5"/>
      <c r="G416" s="59"/>
      <c r="H416" s="62"/>
      <c r="I416" s="59"/>
      <c r="J416" s="604">
        <f>SUM(G416-I416)</f>
        <v>0</v>
      </c>
      <c r="L416" s="6">
        <f>J415+J416</f>
        <v>264177.91999999998</v>
      </c>
      <c r="M416" s="1556">
        <f>L416*359/360</f>
        <v>263444.09244444442</v>
      </c>
    </row>
    <row r="417" spans="2:10" x14ac:dyDescent="0.2">
      <c r="B417" s="2"/>
      <c r="C417" s="45"/>
      <c r="D417" s="46"/>
      <c r="E417" s="49"/>
      <c r="F417" s="49"/>
      <c r="G417" s="49"/>
      <c r="H417" s="48"/>
      <c r="I417" s="47"/>
      <c r="J417" s="598"/>
    </row>
    <row r="418" spans="2:10" x14ac:dyDescent="0.2">
      <c r="B418" s="470" t="s">
        <v>603</v>
      </c>
      <c r="C418" s="471"/>
      <c r="D418" s="471"/>
      <c r="E418" s="473">
        <f>SUM(E383:E409)</f>
        <v>839738.63</v>
      </c>
      <c r="F418" s="473">
        <f>SUM(F383:F409)</f>
        <v>1196675.22</v>
      </c>
      <c r="G418" s="473">
        <f>SUM(G383:G409)</f>
        <v>1089299.3599999999</v>
      </c>
      <c r="H418" s="474"/>
      <c r="I418" s="474">
        <f>SUM(I383:I409)</f>
        <v>353420.82</v>
      </c>
      <c r="J418" s="472">
        <f>SUM(J383:J417)</f>
        <v>1084180.22</v>
      </c>
    </row>
    <row r="419" spans="2:10" x14ac:dyDescent="0.2">
      <c r="B419" s="1599"/>
      <c r="C419" s="1600"/>
      <c r="D419" s="1600"/>
      <c r="E419" s="1601"/>
      <c r="F419" s="1601"/>
      <c r="G419" s="1601"/>
      <c r="H419" s="1601"/>
      <c r="I419" s="1601"/>
      <c r="J419" s="1601"/>
    </row>
    <row r="420" spans="2:10" ht="10.5" customHeight="1" x14ac:dyDescent="0.2"/>
    <row r="421" spans="2:10" ht="10.5" customHeight="1" x14ac:dyDescent="0.2">
      <c r="B421" s="31"/>
      <c r="C421" s="31"/>
      <c r="D421" s="613"/>
      <c r="E421" s="31" t="s">
        <v>963</v>
      </c>
      <c r="F421" s="31" t="s">
        <v>964</v>
      </c>
      <c r="G421" s="31" t="s">
        <v>965</v>
      </c>
      <c r="H421" s="31"/>
      <c r="I421" s="31" t="s">
        <v>623</v>
      </c>
      <c r="J421" s="31" t="s">
        <v>966</v>
      </c>
    </row>
    <row r="422" spans="2:10" ht="10.5" customHeight="1" x14ac:dyDescent="0.2">
      <c r="B422" s="33" t="s">
        <v>698</v>
      </c>
      <c r="C422" s="33" t="s">
        <v>699</v>
      </c>
      <c r="D422" s="33" t="s">
        <v>700</v>
      </c>
      <c r="E422" s="33" t="s">
        <v>701</v>
      </c>
      <c r="F422" s="33" t="s">
        <v>702</v>
      </c>
      <c r="G422" s="33" t="s">
        <v>703</v>
      </c>
      <c r="H422" s="33" t="s">
        <v>164</v>
      </c>
      <c r="I422" s="33" t="s">
        <v>704</v>
      </c>
      <c r="J422" s="33" t="s">
        <v>705</v>
      </c>
    </row>
    <row r="423" spans="2:10" ht="10.5" customHeight="1" x14ac:dyDescent="0.2">
      <c r="B423" s="33"/>
      <c r="C423" s="33" t="s">
        <v>574</v>
      </c>
      <c r="D423" s="33"/>
      <c r="E423" s="33"/>
      <c r="F423" s="33"/>
      <c r="G423" s="33"/>
      <c r="H423" s="33"/>
      <c r="I423" s="33"/>
      <c r="J423" s="33"/>
    </row>
    <row r="424" spans="2:10" ht="10.5" customHeight="1" x14ac:dyDescent="0.2">
      <c r="B424" s="33" t="s">
        <v>858</v>
      </c>
      <c r="C424" s="33" t="s">
        <v>859</v>
      </c>
      <c r="D424" s="33" t="s">
        <v>727</v>
      </c>
      <c r="E424" s="33" t="s">
        <v>967</v>
      </c>
      <c r="F424" s="33" t="s">
        <v>968</v>
      </c>
      <c r="G424" s="33" t="s">
        <v>969</v>
      </c>
      <c r="H424" s="33"/>
      <c r="I424" s="33"/>
      <c r="J424" s="33" t="s">
        <v>970</v>
      </c>
    </row>
    <row r="425" spans="2:10" ht="10.5" customHeight="1" x14ac:dyDescent="0.2">
      <c r="B425" s="33" t="s">
        <v>829</v>
      </c>
      <c r="C425" s="33" t="s">
        <v>830</v>
      </c>
      <c r="D425" s="33" t="s">
        <v>831</v>
      </c>
      <c r="E425" s="33" t="s">
        <v>849</v>
      </c>
      <c r="F425" s="33" t="s">
        <v>850</v>
      </c>
      <c r="G425" s="33" t="s">
        <v>850</v>
      </c>
      <c r="H425" s="33" t="s">
        <v>851</v>
      </c>
      <c r="I425" s="33" t="s">
        <v>852</v>
      </c>
      <c r="J425" s="33" t="s">
        <v>792</v>
      </c>
    </row>
    <row r="426" spans="2:10" ht="10.5" customHeight="1" x14ac:dyDescent="0.2">
      <c r="B426" s="614" t="s">
        <v>793</v>
      </c>
      <c r="C426" s="1612" t="s">
        <v>794</v>
      </c>
      <c r="D426" s="614" t="s">
        <v>854</v>
      </c>
      <c r="E426" s="614" t="s">
        <v>850</v>
      </c>
      <c r="F426" s="614" t="s">
        <v>855</v>
      </c>
      <c r="G426" s="614" t="s">
        <v>855</v>
      </c>
      <c r="H426" s="614" t="s">
        <v>856</v>
      </c>
      <c r="I426" s="614" t="s">
        <v>824</v>
      </c>
      <c r="J426" s="614" t="s">
        <v>850</v>
      </c>
    </row>
    <row r="427" spans="2:10" ht="10.5" customHeight="1" x14ac:dyDescent="0.2">
      <c r="B427" s="424"/>
      <c r="C427" s="425"/>
      <c r="D427" s="425"/>
      <c r="E427" s="425"/>
      <c r="F427" s="425"/>
      <c r="G427" s="426" t="s">
        <v>1027</v>
      </c>
      <c r="H427" s="425"/>
      <c r="I427" s="425"/>
      <c r="J427" s="427"/>
    </row>
    <row r="428" spans="2:10" ht="10.5" customHeight="1" x14ac:dyDescent="0.2">
      <c r="B428" s="37">
        <v>31904</v>
      </c>
      <c r="C428" s="38">
        <v>32021</v>
      </c>
      <c r="D428" s="39" t="s">
        <v>765</v>
      </c>
      <c r="E428" s="40"/>
      <c r="F428" s="40"/>
      <c r="G428" s="40"/>
      <c r="H428" s="41" t="s">
        <v>766</v>
      </c>
      <c r="I428" s="41"/>
      <c r="J428" s="42"/>
    </row>
    <row r="429" spans="2:10" ht="10.5" customHeight="1" x14ac:dyDescent="0.2">
      <c r="B429" s="44" t="s">
        <v>536</v>
      </c>
      <c r="C429" s="45"/>
      <c r="D429" s="71"/>
      <c r="E429" s="49"/>
      <c r="F429" s="47"/>
      <c r="G429" s="47"/>
      <c r="H429" s="48"/>
      <c r="I429" s="48"/>
      <c r="J429" s="49"/>
    </row>
    <row r="430" spans="2:10" ht="10.5" customHeight="1" x14ac:dyDescent="0.2">
      <c r="B430" s="50">
        <v>35368</v>
      </c>
      <c r="C430" s="51"/>
      <c r="D430" s="22"/>
      <c r="E430" s="53"/>
      <c r="F430" s="54"/>
      <c r="G430" s="53"/>
      <c r="I430" s="54"/>
      <c r="J430" s="53"/>
    </row>
    <row r="431" spans="2:10" ht="10.5" customHeight="1" x14ac:dyDescent="0.2">
      <c r="B431" s="50" t="s">
        <v>624</v>
      </c>
      <c r="C431" s="51">
        <v>36951</v>
      </c>
      <c r="D431" s="22" t="s">
        <v>765</v>
      </c>
      <c r="E431" s="56">
        <f>J389</f>
        <v>0</v>
      </c>
      <c r="F431" s="59">
        <f>'LONG-TERM DEBT'!AB$57+'LONG-TERM DEBT'!AB$97</f>
        <v>0</v>
      </c>
      <c r="G431" s="59">
        <f>'LONG-TERM DEBT'!AC$57+'LONG-TERM DEBT'!AC$97</f>
        <v>0</v>
      </c>
      <c r="H431" s="62" t="s">
        <v>665</v>
      </c>
      <c r="I431" s="62"/>
      <c r="J431" s="379">
        <f>G431-(I431+I432)</f>
        <v>0</v>
      </c>
    </row>
    <row r="432" spans="2:10" ht="10.5" customHeight="1" x14ac:dyDescent="0.2">
      <c r="B432" s="37" t="s">
        <v>625</v>
      </c>
      <c r="C432" s="51">
        <v>40558</v>
      </c>
      <c r="D432" s="22" t="s">
        <v>765</v>
      </c>
      <c r="E432" s="56"/>
      <c r="F432" s="59"/>
      <c r="G432" s="59"/>
      <c r="H432" s="1" t="s">
        <v>626</v>
      </c>
      <c r="I432" s="59"/>
      <c r="J432" s="544"/>
    </row>
    <row r="433" spans="2:15" ht="10.5" customHeight="1" x14ac:dyDescent="0.2">
      <c r="B433" s="615" t="s">
        <v>890</v>
      </c>
      <c r="C433" s="45"/>
      <c r="D433" s="71"/>
      <c r="E433" s="49"/>
      <c r="F433" s="47"/>
      <c r="G433" s="47"/>
      <c r="H433" s="28"/>
      <c r="I433" s="47"/>
      <c r="J433" s="543"/>
    </row>
    <row r="434" spans="2:15" ht="10.5" customHeight="1" x14ac:dyDescent="0.2">
      <c r="B434" s="37">
        <v>35558</v>
      </c>
      <c r="C434" s="51">
        <v>35993</v>
      </c>
      <c r="D434" s="700" t="s">
        <v>673</v>
      </c>
      <c r="E434" s="56"/>
      <c r="F434" s="59"/>
      <c r="G434" s="57"/>
      <c r="H434" s="60" t="s">
        <v>674</v>
      </c>
      <c r="I434" s="59"/>
      <c r="J434" s="56"/>
    </row>
    <row r="435" spans="2:15" ht="10.5" customHeight="1" x14ac:dyDescent="0.2">
      <c r="B435" s="37" t="s">
        <v>747</v>
      </c>
      <c r="C435" s="51"/>
      <c r="D435" s="22" t="s">
        <v>765</v>
      </c>
      <c r="E435" s="56">
        <f>J393</f>
        <v>32803.370000000003</v>
      </c>
      <c r="F435" s="62">
        <v>635466.47</v>
      </c>
      <c r="G435" s="60">
        <f>BUDGET!AI437</f>
        <v>285306</v>
      </c>
      <c r="H435" s="60"/>
      <c r="I435" s="596"/>
      <c r="J435" s="597">
        <f>BUDGET!AI437</f>
        <v>285306</v>
      </c>
      <c r="O435" s="6">
        <f>G435-J435</f>
        <v>0</v>
      </c>
    </row>
    <row r="436" spans="2:15" ht="10.5" customHeight="1" x14ac:dyDescent="0.2">
      <c r="B436" s="44"/>
      <c r="C436" s="45"/>
      <c r="D436" s="71" t="s">
        <v>673</v>
      </c>
      <c r="E436" s="49"/>
      <c r="F436" s="2"/>
      <c r="G436" s="59"/>
      <c r="H436" s="60"/>
      <c r="I436" s="59"/>
      <c r="J436" s="56"/>
      <c r="O436" s="6">
        <f t="shared" ref="O436:O460" si="8">G436-J436</f>
        <v>0</v>
      </c>
    </row>
    <row r="437" spans="2:15" ht="10.5" customHeight="1" x14ac:dyDescent="0.2">
      <c r="B437" s="37">
        <v>35558</v>
      </c>
      <c r="C437" s="51">
        <v>35972</v>
      </c>
      <c r="D437" s="22"/>
      <c r="E437" s="56"/>
      <c r="F437" s="40"/>
      <c r="G437" s="42"/>
      <c r="H437" s="58"/>
      <c r="I437" s="40"/>
      <c r="J437" s="40"/>
      <c r="O437" s="6">
        <f t="shared" si="8"/>
        <v>0</v>
      </c>
    </row>
    <row r="438" spans="2:15" ht="10.5" customHeight="1" x14ac:dyDescent="0.2">
      <c r="B438" s="44" t="s">
        <v>618</v>
      </c>
      <c r="C438" s="45">
        <v>37330</v>
      </c>
      <c r="D438" s="22" t="s">
        <v>765</v>
      </c>
      <c r="E438" s="56">
        <f>J396</f>
        <v>0</v>
      </c>
      <c r="F438" s="47">
        <f>'LONG-TERM DEBT'!AB$63+'LONG-TERM DEBT'!AB$103</f>
        <v>32900</v>
      </c>
      <c r="G438" s="49">
        <f>'LONG-TERM DEBT'!AC$63+'LONG-TERM DEBT'!AC$103</f>
        <v>31700</v>
      </c>
      <c r="H438" s="63" t="s">
        <v>766</v>
      </c>
      <c r="I438" s="47">
        <v>96.63</v>
      </c>
      <c r="J438" s="600">
        <f>G438-I438</f>
        <v>31603.37</v>
      </c>
      <c r="O438" s="6">
        <f t="shared" si="8"/>
        <v>96.630000000001019</v>
      </c>
    </row>
    <row r="439" spans="2:15" ht="10.5" customHeight="1" x14ac:dyDescent="0.2">
      <c r="B439" s="37" t="s">
        <v>445</v>
      </c>
      <c r="C439" s="64"/>
      <c r="D439" s="701"/>
      <c r="E439" s="53"/>
      <c r="F439" s="3"/>
      <c r="G439" s="3"/>
      <c r="I439" s="3"/>
      <c r="J439" s="3"/>
      <c r="O439" s="6">
        <f t="shared" si="8"/>
        <v>0</v>
      </c>
    </row>
    <row r="440" spans="2:15" ht="10.5" customHeight="1" x14ac:dyDescent="0.2">
      <c r="B440" s="44" t="s">
        <v>377</v>
      </c>
      <c r="C440" s="66">
        <v>37330</v>
      </c>
      <c r="D440" s="477" t="s">
        <v>765</v>
      </c>
      <c r="E440" s="56">
        <f>J398</f>
        <v>0</v>
      </c>
      <c r="F440" s="47">
        <f>'LONG-TERM DEBT'!AB$65+'LONG-TERM DEBT'!AB$105</f>
        <v>176400</v>
      </c>
      <c r="G440" s="47">
        <f>'LONG-TERM DEBT'!AC$65+'LONG-TERM DEBT'!AC$105</f>
        <v>180000</v>
      </c>
      <c r="H440" s="48" t="s">
        <v>766</v>
      </c>
      <c r="I440" s="47">
        <v>226.37</v>
      </c>
      <c r="J440" s="600">
        <f>G440-I440</f>
        <v>179773.63</v>
      </c>
      <c r="O440" s="6">
        <f t="shared" si="8"/>
        <v>226.36999999999534</v>
      </c>
    </row>
    <row r="441" spans="2:15" ht="10.5" customHeight="1" x14ac:dyDescent="0.2">
      <c r="B441" s="398">
        <v>37012</v>
      </c>
      <c r="C441" s="399"/>
      <c r="D441" s="701"/>
      <c r="E441" s="42"/>
      <c r="F441" s="40"/>
      <c r="G441" s="40"/>
      <c r="H441" s="41"/>
      <c r="I441" s="40"/>
      <c r="J441" s="42"/>
      <c r="O441" s="6">
        <f t="shared" si="8"/>
        <v>0</v>
      </c>
    </row>
    <row r="442" spans="2:15" ht="10.5" customHeight="1" x14ac:dyDescent="0.2">
      <c r="B442" s="44" t="s">
        <v>564</v>
      </c>
      <c r="C442" s="400">
        <v>37330</v>
      </c>
      <c r="D442" s="477" t="s">
        <v>765</v>
      </c>
      <c r="E442" s="49">
        <f>J397</f>
        <v>10167</v>
      </c>
      <c r="F442" s="47">
        <f>'LONG-TERM DEBT'!AB$66+'LONG-TERM DEBT'!AB$106</f>
        <v>10400</v>
      </c>
      <c r="G442" s="47">
        <f>'LONG-TERM DEBT'!AC$66+'LONG-TERM DEBT'!AC$106</f>
        <v>0</v>
      </c>
      <c r="H442" s="48"/>
      <c r="I442" s="47"/>
      <c r="J442" s="600">
        <f>G442-I442</f>
        <v>0</v>
      </c>
      <c r="K442" s="1" t="s">
        <v>957</v>
      </c>
      <c r="O442" s="6">
        <f t="shared" si="8"/>
        <v>0</v>
      </c>
    </row>
    <row r="443" spans="2:15" ht="10.5" customHeight="1" x14ac:dyDescent="0.2">
      <c r="B443" s="37">
        <v>35922</v>
      </c>
      <c r="C443" s="51"/>
      <c r="D443" s="22"/>
      <c r="E443" s="56"/>
      <c r="F443" s="59"/>
      <c r="G443" s="59"/>
      <c r="H443" s="62"/>
      <c r="I443" s="59"/>
      <c r="J443" s="56"/>
      <c r="O443" s="6">
        <f t="shared" si="8"/>
        <v>0</v>
      </c>
    </row>
    <row r="444" spans="2:15" ht="10.5" customHeight="1" x14ac:dyDescent="0.2">
      <c r="B444" s="37" t="s">
        <v>598</v>
      </c>
      <c r="C444" s="51">
        <v>36951</v>
      </c>
      <c r="D444" s="22" t="s">
        <v>765</v>
      </c>
      <c r="E444" s="56">
        <f>J399</f>
        <v>87330.26</v>
      </c>
      <c r="F444" s="59">
        <f>'LONG-TERM DEBT'!AB$58+'LONG-TERM DEBT'!AB$98</f>
        <v>87510</v>
      </c>
      <c r="G444" s="59">
        <f>'LONG-TERM DEBT'!AC$58+'LONG-TERM DEBT'!AC$98</f>
        <v>90110</v>
      </c>
      <c r="H444" s="62" t="s">
        <v>614</v>
      </c>
      <c r="I444" s="59">
        <v>179.94</v>
      </c>
      <c r="J444" s="379">
        <f>G444-(I444+I445)</f>
        <v>89930.06</v>
      </c>
      <c r="O444" s="6">
        <f t="shared" si="8"/>
        <v>179.94000000000233</v>
      </c>
    </row>
    <row r="445" spans="2:15" ht="10.5" customHeight="1" x14ac:dyDescent="0.2">
      <c r="B445" s="44" t="s">
        <v>625</v>
      </c>
      <c r="C445" s="45">
        <v>40558</v>
      </c>
      <c r="D445" s="71" t="s">
        <v>765</v>
      </c>
      <c r="E445" s="56"/>
      <c r="F445" s="59"/>
      <c r="G445" s="59"/>
      <c r="H445" s="62" t="s">
        <v>627</v>
      </c>
      <c r="I445" s="59"/>
      <c r="J445" s="554"/>
      <c r="O445" s="6">
        <f t="shared" si="8"/>
        <v>0</v>
      </c>
    </row>
    <row r="446" spans="2:15" ht="10.5" customHeight="1" x14ac:dyDescent="0.2">
      <c r="B446" s="69">
        <v>36426</v>
      </c>
      <c r="C446" s="38">
        <v>36651</v>
      </c>
      <c r="D446" s="70"/>
      <c r="E446" s="42"/>
      <c r="F446" s="40"/>
      <c r="G446" s="40"/>
      <c r="H446" s="41"/>
      <c r="I446" s="40"/>
      <c r="J446" s="40"/>
      <c r="O446" s="6">
        <f t="shared" si="8"/>
        <v>0</v>
      </c>
    </row>
    <row r="447" spans="2:15" ht="10.5" customHeight="1" x14ac:dyDescent="0.2">
      <c r="B447" s="52" t="s">
        <v>600</v>
      </c>
      <c r="C447" s="51">
        <v>36951</v>
      </c>
      <c r="D447" s="22" t="s">
        <v>765</v>
      </c>
      <c r="E447" s="56">
        <f>J402</f>
        <v>95949.48</v>
      </c>
      <c r="F447" s="59">
        <f>'LONG-TERM DEBT'!AB$56+'LONG-TERM DEBT'!AB$96+9000+1931.25</f>
        <v>106331.25</v>
      </c>
      <c r="G447" s="59">
        <f>'LONG-TERM DEBT'!AC$56+'LONG-TERM DEBT'!AC$96</f>
        <v>92700</v>
      </c>
      <c r="H447" s="62" t="s">
        <v>205</v>
      </c>
      <c r="I447" s="59">
        <v>150.52000000000001</v>
      </c>
      <c r="J447" s="379">
        <f>G447-(I447+I448)</f>
        <v>92549.48</v>
      </c>
      <c r="O447" s="6">
        <f t="shared" si="8"/>
        <v>150.52000000000407</v>
      </c>
    </row>
    <row r="448" spans="2:15" ht="10.5" customHeight="1" x14ac:dyDescent="0.2">
      <c r="B448" s="46" t="s">
        <v>625</v>
      </c>
      <c r="C448" s="45">
        <v>40558</v>
      </c>
      <c r="D448" s="71" t="s">
        <v>765</v>
      </c>
      <c r="E448" s="49"/>
      <c r="F448" s="47"/>
      <c r="G448" s="47"/>
      <c r="H448" s="48" t="s">
        <v>627</v>
      </c>
      <c r="I448" s="47"/>
      <c r="J448" s="545"/>
      <c r="O448" s="6">
        <f t="shared" si="8"/>
        <v>0</v>
      </c>
    </row>
    <row r="449" spans="2:15" ht="10.5" customHeight="1" x14ac:dyDescent="0.2">
      <c r="B449" s="50">
        <v>36650</v>
      </c>
      <c r="C449" s="51">
        <v>36791</v>
      </c>
      <c r="D449" s="22"/>
      <c r="E449" s="56"/>
      <c r="F449" s="59"/>
      <c r="G449" s="59"/>
      <c r="H449" s="62"/>
      <c r="I449" s="59"/>
      <c r="J449" s="59"/>
      <c r="O449" s="6">
        <f t="shared" si="8"/>
        <v>0</v>
      </c>
    </row>
    <row r="450" spans="2:15" ht="10.5" customHeight="1" x14ac:dyDescent="0.2">
      <c r="B450" s="3" t="s">
        <v>471</v>
      </c>
      <c r="C450" s="51">
        <v>36951</v>
      </c>
      <c r="D450" s="22" t="s">
        <v>765</v>
      </c>
      <c r="E450" s="56">
        <f>J405</f>
        <v>0</v>
      </c>
      <c r="F450" s="3"/>
      <c r="G450" s="5"/>
      <c r="H450" s="36"/>
      <c r="I450" s="3"/>
      <c r="J450" s="5"/>
      <c r="O450" s="6">
        <f t="shared" si="8"/>
        <v>0</v>
      </c>
    </row>
    <row r="451" spans="2:15" ht="10.5" customHeight="1" x14ac:dyDescent="0.2">
      <c r="B451" s="2" t="s">
        <v>625</v>
      </c>
      <c r="C451" s="45">
        <v>40558</v>
      </c>
      <c r="D451" s="71" t="s">
        <v>765</v>
      </c>
      <c r="E451" s="56">
        <f>J406</f>
        <v>0</v>
      </c>
      <c r="F451" s="47"/>
      <c r="G451" s="47"/>
      <c r="H451" s="48" t="s">
        <v>627</v>
      </c>
      <c r="I451" s="47"/>
      <c r="J451" s="545"/>
      <c r="O451" s="6">
        <f t="shared" si="8"/>
        <v>0</v>
      </c>
    </row>
    <row r="452" spans="2:15" ht="10.5" customHeight="1" x14ac:dyDescent="0.2">
      <c r="B452" s="50">
        <v>39205</v>
      </c>
      <c r="C452" s="51">
        <v>39835</v>
      </c>
      <c r="D452" s="22" t="s">
        <v>673</v>
      </c>
      <c r="E452" s="56"/>
      <c r="F452" s="59"/>
      <c r="G452" s="59"/>
      <c r="H452" s="62"/>
      <c r="I452" s="59"/>
      <c r="J452" s="554"/>
      <c r="O452" s="6">
        <f t="shared" si="8"/>
        <v>0</v>
      </c>
    </row>
    <row r="453" spans="2:15" ht="10.5" customHeight="1" x14ac:dyDescent="0.2">
      <c r="B453" s="3" t="s">
        <v>60</v>
      </c>
      <c r="C453" s="51">
        <v>40564</v>
      </c>
      <c r="D453" s="22" t="s">
        <v>765</v>
      </c>
      <c r="E453" s="379"/>
      <c r="F453" s="3"/>
      <c r="G453" s="59"/>
      <c r="H453" s="62"/>
      <c r="I453" s="59"/>
      <c r="J453" s="5"/>
      <c r="O453" s="6">
        <f t="shared" si="8"/>
        <v>0</v>
      </c>
    </row>
    <row r="454" spans="2:15" ht="10.5" customHeight="1" x14ac:dyDescent="0.2">
      <c r="B454" s="2" t="s">
        <v>625</v>
      </c>
      <c r="C454" s="45">
        <v>40558</v>
      </c>
      <c r="D454" s="71" t="s">
        <v>765</v>
      </c>
      <c r="E454" s="49">
        <f>J412</f>
        <v>0</v>
      </c>
      <c r="F454" s="47">
        <f>'LONG-TERM DEBT'!AA$61+'LONG-TERM DEBT'!AA$101</f>
        <v>44680</v>
      </c>
      <c r="G454" s="49">
        <f>'LONG-TERM DEBT'!AC$61+'LONG-TERM DEBT'!AC$101</f>
        <v>42480</v>
      </c>
      <c r="H454" s="48" t="s">
        <v>627</v>
      </c>
      <c r="I454" s="47">
        <v>572.74</v>
      </c>
      <c r="J454" s="598">
        <f>SUM(G454-I454)</f>
        <v>41907.26</v>
      </c>
      <c r="O454" s="6">
        <f t="shared" si="8"/>
        <v>572.73999999999796</v>
      </c>
    </row>
    <row r="455" spans="2:15" ht="10.5" customHeight="1" x14ac:dyDescent="0.2">
      <c r="B455" s="50" t="s">
        <v>924</v>
      </c>
      <c r="C455" s="51"/>
      <c r="D455" s="52"/>
      <c r="E455" s="56"/>
      <c r="F455" s="59"/>
      <c r="G455" s="59"/>
      <c r="H455" s="62"/>
      <c r="I455" s="40"/>
      <c r="J455" s="554"/>
      <c r="O455" s="6">
        <f t="shared" si="8"/>
        <v>0</v>
      </c>
    </row>
    <row r="456" spans="2:15" x14ac:dyDescent="0.2">
      <c r="B456" s="3" t="s">
        <v>916</v>
      </c>
      <c r="C456" s="51">
        <v>43019</v>
      </c>
      <c r="D456" s="52" t="s">
        <v>765</v>
      </c>
      <c r="E456" s="379"/>
      <c r="F456" s="5"/>
      <c r="G456" s="59">
        <f>SUM('LONG-TERM DEBT'!AC$78) + SUM('LONG-TERM DEBT'!AC$117)</f>
        <v>85968.760000000009</v>
      </c>
      <c r="H456" s="62"/>
      <c r="I456" s="59"/>
      <c r="J456" s="604">
        <f>SUM(G456-I456)</f>
        <v>85968.760000000009</v>
      </c>
      <c r="O456" s="6">
        <f t="shared" si="8"/>
        <v>0</v>
      </c>
    </row>
    <row r="457" spans="2:15" x14ac:dyDescent="0.2">
      <c r="B457" s="2"/>
      <c r="C457" s="45"/>
      <c r="D457" s="46"/>
      <c r="E457" s="702"/>
      <c r="F457" s="595"/>
      <c r="G457" s="47"/>
      <c r="H457" s="48"/>
      <c r="I457" s="47"/>
      <c r="J457" s="598"/>
      <c r="K457" s="1" t="s">
        <v>164</v>
      </c>
      <c r="O457" s="6">
        <f t="shared" si="8"/>
        <v>0</v>
      </c>
    </row>
    <row r="458" spans="2:15" x14ac:dyDescent="0.2">
      <c r="B458" s="3" t="s">
        <v>1007</v>
      </c>
      <c r="C458" s="51"/>
      <c r="D458" s="52"/>
      <c r="E458" s="379"/>
      <c r="F458" s="5"/>
      <c r="G458" s="59"/>
      <c r="H458" s="62"/>
      <c r="I458" s="59"/>
      <c r="J458" s="604"/>
      <c r="O458" s="6">
        <f t="shared" si="8"/>
        <v>0</v>
      </c>
    </row>
    <row r="459" spans="2:15" x14ac:dyDescent="0.2">
      <c r="B459" s="1613" t="s">
        <v>918</v>
      </c>
      <c r="C459" s="51"/>
      <c r="D459" s="52" t="s">
        <v>673</v>
      </c>
      <c r="E459" s="379"/>
      <c r="F459" s="5"/>
      <c r="G459" s="59">
        <f>'LONG-TERM DEBT'!AC$80+'LONG-TERM DEBT'!AC$120</f>
        <v>355437.5</v>
      </c>
      <c r="H459" s="62"/>
      <c r="I459" s="59"/>
      <c r="J459" s="604">
        <f>SUM(G459-I459)</f>
        <v>355437.5</v>
      </c>
      <c r="L459" s="1617">
        <v>484741.25686089194</v>
      </c>
      <c r="O459" s="6">
        <f t="shared" si="8"/>
        <v>0</v>
      </c>
    </row>
    <row r="460" spans="2:15" x14ac:dyDescent="0.2">
      <c r="B460" s="1613" t="s">
        <v>919</v>
      </c>
      <c r="C460" s="51"/>
      <c r="D460" s="52" t="s">
        <v>673</v>
      </c>
      <c r="E460" s="379"/>
      <c r="F460" s="5"/>
      <c r="G460" s="59">
        <f>'LONG-TERM DEBT'!AC$81+'LONG-TERM DEBT'!AC$121</f>
        <v>187075</v>
      </c>
      <c r="H460" s="62"/>
      <c r="I460" s="59"/>
      <c r="J460" s="604">
        <f>SUM(G460-I460)</f>
        <v>187075</v>
      </c>
      <c r="L460" s="1617">
        <v>269530.99079817405</v>
      </c>
      <c r="O460" s="6">
        <f t="shared" si="8"/>
        <v>0</v>
      </c>
    </row>
    <row r="461" spans="2:15" x14ac:dyDescent="0.2">
      <c r="B461" s="1613"/>
      <c r="C461" s="51"/>
      <c r="D461" s="52"/>
      <c r="E461" s="379"/>
      <c r="F461" s="5"/>
      <c r="G461" s="59"/>
      <c r="H461" s="62"/>
      <c r="I461" s="59"/>
      <c r="J461" s="604"/>
      <c r="O461" s="6"/>
    </row>
    <row r="462" spans="2:15" x14ac:dyDescent="0.2">
      <c r="B462" s="1614" t="s">
        <v>1028</v>
      </c>
      <c r="C462" s="38"/>
      <c r="D462" s="39"/>
      <c r="E462" s="1615"/>
      <c r="F462" s="53"/>
      <c r="G462" s="40"/>
      <c r="H462" s="41"/>
      <c r="I462" s="40"/>
      <c r="J462" s="1616"/>
      <c r="O462" s="6"/>
    </row>
    <row r="463" spans="2:15" x14ac:dyDescent="0.2">
      <c r="B463" s="1613" t="s">
        <v>918</v>
      </c>
      <c r="C463" s="51"/>
      <c r="D463" s="52"/>
      <c r="E463" s="379"/>
      <c r="F463" s="5"/>
      <c r="G463" s="59">
        <f>'LONG-TERM DEBT'!AC124</f>
        <v>33238.35</v>
      </c>
      <c r="H463" s="62"/>
      <c r="I463" s="59"/>
      <c r="J463" s="604">
        <f>G463-I463</f>
        <v>33238.35</v>
      </c>
      <c r="O463" s="6"/>
    </row>
    <row r="464" spans="2:15" x14ac:dyDescent="0.2">
      <c r="B464" s="1613" t="s">
        <v>919</v>
      </c>
      <c r="C464" s="51"/>
      <c r="D464" s="52"/>
      <c r="E464" s="379"/>
      <c r="F464" s="5"/>
      <c r="G464" s="59">
        <f>'LONG-TERM DEBT'!AC125</f>
        <v>26698.13</v>
      </c>
      <c r="H464" s="62"/>
      <c r="I464" s="59"/>
      <c r="J464" s="604">
        <f>G464-I464</f>
        <v>26698.13</v>
      </c>
      <c r="O464" s="6"/>
    </row>
    <row r="465" spans="2:15" x14ac:dyDescent="0.2">
      <c r="B465" s="1614" t="s">
        <v>974</v>
      </c>
      <c r="C465" s="38"/>
      <c r="D465" s="39"/>
      <c r="E465" s="1615"/>
      <c r="F465" s="53"/>
      <c r="G465" s="40"/>
      <c r="H465" s="41"/>
      <c r="I465" s="40"/>
      <c r="J465" s="1616"/>
      <c r="O465" s="6"/>
    </row>
    <row r="466" spans="2:15" x14ac:dyDescent="0.2">
      <c r="B466" s="1613" t="s">
        <v>972</v>
      </c>
      <c r="C466" s="51"/>
      <c r="D466" s="52"/>
      <c r="E466" s="379"/>
      <c r="F466" s="5"/>
      <c r="G466" s="59">
        <f>('LONG-TERM DEBT'!AC$84+'LONG-TERM DEBT'!AC$124)*0</f>
        <v>0</v>
      </c>
      <c r="H466" s="62"/>
      <c r="I466" s="59"/>
      <c r="J466" s="604"/>
      <c r="L466" s="1">
        <v>23590</v>
      </c>
      <c r="O466" s="6"/>
    </row>
    <row r="467" spans="2:15" x14ac:dyDescent="0.2">
      <c r="B467" s="1613" t="s">
        <v>973</v>
      </c>
      <c r="C467" s="51"/>
      <c r="D467" s="52"/>
      <c r="E467" s="379"/>
      <c r="F467" s="5"/>
      <c r="G467" s="59">
        <f>('LONG-TERM DEBT'!AC$85+'LONG-TERM DEBT'!AC$125)*0</f>
        <v>0</v>
      </c>
      <c r="H467" s="62"/>
      <c r="I467" s="59"/>
      <c r="J467" s="604">
        <f>BUDGET!AJ380</f>
        <v>53613</v>
      </c>
      <c r="L467" s="1">
        <v>52590.63</v>
      </c>
      <c r="O467" s="6"/>
    </row>
    <row r="468" spans="2:15" x14ac:dyDescent="0.2">
      <c r="B468" s="1613"/>
      <c r="C468" s="51"/>
      <c r="D468" s="52"/>
      <c r="E468" s="379"/>
      <c r="F468" s="5"/>
      <c r="G468" s="59"/>
      <c r="H468" s="62"/>
      <c r="I468" s="59"/>
      <c r="J468" s="604"/>
      <c r="O468" s="6"/>
    </row>
    <row r="469" spans="2:15" x14ac:dyDescent="0.2">
      <c r="B469" s="2"/>
      <c r="C469" s="45"/>
      <c r="D469" s="46"/>
      <c r="E469" s="49"/>
      <c r="F469" s="49"/>
      <c r="G469" s="49"/>
      <c r="H469" s="48"/>
      <c r="I469" s="47"/>
      <c r="J469" s="598"/>
      <c r="M469" s="6">
        <f>'LEVY LIMIT'!AM20-'DE 1'!J470</f>
        <v>-1463100.54</v>
      </c>
    </row>
    <row r="470" spans="2:15" x14ac:dyDescent="0.2">
      <c r="B470" s="470" t="s">
        <v>603</v>
      </c>
      <c r="C470" s="471"/>
      <c r="D470" s="471"/>
      <c r="E470" s="473">
        <f>SUM(E428:E454)</f>
        <v>226250.11</v>
      </c>
      <c r="F470" s="473">
        <f>SUM(F428:F454)</f>
        <v>1093687.72</v>
      </c>
      <c r="G470" s="473">
        <f>SUM(G434:G469)</f>
        <v>1410713.74</v>
      </c>
      <c r="H470" s="474"/>
      <c r="I470" s="474">
        <f>SUM(I428:I454)</f>
        <v>1226.2</v>
      </c>
      <c r="J470" s="472">
        <f>SUM(J435:J469)</f>
        <v>1463100.54</v>
      </c>
      <c r="K470" s="6">
        <f>J470-J435</f>
        <v>1177794.54</v>
      </c>
      <c r="M470" s="6"/>
    </row>
    <row r="471" spans="2:15" x14ac:dyDescent="0.2">
      <c r="G471" s="6"/>
    </row>
    <row r="472" spans="2:15" x14ac:dyDescent="0.2">
      <c r="G472" s="6"/>
    </row>
    <row r="473" spans="2:15" x14ac:dyDescent="0.2">
      <c r="B473" s="31"/>
      <c r="C473" s="31"/>
      <c r="D473" s="613"/>
      <c r="E473" s="31" t="s">
        <v>1023</v>
      </c>
      <c r="F473" s="31" t="s">
        <v>964</v>
      </c>
      <c r="G473" s="31" t="s">
        <v>1024</v>
      </c>
      <c r="H473" s="31"/>
      <c r="I473" s="31" t="s">
        <v>623</v>
      </c>
      <c r="J473" s="31" t="s">
        <v>1025</v>
      </c>
    </row>
    <row r="474" spans="2:15" x14ac:dyDescent="0.2">
      <c r="B474" s="33" t="s">
        <v>698</v>
      </c>
      <c r="C474" s="33" t="s">
        <v>699</v>
      </c>
      <c r="D474" s="33" t="s">
        <v>700</v>
      </c>
      <c r="E474" s="33" t="s">
        <v>701</v>
      </c>
      <c r="F474" s="33" t="s">
        <v>702</v>
      </c>
      <c r="G474" s="33" t="s">
        <v>703</v>
      </c>
      <c r="H474" s="33" t="s">
        <v>164</v>
      </c>
      <c r="I474" s="33" t="s">
        <v>704</v>
      </c>
      <c r="J474" s="33" t="s">
        <v>705</v>
      </c>
    </row>
    <row r="475" spans="2:15" x14ac:dyDescent="0.2">
      <c r="B475" s="33"/>
      <c r="C475" s="33" t="s">
        <v>574</v>
      </c>
      <c r="D475" s="33"/>
      <c r="E475" s="33"/>
      <c r="F475" s="33"/>
      <c r="G475" s="33"/>
      <c r="H475" s="33"/>
      <c r="I475" s="33"/>
      <c r="J475" s="33"/>
    </row>
    <row r="476" spans="2:15" x14ac:dyDescent="0.2">
      <c r="B476" s="33" t="s">
        <v>858</v>
      </c>
      <c r="C476" s="33" t="s">
        <v>859</v>
      </c>
      <c r="D476" s="33" t="s">
        <v>727</v>
      </c>
      <c r="E476" s="33" t="s">
        <v>970</v>
      </c>
      <c r="F476" s="33" t="s">
        <v>1020</v>
      </c>
      <c r="G476" s="33" t="s">
        <v>1021</v>
      </c>
      <c r="H476" s="33"/>
      <c r="I476" s="33"/>
      <c r="J476" s="33" t="s">
        <v>1022</v>
      </c>
    </row>
    <row r="477" spans="2:15" x14ac:dyDescent="0.2">
      <c r="B477" s="33" t="s">
        <v>829</v>
      </c>
      <c r="C477" s="33" t="s">
        <v>830</v>
      </c>
      <c r="D477" s="33" t="s">
        <v>831</v>
      </c>
      <c r="E477" s="33" t="s">
        <v>849</v>
      </c>
      <c r="F477" s="33" t="s">
        <v>850</v>
      </c>
      <c r="G477" s="33" t="s">
        <v>850</v>
      </c>
      <c r="H477" s="33" t="s">
        <v>851</v>
      </c>
      <c r="I477" s="33" t="s">
        <v>852</v>
      </c>
      <c r="J477" s="33" t="s">
        <v>792</v>
      </c>
    </row>
    <row r="478" spans="2:15" x14ac:dyDescent="0.2">
      <c r="B478" s="614" t="s">
        <v>793</v>
      </c>
      <c r="C478" s="1612" t="s">
        <v>794</v>
      </c>
      <c r="D478" s="614" t="s">
        <v>854</v>
      </c>
      <c r="E478" s="614" t="s">
        <v>850</v>
      </c>
      <c r="F478" s="614" t="s">
        <v>855</v>
      </c>
      <c r="G478" s="614" t="s">
        <v>855</v>
      </c>
      <c r="H478" s="614" t="s">
        <v>856</v>
      </c>
      <c r="I478" s="614" t="s">
        <v>824</v>
      </c>
      <c r="J478" s="614" t="s">
        <v>850</v>
      </c>
    </row>
    <row r="479" spans="2:15" x14ac:dyDescent="0.2">
      <c r="B479" s="424"/>
      <c r="C479" s="425"/>
      <c r="D479" s="425"/>
      <c r="E479" s="425"/>
      <c r="F479" s="425"/>
      <c r="G479" s="426" t="s">
        <v>1026</v>
      </c>
      <c r="H479" s="425"/>
      <c r="I479" s="425"/>
      <c r="J479" s="427"/>
    </row>
    <row r="480" spans="2:15" x14ac:dyDescent="0.2">
      <c r="B480" s="37">
        <v>35558</v>
      </c>
      <c r="C480" s="51">
        <v>35993</v>
      </c>
      <c r="D480" s="700" t="s">
        <v>673</v>
      </c>
      <c r="E480" s="56"/>
      <c r="F480" s="59"/>
      <c r="G480" s="57"/>
      <c r="H480" s="60" t="s">
        <v>674</v>
      </c>
      <c r="I480" s="59"/>
      <c r="J480" s="56"/>
      <c r="N480" s="6"/>
    </row>
    <row r="481" spans="2:10" x14ac:dyDescent="0.2">
      <c r="B481" s="37" t="s">
        <v>747</v>
      </c>
      <c r="C481" s="51"/>
      <c r="D481" s="22" t="s">
        <v>765</v>
      </c>
      <c r="E481" s="56">
        <f>J442</f>
        <v>0</v>
      </c>
      <c r="F481" s="62">
        <v>635466.47</v>
      </c>
      <c r="G481" s="60">
        <f>'LONG-TERM DEBT'!AD$172</f>
        <v>85324.45199999999</v>
      </c>
      <c r="H481" s="60"/>
      <c r="I481" s="596">
        <v>0</v>
      </c>
      <c r="J481" s="597">
        <f>G481-I481</f>
        <v>85324.45199999999</v>
      </c>
    </row>
    <row r="482" spans="2:10" x14ac:dyDescent="0.2">
      <c r="B482" s="44"/>
      <c r="C482" s="45"/>
      <c r="D482" s="71" t="s">
        <v>673</v>
      </c>
      <c r="E482" s="49"/>
      <c r="F482" s="2"/>
      <c r="G482" s="59"/>
      <c r="H482" s="60"/>
      <c r="I482" s="59"/>
      <c r="J482" s="56"/>
    </row>
    <row r="483" spans="2:10" x14ac:dyDescent="0.2">
      <c r="B483" s="37">
        <v>35558</v>
      </c>
      <c r="C483" s="51">
        <v>35972</v>
      </c>
      <c r="D483" s="22"/>
      <c r="E483" s="56"/>
      <c r="F483" s="40"/>
      <c r="G483" s="42"/>
      <c r="H483" s="58"/>
      <c r="I483" s="40"/>
      <c r="J483" s="40"/>
    </row>
    <row r="484" spans="2:10" x14ac:dyDescent="0.2">
      <c r="B484" s="44" t="s">
        <v>618</v>
      </c>
      <c r="C484" s="45">
        <v>37330</v>
      </c>
      <c r="D484" s="22" t="s">
        <v>765</v>
      </c>
      <c r="E484" s="56">
        <f>J445</f>
        <v>0</v>
      </c>
      <c r="F484" s="47">
        <f>'LONG-TERM DEBT'!AB$63+'LONG-TERM DEBT'!AB$103</f>
        <v>32900</v>
      </c>
      <c r="G484" s="49">
        <f>'LONG-TERM DEBT'!AD$63+'LONG-TERM DEBT'!AD$103</f>
        <v>26100</v>
      </c>
      <c r="H484" s="63" t="s">
        <v>766</v>
      </c>
      <c r="I484" s="47">
        <v>96.63</v>
      </c>
      <c r="J484" s="600">
        <f>G484-I484</f>
        <v>26003.37</v>
      </c>
    </row>
    <row r="485" spans="2:10" x14ac:dyDescent="0.2">
      <c r="B485" s="37" t="s">
        <v>445</v>
      </c>
      <c r="C485" s="64"/>
      <c r="D485" s="701"/>
      <c r="E485" s="53"/>
      <c r="F485" s="3"/>
      <c r="G485" s="3"/>
      <c r="I485" s="3"/>
      <c r="J485" s="3"/>
    </row>
    <row r="486" spans="2:10" x14ac:dyDescent="0.2">
      <c r="B486" s="44" t="s">
        <v>377</v>
      </c>
      <c r="C486" s="66">
        <v>37330</v>
      </c>
      <c r="D486" s="477" t="s">
        <v>765</v>
      </c>
      <c r="E486" s="56">
        <f>J447</f>
        <v>92549.48</v>
      </c>
      <c r="F486" s="47">
        <f>'LONG-TERM DEBT'!AB$65+'LONG-TERM DEBT'!AB$105</f>
        <v>176400</v>
      </c>
      <c r="G486" s="47">
        <f>'LONG-TERM DEBT'!AD$65+'LONG-TERM DEBT'!AD$105</f>
        <v>171600</v>
      </c>
      <c r="H486" s="48" t="s">
        <v>766</v>
      </c>
      <c r="I486" s="47">
        <v>226.37</v>
      </c>
      <c r="J486" s="600">
        <f>G486-I486</f>
        <v>171373.63</v>
      </c>
    </row>
    <row r="487" spans="2:10" x14ac:dyDescent="0.2">
      <c r="B487" s="398">
        <v>37012</v>
      </c>
      <c r="C487" s="399"/>
      <c r="D487" s="701"/>
      <c r="E487" s="42"/>
      <c r="F487" s="40"/>
      <c r="G487" s="40"/>
      <c r="H487" s="41"/>
      <c r="I487" s="40"/>
      <c r="J487" s="42"/>
    </row>
    <row r="488" spans="2:10" x14ac:dyDescent="0.2">
      <c r="B488" s="44" t="s">
        <v>564</v>
      </c>
      <c r="C488" s="400">
        <v>37330</v>
      </c>
      <c r="D488" s="477" t="s">
        <v>765</v>
      </c>
      <c r="E488" s="49">
        <f>J446</f>
        <v>0</v>
      </c>
      <c r="F488" s="47">
        <f>'LONG-TERM DEBT'!AB$66+'LONG-TERM DEBT'!AB$106</f>
        <v>10400</v>
      </c>
      <c r="G488" s="47">
        <f>'LONG-TERM DEBT'!AD$66+'LONG-TERM DEBT'!AD$106</f>
        <v>0</v>
      </c>
      <c r="H488" s="48"/>
      <c r="I488" s="47"/>
      <c r="J488" s="600">
        <f>G488-I488</f>
        <v>0</v>
      </c>
    </row>
    <row r="489" spans="2:10" x14ac:dyDescent="0.2">
      <c r="B489" s="37">
        <v>35922</v>
      </c>
      <c r="C489" s="51"/>
      <c r="D489" s="22"/>
      <c r="E489" s="56"/>
      <c r="F489" s="59"/>
      <c r="G489" s="59"/>
      <c r="H489" s="62"/>
      <c r="I489" s="59"/>
      <c r="J489" s="56"/>
    </row>
    <row r="490" spans="2:10" x14ac:dyDescent="0.2">
      <c r="B490" s="37" t="s">
        <v>598</v>
      </c>
      <c r="C490" s="51">
        <v>36951</v>
      </c>
      <c r="D490" s="22" t="s">
        <v>765</v>
      </c>
      <c r="E490" s="56">
        <f>J448</f>
        <v>0</v>
      </c>
      <c r="F490" s="59">
        <f>'LONG-TERM DEBT'!AB$58+'LONG-TERM DEBT'!AB$98</f>
        <v>87510</v>
      </c>
      <c r="G490" s="59">
        <f>'LONG-TERM DEBT'!AD$58+'LONG-TERM DEBT'!AD$98</f>
        <v>82560</v>
      </c>
      <c r="H490" s="62" t="s">
        <v>614</v>
      </c>
      <c r="I490" s="59">
        <v>179.72</v>
      </c>
      <c r="J490" s="379">
        <f>G490-(I490+I491)</f>
        <v>82380.28</v>
      </c>
    </row>
    <row r="491" spans="2:10" x14ac:dyDescent="0.2">
      <c r="B491" s="44" t="s">
        <v>625</v>
      </c>
      <c r="C491" s="45">
        <v>40558</v>
      </c>
      <c r="D491" s="71" t="s">
        <v>765</v>
      </c>
      <c r="E491" s="56"/>
      <c r="F491" s="59"/>
      <c r="G491" s="59"/>
      <c r="H491" s="62" t="s">
        <v>627</v>
      </c>
      <c r="I491" s="59"/>
      <c r="J491" s="554"/>
    </row>
    <row r="492" spans="2:10" x14ac:dyDescent="0.2">
      <c r="B492" s="69">
        <v>36426</v>
      </c>
      <c r="C492" s="38">
        <v>36651</v>
      </c>
      <c r="D492" s="70"/>
      <c r="E492" s="42"/>
      <c r="F492" s="40"/>
      <c r="G492" s="40"/>
      <c r="H492" s="41"/>
      <c r="I492" s="40"/>
      <c r="J492" s="40"/>
    </row>
    <row r="493" spans="2:10" x14ac:dyDescent="0.2">
      <c r="B493" s="52" t="s">
        <v>600</v>
      </c>
      <c r="C493" s="51">
        <v>36951</v>
      </c>
      <c r="D493" s="22" t="s">
        <v>765</v>
      </c>
      <c r="E493" s="56">
        <f>J451</f>
        <v>0</v>
      </c>
      <c r="F493" s="59">
        <f>'LONG-TERM DEBT'!AB$56+'LONG-TERM DEBT'!AB$96+9000+1931.25</f>
        <v>106331.25</v>
      </c>
      <c r="G493" s="59">
        <f>'LONG-TERM DEBT'!AD$56+'LONG-TERM DEBT'!AD$96</f>
        <v>0</v>
      </c>
      <c r="H493" s="62" t="s">
        <v>205</v>
      </c>
      <c r="I493" s="59"/>
      <c r="J493" s="379">
        <f>G493-(I493+I494)</f>
        <v>0</v>
      </c>
    </row>
    <row r="494" spans="2:10" x14ac:dyDescent="0.2">
      <c r="B494" s="46" t="s">
        <v>625</v>
      </c>
      <c r="C494" s="45">
        <v>40558</v>
      </c>
      <c r="D494" s="71" t="s">
        <v>765</v>
      </c>
      <c r="E494" s="49"/>
      <c r="F494" s="47"/>
      <c r="G494" s="47"/>
      <c r="H494" s="48" t="s">
        <v>627</v>
      </c>
      <c r="I494" s="47"/>
      <c r="J494" s="545"/>
    </row>
    <row r="495" spans="2:10" x14ac:dyDescent="0.2">
      <c r="B495" s="50">
        <v>36650</v>
      </c>
      <c r="C495" s="51">
        <v>36791</v>
      </c>
      <c r="D495" s="22"/>
      <c r="E495" s="56"/>
      <c r="F495" s="59"/>
      <c r="G495" s="59"/>
      <c r="H495" s="62"/>
      <c r="I495" s="59"/>
      <c r="J495" s="59"/>
    </row>
    <row r="496" spans="2:10" x14ac:dyDescent="0.2">
      <c r="B496" s="3" t="s">
        <v>471</v>
      </c>
      <c r="C496" s="51">
        <v>36951</v>
      </c>
      <c r="D496" s="22" t="s">
        <v>765</v>
      </c>
      <c r="E496" s="56">
        <f>J454</f>
        <v>41907.26</v>
      </c>
      <c r="F496" s="3"/>
      <c r="G496" s="5"/>
      <c r="H496" s="36"/>
      <c r="I496" s="3"/>
      <c r="J496" s="5"/>
    </row>
    <row r="497" spans="2:12" x14ac:dyDescent="0.2">
      <c r="B497" s="2" t="s">
        <v>625</v>
      </c>
      <c r="C497" s="45">
        <v>40558</v>
      </c>
      <c r="D497" s="71" t="s">
        <v>765</v>
      </c>
      <c r="E497" s="56">
        <f>J455</f>
        <v>0</v>
      </c>
      <c r="F497" s="47"/>
      <c r="G497" s="47"/>
      <c r="H497" s="48" t="s">
        <v>627</v>
      </c>
      <c r="I497" s="47"/>
      <c r="J497" s="545"/>
    </row>
    <row r="498" spans="2:12" x14ac:dyDescent="0.2">
      <c r="B498" s="50">
        <v>39205</v>
      </c>
      <c r="C498" s="51">
        <v>39835</v>
      </c>
      <c r="D498" s="22" t="s">
        <v>673</v>
      </c>
      <c r="E498" s="56"/>
      <c r="F498" s="59"/>
      <c r="G498" s="59"/>
      <c r="H498" s="62"/>
      <c r="I498" s="59"/>
      <c r="J498" s="554"/>
    </row>
    <row r="499" spans="2:12" x14ac:dyDescent="0.2">
      <c r="B499" s="3" t="s">
        <v>60</v>
      </c>
      <c r="C499" s="51">
        <v>40564</v>
      </c>
      <c r="D499" s="22" t="s">
        <v>765</v>
      </c>
      <c r="E499" s="379"/>
      <c r="F499" s="3"/>
      <c r="G499" s="59"/>
      <c r="H499" s="62"/>
      <c r="I499" s="59"/>
      <c r="J499" s="5"/>
    </row>
    <row r="500" spans="2:12" x14ac:dyDescent="0.2">
      <c r="B500" s="2" t="s">
        <v>625</v>
      </c>
      <c r="C500" s="45">
        <v>40558</v>
      </c>
      <c r="D500" s="71" t="s">
        <v>765</v>
      </c>
      <c r="E500" s="49">
        <f>J461</f>
        <v>0</v>
      </c>
      <c r="F500" s="47">
        <f>'LONG-TERM DEBT'!AA$61+'LONG-TERM DEBT'!AA$101</f>
        <v>44680</v>
      </c>
      <c r="G500" s="49">
        <f>'LONG-TERM DEBT'!AD$61+'LONG-TERM DEBT'!AD$101</f>
        <v>41280</v>
      </c>
      <c r="H500" s="48" t="s">
        <v>627</v>
      </c>
      <c r="I500" s="47">
        <f>572.74-1.46</f>
        <v>571.28</v>
      </c>
      <c r="J500" s="598">
        <f>SUM(G500-I500)</f>
        <v>40708.720000000001</v>
      </c>
      <c r="L500" s="1">
        <f>1.72-0.26</f>
        <v>1.46</v>
      </c>
    </row>
    <row r="501" spans="2:12" x14ac:dyDescent="0.2">
      <c r="B501" s="50" t="s">
        <v>924</v>
      </c>
      <c r="C501" s="51"/>
      <c r="D501" s="52"/>
      <c r="E501" s="56"/>
      <c r="F501" s="59"/>
      <c r="G501" s="59"/>
      <c r="H501" s="62"/>
      <c r="I501" s="40"/>
      <c r="J501" s="554"/>
    </row>
    <row r="502" spans="2:12" x14ac:dyDescent="0.2">
      <c r="B502" s="3" t="s">
        <v>1029</v>
      </c>
      <c r="C502" s="51">
        <v>43019</v>
      </c>
      <c r="D502" s="52" t="s">
        <v>765</v>
      </c>
      <c r="E502" s="379"/>
      <c r="F502" s="5"/>
      <c r="G502" s="59">
        <f>SUM('LONG-TERM DEBT'!AD$78) + SUM('LONG-TERM DEBT'!AD$117)</f>
        <v>84768.760000000009</v>
      </c>
      <c r="H502" s="62"/>
      <c r="I502" s="59">
        <v>0.01</v>
      </c>
      <c r="J502" s="604">
        <f>SUM(G502-I502)</f>
        <v>84768.750000000015</v>
      </c>
    </row>
    <row r="503" spans="2:12" x14ac:dyDescent="0.2">
      <c r="B503" s="2"/>
      <c r="C503" s="45"/>
      <c r="D503" s="46"/>
      <c r="E503" s="702"/>
      <c r="F503" s="595"/>
      <c r="G503" s="47"/>
      <c r="H503" s="48"/>
      <c r="I503" s="47"/>
      <c r="J503" s="598"/>
    </row>
    <row r="504" spans="2:12" x14ac:dyDescent="0.2">
      <c r="B504" s="3" t="s">
        <v>1007</v>
      </c>
      <c r="C504" s="51"/>
      <c r="D504" s="52"/>
      <c r="E504" s="379"/>
      <c r="F504" s="5"/>
      <c r="G504" s="59"/>
      <c r="H504" s="62"/>
      <c r="I504" s="59"/>
      <c r="J504" s="604"/>
    </row>
    <row r="505" spans="2:12" x14ac:dyDescent="0.2">
      <c r="B505" s="1613" t="s">
        <v>918</v>
      </c>
      <c r="C505" s="51"/>
      <c r="D505" s="52" t="s">
        <v>673</v>
      </c>
      <c r="E505" s="379"/>
      <c r="F505" s="5"/>
      <c r="G505" s="59">
        <f>'LONG-TERM DEBT'!AD$80+'LONG-TERM DEBT'!AD$120</f>
        <v>353687.5</v>
      </c>
      <c r="H505" s="62"/>
      <c r="I505" s="59"/>
      <c r="J505" s="604">
        <f>SUM(G505-I505)</f>
        <v>353687.5</v>
      </c>
    </row>
    <row r="506" spans="2:12" x14ac:dyDescent="0.2">
      <c r="B506" s="1613" t="s">
        <v>919</v>
      </c>
      <c r="C506" s="51"/>
      <c r="D506" s="52" t="s">
        <v>673</v>
      </c>
      <c r="E506" s="379"/>
      <c r="F506" s="5"/>
      <c r="G506" s="59">
        <f>'LONG-TERM DEBT'!AD$81+'LONG-TERM DEBT'!AD$121</f>
        <v>188275</v>
      </c>
      <c r="H506" s="62"/>
      <c r="I506" s="59"/>
      <c r="J506" s="604">
        <f>SUM(G506-I506)</f>
        <v>188275</v>
      </c>
    </row>
    <row r="507" spans="2:12" x14ac:dyDescent="0.2">
      <c r="B507" s="1613"/>
      <c r="C507" s="51"/>
      <c r="D507" s="52"/>
      <c r="E507" s="379"/>
      <c r="F507" s="5"/>
      <c r="G507" s="59"/>
      <c r="H507" s="62"/>
      <c r="I507" s="59"/>
      <c r="J507" s="604"/>
    </row>
    <row r="508" spans="2:12" x14ac:dyDescent="0.2">
      <c r="B508" s="1614" t="s">
        <v>1028</v>
      </c>
      <c r="C508" s="38"/>
      <c r="D508" s="39"/>
      <c r="E508" s="1615"/>
      <c r="F508" s="53"/>
      <c r="G508" s="40"/>
      <c r="H508" s="41"/>
      <c r="I508" s="40"/>
      <c r="J508" s="1616"/>
    </row>
    <row r="509" spans="2:12" x14ac:dyDescent="0.2">
      <c r="B509" s="1613" t="s">
        <v>918</v>
      </c>
      <c r="C509" s="51"/>
      <c r="D509" s="52"/>
      <c r="E509" s="379"/>
      <c r="F509" s="5"/>
      <c r="G509" s="59">
        <f>'LONG-TERM DEBT'!AD$84+'LONG-TERM DEBT'!AD$124</f>
        <v>122394</v>
      </c>
      <c r="H509" s="62"/>
      <c r="I509" s="59"/>
      <c r="J509" s="604">
        <f>SUM(G509-I509)</f>
        <v>122394</v>
      </c>
    </row>
    <row r="510" spans="2:12" x14ac:dyDescent="0.2">
      <c r="B510" s="1613" t="s">
        <v>919</v>
      </c>
      <c r="C510" s="51"/>
      <c r="D510" s="52"/>
      <c r="E510" s="379"/>
      <c r="F510" s="5"/>
      <c r="G510" s="59">
        <f>'LONG-TERM DEBT'!AD$85+'LONG-TERM DEBT'!AD$125</f>
        <v>118612.5</v>
      </c>
      <c r="H510" s="62"/>
      <c r="I510" s="59"/>
      <c r="J510" s="604">
        <f>SUM(G510-I510)</f>
        <v>118612.5</v>
      </c>
    </row>
    <row r="511" spans="2:12" x14ac:dyDescent="0.2">
      <c r="B511" s="1613"/>
      <c r="C511" s="51"/>
      <c r="D511" s="52"/>
      <c r="E511" s="379"/>
      <c r="F511" s="5"/>
      <c r="G511" s="59"/>
      <c r="H511" s="62"/>
      <c r="I511" s="59"/>
      <c r="J511" s="604"/>
    </row>
    <row r="512" spans="2:12" x14ac:dyDescent="0.2">
      <c r="B512" s="1614" t="s">
        <v>974</v>
      </c>
      <c r="C512" s="38"/>
      <c r="D512" s="39"/>
      <c r="E512" s="1615"/>
      <c r="F512" s="53"/>
      <c r="G512" s="40"/>
      <c r="H512" s="41"/>
      <c r="I512" s="40"/>
      <c r="J512" s="1616"/>
    </row>
    <row r="513" spans="2:11" x14ac:dyDescent="0.2">
      <c r="B513" s="1613"/>
      <c r="C513" s="51"/>
      <c r="D513" s="52"/>
      <c r="E513" s="379"/>
      <c r="F513" s="5"/>
      <c r="G513" s="59">
        <f>'LONG-TERM DEBT'!AD201</f>
        <v>0</v>
      </c>
      <c r="H513" s="62"/>
      <c r="I513" s="59"/>
      <c r="J513" s="604">
        <v>10000</v>
      </c>
    </row>
    <row r="514" spans="2:11" x14ac:dyDescent="0.2">
      <c r="B514" s="1613"/>
      <c r="C514" s="51"/>
      <c r="D514" s="52"/>
      <c r="E514" s="379"/>
      <c r="F514" s="5"/>
      <c r="G514" s="59"/>
      <c r="H514" s="62"/>
      <c r="I514" s="59"/>
      <c r="J514" s="604"/>
    </row>
    <row r="515" spans="2:11" x14ac:dyDescent="0.2">
      <c r="B515" s="1613"/>
      <c r="C515" s="51"/>
      <c r="D515" s="52"/>
      <c r="E515" s="379"/>
      <c r="F515" s="5"/>
      <c r="G515" s="59"/>
      <c r="H515" s="62"/>
      <c r="I515" s="59"/>
      <c r="J515" s="604"/>
    </row>
    <row r="516" spans="2:11" x14ac:dyDescent="0.2">
      <c r="B516" s="2"/>
      <c r="C516" s="45"/>
      <c r="D516" s="46"/>
      <c r="E516" s="49"/>
      <c r="F516" s="49"/>
      <c r="G516" s="49"/>
      <c r="H516" s="48"/>
      <c r="I516" s="47"/>
      <c r="J516" s="598"/>
    </row>
    <row r="517" spans="2:11" x14ac:dyDescent="0.2">
      <c r="B517" s="470" t="s">
        <v>603</v>
      </c>
      <c r="C517" s="471"/>
      <c r="D517" s="471"/>
      <c r="E517" s="473">
        <f>SUM(E480:E500)</f>
        <v>134456.74</v>
      </c>
      <c r="F517" s="473">
        <f>SUM(F480:F500)</f>
        <v>1093687.72</v>
      </c>
      <c r="G517" s="473">
        <f>SUM(G480:G516)</f>
        <v>1274602.2120000001</v>
      </c>
      <c r="H517" s="474"/>
      <c r="I517" s="474">
        <f>SUM(I480:I500)</f>
        <v>1074</v>
      </c>
      <c r="J517" s="472">
        <f>SUM(J481:J515)</f>
        <v>1283528.202</v>
      </c>
    </row>
    <row r="518" spans="2:11" x14ac:dyDescent="0.2">
      <c r="B518" s="1599"/>
      <c r="C518" s="1600"/>
      <c r="D518" s="1600"/>
      <c r="E518" s="1601"/>
      <c r="F518" s="1601"/>
      <c r="G518" s="1601"/>
      <c r="H518" s="1601"/>
      <c r="I518" s="1601"/>
      <c r="J518" s="1601"/>
    </row>
    <row r="519" spans="2:11" x14ac:dyDescent="0.2">
      <c r="B519" s="31"/>
      <c r="C519" s="31"/>
      <c r="D519" s="613"/>
      <c r="E519" s="31" t="s">
        <v>1054</v>
      </c>
      <c r="F519" s="31" t="s">
        <v>1055</v>
      </c>
      <c r="G519" s="31" t="s">
        <v>1052</v>
      </c>
      <c r="H519" s="31"/>
      <c r="I519" s="31" t="s">
        <v>623</v>
      </c>
      <c r="J519" s="31" t="s">
        <v>1053</v>
      </c>
    </row>
    <row r="520" spans="2:11" x14ac:dyDescent="0.2">
      <c r="B520" s="33" t="s">
        <v>698</v>
      </c>
      <c r="C520" s="33" t="s">
        <v>699</v>
      </c>
      <c r="D520" s="33" t="s">
        <v>700</v>
      </c>
      <c r="E520" s="33" t="s">
        <v>701</v>
      </c>
      <c r="F520" s="33" t="s">
        <v>702</v>
      </c>
      <c r="G520" s="33" t="s">
        <v>703</v>
      </c>
      <c r="H520" s="33" t="s">
        <v>164</v>
      </c>
      <c r="I520" s="33" t="s">
        <v>704</v>
      </c>
      <c r="J520" s="33" t="s">
        <v>705</v>
      </c>
    </row>
    <row r="521" spans="2:11" x14ac:dyDescent="0.2">
      <c r="B521" s="33"/>
      <c r="C521" s="33" t="s">
        <v>574</v>
      </c>
      <c r="D521" s="33"/>
      <c r="E521" s="33"/>
      <c r="F521" s="33"/>
      <c r="G521" s="33"/>
      <c r="H521" s="33"/>
      <c r="I521" s="33"/>
      <c r="J521" s="33"/>
    </row>
    <row r="522" spans="2:11" x14ac:dyDescent="0.2">
      <c r="B522" s="33" t="s">
        <v>858</v>
      </c>
      <c r="C522" s="33" t="s">
        <v>859</v>
      </c>
      <c r="D522" s="33" t="s">
        <v>727</v>
      </c>
      <c r="E522" s="33" t="s">
        <v>1022</v>
      </c>
      <c r="F522" s="33" t="s">
        <v>1066</v>
      </c>
      <c r="G522" s="33" t="s">
        <v>1065</v>
      </c>
      <c r="H522" s="33"/>
      <c r="I522" s="33"/>
      <c r="J522" s="33" t="s">
        <v>1064</v>
      </c>
    </row>
    <row r="523" spans="2:11" x14ac:dyDescent="0.2">
      <c r="B523" s="33" t="s">
        <v>829</v>
      </c>
      <c r="C523" s="33" t="s">
        <v>830</v>
      </c>
      <c r="D523" s="33" t="s">
        <v>831</v>
      </c>
      <c r="E523" s="33" t="s">
        <v>849</v>
      </c>
      <c r="F523" s="33" t="s">
        <v>850</v>
      </c>
      <c r="G523" s="33" t="s">
        <v>850</v>
      </c>
      <c r="H523" s="33" t="s">
        <v>851</v>
      </c>
      <c r="I523" s="33" t="s">
        <v>852</v>
      </c>
      <c r="J523" s="33" t="s">
        <v>792</v>
      </c>
    </row>
    <row r="524" spans="2:11" x14ac:dyDescent="0.2">
      <c r="B524" s="614" t="s">
        <v>793</v>
      </c>
      <c r="C524" s="1612" t="s">
        <v>794</v>
      </c>
      <c r="D524" s="614" t="s">
        <v>854</v>
      </c>
      <c r="E524" s="614" t="s">
        <v>850</v>
      </c>
      <c r="F524" s="614" t="s">
        <v>855</v>
      </c>
      <c r="G524" s="614" t="s">
        <v>855</v>
      </c>
      <c r="H524" s="614" t="s">
        <v>856</v>
      </c>
      <c r="I524" s="614" t="s">
        <v>824</v>
      </c>
      <c r="J524" s="614" t="s">
        <v>850</v>
      </c>
    </row>
    <row r="525" spans="2:11" x14ac:dyDescent="0.2">
      <c r="B525" s="424"/>
      <c r="C525" s="425"/>
      <c r="D525" s="425"/>
      <c r="E525" s="425"/>
      <c r="F525" s="425"/>
      <c r="G525" s="426" t="s">
        <v>1026</v>
      </c>
      <c r="H525" s="425"/>
      <c r="I525" s="425"/>
      <c r="J525" s="427"/>
    </row>
    <row r="526" spans="2:11" x14ac:dyDescent="0.2">
      <c r="B526" s="37">
        <v>35558</v>
      </c>
      <c r="C526" s="51">
        <v>35993</v>
      </c>
      <c r="D526" s="700" t="s">
        <v>673</v>
      </c>
      <c r="E526" s="56"/>
      <c r="F526" s="59"/>
      <c r="G526" s="57"/>
      <c r="H526" s="60" t="s">
        <v>674</v>
      </c>
      <c r="I526" s="59"/>
      <c r="J526" s="56"/>
    </row>
    <row r="527" spans="2:11" x14ac:dyDescent="0.2">
      <c r="B527" s="37" t="s">
        <v>747</v>
      </c>
      <c r="C527" s="51"/>
      <c r="D527" s="22" t="s">
        <v>765</v>
      </c>
      <c r="E527" s="56">
        <f>J488</f>
        <v>0</v>
      </c>
      <c r="F527" s="62">
        <v>635466.47</v>
      </c>
      <c r="G527" s="60">
        <f>'LONG-TERM DEBT'!AE$172*0+BUDGET!AN437</f>
        <v>82467</v>
      </c>
      <c r="H527" s="60"/>
      <c r="I527" s="596">
        <v>0</v>
      </c>
      <c r="J527" s="597">
        <f>G527-I527</f>
        <v>82467</v>
      </c>
      <c r="K527" s="6">
        <v>0</v>
      </c>
    </row>
    <row r="528" spans="2:11" x14ac:dyDescent="0.2">
      <c r="B528" s="44"/>
      <c r="C528" s="45"/>
      <c r="D528" s="71" t="s">
        <v>673</v>
      </c>
      <c r="E528" s="49"/>
      <c r="F528" s="2"/>
      <c r="G528" s="59"/>
      <c r="H528" s="60"/>
      <c r="I528" s="59"/>
      <c r="J528" s="56"/>
    </row>
    <row r="529" spans="2:11" x14ac:dyDescent="0.2">
      <c r="B529" s="37">
        <v>35558</v>
      </c>
      <c r="C529" s="51">
        <v>35972</v>
      </c>
      <c r="D529" s="22"/>
      <c r="E529" s="56"/>
      <c r="F529" s="40"/>
      <c r="G529" s="42"/>
      <c r="H529" s="58"/>
      <c r="I529" s="40"/>
      <c r="J529" s="40"/>
    </row>
    <row r="530" spans="2:11" x14ac:dyDescent="0.2">
      <c r="B530" s="44" t="s">
        <v>618</v>
      </c>
      <c r="C530" s="45">
        <v>37330</v>
      </c>
      <c r="D530" s="22" t="s">
        <v>765</v>
      </c>
      <c r="E530" s="56">
        <f>J491</f>
        <v>0</v>
      </c>
      <c r="F530" s="47">
        <f>'LONG-TERM DEBT'!AB$63+'LONG-TERM DEBT'!AB$103</f>
        <v>32900</v>
      </c>
      <c r="G530" s="49">
        <f>'LONG-TERM DEBT'!AE$63+'LONG-TERM DEBT'!AE$103</f>
        <v>30600</v>
      </c>
      <c r="H530" s="63" t="s">
        <v>766</v>
      </c>
      <c r="I530" s="47">
        <v>96.63</v>
      </c>
      <c r="J530" s="600">
        <f>G530-I530</f>
        <v>30503.37</v>
      </c>
      <c r="K530" s="6">
        <v>9.9999999983992893E-3</v>
      </c>
    </row>
    <row r="531" spans="2:11" x14ac:dyDescent="0.2">
      <c r="B531" s="37" t="s">
        <v>445</v>
      </c>
      <c r="C531" s="64"/>
      <c r="D531" s="701"/>
      <c r="E531" s="53"/>
      <c r="F531" s="3"/>
      <c r="G531" s="3"/>
      <c r="I531" s="3"/>
      <c r="J531" s="3"/>
    </row>
    <row r="532" spans="2:11" x14ac:dyDescent="0.2">
      <c r="B532" s="44" t="s">
        <v>377</v>
      </c>
      <c r="C532" s="66">
        <v>37330</v>
      </c>
      <c r="D532" s="477" t="s">
        <v>765</v>
      </c>
      <c r="E532" s="56">
        <f>J493</f>
        <v>0</v>
      </c>
      <c r="F532" s="47">
        <f>'LONG-TERM DEBT'!AB$65+'LONG-TERM DEBT'!AB$105</f>
        <v>176400</v>
      </c>
      <c r="G532" s="47">
        <f>'LONG-TERM DEBT'!AE$65+'LONG-TERM DEBT'!AE$105</f>
        <v>168300</v>
      </c>
      <c r="H532" s="48" t="s">
        <v>766</v>
      </c>
      <c r="I532" s="47">
        <v>226.37</v>
      </c>
      <c r="J532" s="600">
        <f>G532-I532</f>
        <v>168073.63</v>
      </c>
      <c r="K532" s="6">
        <v>-0.33999999999650754</v>
      </c>
    </row>
    <row r="533" spans="2:11" x14ac:dyDescent="0.2">
      <c r="B533" s="398">
        <v>37012</v>
      </c>
      <c r="C533" s="399"/>
      <c r="D533" s="701"/>
      <c r="E533" s="42"/>
      <c r="F533" s="40"/>
      <c r="G533" s="40"/>
      <c r="H533" s="41"/>
      <c r="I533" s="40"/>
      <c r="J533" s="42"/>
    </row>
    <row r="534" spans="2:11" x14ac:dyDescent="0.2">
      <c r="B534" s="44" t="s">
        <v>564</v>
      </c>
      <c r="C534" s="400">
        <v>37330</v>
      </c>
      <c r="D534" s="477" t="s">
        <v>765</v>
      </c>
      <c r="E534" s="49">
        <f>J492</f>
        <v>0</v>
      </c>
      <c r="F534" s="47">
        <f>'LONG-TERM DEBT'!AB$66+'LONG-TERM DEBT'!AB$106</f>
        <v>10400</v>
      </c>
      <c r="G534" s="47">
        <f>'LONG-TERM DEBT'!AE$66+'LONG-TERM DEBT'!AE$106</f>
        <v>0</v>
      </c>
      <c r="H534" s="48"/>
      <c r="I534" s="47"/>
      <c r="J534" s="600">
        <f>G534-I534</f>
        <v>0</v>
      </c>
    </row>
    <row r="535" spans="2:11" x14ac:dyDescent="0.2">
      <c r="B535" s="37">
        <v>35922</v>
      </c>
      <c r="C535" s="51"/>
      <c r="D535" s="22"/>
      <c r="E535" s="56"/>
      <c r="F535" s="59"/>
      <c r="G535" s="59"/>
      <c r="H535" s="62"/>
      <c r="I535" s="59"/>
      <c r="J535" s="56"/>
    </row>
    <row r="536" spans="2:11" x14ac:dyDescent="0.2">
      <c r="B536" s="37" t="s">
        <v>598</v>
      </c>
      <c r="C536" s="51">
        <v>36951</v>
      </c>
      <c r="D536" s="22" t="s">
        <v>765</v>
      </c>
      <c r="E536" s="56">
        <f>J494</f>
        <v>0</v>
      </c>
      <c r="F536" s="59">
        <f>'LONG-TERM DEBT'!AB$58+'LONG-TERM DEBT'!AB$98</f>
        <v>87510</v>
      </c>
      <c r="G536" s="59">
        <f>'LONG-TERM DEBT'!AE$58+'LONG-TERM DEBT'!AE$98</f>
        <v>0</v>
      </c>
      <c r="H536" s="62" t="s">
        <v>614</v>
      </c>
      <c r="I536" s="59">
        <v>179.72</v>
      </c>
      <c r="J536" s="379"/>
    </row>
    <row r="537" spans="2:11" x14ac:dyDescent="0.2">
      <c r="B537" s="44" t="s">
        <v>625</v>
      </c>
      <c r="C537" s="45">
        <v>40558</v>
      </c>
      <c r="D537" s="71" t="s">
        <v>765</v>
      </c>
      <c r="E537" s="56"/>
      <c r="F537" s="59"/>
      <c r="G537" s="59"/>
      <c r="H537" s="62" t="s">
        <v>627</v>
      </c>
      <c r="I537" s="59"/>
      <c r="J537" s="554"/>
    </row>
    <row r="538" spans="2:11" x14ac:dyDescent="0.2">
      <c r="B538" s="69">
        <v>36426</v>
      </c>
      <c r="C538" s="38">
        <v>36651</v>
      </c>
      <c r="D538" s="70"/>
      <c r="E538" s="42"/>
      <c r="F538" s="40"/>
      <c r="G538" s="40"/>
      <c r="H538" s="41"/>
      <c r="I538" s="40"/>
      <c r="J538" s="40"/>
    </row>
    <row r="539" spans="2:11" x14ac:dyDescent="0.2">
      <c r="B539" s="52" t="s">
        <v>600</v>
      </c>
      <c r="C539" s="51">
        <v>36951</v>
      </c>
      <c r="D539" s="22" t="s">
        <v>765</v>
      </c>
      <c r="E539" s="56">
        <f>J497</f>
        <v>0</v>
      </c>
      <c r="F539" s="59">
        <f>'LONG-TERM DEBT'!AB$56+'LONG-TERM DEBT'!AB$96+9000+1931.25</f>
        <v>106331.25</v>
      </c>
      <c r="G539" s="59">
        <f>'LONG-TERM DEBT'!AE$56+'LONG-TERM DEBT'!AE$96</f>
        <v>0</v>
      </c>
      <c r="H539" s="62" t="s">
        <v>205</v>
      </c>
      <c r="I539" s="59"/>
      <c r="J539" s="379">
        <f>G539-(I539+I540)</f>
        <v>0</v>
      </c>
    </row>
    <row r="540" spans="2:11" x14ac:dyDescent="0.2">
      <c r="B540" s="46" t="s">
        <v>625</v>
      </c>
      <c r="C540" s="45">
        <v>40558</v>
      </c>
      <c r="D540" s="71" t="s">
        <v>765</v>
      </c>
      <c r="E540" s="49"/>
      <c r="F540" s="47"/>
      <c r="G540" s="47"/>
      <c r="H540" s="48" t="s">
        <v>627</v>
      </c>
      <c r="I540" s="47"/>
      <c r="J540" s="545"/>
    </row>
    <row r="541" spans="2:11" x14ac:dyDescent="0.2">
      <c r="B541" s="50">
        <v>36650</v>
      </c>
      <c r="C541" s="51">
        <v>36791</v>
      </c>
      <c r="D541" s="22"/>
      <c r="E541" s="56"/>
      <c r="F541" s="59"/>
      <c r="G541" s="59"/>
      <c r="H541" s="62"/>
      <c r="I541" s="59"/>
      <c r="J541" s="59"/>
    </row>
    <row r="542" spans="2:11" x14ac:dyDescent="0.2">
      <c r="B542" s="3" t="s">
        <v>471</v>
      </c>
      <c r="C542" s="51">
        <v>36951</v>
      </c>
      <c r="D542" s="22" t="s">
        <v>765</v>
      </c>
      <c r="E542" s="56">
        <f>J500</f>
        <v>40708.720000000001</v>
      </c>
      <c r="F542" s="3"/>
      <c r="G542" s="5"/>
      <c r="H542" s="36"/>
      <c r="I542" s="3"/>
      <c r="J542" s="5"/>
    </row>
    <row r="543" spans="2:11" x14ac:dyDescent="0.2">
      <c r="B543" s="2" t="s">
        <v>625</v>
      </c>
      <c r="C543" s="45">
        <v>40558</v>
      </c>
      <c r="D543" s="71" t="s">
        <v>765</v>
      </c>
      <c r="E543" s="56">
        <f>J501</f>
        <v>0</v>
      </c>
      <c r="F543" s="47"/>
      <c r="G543" s="47"/>
      <c r="H543" s="48" t="s">
        <v>627</v>
      </c>
      <c r="I543" s="47"/>
      <c r="J543" s="545"/>
    </row>
    <row r="544" spans="2:11" x14ac:dyDescent="0.2">
      <c r="B544" s="50">
        <v>39205</v>
      </c>
      <c r="C544" s="51">
        <v>39835</v>
      </c>
      <c r="D544" s="22" t="s">
        <v>673</v>
      </c>
      <c r="E544" s="56"/>
      <c r="F544" s="59"/>
      <c r="G544" s="59"/>
      <c r="H544" s="62"/>
      <c r="I544" s="59"/>
      <c r="J544" s="554"/>
    </row>
    <row r="545" spans="2:10" x14ac:dyDescent="0.2">
      <c r="B545" s="3" t="s">
        <v>60</v>
      </c>
      <c r="C545" s="51">
        <v>40564</v>
      </c>
      <c r="D545" s="22" t="s">
        <v>765</v>
      </c>
      <c r="E545" s="379"/>
      <c r="F545" s="3"/>
      <c r="G545" s="59"/>
      <c r="H545" s="62"/>
      <c r="I545" s="59"/>
      <c r="J545" s="5"/>
    </row>
    <row r="546" spans="2:10" x14ac:dyDescent="0.2">
      <c r="B546" s="2" t="s">
        <v>625</v>
      </c>
      <c r="C546" s="45">
        <v>40558</v>
      </c>
      <c r="D546" s="71" t="s">
        <v>765</v>
      </c>
      <c r="E546" s="49">
        <f>J507</f>
        <v>0</v>
      </c>
      <c r="F546" s="47">
        <f>'LONG-TERM DEBT'!AA$61+'LONG-TERM DEBT'!AA$101</f>
        <v>44680</v>
      </c>
      <c r="G546" s="49">
        <f>'LONG-TERM DEBT'!AE$61+'LONG-TERM DEBT'!AE$101</f>
        <v>0</v>
      </c>
      <c r="H546" s="48" t="s">
        <v>627</v>
      </c>
      <c r="I546" s="47">
        <f>572.74-1.46</f>
        <v>571.28</v>
      </c>
      <c r="J546" s="598">
        <f>SUM(G546-I546)*0</f>
        <v>0</v>
      </c>
    </row>
    <row r="547" spans="2:10" x14ac:dyDescent="0.2">
      <c r="B547" s="50" t="s">
        <v>924</v>
      </c>
      <c r="C547" s="51"/>
      <c r="D547" s="52"/>
      <c r="E547" s="56"/>
      <c r="F547" s="59"/>
      <c r="G547" s="59"/>
      <c r="H547" s="62"/>
      <c r="I547" s="40"/>
      <c r="J547" s="554"/>
    </row>
    <row r="548" spans="2:10" x14ac:dyDescent="0.2">
      <c r="B548" s="3" t="s">
        <v>1029</v>
      </c>
      <c r="C548" s="51">
        <v>43019</v>
      </c>
      <c r="D548" s="52" t="s">
        <v>765</v>
      </c>
      <c r="E548" s="379"/>
      <c r="F548" s="5"/>
      <c r="G548" s="59">
        <f>SUM('LONG-TERM DEBT'!AE$78) + SUM('LONG-TERM DEBT'!AE$117)</f>
        <v>88493.760000000009</v>
      </c>
      <c r="H548" s="62"/>
      <c r="I548" s="59">
        <v>0.01</v>
      </c>
      <c r="J548" s="604">
        <f>SUM(G548-I548)</f>
        <v>88493.750000000015</v>
      </c>
    </row>
    <row r="549" spans="2:10" x14ac:dyDescent="0.2">
      <c r="B549" s="2"/>
      <c r="C549" s="45"/>
      <c r="D549" s="46"/>
      <c r="E549" s="702"/>
      <c r="F549" s="595"/>
      <c r="G549" s="47"/>
      <c r="H549" s="48"/>
      <c r="I549" s="47"/>
      <c r="J549" s="598"/>
    </row>
    <row r="550" spans="2:10" x14ac:dyDescent="0.2">
      <c r="B550" s="3" t="s">
        <v>1007</v>
      </c>
      <c r="C550" s="51"/>
      <c r="D550" s="52"/>
      <c r="E550" s="379"/>
      <c r="F550" s="5"/>
      <c r="G550" s="59"/>
      <c r="H550" s="62"/>
      <c r="I550" s="59"/>
      <c r="J550" s="604"/>
    </row>
    <row r="551" spans="2:10" x14ac:dyDescent="0.2">
      <c r="B551" s="1613" t="s">
        <v>918</v>
      </c>
      <c r="C551" s="51"/>
      <c r="D551" s="52" t="s">
        <v>673</v>
      </c>
      <c r="E551" s="379"/>
      <c r="F551" s="5"/>
      <c r="G551" s="59">
        <f>'LONG-TERM DEBT'!AE$80+'LONG-TERM DEBT'!AE$120</f>
        <v>351687.5</v>
      </c>
      <c r="H551" s="62"/>
      <c r="I551" s="59"/>
      <c r="J551" s="604">
        <f>SUM(G551-I551)</f>
        <v>351687.5</v>
      </c>
    </row>
    <row r="552" spans="2:10" x14ac:dyDescent="0.2">
      <c r="B552" s="1613" t="s">
        <v>919</v>
      </c>
      <c r="C552" s="51"/>
      <c r="D552" s="52" t="s">
        <v>673</v>
      </c>
      <c r="E552" s="379"/>
      <c r="F552" s="5"/>
      <c r="G552" s="59">
        <f>'LONG-TERM DEBT'!AE$81+'LONG-TERM DEBT'!AE$121</f>
        <v>265275</v>
      </c>
      <c r="H552" s="62"/>
      <c r="I552" s="59"/>
      <c r="J552" s="604">
        <f>SUM(G552-I552)</f>
        <v>265275</v>
      </c>
    </row>
    <row r="553" spans="2:10" x14ac:dyDescent="0.2">
      <c r="B553" s="1613"/>
      <c r="C553" s="51"/>
      <c r="D553" s="52"/>
      <c r="E553" s="379"/>
      <c r="F553" s="5"/>
      <c r="G553" s="59"/>
      <c r="H553" s="62"/>
      <c r="I553" s="59"/>
      <c r="J553" s="604"/>
    </row>
    <row r="554" spans="2:10" x14ac:dyDescent="0.2">
      <c r="B554" s="1614" t="s">
        <v>1028</v>
      </c>
      <c r="C554" s="38"/>
      <c r="D554" s="39"/>
      <c r="E554" s="1615"/>
      <c r="F554" s="53"/>
      <c r="G554" s="40"/>
      <c r="H554" s="41"/>
      <c r="I554" s="40"/>
      <c r="J554" s="1616"/>
    </row>
    <row r="555" spans="2:10" x14ac:dyDescent="0.2">
      <c r="B555" s="1613" t="s">
        <v>918</v>
      </c>
      <c r="C555" s="51"/>
      <c r="D555" s="52"/>
      <c r="E555" s="379"/>
      <c r="F555" s="5"/>
      <c r="G555" s="59">
        <f>'LONG-TERM DEBT'!AE$84+'LONG-TERM DEBT'!AE$124</f>
        <v>119644</v>
      </c>
      <c r="H555" s="62"/>
      <c r="I555" s="59"/>
      <c r="J555" s="604">
        <f>SUM(G555-I555)</f>
        <v>119644</v>
      </c>
    </row>
    <row r="556" spans="2:10" x14ac:dyDescent="0.2">
      <c r="B556" s="1613" t="s">
        <v>919</v>
      </c>
      <c r="C556" s="51"/>
      <c r="D556" s="52"/>
      <c r="E556" s="379"/>
      <c r="F556" s="5"/>
      <c r="G556" s="59">
        <f>'LONG-TERM DEBT'!AE$85+'LONG-TERM DEBT'!AE$125</f>
        <v>120237.5</v>
      </c>
      <c r="H556" s="62"/>
      <c r="I556" s="59"/>
      <c r="J556" s="604">
        <f>SUM(G556-I556)</f>
        <v>120237.5</v>
      </c>
    </row>
    <row r="557" spans="2:10" x14ac:dyDescent="0.2">
      <c r="B557" s="1613"/>
      <c r="C557" s="51"/>
      <c r="D557" s="52"/>
      <c r="E557" s="379"/>
      <c r="F557" s="5"/>
      <c r="G557" s="59"/>
      <c r="H557" s="62"/>
      <c r="I557" s="59"/>
      <c r="J557" s="604"/>
    </row>
    <row r="558" spans="2:10" x14ac:dyDescent="0.2">
      <c r="B558" s="1614" t="s">
        <v>974</v>
      </c>
      <c r="C558" s="38"/>
      <c r="D558" s="39"/>
      <c r="E558" s="1615"/>
      <c r="F558" s="53"/>
      <c r="G558" s="40"/>
      <c r="H558" s="41"/>
      <c r="I558" s="40"/>
      <c r="J558" s="1616"/>
    </row>
    <row r="559" spans="2:10" x14ac:dyDescent="0.2">
      <c r="B559" s="1613"/>
      <c r="C559" s="51"/>
      <c r="D559" s="52"/>
      <c r="E559" s="379"/>
      <c r="F559" s="5"/>
      <c r="G559" s="59">
        <f>'LONG-TERM DEBT'!AD247</f>
        <v>0</v>
      </c>
      <c r="H559" s="62"/>
      <c r="I559" s="59"/>
      <c r="J559" s="604"/>
    </row>
    <row r="560" spans="2:10" x14ac:dyDescent="0.2">
      <c r="B560" s="1613"/>
      <c r="C560" s="51"/>
      <c r="D560" s="52"/>
      <c r="E560" s="379"/>
      <c r="F560" s="5"/>
      <c r="G560" s="59"/>
      <c r="H560" s="62"/>
      <c r="I560" s="59"/>
      <c r="J560" s="604"/>
    </row>
    <row r="561" spans="2:11" x14ac:dyDescent="0.2">
      <c r="B561" s="1613"/>
      <c r="C561" s="51"/>
      <c r="D561" s="52"/>
      <c r="E561" s="379"/>
      <c r="F561" s="5"/>
      <c r="G561" s="59"/>
      <c r="H561" s="62"/>
      <c r="I561" s="59"/>
      <c r="J561" s="604"/>
    </row>
    <row r="562" spans="2:11" x14ac:dyDescent="0.2">
      <c r="B562" s="2"/>
      <c r="C562" s="45"/>
      <c r="D562" s="46"/>
      <c r="E562" s="49"/>
      <c r="F562" s="49"/>
      <c r="G562" s="49"/>
      <c r="H562" s="48"/>
      <c r="I562" s="47"/>
      <c r="J562" s="598"/>
    </row>
    <row r="563" spans="2:11" x14ac:dyDescent="0.2">
      <c r="B563" s="470" t="s">
        <v>603</v>
      </c>
      <c r="C563" s="471"/>
      <c r="D563" s="471"/>
      <c r="E563" s="473">
        <f>SUM(E526:E546)</f>
        <v>40708.720000000001</v>
      </c>
      <c r="F563" s="473">
        <f>SUM(F526:F546)</f>
        <v>1093687.72</v>
      </c>
      <c r="G563" s="473">
        <f>SUM(G526:G562)</f>
        <v>1226704.76</v>
      </c>
      <c r="H563" s="474"/>
      <c r="I563" s="474">
        <f>SUM(I526:I546)</f>
        <v>1074</v>
      </c>
      <c r="J563" s="472">
        <f>SUM(J527:J561)</f>
        <v>1226381.75</v>
      </c>
      <c r="K563" s="6">
        <f>J563-J527</f>
        <v>1143914.75</v>
      </c>
    </row>
    <row r="564" spans="2:11" x14ac:dyDescent="0.2">
      <c r="C564" s="1"/>
    </row>
    <row r="565" spans="2:11" x14ac:dyDescent="0.2">
      <c r="C565" s="1"/>
    </row>
    <row r="566" spans="2:11" x14ac:dyDescent="0.2">
      <c r="B566" s="31"/>
      <c r="C566" s="31"/>
      <c r="D566" s="613"/>
      <c r="E566" s="31" t="s">
        <v>1104</v>
      </c>
      <c r="F566" s="31" t="s">
        <v>1105</v>
      </c>
      <c r="G566" s="31" t="s">
        <v>1106</v>
      </c>
      <c r="H566" s="31"/>
      <c r="I566" s="31" t="s">
        <v>623</v>
      </c>
      <c r="J566" s="31" t="s">
        <v>1107</v>
      </c>
    </row>
    <row r="567" spans="2:11" x14ac:dyDescent="0.2">
      <c r="B567" s="33" t="s">
        <v>698</v>
      </c>
      <c r="C567" s="33" t="s">
        <v>699</v>
      </c>
      <c r="D567" s="33" t="s">
        <v>700</v>
      </c>
      <c r="E567" s="33" t="s">
        <v>701</v>
      </c>
      <c r="F567" s="33" t="s">
        <v>702</v>
      </c>
      <c r="G567" s="33" t="s">
        <v>703</v>
      </c>
      <c r="H567" s="33" t="s">
        <v>164</v>
      </c>
      <c r="I567" s="33" t="s">
        <v>704</v>
      </c>
      <c r="J567" s="33" t="s">
        <v>705</v>
      </c>
    </row>
    <row r="568" spans="2:11" x14ac:dyDescent="0.2">
      <c r="B568" s="33"/>
      <c r="C568" s="33" t="s">
        <v>574</v>
      </c>
      <c r="D568" s="33"/>
      <c r="E568" s="33"/>
      <c r="F568" s="33"/>
      <c r="G568" s="33"/>
      <c r="H568" s="33"/>
      <c r="I568" s="33"/>
      <c r="J568" s="33"/>
    </row>
    <row r="569" spans="2:11" x14ac:dyDescent="0.2">
      <c r="B569" s="33" t="s">
        <v>858</v>
      </c>
      <c r="C569" s="33" t="s">
        <v>859</v>
      </c>
      <c r="D569" s="33" t="s">
        <v>727</v>
      </c>
      <c r="E569" s="33" t="s">
        <v>1022</v>
      </c>
      <c r="F569" s="33" t="s">
        <v>1066</v>
      </c>
      <c r="G569" s="33" t="s">
        <v>1065</v>
      </c>
      <c r="H569" s="33"/>
      <c r="I569" s="33"/>
      <c r="J569" s="33" t="s">
        <v>1064</v>
      </c>
    </row>
    <row r="570" spans="2:11" x14ac:dyDescent="0.2">
      <c r="B570" s="33" t="s">
        <v>829</v>
      </c>
      <c r="C570" s="33" t="s">
        <v>830</v>
      </c>
      <c r="D570" s="33" t="s">
        <v>831</v>
      </c>
      <c r="E570" s="33" t="s">
        <v>849</v>
      </c>
      <c r="F570" s="33" t="s">
        <v>850</v>
      </c>
      <c r="G570" s="33" t="s">
        <v>850</v>
      </c>
      <c r="H570" s="33" t="s">
        <v>851</v>
      </c>
      <c r="I570" s="33" t="s">
        <v>852</v>
      </c>
      <c r="J570" s="33" t="s">
        <v>792</v>
      </c>
    </row>
    <row r="571" spans="2:11" x14ac:dyDescent="0.2">
      <c r="B571" s="614" t="s">
        <v>793</v>
      </c>
      <c r="C571" s="1612" t="s">
        <v>794</v>
      </c>
      <c r="D571" s="614" t="s">
        <v>854</v>
      </c>
      <c r="E571" s="614" t="s">
        <v>850</v>
      </c>
      <c r="F571" s="614" t="s">
        <v>855</v>
      </c>
      <c r="G571" s="614" t="s">
        <v>855</v>
      </c>
      <c r="H571" s="614" t="s">
        <v>856</v>
      </c>
      <c r="I571" s="614" t="s">
        <v>824</v>
      </c>
      <c r="J571" s="614" t="s">
        <v>850</v>
      </c>
    </row>
    <row r="572" spans="2:11" x14ac:dyDescent="0.2">
      <c r="B572" s="424"/>
      <c r="C572" s="425"/>
      <c r="D572" s="425"/>
      <c r="E572" s="425"/>
      <c r="F572" s="425"/>
      <c r="G572" s="426" t="s">
        <v>1026</v>
      </c>
      <c r="H572" s="425"/>
      <c r="I572" s="425"/>
      <c r="J572" s="427"/>
    </row>
    <row r="573" spans="2:11" x14ac:dyDescent="0.2">
      <c r="B573" s="37">
        <v>35558</v>
      </c>
      <c r="C573" s="51">
        <v>35993</v>
      </c>
      <c r="D573" s="700" t="s">
        <v>673</v>
      </c>
      <c r="E573" s="56"/>
      <c r="F573" s="59"/>
      <c r="G573" s="57"/>
      <c r="H573" s="60" t="s">
        <v>674</v>
      </c>
      <c r="I573" s="59"/>
      <c r="J573" s="56"/>
    </row>
    <row r="574" spans="2:11" x14ac:dyDescent="0.2">
      <c r="B574" s="37" t="s">
        <v>747</v>
      </c>
      <c r="C574" s="51"/>
      <c r="D574" s="22" t="s">
        <v>765</v>
      </c>
      <c r="E574" s="56">
        <f>J535</f>
        <v>0</v>
      </c>
      <c r="F574" s="62">
        <v>635466.47</v>
      </c>
      <c r="G574" s="60">
        <f>'LONG-TERM DEBT'!AF$172+BUDGET!AN477*0</f>
        <v>228708.37499999997</v>
      </c>
      <c r="H574" s="60"/>
      <c r="I574" s="596">
        <v>0</v>
      </c>
      <c r="J574" s="1732">
        <v>-143887</v>
      </c>
      <c r="K574" s="6">
        <v>-226354</v>
      </c>
    </row>
    <row r="575" spans="2:11" x14ac:dyDescent="0.2">
      <c r="B575" s="44"/>
      <c r="C575" s="45"/>
      <c r="D575" s="71" t="s">
        <v>673</v>
      </c>
      <c r="E575" s="49"/>
      <c r="F575" s="2"/>
      <c r="G575" s="59"/>
      <c r="H575" s="60"/>
      <c r="I575" s="59"/>
      <c r="J575" s="56"/>
    </row>
    <row r="576" spans="2:11" x14ac:dyDescent="0.2">
      <c r="B576" s="37">
        <v>35558</v>
      </c>
      <c r="C576" s="51">
        <v>35972</v>
      </c>
      <c r="D576" s="22"/>
      <c r="E576" s="56"/>
      <c r="F576" s="40"/>
      <c r="G576" s="42"/>
      <c r="H576" s="58"/>
      <c r="I576" s="40"/>
      <c r="J576" s="40"/>
    </row>
    <row r="577" spans="2:11" x14ac:dyDescent="0.2">
      <c r="B577" s="44" t="s">
        <v>618</v>
      </c>
      <c r="C577" s="45">
        <v>37330</v>
      </c>
      <c r="D577" s="22" t="s">
        <v>765</v>
      </c>
      <c r="E577" s="56">
        <f>J538</f>
        <v>0</v>
      </c>
      <c r="F577" s="47">
        <f>'LONG-TERM DEBT'!AB$63+'LONG-TERM DEBT'!AB$103</f>
        <v>32900</v>
      </c>
      <c r="G577" s="49">
        <f>'LONG-TERM DEBT'!AF$63+'LONG-TERM DEBT'!AF$103</f>
        <v>0</v>
      </c>
      <c r="H577" s="63" t="s">
        <v>766</v>
      </c>
      <c r="I577" s="47">
        <v>0</v>
      </c>
      <c r="J577" s="600">
        <f>G577-I577</f>
        <v>0</v>
      </c>
      <c r="K577" s="6">
        <v>-30503.360000000001</v>
      </c>
    </row>
    <row r="578" spans="2:11" x14ac:dyDescent="0.2">
      <c r="B578" s="37" t="s">
        <v>445</v>
      </c>
      <c r="C578" s="64"/>
      <c r="D578" s="701"/>
      <c r="E578" s="53"/>
      <c r="F578" s="3"/>
      <c r="G578" s="3"/>
      <c r="I578" s="3"/>
      <c r="J578" s="3"/>
    </row>
    <row r="579" spans="2:11" x14ac:dyDescent="0.2">
      <c r="B579" s="44" t="s">
        <v>377</v>
      </c>
      <c r="C579" s="66">
        <v>37330</v>
      </c>
      <c r="D579" s="477" t="s">
        <v>765</v>
      </c>
      <c r="E579" s="56">
        <f>J540</f>
        <v>0</v>
      </c>
      <c r="F579" s="47">
        <f>'LONG-TERM DEBT'!AB$65+'LONG-TERM DEBT'!AB$105</f>
        <v>176400</v>
      </c>
      <c r="G579" s="47">
        <f>'LONG-TERM DEBT'!AF$65+'LONG-TERM DEBT'!AF$105</f>
        <v>0</v>
      </c>
      <c r="H579" s="48" t="s">
        <v>766</v>
      </c>
      <c r="I579" s="47">
        <v>0</v>
      </c>
      <c r="J579" s="600">
        <f>G579-I579</f>
        <v>0</v>
      </c>
      <c r="K579" s="6">
        <v>-168073.97</v>
      </c>
    </row>
    <row r="580" spans="2:11" x14ac:dyDescent="0.2">
      <c r="B580" s="398">
        <v>37012</v>
      </c>
      <c r="C580" s="399"/>
      <c r="D580" s="701"/>
      <c r="E580" s="42"/>
      <c r="F580" s="40"/>
      <c r="G580" s="40"/>
      <c r="H580" s="41"/>
      <c r="I580" s="40"/>
      <c r="J580" s="42"/>
    </row>
    <row r="581" spans="2:11" x14ac:dyDescent="0.2">
      <c r="B581" s="44" t="s">
        <v>564</v>
      </c>
      <c r="C581" s="400">
        <v>37330</v>
      </c>
      <c r="D581" s="477" t="s">
        <v>765</v>
      </c>
      <c r="E581" s="49">
        <f>J539</f>
        <v>0</v>
      </c>
      <c r="F581" s="47">
        <f>'LONG-TERM DEBT'!AB$66+'LONG-TERM DEBT'!AB$106</f>
        <v>10400</v>
      </c>
      <c r="G581" s="47">
        <f>'LONG-TERM DEBT'!AE$66+'LONG-TERM DEBT'!AE$106</f>
        <v>0</v>
      </c>
      <c r="H581" s="48"/>
      <c r="I581" s="47"/>
      <c r="J581" s="600">
        <f>G581-I581</f>
        <v>0</v>
      </c>
    </row>
    <row r="582" spans="2:11" x14ac:dyDescent="0.2">
      <c r="B582" s="37">
        <v>35922</v>
      </c>
      <c r="C582" s="51"/>
      <c r="D582" s="22"/>
      <c r="E582" s="56"/>
      <c r="F582" s="59"/>
      <c r="G582" s="59"/>
      <c r="H582" s="62"/>
      <c r="I582" s="59"/>
      <c r="J582" s="56"/>
    </row>
    <row r="583" spans="2:11" x14ac:dyDescent="0.2">
      <c r="B583" s="37" t="s">
        <v>598</v>
      </c>
      <c r="C583" s="51">
        <v>36951</v>
      </c>
      <c r="D583" s="22" t="s">
        <v>765</v>
      </c>
      <c r="E583" s="56">
        <f>J541</f>
        <v>0</v>
      </c>
      <c r="F583" s="59">
        <f>'LONG-TERM DEBT'!AB$58+'LONG-TERM DEBT'!AB$98</f>
        <v>87510</v>
      </c>
      <c r="G583" s="59">
        <f>'LONG-TERM DEBT'!AE$58+'LONG-TERM DEBT'!AE$98</f>
        <v>0</v>
      </c>
      <c r="H583" s="62" t="s">
        <v>614</v>
      </c>
      <c r="I583" s="59">
        <v>179.72</v>
      </c>
      <c r="J583" s="379"/>
    </row>
    <row r="584" spans="2:11" x14ac:dyDescent="0.2">
      <c r="B584" s="44" t="s">
        <v>625</v>
      </c>
      <c r="C584" s="45">
        <v>40558</v>
      </c>
      <c r="D584" s="71" t="s">
        <v>765</v>
      </c>
      <c r="E584" s="56"/>
      <c r="F584" s="59"/>
      <c r="G584" s="59"/>
      <c r="H584" s="62" t="s">
        <v>627</v>
      </c>
      <c r="I584" s="59"/>
      <c r="J584" s="554"/>
    </row>
    <row r="585" spans="2:11" x14ac:dyDescent="0.2">
      <c r="B585" s="69">
        <v>36426</v>
      </c>
      <c r="C585" s="38">
        <v>36651</v>
      </c>
      <c r="D585" s="70"/>
      <c r="E585" s="42"/>
      <c r="F585" s="40"/>
      <c r="G585" s="40"/>
      <c r="H585" s="41"/>
      <c r="I585" s="40"/>
      <c r="J585" s="40"/>
    </row>
    <row r="586" spans="2:11" x14ac:dyDescent="0.2">
      <c r="B586" s="52" t="s">
        <v>600</v>
      </c>
      <c r="C586" s="51">
        <v>36951</v>
      </c>
      <c r="D586" s="22" t="s">
        <v>765</v>
      </c>
      <c r="E586" s="56">
        <f>J544</f>
        <v>0</v>
      </c>
      <c r="F586" s="59">
        <f>'LONG-TERM DEBT'!AB$56+'LONG-TERM DEBT'!AB$96+9000+1931.25</f>
        <v>106331.25</v>
      </c>
      <c r="G586" s="59">
        <f>'LONG-TERM DEBT'!AE$56+'LONG-TERM DEBT'!AE$96</f>
        <v>0</v>
      </c>
      <c r="H586" s="62" t="s">
        <v>205</v>
      </c>
      <c r="I586" s="59"/>
      <c r="J586" s="379">
        <f>G586-(I586+I587)</f>
        <v>0</v>
      </c>
    </row>
    <row r="587" spans="2:11" x14ac:dyDescent="0.2">
      <c r="B587" s="46" t="s">
        <v>625</v>
      </c>
      <c r="C587" s="45">
        <v>40558</v>
      </c>
      <c r="D587" s="71" t="s">
        <v>765</v>
      </c>
      <c r="E587" s="49"/>
      <c r="F587" s="47"/>
      <c r="G587" s="47"/>
      <c r="H587" s="48" t="s">
        <v>627</v>
      </c>
      <c r="I587" s="47"/>
      <c r="J587" s="545"/>
    </row>
    <row r="588" spans="2:11" x14ac:dyDescent="0.2">
      <c r="B588" s="50">
        <v>36650</v>
      </c>
      <c r="C588" s="51">
        <v>36791</v>
      </c>
      <c r="D588" s="22"/>
      <c r="E588" s="56"/>
      <c r="F588" s="59"/>
      <c r="G588" s="59"/>
      <c r="H588" s="62"/>
      <c r="I588" s="59"/>
      <c r="J588" s="59"/>
    </row>
    <row r="589" spans="2:11" x14ac:dyDescent="0.2">
      <c r="B589" s="3" t="s">
        <v>471</v>
      </c>
      <c r="C589" s="51">
        <v>36951</v>
      </c>
      <c r="D589" s="22" t="s">
        <v>765</v>
      </c>
      <c r="E589" s="56">
        <f>J547</f>
        <v>0</v>
      </c>
      <c r="F589" s="3"/>
      <c r="G589" s="5"/>
      <c r="H589" s="36"/>
      <c r="I589" s="3"/>
      <c r="J589" s="5"/>
    </row>
    <row r="590" spans="2:11" x14ac:dyDescent="0.2">
      <c r="B590" s="2" t="s">
        <v>625</v>
      </c>
      <c r="C590" s="45">
        <v>40558</v>
      </c>
      <c r="D590" s="71" t="s">
        <v>765</v>
      </c>
      <c r="E590" s="56"/>
      <c r="F590" s="47"/>
      <c r="G590" s="47"/>
      <c r="H590" s="48" t="s">
        <v>627</v>
      </c>
      <c r="I590" s="47"/>
      <c r="J590" s="545"/>
    </row>
    <row r="591" spans="2:11" x14ac:dyDescent="0.2">
      <c r="B591" s="50">
        <v>39205</v>
      </c>
      <c r="C591" s="51">
        <v>39835</v>
      </c>
      <c r="D591" s="22" t="s">
        <v>673</v>
      </c>
      <c r="E591" s="56"/>
      <c r="F591" s="59"/>
      <c r="G591" s="59"/>
      <c r="H591" s="62"/>
      <c r="I591" s="59"/>
      <c r="J591" s="554"/>
    </row>
    <row r="592" spans="2:11" x14ac:dyDescent="0.2">
      <c r="B592" s="3" t="s">
        <v>60</v>
      </c>
      <c r="C592" s="51">
        <v>40564</v>
      </c>
      <c r="D592" s="22" t="s">
        <v>765</v>
      </c>
      <c r="E592" s="379"/>
      <c r="F592" s="3"/>
      <c r="G592" s="59"/>
      <c r="H592" s="62"/>
      <c r="I592" s="59"/>
      <c r="J592" s="5"/>
    </row>
    <row r="593" spans="2:10" x14ac:dyDescent="0.2">
      <c r="B593" s="2" t="s">
        <v>625</v>
      </c>
      <c r="C593" s="45">
        <v>40558</v>
      </c>
      <c r="D593" s="71" t="s">
        <v>765</v>
      </c>
      <c r="E593" s="49">
        <f>J554</f>
        <v>0</v>
      </c>
      <c r="F593" s="47">
        <f>'LONG-TERM DEBT'!AA$61+'LONG-TERM DEBT'!AA$101</f>
        <v>44680</v>
      </c>
      <c r="G593" s="49">
        <f>'LONG-TERM DEBT'!AE$61+'LONG-TERM DEBT'!AE$101</f>
        <v>0</v>
      </c>
      <c r="H593" s="48" t="s">
        <v>627</v>
      </c>
      <c r="I593" s="47">
        <f>572.74-1.46</f>
        <v>571.28</v>
      </c>
      <c r="J593" s="598">
        <f>SUM(G593-I593)*0</f>
        <v>0</v>
      </c>
    </row>
    <row r="594" spans="2:10" x14ac:dyDescent="0.2">
      <c r="B594" s="50" t="s">
        <v>924</v>
      </c>
      <c r="C594" s="51"/>
      <c r="D594" s="52"/>
      <c r="E594" s="56"/>
      <c r="F594" s="59"/>
      <c r="G594" s="59"/>
      <c r="H594" s="62"/>
      <c r="I594" s="40"/>
      <c r="J594" s="554"/>
    </row>
    <row r="595" spans="2:10" x14ac:dyDescent="0.2">
      <c r="B595" s="3" t="s">
        <v>1029</v>
      </c>
      <c r="C595" s="51">
        <v>43019</v>
      </c>
      <c r="D595" s="52" t="s">
        <v>765</v>
      </c>
      <c r="E595" s="379"/>
      <c r="F595" s="5"/>
      <c r="G595" s="59">
        <f>SUM('LONG-TERM DEBT'!AF$78) + SUM('LONG-TERM DEBT'!AF$117)</f>
        <v>86918.760000000009</v>
      </c>
      <c r="H595" s="62"/>
      <c r="I595" s="59">
        <v>0</v>
      </c>
      <c r="J595" s="604">
        <f>SUM(G595-I595)</f>
        <v>86918.760000000009</v>
      </c>
    </row>
    <row r="596" spans="2:10" x14ac:dyDescent="0.2">
      <c r="B596" s="2"/>
      <c r="C596" s="45"/>
      <c r="D596" s="46"/>
      <c r="E596" s="702"/>
      <c r="F596" s="595"/>
      <c r="G596" s="47"/>
      <c r="H596" s="48"/>
      <c r="I596" s="47"/>
      <c r="J596" s="598"/>
    </row>
    <row r="597" spans="2:10" x14ac:dyDescent="0.2">
      <c r="B597" s="3" t="s">
        <v>1007</v>
      </c>
      <c r="C597" s="51"/>
      <c r="D597" s="52"/>
      <c r="E597" s="379"/>
      <c r="F597" s="5"/>
      <c r="G597" s="59"/>
      <c r="H597" s="62"/>
      <c r="I597" s="59"/>
      <c r="J597" s="604"/>
    </row>
    <row r="598" spans="2:10" x14ac:dyDescent="0.2">
      <c r="B598" s="1613" t="s">
        <v>918</v>
      </c>
      <c r="C598" s="51"/>
      <c r="D598" s="52" t="s">
        <v>673</v>
      </c>
      <c r="E598" s="379"/>
      <c r="F598" s="5"/>
      <c r="G598" s="59">
        <f>'LONG-TERM DEBT'!AF$80+'LONG-TERM DEBT'!AF$120</f>
        <v>354437.5</v>
      </c>
      <c r="H598" s="62"/>
      <c r="I598" s="59"/>
      <c r="J598" s="604">
        <f>SUM(G598-I598)</f>
        <v>354437.5</v>
      </c>
    </row>
    <row r="599" spans="2:10" x14ac:dyDescent="0.2">
      <c r="B599" s="1613" t="s">
        <v>919</v>
      </c>
      <c r="C599" s="51"/>
      <c r="D599" s="52" t="s">
        <v>673</v>
      </c>
      <c r="E599" s="379"/>
      <c r="F599" s="5"/>
      <c r="G599" s="59">
        <f>'LONG-TERM DEBT'!AF$81+'LONG-TERM DEBT'!AF$121</f>
        <v>268275</v>
      </c>
      <c r="H599" s="62"/>
      <c r="I599" s="59"/>
      <c r="J599" s="604">
        <f>SUM(G599-I599)</f>
        <v>268275</v>
      </c>
    </row>
    <row r="600" spans="2:10" x14ac:dyDescent="0.2">
      <c r="B600" s="1613"/>
      <c r="C600" s="51"/>
      <c r="D600" s="52"/>
      <c r="E600" s="379"/>
      <c r="F600" s="5"/>
      <c r="G600" s="59"/>
      <c r="H600" s="62"/>
      <c r="I600" s="59"/>
      <c r="J600" s="604"/>
    </row>
    <row r="601" spans="2:10" x14ac:dyDescent="0.2">
      <c r="B601" s="1614" t="s">
        <v>1028</v>
      </c>
      <c r="C601" s="38"/>
      <c r="D601" s="39"/>
      <c r="E601" s="1615"/>
      <c r="F601" s="53"/>
      <c r="G601" s="40"/>
      <c r="H601" s="41"/>
      <c r="I601" s="40"/>
      <c r="J601" s="1616"/>
    </row>
    <row r="602" spans="2:10" x14ac:dyDescent="0.2">
      <c r="B602" s="1613" t="s">
        <v>918</v>
      </c>
      <c r="C602" s="51"/>
      <c r="D602" s="52"/>
      <c r="E602" s="379"/>
      <c r="F602" s="5"/>
      <c r="G602" s="59">
        <f>'LONG-TERM DEBT'!AF$84+'LONG-TERM DEBT'!AF$124</f>
        <v>121769</v>
      </c>
      <c r="H602" s="62"/>
      <c r="I602" s="59"/>
      <c r="J602" s="2197">
        <v>122769</v>
      </c>
    </row>
    <row r="603" spans="2:10" x14ac:dyDescent="0.2">
      <c r="B603" s="1613" t="s">
        <v>919</v>
      </c>
      <c r="C603" s="51"/>
      <c r="D603" s="52"/>
      <c r="E603" s="379"/>
      <c r="F603" s="5"/>
      <c r="G603" s="59">
        <f>'LONG-TERM DEBT'!AF$85+'LONG-TERM DEBT'!AF$125</f>
        <v>116737.5</v>
      </c>
      <c r="H603" s="62"/>
      <c r="I603" s="59"/>
      <c r="J603" s="604">
        <f>SUM(G603-I603)</f>
        <v>116737.5</v>
      </c>
    </row>
    <row r="604" spans="2:10" x14ac:dyDescent="0.2">
      <c r="B604" s="1613"/>
      <c r="C604" s="51"/>
      <c r="D604" s="52"/>
      <c r="E604" s="379"/>
      <c r="F604" s="5"/>
      <c r="G604" s="59"/>
      <c r="H604" s="62"/>
      <c r="I604" s="59"/>
      <c r="J604" s="604"/>
    </row>
    <row r="605" spans="2:10" x14ac:dyDescent="0.2">
      <c r="B605" s="1614" t="s">
        <v>974</v>
      </c>
      <c r="C605" s="38"/>
      <c r="D605" s="39"/>
      <c r="E605" s="1615"/>
      <c r="F605" s="53"/>
      <c r="G605" s="40"/>
      <c r="H605" s="41"/>
      <c r="I605" s="40"/>
      <c r="J605" s="1616"/>
    </row>
    <row r="606" spans="2:10" x14ac:dyDescent="0.2">
      <c r="B606" s="1613"/>
      <c r="C606" s="51"/>
      <c r="D606" s="52"/>
      <c r="E606" s="379"/>
      <c r="F606" s="5"/>
      <c r="G606" s="59">
        <f>'LONG-TERM DEBT'!AD294</f>
        <v>0</v>
      </c>
      <c r="H606" s="62"/>
      <c r="I606" s="59"/>
      <c r="J606" s="604"/>
    </row>
    <row r="607" spans="2:10" x14ac:dyDescent="0.2">
      <c r="B607" s="1613"/>
      <c r="C607" s="51"/>
      <c r="D607" s="52"/>
      <c r="E607" s="379"/>
      <c r="F607" s="5"/>
      <c r="G607" s="59"/>
      <c r="H607" s="62"/>
      <c r="I607" s="59"/>
      <c r="J607" s="604"/>
    </row>
    <row r="608" spans="2:10" x14ac:dyDescent="0.2">
      <c r="B608" s="1613"/>
      <c r="C608" s="51"/>
      <c r="D608" s="52"/>
      <c r="E608" s="379"/>
      <c r="F608" s="5"/>
      <c r="G608" s="59"/>
      <c r="H608" s="62"/>
      <c r="I608" s="59"/>
      <c r="J608" s="604"/>
    </row>
    <row r="609" spans="2:14" x14ac:dyDescent="0.2">
      <c r="B609" s="2"/>
      <c r="C609" s="45"/>
      <c r="D609" s="46"/>
      <c r="E609" s="49"/>
      <c r="F609" s="49"/>
      <c r="G609" s="49"/>
      <c r="H609" s="48"/>
      <c r="I609" s="47"/>
      <c r="J609" s="598"/>
    </row>
    <row r="610" spans="2:14" x14ac:dyDescent="0.2">
      <c r="B610" s="470" t="s">
        <v>603</v>
      </c>
      <c r="C610" s="471"/>
      <c r="D610" s="471"/>
      <c r="E610" s="473">
        <f>SUM(E573:E593)</f>
        <v>0</v>
      </c>
      <c r="F610" s="473">
        <f>SUM(F573:F593)</f>
        <v>1093687.72</v>
      </c>
      <c r="G610" s="473">
        <f>SUM(G573:G609)</f>
        <v>1176846.135</v>
      </c>
      <c r="H610" s="474"/>
      <c r="I610" s="474">
        <f>SUM(I573:I593)</f>
        <v>751</v>
      </c>
      <c r="J610" s="472">
        <f>SUM(J574:J608)</f>
        <v>805250.76</v>
      </c>
      <c r="K610" s="6">
        <f>J610-J574</f>
        <v>949137.76</v>
      </c>
      <c r="M610" s="1">
        <v>802138</v>
      </c>
      <c r="N610" s="6">
        <f>M610-J610</f>
        <v>-3112.7600000000093</v>
      </c>
    </row>
    <row r="611" spans="2:14" x14ac:dyDescent="0.2">
      <c r="C611" s="1"/>
    </row>
    <row r="612" spans="2:14" x14ac:dyDescent="0.2">
      <c r="C612" s="1"/>
    </row>
    <row r="613" spans="2:14" x14ac:dyDescent="0.2">
      <c r="B613" s="31"/>
      <c r="C613" s="31"/>
      <c r="D613" s="613"/>
      <c r="E613" s="31" t="s">
        <v>1108</v>
      </c>
      <c r="F613" s="31" t="s">
        <v>1109</v>
      </c>
      <c r="G613" s="31" t="s">
        <v>1110</v>
      </c>
      <c r="H613" s="31"/>
      <c r="I613" s="31" t="s">
        <v>623</v>
      </c>
      <c r="J613" s="31" t="s">
        <v>1111</v>
      </c>
    </row>
    <row r="614" spans="2:14" x14ac:dyDescent="0.2">
      <c r="B614" s="33" t="s">
        <v>698</v>
      </c>
      <c r="C614" s="33" t="s">
        <v>699</v>
      </c>
      <c r="D614" s="33" t="s">
        <v>700</v>
      </c>
      <c r="E614" s="33" t="s">
        <v>701</v>
      </c>
      <c r="F614" s="33" t="s">
        <v>702</v>
      </c>
      <c r="G614" s="33" t="s">
        <v>703</v>
      </c>
      <c r="H614" s="33" t="s">
        <v>164</v>
      </c>
      <c r="I614" s="33" t="s">
        <v>704</v>
      </c>
      <c r="J614" s="33" t="s">
        <v>705</v>
      </c>
    </row>
    <row r="615" spans="2:14" x14ac:dyDescent="0.2">
      <c r="B615" s="33"/>
      <c r="C615" s="33" t="s">
        <v>574</v>
      </c>
      <c r="D615" s="33"/>
      <c r="E615" s="33"/>
      <c r="F615" s="33"/>
      <c r="G615" s="33"/>
      <c r="H615" s="33"/>
      <c r="I615" s="33"/>
      <c r="J615" s="33"/>
    </row>
    <row r="616" spans="2:14" x14ac:dyDescent="0.2">
      <c r="B616" s="33" t="s">
        <v>858</v>
      </c>
      <c r="C616" s="33" t="s">
        <v>859</v>
      </c>
      <c r="D616" s="33" t="s">
        <v>727</v>
      </c>
      <c r="E616" s="33" t="s">
        <v>1022</v>
      </c>
      <c r="F616" s="33" t="s">
        <v>1066</v>
      </c>
      <c r="G616" s="33" t="s">
        <v>1065</v>
      </c>
      <c r="H616" s="33"/>
      <c r="I616" s="33"/>
      <c r="J616" s="33" t="s">
        <v>1116</v>
      </c>
    </row>
    <row r="617" spans="2:14" x14ac:dyDescent="0.2">
      <c r="B617" s="33" t="s">
        <v>829</v>
      </c>
      <c r="C617" s="33" t="s">
        <v>830</v>
      </c>
      <c r="D617" s="33" t="s">
        <v>831</v>
      </c>
      <c r="E617" s="33" t="s">
        <v>849</v>
      </c>
      <c r="F617" s="33" t="s">
        <v>850</v>
      </c>
      <c r="G617" s="33" t="s">
        <v>850</v>
      </c>
      <c r="H617" s="33" t="s">
        <v>851</v>
      </c>
      <c r="I617" s="33" t="s">
        <v>852</v>
      </c>
      <c r="J617" s="33" t="s">
        <v>792</v>
      </c>
    </row>
    <row r="618" spans="2:14" x14ac:dyDescent="0.2">
      <c r="B618" s="614" t="s">
        <v>793</v>
      </c>
      <c r="C618" s="1612" t="s">
        <v>794</v>
      </c>
      <c r="D618" s="614" t="s">
        <v>854</v>
      </c>
      <c r="E618" s="614" t="s">
        <v>850</v>
      </c>
      <c r="F618" s="614" t="s">
        <v>855</v>
      </c>
      <c r="G618" s="614" t="s">
        <v>855</v>
      </c>
      <c r="H618" s="614" t="s">
        <v>856</v>
      </c>
      <c r="I618" s="614" t="s">
        <v>824</v>
      </c>
      <c r="J618" s="614" t="s">
        <v>850</v>
      </c>
    </row>
    <row r="619" spans="2:14" x14ac:dyDescent="0.2">
      <c r="B619" s="424"/>
      <c r="C619" s="425"/>
      <c r="D619" s="425"/>
      <c r="E619" s="425"/>
      <c r="F619" s="425"/>
      <c r="G619" s="426" t="s">
        <v>1026</v>
      </c>
      <c r="H619" s="425"/>
      <c r="I619" s="425"/>
      <c r="J619" s="427"/>
    </row>
    <row r="620" spans="2:14" x14ac:dyDescent="0.2">
      <c r="B620" s="37">
        <v>35558</v>
      </c>
      <c r="C620" s="51">
        <v>35993</v>
      </c>
      <c r="D620" s="700" t="s">
        <v>673</v>
      </c>
      <c r="E620" s="56"/>
      <c r="F620" s="59"/>
      <c r="G620" s="57"/>
      <c r="H620" s="60" t="s">
        <v>674</v>
      </c>
      <c r="I620" s="59"/>
      <c r="J620" s="56"/>
    </row>
    <row r="621" spans="2:14" x14ac:dyDescent="0.2">
      <c r="B621" s="37" t="s">
        <v>747</v>
      </c>
      <c r="C621" s="51"/>
      <c r="D621" s="22" t="s">
        <v>765</v>
      </c>
      <c r="E621" s="56">
        <f>J582</f>
        <v>0</v>
      </c>
      <c r="F621" s="62">
        <v>635466.47</v>
      </c>
      <c r="G621" s="60">
        <f>'LONG-TERM DEBT'!AG$172+BUDGET!AN524*0</f>
        <v>0</v>
      </c>
      <c r="H621" s="60"/>
      <c r="I621" s="596">
        <v>0</v>
      </c>
      <c r="J621" s="56"/>
    </row>
    <row r="622" spans="2:14" x14ac:dyDescent="0.2">
      <c r="B622" s="44"/>
      <c r="C622" s="45"/>
      <c r="D622" s="71" t="s">
        <v>673</v>
      </c>
      <c r="E622" s="49"/>
      <c r="F622" s="2"/>
      <c r="G622" s="59"/>
      <c r="H622" s="60"/>
      <c r="I622" s="59"/>
      <c r="J622" s="56"/>
    </row>
    <row r="623" spans="2:14" x14ac:dyDescent="0.2">
      <c r="B623" s="37">
        <v>35558</v>
      </c>
      <c r="C623" s="51">
        <v>35972</v>
      </c>
      <c r="D623" s="22"/>
      <c r="E623" s="56"/>
      <c r="F623" s="40"/>
      <c r="G623" s="42"/>
      <c r="H623" s="58"/>
      <c r="I623" s="40"/>
      <c r="J623" s="40"/>
    </row>
    <row r="624" spans="2:14" x14ac:dyDescent="0.2">
      <c r="B624" s="44" t="s">
        <v>618</v>
      </c>
      <c r="C624" s="45">
        <v>37330</v>
      </c>
      <c r="D624" s="22" t="s">
        <v>765</v>
      </c>
      <c r="E624" s="56">
        <f>J585</f>
        <v>0</v>
      </c>
      <c r="F624" s="47">
        <f>'LONG-TERM DEBT'!AB$63+'LONG-TERM DEBT'!AB$103</f>
        <v>32900</v>
      </c>
      <c r="G624" s="49">
        <f>'LONG-TERM DEBT'!AF$63+'LONG-TERM DEBT'!AF$103</f>
        <v>0</v>
      </c>
      <c r="H624" s="63" t="s">
        <v>766</v>
      </c>
      <c r="I624" s="47">
        <v>0</v>
      </c>
      <c r="J624" s="600">
        <f>G624-I624</f>
        <v>0</v>
      </c>
    </row>
    <row r="625" spans="2:10" x14ac:dyDescent="0.2">
      <c r="B625" s="37" t="s">
        <v>445</v>
      </c>
      <c r="C625" s="64"/>
      <c r="D625" s="701"/>
      <c r="E625" s="53"/>
      <c r="F625" s="3"/>
      <c r="G625" s="3"/>
      <c r="I625" s="3"/>
      <c r="J625" s="3"/>
    </row>
    <row r="626" spans="2:10" x14ac:dyDescent="0.2">
      <c r="B626" s="44" t="s">
        <v>377</v>
      </c>
      <c r="C626" s="66">
        <v>37330</v>
      </c>
      <c r="D626" s="477" t="s">
        <v>765</v>
      </c>
      <c r="E626" s="56">
        <f>J587</f>
        <v>0</v>
      </c>
      <c r="F626" s="47">
        <f>'LONG-TERM DEBT'!AB$65+'LONG-TERM DEBT'!AB$105</f>
        <v>176400</v>
      </c>
      <c r="G626" s="47">
        <f>'LONG-TERM DEBT'!AF$65+'LONG-TERM DEBT'!AF$105</f>
        <v>0</v>
      </c>
      <c r="H626" s="48" t="s">
        <v>766</v>
      </c>
      <c r="I626" s="47">
        <v>0</v>
      </c>
      <c r="J626" s="600">
        <f>G626-I626</f>
        <v>0</v>
      </c>
    </row>
    <row r="627" spans="2:10" x14ac:dyDescent="0.2">
      <c r="B627" s="398">
        <v>37012</v>
      </c>
      <c r="C627" s="399"/>
      <c r="D627" s="701"/>
      <c r="E627" s="42"/>
      <c r="F627" s="40"/>
      <c r="G627" s="40"/>
      <c r="H627" s="41"/>
      <c r="I627" s="40"/>
      <c r="J627" s="42"/>
    </row>
    <row r="628" spans="2:10" x14ac:dyDescent="0.2">
      <c r="B628" s="44" t="s">
        <v>564</v>
      </c>
      <c r="C628" s="400">
        <v>37330</v>
      </c>
      <c r="D628" s="477" t="s">
        <v>765</v>
      </c>
      <c r="E628" s="49">
        <f>J586</f>
        <v>0</v>
      </c>
      <c r="F628" s="47">
        <f>'LONG-TERM DEBT'!AB$66+'LONG-TERM DEBT'!AB$106</f>
        <v>10400</v>
      </c>
      <c r="G628" s="47">
        <f>'LONG-TERM DEBT'!AE$66+'LONG-TERM DEBT'!AE$106</f>
        <v>0</v>
      </c>
      <c r="H628" s="48"/>
      <c r="I628" s="47"/>
      <c r="J628" s="600">
        <f>G628-I628</f>
        <v>0</v>
      </c>
    </row>
    <row r="629" spans="2:10" x14ac:dyDescent="0.2">
      <c r="B629" s="37">
        <v>35922</v>
      </c>
      <c r="C629" s="51"/>
      <c r="D629" s="22"/>
      <c r="E629" s="56"/>
      <c r="F629" s="59"/>
      <c r="G629" s="59"/>
      <c r="H629" s="62"/>
      <c r="I629" s="59"/>
      <c r="J629" s="56"/>
    </row>
    <row r="630" spans="2:10" x14ac:dyDescent="0.2">
      <c r="B630" s="37" t="s">
        <v>598</v>
      </c>
      <c r="C630" s="51">
        <v>36951</v>
      </c>
      <c r="D630" s="22" t="s">
        <v>765</v>
      </c>
      <c r="E630" s="56">
        <f>J588</f>
        <v>0</v>
      </c>
      <c r="F630" s="59">
        <f>'LONG-TERM DEBT'!AB$58+'LONG-TERM DEBT'!AB$98</f>
        <v>87510</v>
      </c>
      <c r="G630" s="59">
        <f>'LONG-TERM DEBT'!AE$58+'LONG-TERM DEBT'!AE$98</f>
        <v>0</v>
      </c>
      <c r="H630" s="62" t="s">
        <v>614</v>
      </c>
      <c r="I630" s="59"/>
      <c r="J630" s="379"/>
    </row>
    <row r="631" spans="2:10" x14ac:dyDescent="0.2">
      <c r="B631" s="44" t="s">
        <v>625</v>
      </c>
      <c r="C631" s="45">
        <v>40558</v>
      </c>
      <c r="D631" s="71" t="s">
        <v>765</v>
      </c>
      <c r="E631" s="56"/>
      <c r="F631" s="59"/>
      <c r="G631" s="59"/>
      <c r="H631" s="62" t="s">
        <v>627</v>
      </c>
      <c r="I631" s="59"/>
      <c r="J631" s="554"/>
    </row>
    <row r="632" spans="2:10" x14ac:dyDescent="0.2">
      <c r="B632" s="69">
        <v>36426</v>
      </c>
      <c r="C632" s="38">
        <v>36651</v>
      </c>
      <c r="D632" s="70"/>
      <c r="E632" s="42"/>
      <c r="F632" s="40"/>
      <c r="G632" s="40"/>
      <c r="H632" s="41"/>
      <c r="I632" s="40"/>
      <c r="J632" s="40"/>
    </row>
    <row r="633" spans="2:10" x14ac:dyDescent="0.2">
      <c r="B633" s="52" t="s">
        <v>600</v>
      </c>
      <c r="C633" s="51">
        <v>36951</v>
      </c>
      <c r="D633" s="22" t="s">
        <v>765</v>
      </c>
      <c r="E633" s="56">
        <f>J591</f>
        <v>0</v>
      </c>
      <c r="F633" s="59">
        <f>'LONG-TERM DEBT'!AB$56+'LONG-TERM DEBT'!AB$96+9000+1931.25</f>
        <v>106331.25</v>
      </c>
      <c r="G633" s="59">
        <f>'LONG-TERM DEBT'!AE$56+'LONG-TERM DEBT'!AE$96</f>
        <v>0</v>
      </c>
      <c r="H633" s="62" t="s">
        <v>205</v>
      </c>
      <c r="I633" s="59"/>
      <c r="J633" s="379">
        <f>G633-(I633+I634)</f>
        <v>0</v>
      </c>
    </row>
    <row r="634" spans="2:10" x14ac:dyDescent="0.2">
      <c r="B634" s="46" t="s">
        <v>625</v>
      </c>
      <c r="C634" s="45">
        <v>40558</v>
      </c>
      <c r="D634" s="71" t="s">
        <v>765</v>
      </c>
      <c r="E634" s="49"/>
      <c r="F634" s="47"/>
      <c r="G634" s="47"/>
      <c r="H634" s="48" t="s">
        <v>627</v>
      </c>
      <c r="I634" s="47"/>
      <c r="J634" s="545"/>
    </row>
    <row r="635" spans="2:10" x14ac:dyDescent="0.2">
      <c r="B635" s="50">
        <v>36650</v>
      </c>
      <c r="C635" s="51">
        <v>36791</v>
      </c>
      <c r="D635" s="22"/>
      <c r="E635" s="56"/>
      <c r="F635" s="59"/>
      <c r="G635" s="59"/>
      <c r="H635" s="62"/>
      <c r="I635" s="59"/>
      <c r="J635" s="59"/>
    </row>
    <row r="636" spans="2:10" x14ac:dyDescent="0.2">
      <c r="B636" s="3" t="s">
        <v>471</v>
      </c>
      <c r="C636" s="51">
        <v>36951</v>
      </c>
      <c r="D636" s="22" t="s">
        <v>765</v>
      </c>
      <c r="E636" s="56">
        <f>J594</f>
        <v>0</v>
      </c>
      <c r="F636" s="3"/>
      <c r="G636" s="5"/>
      <c r="H636" s="36"/>
      <c r="I636" s="3"/>
      <c r="J636" s="5"/>
    </row>
    <row r="637" spans="2:10" x14ac:dyDescent="0.2">
      <c r="B637" s="2" t="s">
        <v>625</v>
      </c>
      <c r="C637" s="45">
        <v>40558</v>
      </c>
      <c r="D637" s="71" t="s">
        <v>765</v>
      </c>
      <c r="E637" s="56"/>
      <c r="F637" s="47"/>
      <c r="G637" s="47"/>
      <c r="H637" s="48" t="s">
        <v>627</v>
      </c>
      <c r="I637" s="47"/>
      <c r="J637" s="545"/>
    </row>
    <row r="638" spans="2:10" x14ac:dyDescent="0.2">
      <c r="B638" s="50">
        <v>39205</v>
      </c>
      <c r="C638" s="51">
        <v>39835</v>
      </c>
      <c r="D638" s="22" t="s">
        <v>673</v>
      </c>
      <c r="E638" s="56"/>
      <c r="F638" s="59"/>
      <c r="G638" s="59"/>
      <c r="H638" s="62"/>
      <c r="I638" s="59"/>
      <c r="J638" s="554"/>
    </row>
    <row r="639" spans="2:10" x14ac:dyDescent="0.2">
      <c r="B639" s="3" t="s">
        <v>60</v>
      </c>
      <c r="C639" s="51">
        <v>40564</v>
      </c>
      <c r="D639" s="22" t="s">
        <v>765</v>
      </c>
      <c r="E639" s="379"/>
      <c r="F639" s="3"/>
      <c r="G639" s="59"/>
      <c r="H639" s="62"/>
      <c r="I639" s="59"/>
      <c r="J639" s="5"/>
    </row>
    <row r="640" spans="2:10" x14ac:dyDescent="0.2">
      <c r="B640" s="2" t="s">
        <v>625</v>
      </c>
      <c r="C640" s="45">
        <v>40558</v>
      </c>
      <c r="D640" s="71" t="s">
        <v>765</v>
      </c>
      <c r="E640" s="49">
        <f>J601</f>
        <v>0</v>
      </c>
      <c r="F640" s="47">
        <f>'LONG-TERM DEBT'!AA$61+'LONG-TERM DEBT'!AA$101</f>
        <v>44680</v>
      </c>
      <c r="G640" s="49">
        <f>'LONG-TERM DEBT'!AE$61+'LONG-TERM DEBT'!AE$101</f>
        <v>0</v>
      </c>
      <c r="H640" s="48" t="s">
        <v>627</v>
      </c>
      <c r="I640" s="47"/>
      <c r="J640" s="598">
        <f>SUM(G640-I640)*0</f>
        <v>0</v>
      </c>
    </row>
    <row r="641" spans="2:10" x14ac:dyDescent="0.2">
      <c r="B641" s="50" t="s">
        <v>924</v>
      </c>
      <c r="C641" s="51"/>
      <c r="D641" s="52"/>
      <c r="E641" s="56"/>
      <c r="F641" s="59"/>
      <c r="G641" s="59"/>
      <c r="H641" s="62"/>
      <c r="I641" s="40"/>
      <c r="J641" s="554"/>
    </row>
    <row r="642" spans="2:10" x14ac:dyDescent="0.2">
      <c r="B642" s="3" t="s">
        <v>1029</v>
      </c>
      <c r="C642" s="51">
        <v>43019</v>
      </c>
      <c r="D642" s="52" t="s">
        <v>765</v>
      </c>
      <c r="E642" s="379"/>
      <c r="F642" s="5"/>
      <c r="G642" s="59">
        <f>SUM('LONG-TERM DEBT'!AG$78) + SUM('LONG-TERM DEBT'!AG$117)</f>
        <v>85118.760000000009</v>
      </c>
      <c r="H642" s="62"/>
      <c r="I642" s="59">
        <v>0</v>
      </c>
      <c r="J642" s="604">
        <f>SUM(G642-I642)</f>
        <v>85118.760000000009</v>
      </c>
    </row>
    <row r="643" spans="2:10" x14ac:dyDescent="0.2">
      <c r="B643" s="2"/>
      <c r="C643" s="45"/>
      <c r="D643" s="46"/>
      <c r="E643" s="702"/>
      <c r="F643" s="595"/>
      <c r="G643" s="47"/>
      <c r="H643" s="48"/>
      <c r="I643" s="47"/>
      <c r="J643" s="598"/>
    </row>
    <row r="644" spans="2:10" x14ac:dyDescent="0.2">
      <c r="B644" s="3" t="s">
        <v>1007</v>
      </c>
      <c r="C644" s="51"/>
      <c r="D644" s="52"/>
      <c r="E644" s="379"/>
      <c r="F644" s="5"/>
      <c r="G644" s="59"/>
      <c r="H644" s="62"/>
      <c r="I644" s="59"/>
      <c r="J644" s="604"/>
    </row>
    <row r="645" spans="2:10" x14ac:dyDescent="0.2">
      <c r="B645" s="1613" t="s">
        <v>918</v>
      </c>
      <c r="C645" s="51"/>
      <c r="D645" s="52" t="s">
        <v>765</v>
      </c>
      <c r="E645" s="379"/>
      <c r="F645" s="5"/>
      <c r="G645" s="59">
        <f>'LONG-TERM DEBT'!AG$80+'LONG-TERM DEBT'!AG$120</f>
        <v>351687.5</v>
      </c>
      <c r="H645" s="62"/>
      <c r="I645" s="59"/>
      <c r="J645" s="604">
        <f>SUM(G645-I645)</f>
        <v>351687.5</v>
      </c>
    </row>
    <row r="646" spans="2:10" x14ac:dyDescent="0.2">
      <c r="B646" s="1613" t="s">
        <v>919</v>
      </c>
      <c r="C646" s="51"/>
      <c r="D646" s="52" t="s">
        <v>765</v>
      </c>
      <c r="E646" s="379"/>
      <c r="F646" s="5"/>
      <c r="G646" s="59">
        <f>'LONG-TERM DEBT'!AG$81+'LONG-TERM DEBT'!AG$121</f>
        <v>270775</v>
      </c>
      <c r="H646" s="62"/>
      <c r="I646" s="59"/>
      <c r="J646" s="604">
        <f>SUM(G646-I646)</f>
        <v>270775</v>
      </c>
    </row>
    <row r="647" spans="2:10" x14ac:dyDescent="0.2">
      <c r="B647" s="1613"/>
      <c r="C647" s="51"/>
      <c r="D647" s="52"/>
      <c r="E647" s="379"/>
      <c r="F647" s="5"/>
      <c r="G647" s="59"/>
      <c r="H647" s="62"/>
      <c r="I647" s="59"/>
      <c r="J647" s="604"/>
    </row>
    <row r="648" spans="2:10" x14ac:dyDescent="0.2">
      <c r="B648" s="1614" t="s">
        <v>1028</v>
      </c>
      <c r="C648" s="38"/>
      <c r="D648" s="39"/>
      <c r="E648" s="1615"/>
      <c r="F648" s="53"/>
      <c r="G648" s="40"/>
      <c r="H648" s="41"/>
      <c r="I648" s="40"/>
      <c r="J648" s="1616"/>
    </row>
    <row r="649" spans="2:10" x14ac:dyDescent="0.2">
      <c r="B649" s="1613" t="s">
        <v>918</v>
      </c>
      <c r="C649" s="51"/>
      <c r="D649" s="52"/>
      <c r="E649" s="379"/>
      <c r="F649" s="5"/>
      <c r="G649" s="59">
        <f>'LONG-TERM DEBT'!AG$84+'LONG-TERM DEBT'!AG$124</f>
        <v>123644</v>
      </c>
      <c r="H649" s="62"/>
      <c r="I649" s="59"/>
      <c r="J649" s="604">
        <f>SUM(G649-I649)</f>
        <v>123644</v>
      </c>
    </row>
    <row r="650" spans="2:10" x14ac:dyDescent="0.2">
      <c r="B650" s="1613" t="s">
        <v>919</v>
      </c>
      <c r="C650" s="51"/>
      <c r="D650" s="52"/>
      <c r="E650" s="379"/>
      <c r="F650" s="5"/>
      <c r="G650" s="59">
        <f>'LONG-TERM DEBT'!AG$85+'LONG-TERM DEBT'!AG$125</f>
        <v>118112.5</v>
      </c>
      <c r="H650" s="62"/>
      <c r="I650" s="59"/>
      <c r="J650" s="604">
        <f>SUM(G650-I650)</f>
        <v>118112.5</v>
      </c>
    </row>
    <row r="651" spans="2:10" x14ac:dyDescent="0.2">
      <c r="B651" s="1613"/>
      <c r="C651" s="51"/>
      <c r="D651" s="52"/>
      <c r="E651" s="379"/>
      <c r="F651" s="5"/>
      <c r="G651" s="59"/>
      <c r="H651" s="62"/>
      <c r="I651" s="59"/>
      <c r="J651" s="604"/>
    </row>
    <row r="652" spans="2:10" x14ac:dyDescent="0.2">
      <c r="B652" s="1614" t="s">
        <v>974</v>
      </c>
      <c r="C652" s="38"/>
      <c r="D652" s="39"/>
      <c r="E652" s="1615"/>
      <c r="F652" s="53"/>
      <c r="G652" s="40"/>
      <c r="H652" s="41"/>
      <c r="I652" s="40"/>
      <c r="J652" s="1616"/>
    </row>
    <row r="653" spans="2:10" x14ac:dyDescent="0.2">
      <c r="B653" s="1613"/>
      <c r="C653" s="51"/>
      <c r="D653" s="52"/>
      <c r="E653" s="379"/>
      <c r="F653" s="5"/>
      <c r="G653" s="59">
        <f>'LONG-TERM DEBT'!AD341</f>
        <v>0</v>
      </c>
      <c r="H653" s="62"/>
      <c r="I653" s="59"/>
      <c r="J653" s="604"/>
    </row>
    <row r="654" spans="2:10" x14ac:dyDescent="0.2">
      <c r="B654" s="1613"/>
      <c r="C654" s="51"/>
      <c r="D654" s="52"/>
      <c r="E654" s="379"/>
      <c r="F654" s="5"/>
      <c r="G654" s="59"/>
      <c r="H654" s="62"/>
      <c r="I654" s="59"/>
      <c r="J654" s="604"/>
    </row>
    <row r="655" spans="2:10" x14ac:dyDescent="0.2">
      <c r="B655" s="1613"/>
      <c r="C655" s="51"/>
      <c r="D655" s="52"/>
      <c r="E655" s="379"/>
      <c r="F655" s="5"/>
      <c r="G655" s="59"/>
      <c r="H655" s="62"/>
      <c r="I655" s="59"/>
      <c r="J655" s="604"/>
    </row>
    <row r="656" spans="2:10" x14ac:dyDescent="0.2">
      <c r="B656" s="2"/>
      <c r="C656" s="45"/>
      <c r="D656" s="46"/>
      <c r="E656" s="49"/>
      <c r="F656" s="49"/>
      <c r="G656" s="49"/>
      <c r="H656" s="48"/>
      <c r="I656" s="47"/>
      <c r="J656" s="598"/>
    </row>
    <row r="657" spans="1:10" x14ac:dyDescent="0.2">
      <c r="B657" s="470" t="s">
        <v>603</v>
      </c>
      <c r="C657" s="471"/>
      <c r="D657" s="471"/>
      <c r="E657" s="473">
        <f>SUM(E620:E640)</f>
        <v>0</v>
      </c>
      <c r="F657" s="473">
        <f>SUM(F620:F640)</f>
        <v>1093687.72</v>
      </c>
      <c r="G657" s="473">
        <f>SUM(G620:G656)</f>
        <v>949337.76</v>
      </c>
      <c r="H657" s="474"/>
      <c r="I657" s="474">
        <f>SUM(I620:I640)</f>
        <v>0</v>
      </c>
      <c r="J657" s="472">
        <f>SUM(J621:J655)</f>
        <v>949337.76</v>
      </c>
    </row>
    <row r="659" spans="1:10" x14ac:dyDescent="0.2">
      <c r="A659" s="1">
        <f>1</f>
        <v>1</v>
      </c>
    </row>
    <row r="660" spans="1:10" x14ac:dyDescent="0.2">
      <c r="A660" s="1">
        <f>A659+1</f>
        <v>2</v>
      </c>
      <c r="B660" s="4" t="s">
        <v>485</v>
      </c>
    </row>
    <row r="661" spans="1:10" x14ac:dyDescent="0.2">
      <c r="A661" s="1">
        <f t="shared" ref="A661:A703" si="9">A660+1</f>
        <v>3</v>
      </c>
      <c r="B661" s="1" t="s">
        <v>619</v>
      </c>
    </row>
    <row r="662" spans="1:10" x14ac:dyDescent="0.2">
      <c r="A662" s="1">
        <f t="shared" si="9"/>
        <v>4</v>
      </c>
      <c r="B662" s="1" t="s">
        <v>620</v>
      </c>
    </row>
    <row r="663" spans="1:10" x14ac:dyDescent="0.2">
      <c r="A663" s="1">
        <f t="shared" si="9"/>
        <v>5</v>
      </c>
      <c r="B663" s="1" t="s">
        <v>779</v>
      </c>
    </row>
    <row r="664" spans="1:10" x14ac:dyDescent="0.2">
      <c r="A664" s="1">
        <f t="shared" si="9"/>
        <v>6</v>
      </c>
      <c r="B664" s="1" t="s">
        <v>780</v>
      </c>
    </row>
    <row r="665" spans="1:10" x14ac:dyDescent="0.2">
      <c r="A665" s="1">
        <f t="shared" si="9"/>
        <v>7</v>
      </c>
      <c r="B665" s="1" t="s">
        <v>781</v>
      </c>
    </row>
    <row r="666" spans="1:10" x14ac:dyDescent="0.2">
      <c r="A666" s="1">
        <f t="shared" si="9"/>
        <v>8</v>
      </c>
      <c r="B666" s="1" t="s">
        <v>848</v>
      </c>
    </row>
    <row r="667" spans="1:10" x14ac:dyDescent="0.2">
      <c r="A667" s="1">
        <f t="shared" si="9"/>
        <v>9</v>
      </c>
      <c r="B667" s="4" t="s">
        <v>782</v>
      </c>
    </row>
    <row r="668" spans="1:10" x14ac:dyDescent="0.2">
      <c r="A668" s="1">
        <f t="shared" si="9"/>
        <v>10</v>
      </c>
      <c r="B668" s="1" t="s">
        <v>857</v>
      </c>
    </row>
    <row r="669" spans="1:10" x14ac:dyDescent="0.2">
      <c r="A669" s="1">
        <f t="shared" si="9"/>
        <v>11</v>
      </c>
      <c r="B669" s="1" t="s">
        <v>621</v>
      </c>
    </row>
    <row r="670" spans="1:10" x14ac:dyDescent="0.2">
      <c r="A670" s="1">
        <f t="shared" si="9"/>
        <v>12</v>
      </c>
    </row>
    <row r="671" spans="1:10" x14ac:dyDescent="0.2">
      <c r="A671" s="1">
        <f t="shared" si="9"/>
        <v>13</v>
      </c>
    </row>
    <row r="672" spans="1:10" x14ac:dyDescent="0.2">
      <c r="A672" s="1">
        <f t="shared" si="9"/>
        <v>14</v>
      </c>
    </row>
    <row r="673" spans="1:1" x14ac:dyDescent="0.2">
      <c r="A673" s="1">
        <f t="shared" si="9"/>
        <v>15</v>
      </c>
    </row>
    <row r="674" spans="1:1" x14ac:dyDescent="0.2">
      <c r="A674" s="1">
        <f t="shared" si="9"/>
        <v>16</v>
      </c>
    </row>
    <row r="675" spans="1:1" x14ac:dyDescent="0.2">
      <c r="A675" s="1">
        <f t="shared" si="9"/>
        <v>17</v>
      </c>
    </row>
    <row r="676" spans="1:1" x14ac:dyDescent="0.2">
      <c r="A676" s="1">
        <f t="shared" si="9"/>
        <v>18</v>
      </c>
    </row>
    <row r="677" spans="1:1" x14ac:dyDescent="0.2">
      <c r="A677" s="1">
        <f t="shared" si="9"/>
        <v>19</v>
      </c>
    </row>
    <row r="678" spans="1:1" x14ac:dyDescent="0.2">
      <c r="A678" s="1">
        <f t="shared" si="9"/>
        <v>20</v>
      </c>
    </row>
    <row r="679" spans="1:1" x14ac:dyDescent="0.2">
      <c r="A679" s="1">
        <f t="shared" si="9"/>
        <v>21</v>
      </c>
    </row>
    <row r="680" spans="1:1" x14ac:dyDescent="0.2">
      <c r="A680" s="1">
        <f t="shared" si="9"/>
        <v>22</v>
      </c>
    </row>
    <row r="681" spans="1:1" x14ac:dyDescent="0.2">
      <c r="A681" s="1">
        <f t="shared" si="9"/>
        <v>23</v>
      </c>
    </row>
    <row r="682" spans="1:1" x14ac:dyDescent="0.2">
      <c r="A682" s="1">
        <f t="shared" si="9"/>
        <v>24</v>
      </c>
    </row>
    <row r="683" spans="1:1" x14ac:dyDescent="0.2">
      <c r="A683" s="1">
        <f t="shared" si="9"/>
        <v>25</v>
      </c>
    </row>
    <row r="684" spans="1:1" x14ac:dyDescent="0.2">
      <c r="A684" s="1">
        <f t="shared" si="9"/>
        <v>26</v>
      </c>
    </row>
    <row r="685" spans="1:1" x14ac:dyDescent="0.2">
      <c r="A685" s="1">
        <f t="shared" si="9"/>
        <v>27</v>
      </c>
    </row>
    <row r="686" spans="1:1" x14ac:dyDescent="0.2">
      <c r="A686" s="1">
        <f t="shared" si="9"/>
        <v>28</v>
      </c>
    </row>
    <row r="687" spans="1:1" x14ac:dyDescent="0.2">
      <c r="A687" s="1">
        <f t="shared" si="9"/>
        <v>29</v>
      </c>
    </row>
    <row r="688" spans="1:1" x14ac:dyDescent="0.2">
      <c r="A688" s="1">
        <f t="shared" si="9"/>
        <v>30</v>
      </c>
    </row>
    <row r="689" spans="1:1" x14ac:dyDescent="0.2">
      <c r="A689" s="1">
        <f t="shared" si="9"/>
        <v>31</v>
      </c>
    </row>
    <row r="690" spans="1:1" x14ac:dyDescent="0.2">
      <c r="A690" s="1">
        <f t="shared" si="9"/>
        <v>32</v>
      </c>
    </row>
    <row r="691" spans="1:1" x14ac:dyDescent="0.2">
      <c r="A691" s="1">
        <f t="shared" si="9"/>
        <v>33</v>
      </c>
    </row>
    <row r="692" spans="1:1" x14ac:dyDescent="0.2">
      <c r="A692" s="1">
        <f t="shared" si="9"/>
        <v>34</v>
      </c>
    </row>
    <row r="693" spans="1:1" x14ac:dyDescent="0.2">
      <c r="A693" s="1">
        <f t="shared" si="9"/>
        <v>35</v>
      </c>
    </row>
    <row r="694" spans="1:1" x14ac:dyDescent="0.2">
      <c r="A694" s="1">
        <f t="shared" si="9"/>
        <v>36</v>
      </c>
    </row>
    <row r="695" spans="1:1" x14ac:dyDescent="0.2">
      <c r="A695" s="1">
        <f t="shared" si="9"/>
        <v>37</v>
      </c>
    </row>
    <row r="696" spans="1:1" x14ac:dyDescent="0.2">
      <c r="A696" s="1">
        <f t="shared" si="9"/>
        <v>38</v>
      </c>
    </row>
    <row r="697" spans="1:1" x14ac:dyDescent="0.2">
      <c r="A697" s="1">
        <f t="shared" si="9"/>
        <v>39</v>
      </c>
    </row>
    <row r="698" spans="1:1" x14ac:dyDescent="0.2">
      <c r="A698" s="1">
        <f t="shared" si="9"/>
        <v>40</v>
      </c>
    </row>
    <row r="699" spans="1:1" x14ac:dyDescent="0.2">
      <c r="A699" s="1">
        <f t="shared" si="9"/>
        <v>41</v>
      </c>
    </row>
    <row r="700" spans="1:1" x14ac:dyDescent="0.2">
      <c r="A700" s="1">
        <f t="shared" si="9"/>
        <v>42</v>
      </c>
    </row>
    <row r="701" spans="1:1" x14ac:dyDescent="0.2">
      <c r="A701" s="1">
        <f t="shared" si="9"/>
        <v>43</v>
      </c>
    </row>
    <row r="702" spans="1:1" x14ac:dyDescent="0.2">
      <c r="A702" s="1">
        <f t="shared" si="9"/>
        <v>44</v>
      </c>
    </row>
    <row r="703" spans="1:1" x14ac:dyDescent="0.2">
      <c r="A703" s="1">
        <f t="shared" si="9"/>
        <v>45</v>
      </c>
    </row>
  </sheetData>
  <phoneticPr fontId="39" type="noConversion"/>
  <printOptions gridLines="1"/>
  <pageMargins left="0.23622047244094491" right="0.23622047244094491" top="0.70866141732283472" bottom="0" header="0.19685039370078741" footer="0"/>
  <pageSetup fitToWidth="0" orientation="landscape" horizontalDpi="300" verticalDpi="300" r:id="rId1"/>
  <headerFooter alignWithMargins="0">
    <oddHeader xml:space="preserve">&amp;L29-Mar-2022
&amp;A&amp;CTOWN OF TOPSFIELD FINANCE COMMITTEE
BUDGET WORKSHEETS
&amp;R&amp;"Arial,Bold"&amp;12VERSION 2.5
FY 2023
</oddHeader>
    <oddFooter xml:space="preserve">&amp;R
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 summaryRight="0"/>
    <pageSetUpPr fitToPage="1"/>
  </sheetPr>
  <dimension ref="A1:BC1048574"/>
  <sheetViews>
    <sheetView zoomScale="140" zoomScaleNormal="140" workbookViewId="0">
      <pane xSplit="32" ySplit="11" topLeftCell="AM12" activePane="bottomRight" state="frozen"/>
      <selection pane="topRight" activeCell="AG1" sqref="AG1"/>
      <selection pane="bottomLeft" activeCell="A12" sqref="A12"/>
      <selection pane="bottomRight" activeCell="BA457" sqref="BA457"/>
    </sheetView>
  </sheetViews>
  <sheetFormatPr defaultColWidth="8.85546875" defaultRowHeight="14.25" customHeight="1" outlineLevelRow="1" x14ac:dyDescent="0.2"/>
  <cols>
    <col min="1" max="1" width="28.85546875" style="714" customWidth="1"/>
    <col min="2" max="9" width="10" style="715" hidden="1" customWidth="1"/>
    <col min="10" max="14" width="10" style="733" hidden="1" customWidth="1"/>
    <col min="15" max="31" width="11.140625" style="733" hidden="1" customWidth="1"/>
    <col min="32" max="32" width="10.28515625" style="733" hidden="1" customWidth="1"/>
    <col min="33" max="33" width="10.5703125" style="733" customWidth="1"/>
    <col min="34" max="34" width="10.28515625" style="733" customWidth="1"/>
    <col min="35" max="35" width="11.85546875" style="733" customWidth="1"/>
    <col min="36" max="44" width="10.140625" style="733" customWidth="1"/>
    <col min="45" max="45" width="12.7109375" style="2142" customWidth="1"/>
    <col min="46" max="46" width="10.140625" style="733" customWidth="1"/>
    <col min="47" max="47" width="4.5703125" style="715" hidden="1" customWidth="1"/>
    <col min="48" max="48" width="6.85546875" style="869" hidden="1" customWidth="1"/>
    <col min="49" max="49" width="4.42578125" style="1225" hidden="1" customWidth="1"/>
    <col min="50" max="50" width="4.140625" style="1225" hidden="1" customWidth="1"/>
    <col min="51" max="51" width="26.7109375" style="1042" customWidth="1"/>
    <col min="52" max="52" width="15.28515625" style="2138" customWidth="1"/>
    <col min="53" max="53" width="11.5703125" style="2138" customWidth="1"/>
    <col min="54" max="54" width="9.28515625" style="2142" customWidth="1"/>
    <col min="55" max="16384" width="8.85546875" style="722"/>
  </cols>
  <sheetData>
    <row r="1" spans="1:55" ht="15" customHeight="1" collapsed="1" thickBot="1" x14ac:dyDescent="0.25">
      <c r="A1" s="1689" t="s">
        <v>164</v>
      </c>
      <c r="B1" s="715" t="s">
        <v>164</v>
      </c>
      <c r="J1" s="716" t="s">
        <v>79</v>
      </c>
      <c r="K1" s="717"/>
      <c r="L1" s="717"/>
      <c r="M1" s="717"/>
      <c r="N1" s="717"/>
      <c r="O1" s="717"/>
      <c r="P1" s="718"/>
      <c r="Q1" s="719"/>
      <c r="R1" s="720"/>
      <c r="S1" s="720"/>
      <c r="T1" s="720"/>
      <c r="U1" s="720"/>
      <c r="V1" s="720"/>
      <c r="W1" s="720"/>
      <c r="X1" s="720"/>
      <c r="Y1" s="720"/>
      <c r="Z1" s="720"/>
      <c r="AA1" s="720"/>
      <c r="AB1" s="720"/>
      <c r="AC1" s="720"/>
      <c r="AD1" s="720"/>
      <c r="AE1" s="720"/>
      <c r="AF1" s="720"/>
      <c r="AG1" s="720"/>
      <c r="AH1" s="720"/>
      <c r="AI1" s="720"/>
      <c r="AJ1" s="720"/>
      <c r="AK1" s="720"/>
      <c r="AL1" s="720"/>
      <c r="AM1" s="720"/>
      <c r="AN1" s="720"/>
      <c r="AO1" s="720"/>
      <c r="AP1" s="720"/>
      <c r="AQ1" s="720"/>
      <c r="AR1" s="720"/>
      <c r="AS1" s="2215"/>
      <c r="AT1" s="720"/>
      <c r="AU1" s="720"/>
      <c r="AV1" s="718"/>
      <c r="AW1" s="718"/>
      <c r="AX1" s="718"/>
      <c r="AY1" s="721"/>
      <c r="AZ1" s="2131"/>
      <c r="BA1" s="2131"/>
      <c r="BB1" s="2140"/>
    </row>
    <row r="2" spans="1:55" ht="13.9" hidden="1" customHeight="1" outlineLevel="1" thickBot="1" x14ac:dyDescent="0.25">
      <c r="J2" s="723" t="s">
        <v>402</v>
      </c>
      <c r="K2" s="724"/>
      <c r="L2" s="725"/>
      <c r="M2" s="725"/>
      <c r="N2" s="725"/>
      <c r="O2" s="725"/>
      <c r="P2" s="726"/>
      <c r="Q2" s="727"/>
      <c r="R2" s="728"/>
      <c r="S2" s="728"/>
      <c r="T2" s="728"/>
      <c r="U2" s="728"/>
      <c r="V2" s="728"/>
      <c r="W2" s="728"/>
      <c r="X2" s="728"/>
      <c r="Y2" s="728"/>
      <c r="Z2" s="728"/>
      <c r="AA2" s="728"/>
      <c r="AB2" s="728"/>
      <c r="AC2" s="728"/>
      <c r="AD2" s="728"/>
      <c r="AE2" s="1499" t="s">
        <v>280</v>
      </c>
      <c r="AF2" s="1499"/>
      <c r="AG2" s="728" t="s">
        <v>893</v>
      </c>
      <c r="AH2" s="729">
        <v>1</v>
      </c>
      <c r="AI2" s="729"/>
      <c r="AJ2" s="728" t="s">
        <v>895</v>
      </c>
      <c r="AK2" s="1312">
        <f>IF($AK$6="ON",1,AL2)</f>
        <v>1.03</v>
      </c>
      <c r="AL2" s="1694">
        <v>1.03</v>
      </c>
      <c r="AM2" s="1688" t="s">
        <v>1048</v>
      </c>
      <c r="AN2" s="729">
        <f>IF($AK$6="ON",1,AO2)</f>
        <v>1.02</v>
      </c>
      <c r="AO2" s="1312">
        <v>1.02</v>
      </c>
      <c r="AP2" s="728"/>
      <c r="AQ2" s="728"/>
      <c r="AR2" s="728"/>
      <c r="AS2" s="728"/>
      <c r="AT2" s="2216"/>
      <c r="AU2" s="728"/>
      <c r="AV2" s="728"/>
      <c r="AW2" s="726"/>
      <c r="AX2" s="504" t="s">
        <v>164</v>
      </c>
      <c r="AY2" s="731" t="s">
        <v>268</v>
      </c>
      <c r="AZ2" s="732"/>
      <c r="BA2" s="732"/>
      <c r="BB2" s="2132"/>
      <c r="BC2" s="732"/>
    </row>
    <row r="3" spans="1:55" ht="13.9" hidden="1" customHeight="1" outlineLevel="1" x14ac:dyDescent="0.2">
      <c r="J3" s="723"/>
      <c r="K3" s="724"/>
      <c r="L3" s="725"/>
      <c r="M3" s="725"/>
      <c r="N3" s="725"/>
      <c r="O3" s="725"/>
      <c r="P3" s="726"/>
      <c r="Q3" s="727"/>
      <c r="S3" s="728"/>
      <c r="T3" s="728"/>
      <c r="U3" s="728"/>
      <c r="V3" s="734" t="s">
        <v>79</v>
      </c>
      <c r="W3" s="728"/>
      <c r="X3" s="728"/>
      <c r="Y3" s="728"/>
      <c r="Z3" s="728"/>
      <c r="AA3" s="735"/>
      <c r="AD3" s="728"/>
      <c r="AE3" s="728"/>
      <c r="AF3" s="728"/>
      <c r="AG3" s="728" t="s">
        <v>925</v>
      </c>
      <c r="AH3" s="1312">
        <f>IF($AK$6="ON",1,AI3)</f>
        <v>1.02</v>
      </c>
      <c r="AI3" s="1695">
        <v>1.02</v>
      </c>
      <c r="AJ3" s="728" t="s">
        <v>896</v>
      </c>
      <c r="AK3" s="1694">
        <v>1.0272033679872439</v>
      </c>
      <c r="AL3" s="1724">
        <v>1.0225</v>
      </c>
      <c r="AM3" s="1688" t="s">
        <v>1049</v>
      </c>
      <c r="AN3" s="729">
        <f>IF($AK$6="ON",1,AO3)</f>
        <v>1.02</v>
      </c>
      <c r="AO3" s="1312">
        <v>1.02</v>
      </c>
      <c r="AP3" s="728"/>
      <c r="AQ3" s="2322">
        <f>1.025*28.95/28.5</f>
        <v>1.0411842105263158</v>
      </c>
      <c r="AR3" s="728"/>
      <c r="AS3" s="728"/>
      <c r="AT3" s="2216"/>
      <c r="AU3" s="728"/>
      <c r="AV3" s="728"/>
      <c r="AW3" s="726"/>
      <c r="AX3" s="730"/>
      <c r="AY3" s="731"/>
      <c r="AZ3" s="732"/>
      <c r="BA3" s="732"/>
      <c r="BB3" s="2132"/>
      <c r="BC3" s="732"/>
    </row>
    <row r="4" spans="1:55" ht="14.1" hidden="1" customHeight="1" outlineLevel="1" x14ac:dyDescent="0.2">
      <c r="J4" s="723"/>
      <c r="K4" s="724"/>
      <c r="L4" s="725"/>
      <c r="M4" s="725"/>
      <c r="N4" s="725"/>
      <c r="O4" s="725"/>
      <c r="P4" s="726"/>
      <c r="Q4" s="727"/>
      <c r="S4" s="728"/>
      <c r="T4" s="728"/>
      <c r="U4" s="728"/>
      <c r="V4" s="736" t="s">
        <v>402</v>
      </c>
      <c r="W4" s="728"/>
      <c r="X4" s="728"/>
      <c r="Y4" s="728"/>
      <c r="Z4" s="728"/>
      <c r="AA4" s="728"/>
      <c r="AB4" s="728"/>
      <c r="AC4" s="728"/>
      <c r="AD4" s="728"/>
      <c r="AE4" s="728"/>
      <c r="AF4" s="728"/>
      <c r="AG4" s="728" t="s">
        <v>120</v>
      </c>
      <c r="AH4" s="729">
        <v>1</v>
      </c>
      <c r="AI4" s="729">
        <v>1</v>
      </c>
      <c r="AJ4" s="728" t="s">
        <v>897</v>
      </c>
      <c r="AK4" s="1312">
        <f>IF($AK$6="ON",1,AL4)</f>
        <v>1.03</v>
      </c>
      <c r="AL4" s="1725">
        <v>1.03</v>
      </c>
      <c r="AM4" s="1688" t="s">
        <v>1050</v>
      </c>
      <c r="AN4" s="729">
        <f t="shared" ref="AN4:AN5" si="0">IF($AK$6="ON",1,AO4)</f>
        <v>1</v>
      </c>
      <c r="AO4" s="1312">
        <v>1</v>
      </c>
      <c r="AP4" s="728"/>
      <c r="AQ4" s="728"/>
      <c r="AR4" s="728"/>
      <c r="AS4" s="728"/>
      <c r="AT4" s="2216"/>
      <c r="AU4" s="728"/>
      <c r="AV4" s="728"/>
      <c r="AW4" s="726"/>
      <c r="AX4" s="730"/>
      <c r="AY4" s="731"/>
      <c r="AZ4" s="732"/>
      <c r="BA4" s="732"/>
      <c r="BB4" s="2132"/>
      <c r="BC4" s="732"/>
    </row>
    <row r="5" spans="1:55" ht="13.9" hidden="1" customHeight="1" outlineLevel="1" thickBot="1" x14ac:dyDescent="0.25">
      <c r="J5" s="723"/>
      <c r="K5" s="724"/>
      <c r="L5" s="725"/>
      <c r="M5" s="725"/>
      <c r="N5" s="725"/>
      <c r="O5" s="725"/>
      <c r="P5" s="726"/>
      <c r="Q5" s="727"/>
      <c r="S5" s="728"/>
      <c r="T5" s="728"/>
      <c r="U5" s="728"/>
      <c r="V5" s="737" t="s">
        <v>99</v>
      </c>
      <c r="W5" s="728"/>
      <c r="X5" s="728"/>
      <c r="Y5" s="728"/>
      <c r="Z5" s="728"/>
      <c r="AA5" s="728"/>
      <c r="AB5" s="728"/>
      <c r="AC5" s="728"/>
      <c r="AD5" s="728"/>
      <c r="AE5" s="728"/>
      <c r="AF5" s="728"/>
      <c r="AG5" s="728" t="s">
        <v>894</v>
      </c>
      <c r="AH5" s="1695">
        <f>IF($AK$6="ON",1,AI5)</f>
        <v>1.085</v>
      </c>
      <c r="AI5" s="1695">
        <v>1.085</v>
      </c>
      <c r="AJ5" s="728" t="s">
        <v>926</v>
      </c>
      <c r="AK5" s="1312">
        <f>IF($AK$6="ON",1,AL5)</f>
        <v>1.02</v>
      </c>
      <c r="AL5" s="1312">
        <v>1.02</v>
      </c>
      <c r="AM5" s="1688" t="s">
        <v>1051</v>
      </c>
      <c r="AN5" s="729">
        <f t="shared" si="0"/>
        <v>1</v>
      </c>
      <c r="AO5" s="1312">
        <v>1</v>
      </c>
      <c r="AP5" s="728"/>
      <c r="AQ5" s="728"/>
      <c r="AR5" s="728"/>
      <c r="AS5" s="728"/>
      <c r="AT5" s="2216"/>
      <c r="AU5" s="728"/>
      <c r="AV5" s="728"/>
      <c r="AW5" s="726"/>
      <c r="AX5" s="730"/>
      <c r="AY5" s="731"/>
      <c r="AZ5" s="732"/>
      <c r="BA5" s="732"/>
      <c r="BB5" s="2132"/>
      <c r="BC5" s="732"/>
    </row>
    <row r="6" spans="1:55" ht="13.9" hidden="1" customHeight="1" outlineLevel="1" thickBot="1" x14ac:dyDescent="0.25">
      <c r="J6" s="723" t="s">
        <v>99</v>
      </c>
      <c r="K6" s="724"/>
      <c r="L6" s="725"/>
      <c r="M6" s="725"/>
      <c r="N6" s="738"/>
      <c r="O6" s="738"/>
      <c r="P6" s="739"/>
      <c r="Q6" s="740"/>
      <c r="R6" s="741"/>
      <c r="S6" s="741"/>
      <c r="T6" s="741"/>
      <c r="U6" s="741"/>
      <c r="V6" s="741"/>
      <c r="W6" s="741"/>
      <c r="X6" s="741"/>
      <c r="Y6" s="741"/>
      <c r="Z6" s="741"/>
      <c r="AA6" s="741"/>
      <c r="AB6" s="741"/>
      <c r="AC6" s="741"/>
      <c r="AD6" s="741"/>
      <c r="AE6" s="741"/>
      <c r="AF6" s="741"/>
      <c r="AG6" s="499" t="s">
        <v>15</v>
      </c>
      <c r="AH6" s="1695">
        <f>IF($AK$6="ON",1,AI6)</f>
        <v>1.1100000000000001</v>
      </c>
      <c r="AI6" s="1695">
        <v>1.1100000000000001</v>
      </c>
      <c r="AJ6" s="499" t="s">
        <v>929</v>
      </c>
      <c r="AK6" s="1500" t="s">
        <v>1115</v>
      </c>
      <c r="AL6" s="1500"/>
      <c r="AM6" s="1500" t="s">
        <v>1113</v>
      </c>
      <c r="AN6" s="1500">
        <f>IF(AK6="ON",1,AO6)</f>
        <v>1.4</v>
      </c>
      <c r="AO6" s="2218">
        <v>1.4</v>
      </c>
      <c r="AP6" s="741"/>
      <c r="AQ6" s="741"/>
      <c r="AR6" s="741"/>
      <c r="AS6" s="741"/>
      <c r="AT6" s="2217"/>
      <c r="AU6" s="741"/>
      <c r="AV6" s="741"/>
      <c r="AW6" s="739"/>
      <c r="AX6" s="742"/>
      <c r="AY6" s="731" t="s">
        <v>129</v>
      </c>
      <c r="AZ6" s="732"/>
      <c r="BA6" s="732"/>
      <c r="BB6" s="2132"/>
      <c r="BC6" s="732"/>
    </row>
    <row r="7" spans="1:55" ht="15.75" customHeight="1" collapsed="1" x14ac:dyDescent="0.2">
      <c r="A7" s="743"/>
      <c r="B7" s="744"/>
      <c r="C7" s="745"/>
      <c r="D7" s="744"/>
      <c r="E7" s="744"/>
      <c r="F7" s="744"/>
      <c r="G7" s="744"/>
      <c r="H7" s="744"/>
      <c r="I7" s="746">
        <v>3.2000000000000001E-2</v>
      </c>
      <c r="J7" s="747" t="s">
        <v>387</v>
      </c>
      <c r="K7" s="748"/>
      <c r="L7" s="749"/>
      <c r="M7" s="750"/>
      <c r="N7" s="750"/>
      <c r="O7" s="748"/>
      <c r="P7" s="748"/>
      <c r="Q7" s="748"/>
      <c r="R7" s="748"/>
      <c r="S7" s="748"/>
      <c r="T7" s="748"/>
      <c r="U7" s="748"/>
      <c r="V7" s="748"/>
      <c r="W7" s="748"/>
      <c r="X7" s="748"/>
      <c r="Y7" s="748"/>
      <c r="Z7" s="748"/>
      <c r="AA7" s="748"/>
      <c r="AB7" s="748"/>
      <c r="AC7" s="748"/>
      <c r="AD7" s="748"/>
      <c r="AE7" s="748"/>
      <c r="AF7" s="748"/>
      <c r="AG7" s="748"/>
      <c r="AH7" s="748"/>
      <c r="AI7" s="748"/>
      <c r="AJ7" s="748"/>
      <c r="AK7" s="748"/>
      <c r="AL7" s="748"/>
      <c r="AM7" s="748"/>
      <c r="AN7" s="748"/>
      <c r="AO7" s="748"/>
      <c r="AP7" s="748"/>
      <c r="AQ7" s="748"/>
      <c r="AR7" s="748"/>
      <c r="AS7" s="2204"/>
      <c r="AT7" s="748"/>
      <c r="AU7" s="751"/>
      <c r="AV7" s="752"/>
      <c r="AW7" s="753"/>
      <c r="AX7" s="753"/>
      <c r="AY7" s="754"/>
      <c r="AZ7" s="2133"/>
      <c r="BA7" s="2133"/>
      <c r="BB7" s="2128"/>
    </row>
    <row r="8" spans="1:55" ht="19.5" customHeight="1" thickBot="1" x14ac:dyDescent="0.25">
      <c r="A8" s="755"/>
      <c r="B8" s="756"/>
      <c r="C8" s="756"/>
      <c r="D8" s="756"/>
      <c r="E8" s="756"/>
      <c r="F8" s="756"/>
      <c r="G8" s="756"/>
      <c r="H8" s="756"/>
      <c r="I8" s="757">
        <v>3.2000000000000001E-2</v>
      </c>
      <c r="J8" s="758" t="s">
        <v>254</v>
      </c>
      <c r="K8" s="759"/>
      <c r="L8" s="760"/>
      <c r="M8" s="761"/>
      <c r="N8" s="761"/>
      <c r="O8" s="759"/>
      <c r="P8" s="759"/>
      <c r="Q8" s="759"/>
      <c r="R8" s="759"/>
      <c r="S8" s="759"/>
      <c r="T8" s="759"/>
      <c r="U8" s="759"/>
      <c r="V8" s="759"/>
      <c r="W8" s="759"/>
      <c r="X8" s="759"/>
      <c r="Y8" s="759"/>
      <c r="Z8" s="759"/>
      <c r="AA8" s="759"/>
      <c r="AB8" s="759"/>
      <c r="AC8" s="759"/>
      <c r="AD8" s="759"/>
      <c r="AE8" s="759"/>
      <c r="AF8" s="759"/>
      <c r="AG8" s="759"/>
      <c r="AH8" s="759"/>
      <c r="AI8" s="759"/>
      <c r="AJ8" s="759"/>
      <c r="AK8" s="759"/>
      <c r="AL8" s="759"/>
      <c r="AM8" s="759"/>
      <c r="AN8" s="759"/>
      <c r="AO8" s="759"/>
      <c r="AP8" s="759"/>
      <c r="AQ8" s="759"/>
      <c r="AR8" s="759"/>
      <c r="AS8" s="2205"/>
      <c r="AT8" s="759"/>
      <c r="AU8" s="762"/>
      <c r="AV8" s="763"/>
      <c r="AW8" s="764"/>
      <c r="AX8" s="764"/>
      <c r="AY8" s="765"/>
      <c r="AZ8" s="2133"/>
      <c r="BA8" s="2133"/>
      <c r="BB8" s="2128"/>
    </row>
    <row r="9" spans="1:55" ht="14.25" customHeight="1" x14ac:dyDescent="0.2">
      <c r="A9" s="766"/>
      <c r="B9" s="767"/>
      <c r="C9" s="768"/>
      <c r="D9" s="768"/>
      <c r="E9" s="768"/>
      <c r="F9" s="768"/>
      <c r="G9" s="769"/>
      <c r="H9" s="770">
        <v>38524</v>
      </c>
      <c r="I9" s="769"/>
      <c r="J9" s="771"/>
      <c r="K9" s="772" t="s">
        <v>296</v>
      </c>
      <c r="L9" s="773" t="s">
        <v>454</v>
      </c>
      <c r="M9" s="771" t="s">
        <v>518</v>
      </c>
      <c r="N9" s="772" t="s">
        <v>518</v>
      </c>
      <c r="O9" s="772" t="s">
        <v>56</v>
      </c>
      <c r="P9" s="772" t="s">
        <v>518</v>
      </c>
      <c r="Q9" s="772" t="s">
        <v>296</v>
      </c>
      <c r="R9" s="772" t="s">
        <v>518</v>
      </c>
      <c r="S9" s="772" t="s">
        <v>296</v>
      </c>
      <c r="T9" s="772" t="s">
        <v>518</v>
      </c>
      <c r="U9" s="772" t="s">
        <v>296</v>
      </c>
      <c r="V9" s="772" t="s">
        <v>518</v>
      </c>
      <c r="W9" s="772" t="s">
        <v>365</v>
      </c>
      <c r="X9" s="772" t="s">
        <v>518</v>
      </c>
      <c r="Y9" s="772" t="s">
        <v>365</v>
      </c>
      <c r="Z9" s="772" t="s">
        <v>518</v>
      </c>
      <c r="AA9" s="772" t="s">
        <v>365</v>
      </c>
      <c r="AB9" s="772" t="s">
        <v>518</v>
      </c>
      <c r="AC9" s="772" t="s">
        <v>365</v>
      </c>
      <c r="AD9" s="772" t="s">
        <v>518</v>
      </c>
      <c r="AE9" s="772" t="s">
        <v>296</v>
      </c>
      <c r="AF9" s="772" t="s">
        <v>518</v>
      </c>
      <c r="AG9" s="772" t="s">
        <v>296</v>
      </c>
      <c r="AH9" s="1511" t="s">
        <v>180</v>
      </c>
      <c r="AI9" s="1511" t="s">
        <v>296</v>
      </c>
      <c r="AJ9" s="1511" t="s">
        <v>296</v>
      </c>
      <c r="AK9" s="1511" t="s">
        <v>296</v>
      </c>
      <c r="AL9" s="1511" t="s">
        <v>296</v>
      </c>
      <c r="AM9" s="1511" t="s">
        <v>296</v>
      </c>
      <c r="AN9" s="1511" t="s">
        <v>296</v>
      </c>
      <c r="AO9" s="1511" t="s">
        <v>296</v>
      </c>
      <c r="AP9" s="1511" t="s">
        <v>296</v>
      </c>
      <c r="AQ9" s="1511" t="s">
        <v>296</v>
      </c>
      <c r="AR9" s="1511" t="s">
        <v>296</v>
      </c>
      <c r="AS9" s="2206" t="s">
        <v>163</v>
      </c>
      <c r="AT9" s="1511"/>
      <c r="AU9" s="775" t="s">
        <v>162</v>
      </c>
      <c r="AV9" s="776"/>
      <c r="AW9" s="777" t="s">
        <v>163</v>
      </c>
      <c r="AX9" s="774"/>
      <c r="AY9" s="778"/>
      <c r="AZ9" s="2134"/>
      <c r="BA9" s="2134"/>
      <c r="BB9" s="2141"/>
    </row>
    <row r="10" spans="1:55" ht="14.25" customHeight="1" x14ac:dyDescent="0.2">
      <c r="A10" s="779"/>
      <c r="B10" s="780" t="s">
        <v>297</v>
      </c>
      <c r="C10" s="780" t="s">
        <v>295</v>
      </c>
      <c r="D10" s="780" t="s">
        <v>296</v>
      </c>
      <c r="E10" s="780" t="s">
        <v>295</v>
      </c>
      <c r="F10" s="780" t="s">
        <v>296</v>
      </c>
      <c r="G10" s="781" t="s">
        <v>295</v>
      </c>
      <c r="H10" s="781" t="s">
        <v>296</v>
      </c>
      <c r="I10" s="781" t="s">
        <v>295</v>
      </c>
      <c r="J10" s="771" t="s">
        <v>295</v>
      </c>
      <c r="K10" s="772" t="s">
        <v>579</v>
      </c>
      <c r="L10" s="771" t="s">
        <v>295</v>
      </c>
      <c r="M10" s="772" t="s">
        <v>180</v>
      </c>
      <c r="N10" s="772" t="s">
        <v>179</v>
      </c>
      <c r="O10" s="772" t="s">
        <v>54</v>
      </c>
      <c r="P10" s="772" t="s">
        <v>179</v>
      </c>
      <c r="Q10" s="772" t="s">
        <v>54</v>
      </c>
      <c r="R10" s="772" t="s">
        <v>179</v>
      </c>
      <c r="S10" s="772" t="s">
        <v>54</v>
      </c>
      <c r="T10" s="772" t="s">
        <v>179</v>
      </c>
      <c r="U10" s="772" t="s">
        <v>54</v>
      </c>
      <c r="V10" s="772" t="s">
        <v>179</v>
      </c>
      <c r="W10" s="772" t="s">
        <v>366</v>
      </c>
      <c r="X10" s="772" t="s">
        <v>179</v>
      </c>
      <c r="Y10" s="772" t="s">
        <v>366</v>
      </c>
      <c r="Z10" s="772" t="s">
        <v>179</v>
      </c>
      <c r="AA10" s="772" t="s">
        <v>366</v>
      </c>
      <c r="AB10" s="772" t="s">
        <v>179</v>
      </c>
      <c r="AC10" s="772" t="s">
        <v>366</v>
      </c>
      <c r="AD10" s="772" t="s">
        <v>179</v>
      </c>
      <c r="AE10" s="772" t="s">
        <v>880</v>
      </c>
      <c r="AF10" s="772" t="s">
        <v>179</v>
      </c>
      <c r="AG10" s="772" t="s">
        <v>934</v>
      </c>
      <c r="AH10" s="1511" t="s">
        <v>880</v>
      </c>
      <c r="AI10" s="1511" t="s">
        <v>934</v>
      </c>
      <c r="AJ10" s="1511" t="s">
        <v>880</v>
      </c>
      <c r="AK10" s="1511" t="s">
        <v>934</v>
      </c>
      <c r="AL10" s="1511" t="s">
        <v>880</v>
      </c>
      <c r="AM10" s="1511" t="s">
        <v>934</v>
      </c>
      <c r="AN10" s="1511" t="s">
        <v>880</v>
      </c>
      <c r="AO10" s="1511" t="s">
        <v>934</v>
      </c>
      <c r="AP10" s="1511" t="s">
        <v>880</v>
      </c>
      <c r="AQ10" s="1511" t="s">
        <v>934</v>
      </c>
      <c r="AR10" s="1511" t="s">
        <v>880</v>
      </c>
      <c r="AS10" s="2206" t="s">
        <v>1120</v>
      </c>
      <c r="AT10" s="1511"/>
      <c r="AU10" s="782" t="s">
        <v>298</v>
      </c>
      <c r="AV10" s="783" t="s">
        <v>159</v>
      </c>
      <c r="AW10" s="777" t="s">
        <v>286</v>
      </c>
      <c r="AX10" s="784"/>
      <c r="AY10" s="778"/>
      <c r="AZ10" s="2134"/>
      <c r="BA10" s="2134"/>
      <c r="BB10" s="2141"/>
    </row>
    <row r="11" spans="1:55" ht="13.9" customHeight="1" x14ac:dyDescent="0.2">
      <c r="A11" s="1557" t="s">
        <v>952</v>
      </c>
      <c r="B11" s="785">
        <v>2003</v>
      </c>
      <c r="C11" s="785">
        <v>2003</v>
      </c>
      <c r="D11" s="785">
        <v>2004</v>
      </c>
      <c r="E11" s="785">
        <v>2004</v>
      </c>
      <c r="F11" s="785">
        <v>2005</v>
      </c>
      <c r="G11" s="786">
        <v>2005</v>
      </c>
      <c r="H11" s="786">
        <v>2006</v>
      </c>
      <c r="I11" s="786">
        <v>2006</v>
      </c>
      <c r="J11" s="787">
        <v>2007</v>
      </c>
      <c r="K11" s="788" t="s">
        <v>580</v>
      </c>
      <c r="L11" s="787">
        <v>2008</v>
      </c>
      <c r="M11" s="789">
        <v>2009</v>
      </c>
      <c r="N11" s="789">
        <v>2010</v>
      </c>
      <c r="O11" s="790">
        <v>39897</v>
      </c>
      <c r="P11" s="790">
        <v>40187</v>
      </c>
      <c r="Q11" s="790">
        <v>40251</v>
      </c>
      <c r="R11" s="790">
        <v>40550</v>
      </c>
      <c r="S11" s="790" t="s">
        <v>55</v>
      </c>
      <c r="T11" s="790">
        <v>40915</v>
      </c>
      <c r="U11" s="790">
        <v>40973</v>
      </c>
      <c r="V11" s="790">
        <v>41281</v>
      </c>
      <c r="W11" s="790">
        <v>41344</v>
      </c>
      <c r="X11" s="790">
        <v>41665</v>
      </c>
      <c r="Y11" s="790">
        <v>41715</v>
      </c>
      <c r="Z11" s="790">
        <v>42011</v>
      </c>
      <c r="AA11" s="790">
        <v>42080</v>
      </c>
      <c r="AB11" s="790" t="s">
        <v>860</v>
      </c>
      <c r="AC11" s="790">
        <v>42446</v>
      </c>
      <c r="AD11" s="790" t="s">
        <v>861</v>
      </c>
      <c r="AE11" s="1512" t="s">
        <v>1063</v>
      </c>
      <c r="AF11" s="1512" t="s">
        <v>1063</v>
      </c>
      <c r="AG11" s="790" t="s">
        <v>927</v>
      </c>
      <c r="AH11" s="1512" t="s">
        <v>927</v>
      </c>
      <c r="AI11" s="1512" t="s">
        <v>953</v>
      </c>
      <c r="AJ11" s="1512" t="s">
        <v>953</v>
      </c>
      <c r="AK11" s="1512" t="s">
        <v>1009</v>
      </c>
      <c r="AL11" s="1512" t="s">
        <v>1009</v>
      </c>
      <c r="AM11" s="1512" t="s">
        <v>1046</v>
      </c>
      <c r="AN11" s="1512" t="s">
        <v>1046</v>
      </c>
      <c r="AO11" s="1512" t="s">
        <v>1073</v>
      </c>
      <c r="AP11" s="1512" t="s">
        <v>1073</v>
      </c>
      <c r="AQ11" s="1512" t="s">
        <v>1112</v>
      </c>
      <c r="AR11" s="1512" t="s">
        <v>1112</v>
      </c>
      <c r="AS11" s="2207" t="s">
        <v>978</v>
      </c>
      <c r="AT11" s="1512" t="s">
        <v>161</v>
      </c>
      <c r="AU11" s="792">
        <v>2007</v>
      </c>
      <c r="AV11" s="793"/>
      <c r="AW11" s="791" t="s">
        <v>160</v>
      </c>
      <c r="AX11" s="791" t="s">
        <v>161</v>
      </c>
      <c r="AY11" s="794" t="s">
        <v>440</v>
      </c>
      <c r="AZ11" s="2135" t="s">
        <v>1122</v>
      </c>
      <c r="BA11" s="2135" t="s">
        <v>1174</v>
      </c>
      <c r="BB11" s="2130" t="s">
        <v>1098</v>
      </c>
    </row>
    <row r="12" spans="1:55" ht="13.9" hidden="1" customHeight="1" x14ac:dyDescent="0.2">
      <c r="A12" s="795" t="s">
        <v>441</v>
      </c>
      <c r="B12" s="796"/>
      <c r="C12" s="797"/>
      <c r="D12" s="797"/>
      <c r="E12" s="797"/>
      <c r="F12" s="797"/>
      <c r="G12" s="798"/>
      <c r="H12" s="798"/>
      <c r="J12" s="799"/>
      <c r="K12" s="800"/>
      <c r="L12" s="800"/>
      <c r="M12" s="800"/>
      <c r="N12" s="800"/>
      <c r="O12" s="800"/>
      <c r="P12" s="800"/>
      <c r="Q12" s="800"/>
      <c r="R12" s="800"/>
      <c r="S12" s="800"/>
      <c r="T12" s="800"/>
      <c r="U12" s="800"/>
      <c r="V12" s="800"/>
      <c r="W12" s="800"/>
      <c r="X12" s="800"/>
      <c r="Y12" s="800"/>
      <c r="Z12" s="800"/>
      <c r="AA12" s="800"/>
      <c r="AB12" s="800"/>
      <c r="AC12" s="800"/>
      <c r="AD12" s="800"/>
      <c r="AE12" s="800"/>
      <c r="AF12" s="800"/>
      <c r="AG12" s="800"/>
      <c r="AH12" s="800"/>
      <c r="AI12" s="800"/>
      <c r="AJ12" s="800"/>
      <c r="AK12" s="800"/>
      <c r="AL12" s="800"/>
      <c r="AM12" s="800"/>
      <c r="AN12" s="800"/>
      <c r="AO12" s="800"/>
      <c r="AP12" s="800"/>
      <c r="AQ12" s="800"/>
      <c r="AR12" s="800"/>
      <c r="AS12" s="800"/>
      <c r="AT12" s="2239"/>
      <c r="AU12" s="803"/>
      <c r="AV12" s="804"/>
      <c r="AW12" s="805"/>
      <c r="AX12" s="806"/>
      <c r="AY12" s="807"/>
      <c r="AZ12" s="2136"/>
      <c r="BA12" s="2136"/>
    </row>
    <row r="13" spans="1:55" ht="13.9" hidden="1" customHeight="1" outlineLevel="1" x14ac:dyDescent="0.2">
      <c r="A13" s="808" t="s">
        <v>302</v>
      </c>
      <c r="B13" s="796"/>
      <c r="C13" s="797"/>
      <c r="D13" s="797"/>
      <c r="E13" s="797"/>
      <c r="F13" s="797"/>
      <c r="G13" s="798"/>
      <c r="H13" s="798"/>
      <c r="J13" s="799"/>
      <c r="K13" s="800"/>
      <c r="L13" s="800"/>
      <c r="M13" s="800"/>
      <c r="N13" s="800"/>
      <c r="O13" s="800"/>
      <c r="P13" s="800"/>
      <c r="Q13" s="800"/>
      <c r="R13" s="800"/>
      <c r="S13" s="800"/>
      <c r="T13" s="800"/>
      <c r="U13" s="800"/>
      <c r="V13" s="800"/>
      <c r="W13" s="800"/>
      <c r="X13" s="800"/>
      <c r="Y13" s="800"/>
      <c r="Z13" s="800"/>
      <c r="AA13" s="800"/>
      <c r="AB13" s="800"/>
      <c r="AC13" s="800"/>
      <c r="AD13" s="800"/>
      <c r="AE13" s="800"/>
      <c r="AF13" s="800" t="s">
        <v>164</v>
      </c>
      <c r="AG13" s="800"/>
      <c r="AH13" s="800"/>
      <c r="AI13" s="800"/>
      <c r="AJ13" s="800"/>
      <c r="AK13" s="800"/>
      <c r="AL13" s="800"/>
      <c r="AM13" s="800"/>
      <c r="AN13" s="800"/>
      <c r="AO13" s="800"/>
      <c r="AP13" s="800"/>
      <c r="AQ13" s="800"/>
      <c r="AR13" s="800"/>
      <c r="AS13" s="800"/>
      <c r="AT13" s="2239"/>
      <c r="AU13" s="803"/>
      <c r="AV13" s="804"/>
      <c r="AW13" s="805"/>
      <c r="AX13" s="806"/>
      <c r="AY13" s="807"/>
      <c r="AZ13" s="2136"/>
      <c r="BA13" s="2136"/>
    </row>
    <row r="14" spans="1:55" ht="13.9" hidden="1" customHeight="1" outlineLevel="1" x14ac:dyDescent="0.2">
      <c r="A14" s="795" t="s">
        <v>300</v>
      </c>
      <c r="B14" s="809">
        <v>50</v>
      </c>
      <c r="C14" s="810">
        <v>50</v>
      </c>
      <c r="D14" s="810">
        <v>50</v>
      </c>
      <c r="E14" s="810">
        <v>50</v>
      </c>
      <c r="F14" s="810">
        <v>50</v>
      </c>
      <c r="G14" s="811">
        <v>50</v>
      </c>
      <c r="H14" s="811">
        <v>50</v>
      </c>
      <c r="I14" s="812">
        <v>50</v>
      </c>
      <c r="J14" s="813">
        <v>50</v>
      </c>
      <c r="K14" s="814" t="s">
        <v>462</v>
      </c>
      <c r="L14" s="815">
        <f>J14</f>
        <v>50</v>
      </c>
      <c r="M14" s="815">
        <v>50</v>
      </c>
      <c r="N14" s="816">
        <v>45</v>
      </c>
      <c r="O14" s="817">
        <v>1</v>
      </c>
      <c r="P14" s="817">
        <v>1</v>
      </c>
      <c r="Q14" s="817">
        <v>1</v>
      </c>
      <c r="R14" s="817">
        <v>1</v>
      </c>
      <c r="S14" s="817">
        <v>1</v>
      </c>
      <c r="T14" s="817">
        <v>50</v>
      </c>
      <c r="U14" s="817">
        <v>50</v>
      </c>
      <c r="V14" s="817">
        <v>50</v>
      </c>
      <c r="W14" s="817">
        <v>50</v>
      </c>
      <c r="X14" s="817">
        <v>50</v>
      </c>
      <c r="Y14" s="817">
        <v>50</v>
      </c>
      <c r="Z14" s="817">
        <v>50</v>
      </c>
      <c r="AA14" s="817">
        <f>Z14</f>
        <v>50</v>
      </c>
      <c r="AB14" s="817">
        <v>50</v>
      </c>
      <c r="AC14" s="817">
        <f>AB14</f>
        <v>50</v>
      </c>
      <c r="AD14" s="817"/>
      <c r="AE14" s="817">
        <v>50</v>
      </c>
      <c r="AF14" s="817"/>
      <c r="AG14" s="817">
        <v>50</v>
      </c>
      <c r="AH14" s="817">
        <v>50</v>
      </c>
      <c r="AI14" s="817">
        <v>50</v>
      </c>
      <c r="AJ14" s="817">
        <v>50</v>
      </c>
      <c r="AK14" s="817">
        <v>50</v>
      </c>
      <c r="AL14" s="817">
        <v>50</v>
      </c>
      <c r="AM14" s="817">
        <v>50</v>
      </c>
      <c r="AN14" s="817">
        <v>50</v>
      </c>
      <c r="AO14" s="817">
        <v>50</v>
      </c>
      <c r="AP14" s="817">
        <v>50</v>
      </c>
      <c r="AQ14" s="817">
        <v>50</v>
      </c>
      <c r="AR14" s="817">
        <f>'[1]BUDGET DETAIL'!$CO$6</f>
        <v>50</v>
      </c>
      <c r="AS14" s="817">
        <f>AR14-AP14</f>
        <v>0</v>
      </c>
      <c r="AT14" s="2240">
        <f>IF(AP14&gt;0,AS14/AP14,"")</f>
        <v>0</v>
      </c>
      <c r="AU14" s="818"/>
      <c r="AV14" s="819"/>
      <c r="AW14" s="797">
        <f>SUM(AU14-H14)</f>
        <v>-50</v>
      </c>
      <c r="AX14" s="805">
        <f>IF(H14&gt;0,AW14/H14,"")</f>
        <v>-1</v>
      </c>
      <c r="AY14" s="820"/>
      <c r="AZ14" s="2136"/>
      <c r="BA14" s="2136"/>
      <c r="BB14" s="2143"/>
    </row>
    <row r="15" spans="1:55" ht="13.9" hidden="1" customHeight="1" outlineLevel="1" x14ac:dyDescent="0.2">
      <c r="A15" s="821" t="s">
        <v>565</v>
      </c>
      <c r="B15" s="822"/>
      <c r="C15" s="823"/>
      <c r="D15" s="823"/>
      <c r="E15" s="824"/>
      <c r="F15" s="823"/>
      <c r="G15" s="825"/>
      <c r="H15" s="825"/>
      <c r="I15" s="826"/>
      <c r="J15" s="827"/>
      <c r="K15" s="828"/>
      <c r="L15" s="828"/>
      <c r="M15" s="829">
        <f>SUM(M12:M14)</f>
        <v>50</v>
      </c>
      <c r="N15" s="830">
        <f>SUM(N12:N14)</f>
        <v>45</v>
      </c>
      <c r="O15" s="831">
        <f>O14</f>
        <v>1</v>
      </c>
      <c r="P15" s="831">
        <f>P14</f>
        <v>1</v>
      </c>
      <c r="Q15" s="831">
        <f>IF(SUM(Q14)=0,P15,Q14)</f>
        <v>1</v>
      </c>
      <c r="R15" s="831">
        <f>R14</f>
        <v>1</v>
      </c>
      <c r="S15" s="831">
        <f>IF(SUM(S14)=0,R15,S14)</f>
        <v>1</v>
      </c>
      <c r="T15" s="831">
        <v>50</v>
      </c>
      <c r="U15" s="831">
        <v>50</v>
      </c>
      <c r="V15" s="831">
        <f>V14</f>
        <v>50</v>
      </c>
      <c r="W15" s="831">
        <f>IF(SUM(W14)=0,V15,W14)</f>
        <v>50</v>
      </c>
      <c r="X15" s="831">
        <f>X14</f>
        <v>50</v>
      </c>
      <c r="Y15" s="831">
        <f>IF(SUM(Y14)=0,X15,Y14)</f>
        <v>50</v>
      </c>
      <c r="Z15" s="831">
        <f>Z14</f>
        <v>50</v>
      </c>
      <c r="AA15" s="831">
        <f>IF(SUM(AA14)=0,Z15,AA14)</f>
        <v>50</v>
      </c>
      <c r="AB15" s="831">
        <f>AB14</f>
        <v>50</v>
      </c>
      <c r="AC15" s="831">
        <f>IF(SUM(AC14)=0,AB15,AC14)</f>
        <v>50</v>
      </c>
      <c r="AD15" s="831"/>
      <c r="AE15" s="831">
        <v>50</v>
      </c>
      <c r="AF15" s="831">
        <v>50</v>
      </c>
      <c r="AG15" s="831">
        <v>50</v>
      </c>
      <c r="AH15" s="831">
        <v>50</v>
      </c>
      <c r="AI15" s="831">
        <v>50</v>
      </c>
      <c r="AJ15" s="831">
        <v>50</v>
      </c>
      <c r="AK15" s="831">
        <v>50</v>
      </c>
      <c r="AL15" s="831">
        <v>50</v>
      </c>
      <c r="AM15" s="831">
        <v>50</v>
      </c>
      <c r="AN15" s="831">
        <v>50</v>
      </c>
      <c r="AO15" s="831">
        <v>50</v>
      </c>
      <c r="AP15" s="831">
        <f>SUM(AP14)</f>
        <v>50</v>
      </c>
      <c r="AQ15" s="831">
        <v>50</v>
      </c>
      <c r="AR15" s="831">
        <v>50</v>
      </c>
      <c r="AS15" s="831">
        <f t="shared" ref="AS15:AS26" si="1">AR15-AP15</f>
        <v>0</v>
      </c>
      <c r="AT15" s="2241">
        <f t="shared" ref="AT15:AT26" si="2">IF(AP15&gt;0,AS15/AP15,"")</f>
        <v>0</v>
      </c>
      <c r="AU15" s="833"/>
      <c r="AV15" s="834"/>
      <c r="AW15" s="823"/>
      <c r="AX15" s="835"/>
      <c r="AY15" s="836"/>
      <c r="AZ15" s="2136"/>
      <c r="BA15" s="2136"/>
    </row>
    <row r="16" spans="1:55" ht="13.9" hidden="1" customHeight="1" outlineLevel="1" x14ac:dyDescent="0.2">
      <c r="A16" s="808" t="s">
        <v>301</v>
      </c>
      <c r="B16" s="796"/>
      <c r="C16" s="797"/>
      <c r="D16" s="797"/>
      <c r="E16" s="837"/>
      <c r="F16" s="797"/>
      <c r="G16" s="798"/>
      <c r="H16" s="798"/>
      <c r="J16" s="799"/>
      <c r="K16" s="800"/>
      <c r="L16" s="800"/>
      <c r="M16" s="800"/>
      <c r="N16" s="838"/>
      <c r="O16" s="800"/>
      <c r="P16" s="800"/>
      <c r="Q16" s="800"/>
      <c r="R16" s="800"/>
      <c r="S16" s="800"/>
      <c r="T16" s="800"/>
      <c r="U16" s="800"/>
      <c r="V16" s="800"/>
      <c r="W16" s="800"/>
      <c r="X16" s="800"/>
      <c r="Y16" s="800"/>
      <c r="Z16" s="800"/>
      <c r="AA16" s="800"/>
      <c r="AB16" s="800"/>
      <c r="AC16" s="800"/>
      <c r="AD16" s="800"/>
      <c r="AE16" s="800"/>
      <c r="AF16" s="800"/>
      <c r="AG16" s="800"/>
      <c r="AH16" s="800"/>
      <c r="AI16" s="800"/>
      <c r="AJ16" s="800"/>
      <c r="AK16" s="800"/>
      <c r="AL16" s="800"/>
      <c r="AM16" s="800"/>
      <c r="AN16" s="800"/>
      <c r="AO16" s="800"/>
      <c r="AP16" s="800"/>
      <c r="AQ16" s="800"/>
      <c r="AR16" s="800"/>
      <c r="AS16" s="800">
        <f t="shared" si="1"/>
        <v>0</v>
      </c>
      <c r="AT16" s="2239" t="str">
        <f t="shared" si="2"/>
        <v/>
      </c>
      <c r="AU16" s="803"/>
      <c r="AV16" s="819"/>
      <c r="AW16" s="797"/>
      <c r="AX16" s="805"/>
      <c r="AY16" s="807"/>
      <c r="AZ16" s="2136"/>
      <c r="BA16" s="2136"/>
    </row>
    <row r="17" spans="1:54" ht="13.9" hidden="1" customHeight="1" outlineLevel="1" x14ac:dyDescent="0.2">
      <c r="A17" s="808" t="s">
        <v>817</v>
      </c>
      <c r="B17" s="796">
        <v>67217</v>
      </c>
      <c r="C17" s="797">
        <v>67217</v>
      </c>
      <c r="D17" s="797">
        <v>70054</v>
      </c>
      <c r="E17" s="797">
        <v>70054</v>
      </c>
      <c r="F17" s="797">
        <v>70054</v>
      </c>
      <c r="G17" s="798">
        <v>70054</v>
      </c>
      <c r="H17" s="798">
        <v>72292</v>
      </c>
      <c r="I17" s="798">
        <f>4182+67042+750</f>
        <v>71974</v>
      </c>
      <c r="J17" s="839">
        <v>119723</v>
      </c>
      <c r="L17" s="840">
        <v>159103</v>
      </c>
      <c r="M17" s="840">
        <v>163075</v>
      </c>
      <c r="N17" s="841">
        <v>161410</v>
      </c>
      <c r="O17" s="842">
        <v>162653</v>
      </c>
      <c r="P17" s="843">
        <v>164406</v>
      </c>
      <c r="Q17" s="843">
        <v>164406</v>
      </c>
      <c r="R17" s="843">
        <v>165905</v>
      </c>
      <c r="S17" s="843"/>
      <c r="T17" s="843">
        <v>176323</v>
      </c>
      <c r="U17" s="843">
        <v>176323</v>
      </c>
      <c r="V17" s="843">
        <v>177634</v>
      </c>
      <c r="W17" s="817">
        <f>V17</f>
        <v>177634</v>
      </c>
      <c r="X17" s="843">
        <v>182160</v>
      </c>
      <c r="Y17" s="843">
        <v>182160</v>
      </c>
      <c r="Z17" s="843">
        <v>188428</v>
      </c>
      <c r="AA17" s="843">
        <f>Z17</f>
        <v>188428</v>
      </c>
      <c r="AB17" s="843">
        <v>175898</v>
      </c>
      <c r="AC17" s="843">
        <f>AB17</f>
        <v>175898</v>
      </c>
      <c r="AD17" s="843"/>
      <c r="AE17" s="843">
        <v>127505</v>
      </c>
      <c r="AF17" s="843">
        <v>0</v>
      </c>
      <c r="AG17" s="843">
        <v>131330.15</v>
      </c>
      <c r="AH17" s="843">
        <v>197199</v>
      </c>
      <c r="AI17" s="843">
        <v>203114.97</v>
      </c>
      <c r="AJ17" s="843">
        <v>200938</v>
      </c>
      <c r="AK17" s="843">
        <v>206966.14</v>
      </c>
      <c r="AL17" s="843">
        <v>209563</v>
      </c>
      <c r="AM17" s="843">
        <f>AL17*$AH$3</f>
        <v>213754.26</v>
      </c>
      <c r="AN17" s="843">
        <v>213683</v>
      </c>
      <c r="AO17" s="843">
        <v>219025.07499999998</v>
      </c>
      <c r="AP17" s="843">
        <v>227735</v>
      </c>
      <c r="AQ17" s="843">
        <f>AP17*$AH$3</f>
        <v>232289.7</v>
      </c>
      <c r="AR17" s="843">
        <f>'[1]BUDGET DETAIL'!$CO$18</f>
        <v>232346</v>
      </c>
      <c r="AS17" s="843">
        <f t="shared" si="1"/>
        <v>4611</v>
      </c>
      <c r="AT17" s="2239">
        <f t="shared" si="2"/>
        <v>2.0247217160295958E-2</v>
      </c>
      <c r="AU17" s="844"/>
      <c r="AV17" s="819"/>
      <c r="AW17" s="797">
        <f>SUM(AU17-H17)</f>
        <v>-72292</v>
      </c>
      <c r="AX17" s="805">
        <f>IF(H17&gt;0,AW17/H17,"")</f>
        <v>-1</v>
      </c>
      <c r="AY17" s="1528"/>
      <c r="AZ17" s="2136"/>
      <c r="BA17" s="2136"/>
      <c r="BB17" s="2129"/>
    </row>
    <row r="18" spans="1:54" ht="13.9" hidden="1" customHeight="1" outlineLevel="1" x14ac:dyDescent="0.2">
      <c r="A18" s="808" t="s">
        <v>818</v>
      </c>
      <c r="B18" s="796">
        <v>45050</v>
      </c>
      <c r="C18" s="797">
        <v>43845.72</v>
      </c>
      <c r="D18" s="797">
        <v>67546</v>
      </c>
      <c r="E18" s="797">
        <v>67546</v>
      </c>
      <c r="F18" s="797">
        <v>67290</v>
      </c>
      <c r="G18" s="798">
        <v>67301.75</v>
      </c>
      <c r="H18" s="798">
        <v>70127</v>
      </c>
      <c r="I18" s="798">
        <f>60084.11+1271.88</f>
        <v>61355.99</v>
      </c>
      <c r="J18" s="839">
        <v>54507</v>
      </c>
      <c r="K18" s="817"/>
      <c r="L18" s="840">
        <v>35768</v>
      </c>
      <c r="M18" s="840">
        <v>38963</v>
      </c>
      <c r="N18" s="841">
        <v>41197</v>
      </c>
      <c r="O18" s="817">
        <v>41197</v>
      </c>
      <c r="P18" s="817">
        <v>41197</v>
      </c>
      <c r="Q18" s="817">
        <v>41197</v>
      </c>
      <c r="R18" s="817">
        <v>41197</v>
      </c>
      <c r="S18" s="817"/>
      <c r="T18" s="817">
        <v>43160</v>
      </c>
      <c r="U18" s="817">
        <v>43160</v>
      </c>
      <c r="V18" s="843">
        <v>44203</v>
      </c>
      <c r="W18" s="817">
        <f>V18</f>
        <v>44203</v>
      </c>
      <c r="X18" s="843">
        <v>45080</v>
      </c>
      <c r="Y18" s="843">
        <v>45080</v>
      </c>
      <c r="Z18" s="843">
        <v>53150</v>
      </c>
      <c r="AA18" s="843">
        <f>Z18</f>
        <v>53150</v>
      </c>
      <c r="AB18" s="843">
        <v>54706</v>
      </c>
      <c r="AC18" s="843">
        <f>AB18</f>
        <v>54706</v>
      </c>
      <c r="AD18" s="843"/>
      <c r="AE18" s="843">
        <v>118229</v>
      </c>
      <c r="AF18" s="843"/>
      <c r="AG18" s="843">
        <v>121775.87000000001</v>
      </c>
      <c r="AH18" s="843">
        <v>63212</v>
      </c>
      <c r="AI18" s="843">
        <v>65108.36</v>
      </c>
      <c r="AJ18" s="843">
        <v>69010</v>
      </c>
      <c r="AK18" s="843">
        <v>71080.3</v>
      </c>
      <c r="AL18" s="843">
        <v>70452</v>
      </c>
      <c r="AM18" s="843">
        <f>AL18*$AH$3</f>
        <v>71861.040000000008</v>
      </c>
      <c r="AN18" s="843">
        <v>71868</v>
      </c>
      <c r="AO18" s="843">
        <v>73664.7</v>
      </c>
      <c r="AP18" s="843">
        <v>81402</v>
      </c>
      <c r="AQ18" s="843">
        <f>AP18*$AH$3</f>
        <v>83030.040000000008</v>
      </c>
      <c r="AR18" s="843">
        <f>'[1]BUDGET DETAIL'!$CO$28</f>
        <v>75569</v>
      </c>
      <c r="AS18" s="843">
        <f t="shared" si="1"/>
        <v>-5833</v>
      </c>
      <c r="AT18" s="2239">
        <f t="shared" si="2"/>
        <v>-7.1656716051202676E-2</v>
      </c>
      <c r="AU18" s="844"/>
      <c r="AV18" s="819"/>
      <c r="AW18" s="797">
        <f>SUM(AU18-H18)</f>
        <v>-70127</v>
      </c>
      <c r="AX18" s="805">
        <f>IF(H18&gt;0,AW18/H18,"")</f>
        <v>-1</v>
      </c>
      <c r="AY18" s="807"/>
      <c r="AZ18" s="2136"/>
      <c r="BA18" s="2136"/>
    </row>
    <row r="19" spans="1:54" ht="13.9" hidden="1" customHeight="1" outlineLevel="1" x14ac:dyDescent="0.2">
      <c r="A19" s="808" t="s">
        <v>820</v>
      </c>
      <c r="B19" s="796">
        <v>38729</v>
      </c>
      <c r="C19" s="797">
        <f>SUM(29950.72)</f>
        <v>29950.720000000001</v>
      </c>
      <c r="D19" s="797">
        <f>9223+24050</f>
        <v>33273</v>
      </c>
      <c r="E19" s="797">
        <v>30439.03</v>
      </c>
      <c r="F19" s="797">
        <v>33273</v>
      </c>
      <c r="G19" s="798">
        <v>34636.71</v>
      </c>
      <c r="H19" s="798">
        <v>34414</v>
      </c>
      <c r="I19" s="798">
        <v>29484</v>
      </c>
      <c r="J19" s="839">
        <v>31508</v>
      </c>
      <c r="K19" s="814" t="s">
        <v>462</v>
      </c>
      <c r="L19" s="845">
        <v>42927.4</v>
      </c>
      <c r="M19" s="845">
        <v>37920</v>
      </c>
      <c r="N19" s="846">
        <v>28240</v>
      </c>
      <c r="O19" s="817">
        <v>26740</v>
      </c>
      <c r="P19" s="817">
        <v>25890</v>
      </c>
      <c r="Q19" s="817">
        <v>25890</v>
      </c>
      <c r="R19" s="817">
        <v>28890</v>
      </c>
      <c r="S19" s="817"/>
      <c r="T19" s="817">
        <v>32315</v>
      </c>
      <c r="U19" s="817">
        <v>33315</v>
      </c>
      <c r="V19" s="843">
        <v>34067</v>
      </c>
      <c r="W19" s="817">
        <f>V19</f>
        <v>34067</v>
      </c>
      <c r="X19" s="843">
        <v>37867</v>
      </c>
      <c r="Y19" s="843">
        <v>37867</v>
      </c>
      <c r="Z19" s="843">
        <v>39696</v>
      </c>
      <c r="AA19" s="843">
        <f>Z19</f>
        <v>39696</v>
      </c>
      <c r="AB19" s="843">
        <v>40887</v>
      </c>
      <c r="AC19" s="843">
        <f>AB19</f>
        <v>40887</v>
      </c>
      <c r="AD19" s="843"/>
      <c r="AE19" s="843">
        <v>18311</v>
      </c>
      <c r="AF19" s="843"/>
      <c r="AG19" s="843">
        <v>18311</v>
      </c>
      <c r="AH19" s="843">
        <v>18311</v>
      </c>
      <c r="AI19" s="843">
        <v>18311</v>
      </c>
      <c r="AJ19" s="843">
        <v>18311</v>
      </c>
      <c r="AK19" s="843">
        <v>18311</v>
      </c>
      <c r="AL19" s="843">
        <v>14111</v>
      </c>
      <c r="AM19" s="843">
        <f>AL19*$AH$4</f>
        <v>14111</v>
      </c>
      <c r="AN19" s="843">
        <v>14111</v>
      </c>
      <c r="AO19" s="843">
        <v>14111</v>
      </c>
      <c r="AP19" s="843">
        <v>14111</v>
      </c>
      <c r="AQ19" s="843">
        <f>AP19*$AH$4</f>
        <v>14111</v>
      </c>
      <c r="AR19" s="843">
        <f>'[1]BUDGET DETAIL'!$CO$40</f>
        <v>13890</v>
      </c>
      <c r="AS19" s="843">
        <f t="shared" si="1"/>
        <v>-221</v>
      </c>
      <c r="AT19" s="2239">
        <f t="shared" si="2"/>
        <v>-1.5661540642052298E-2</v>
      </c>
      <c r="AU19" s="844"/>
      <c r="AV19" s="819"/>
      <c r="AW19" s="797">
        <f>SUM(AU19-H19)</f>
        <v>-34414</v>
      </c>
      <c r="AX19" s="805">
        <f>IF(H19&gt;0,AW19/H19,"")</f>
        <v>-1</v>
      </c>
      <c r="AY19" s="1650"/>
      <c r="AZ19" s="2136"/>
      <c r="BA19" s="2136"/>
      <c r="BB19" s="2129"/>
    </row>
    <row r="20" spans="1:54" ht="13.9" hidden="1" customHeight="1" outlineLevel="1" x14ac:dyDescent="0.2">
      <c r="A20" s="795" t="s">
        <v>821</v>
      </c>
      <c r="B20" s="847">
        <f>SUM(B17:B19)</f>
        <v>150996</v>
      </c>
      <c r="C20" s="847">
        <f>SUM(C17:C19)</f>
        <v>141013.44</v>
      </c>
      <c r="D20" s="847">
        <f>SUM(D16:D19)</f>
        <v>170873</v>
      </c>
      <c r="E20" s="847">
        <f t="shared" ref="E20:N20" si="3">SUM(E17:E19)</f>
        <v>168039.03</v>
      </c>
      <c r="F20" s="847">
        <f t="shared" si="3"/>
        <v>170617</v>
      </c>
      <c r="G20" s="847">
        <f t="shared" si="3"/>
        <v>171992.46</v>
      </c>
      <c r="H20" s="847">
        <f t="shared" si="3"/>
        <v>176833</v>
      </c>
      <c r="I20" s="847">
        <f t="shared" si="3"/>
        <v>162813.99</v>
      </c>
      <c r="J20" s="848">
        <f t="shared" si="3"/>
        <v>205738</v>
      </c>
      <c r="K20" s="849">
        <v>38796</v>
      </c>
      <c r="L20" s="850">
        <f t="shared" si="3"/>
        <v>237798.39999999999</v>
      </c>
      <c r="M20" s="850">
        <f t="shared" si="3"/>
        <v>239958</v>
      </c>
      <c r="N20" s="851">
        <f t="shared" si="3"/>
        <v>230847</v>
      </c>
      <c r="O20" s="814">
        <f>SUM(O17:O19)</f>
        <v>230590</v>
      </c>
      <c r="P20" s="814">
        <f>SUM(P17:P19)</f>
        <v>231493</v>
      </c>
      <c r="Q20" s="852">
        <f>IF(SUM(Q17:Q19)=0,P20,SUM(Q17:Q19))</f>
        <v>231493</v>
      </c>
      <c r="R20" s="814">
        <f>SUM(R17:R19)</f>
        <v>235992</v>
      </c>
      <c r="S20" s="853">
        <f>IF(SUM(S17:S19)=0,R20,SUM(S17:S19))</f>
        <v>235992</v>
      </c>
      <c r="T20" s="853">
        <v>251798</v>
      </c>
      <c r="U20" s="853">
        <v>252798</v>
      </c>
      <c r="V20" s="814">
        <f>SUM(V17:V19)</f>
        <v>255904</v>
      </c>
      <c r="W20" s="853">
        <f>IF(SUM(W17:W19)=0,V20,SUM(W17:W19))</f>
        <v>255904</v>
      </c>
      <c r="X20" s="814">
        <f>SUM(X17:X19)</f>
        <v>265107</v>
      </c>
      <c r="Y20" s="853">
        <f>IF(SUM(Y17:Y19)=0,X20,SUM(Y17:Y19))</f>
        <v>265107</v>
      </c>
      <c r="Z20" s="852">
        <f>SUM(Z17:Z19)</f>
        <v>281274</v>
      </c>
      <c r="AA20" s="852">
        <f>IF(SUM(AA17:AA19)=0,Z20,SUM(AA17:AA19))</f>
        <v>281274</v>
      </c>
      <c r="AB20" s="852">
        <f>SUM(AB17:AB19)</f>
        <v>271491</v>
      </c>
      <c r="AC20" s="852">
        <f>IF(SUM(AC17:AC19)=0,AB20,SUM(AC17:AC19))</f>
        <v>271491</v>
      </c>
      <c r="AD20" s="852"/>
      <c r="AE20" s="852">
        <v>264045</v>
      </c>
      <c r="AF20" s="852">
        <v>264045</v>
      </c>
      <c r="AG20" s="852">
        <v>271417.02</v>
      </c>
      <c r="AH20" s="852">
        <v>278722</v>
      </c>
      <c r="AI20" s="814">
        <v>286534.33</v>
      </c>
      <c r="AJ20" s="814">
        <v>288259</v>
      </c>
      <c r="AK20" s="814">
        <v>296357.44</v>
      </c>
      <c r="AL20" s="814">
        <v>294126</v>
      </c>
      <c r="AM20" s="814">
        <f>IF(SUM(AM17:AM19)=0,AL10,SUM(AM17:AM19))</f>
        <v>299726.30000000005</v>
      </c>
      <c r="AN20" s="814">
        <f>IF(SUM(AN17:AN19)=0,AM10,SUM(AN17:AN19))</f>
        <v>299662</v>
      </c>
      <c r="AO20" s="814">
        <v>306800.77499999997</v>
      </c>
      <c r="AP20" s="814">
        <f>IF(SUM(AP17:AP19)=0,AO10,SUM(AP17:AP19))</f>
        <v>323248</v>
      </c>
      <c r="AQ20" s="814">
        <f>IF(SUM(AQ17:AQ19)=0,AP10,SUM(AQ17:AQ19))</f>
        <v>329430.74</v>
      </c>
      <c r="AR20" s="814">
        <f>IF(SUM(AR17:AR19)=0,AQ10,SUM(AR17:AR19))</f>
        <v>321805</v>
      </c>
      <c r="AS20" s="814">
        <f t="shared" si="1"/>
        <v>-1443</v>
      </c>
      <c r="AT20" s="2242">
        <f t="shared" si="2"/>
        <v>-4.4640647428599717E-3</v>
      </c>
      <c r="AU20" s="854">
        <f>SUM(AU17:AU19)</f>
        <v>0</v>
      </c>
      <c r="AV20" s="819"/>
      <c r="AW20" s="797">
        <f>SUM(AU20-H20)</f>
        <v>-176833</v>
      </c>
      <c r="AX20" s="805">
        <f>IF(H20&gt;0,AW20/H20,"")</f>
        <v>-1</v>
      </c>
      <c r="AY20" s="807"/>
      <c r="AZ20" s="2136"/>
      <c r="BA20" s="2136"/>
    </row>
    <row r="21" spans="1:54" ht="13.9" hidden="1" customHeight="1" outlineLevel="1" x14ac:dyDescent="0.2">
      <c r="A21" s="855"/>
      <c r="B21" s="822"/>
      <c r="C21" s="823"/>
      <c r="D21" s="823"/>
      <c r="E21" s="824"/>
      <c r="F21" s="823"/>
      <c r="G21" s="825"/>
      <c r="H21" s="825"/>
      <c r="I21" s="826"/>
      <c r="J21" s="827"/>
      <c r="K21" s="856"/>
      <c r="L21" s="856"/>
      <c r="M21" s="857"/>
      <c r="N21" s="858"/>
      <c r="O21" s="856"/>
      <c r="P21" s="856"/>
      <c r="Q21" s="856"/>
      <c r="R21" s="856"/>
      <c r="S21" s="856"/>
      <c r="T21" s="856"/>
      <c r="U21" s="856"/>
      <c r="V21" s="856"/>
      <c r="W21" s="856"/>
      <c r="X21" s="856"/>
      <c r="Y21" s="856"/>
      <c r="Z21" s="856"/>
      <c r="AA21" s="856"/>
      <c r="AB21" s="856"/>
      <c r="AC21" s="856"/>
      <c r="AD21" s="856"/>
      <c r="AE21" s="856"/>
      <c r="AF21" s="856"/>
      <c r="AG21" s="856"/>
      <c r="AH21" s="856"/>
      <c r="AI21" s="856"/>
      <c r="AJ21" s="856"/>
      <c r="AK21" s="856"/>
      <c r="AL21" s="856"/>
      <c r="AM21" s="856"/>
      <c r="AN21" s="856"/>
      <c r="AO21" s="856"/>
      <c r="AP21" s="856"/>
      <c r="AQ21" s="856"/>
      <c r="AR21" s="856"/>
      <c r="AS21" s="856">
        <f t="shared" si="1"/>
        <v>0</v>
      </c>
      <c r="AT21" s="2243" t="str">
        <f t="shared" si="2"/>
        <v/>
      </c>
      <c r="AU21" s="833"/>
      <c r="AV21" s="834"/>
      <c r="AW21" s="823"/>
      <c r="AX21" s="835"/>
      <c r="AY21" s="836"/>
      <c r="AZ21" s="2136"/>
      <c r="BA21" s="2136"/>
    </row>
    <row r="22" spans="1:54" ht="13.9" hidden="1" customHeight="1" outlineLevel="1" x14ac:dyDescent="0.2">
      <c r="A22" s="808" t="s">
        <v>305</v>
      </c>
      <c r="B22" s="796"/>
      <c r="C22" s="797"/>
      <c r="D22" s="797"/>
      <c r="E22" s="837"/>
      <c r="F22" s="797"/>
      <c r="G22" s="798"/>
      <c r="H22" s="798"/>
      <c r="J22" s="799"/>
      <c r="K22" s="859"/>
      <c r="L22" s="859"/>
      <c r="M22" s="859"/>
      <c r="N22" s="838"/>
      <c r="O22" s="859"/>
      <c r="P22" s="859"/>
      <c r="Q22" s="859"/>
      <c r="R22" s="859"/>
      <c r="S22" s="859"/>
      <c r="T22" s="859"/>
      <c r="U22" s="859"/>
      <c r="V22" s="859"/>
      <c r="W22" s="859"/>
      <c r="X22" s="859"/>
      <c r="Y22" s="859"/>
      <c r="Z22" s="859"/>
      <c r="AA22" s="859"/>
      <c r="AB22" s="859"/>
      <c r="AC22" s="859"/>
      <c r="AD22" s="859"/>
      <c r="AE22" s="859"/>
      <c r="AF22" s="859"/>
      <c r="AG22" s="859"/>
      <c r="AH22" s="859"/>
      <c r="AI22" s="859"/>
      <c r="AJ22" s="859"/>
      <c r="AK22" s="859"/>
      <c r="AL22" s="859"/>
      <c r="AM22" s="859"/>
      <c r="AN22" s="859"/>
      <c r="AO22" s="859"/>
      <c r="AP22" s="859"/>
      <c r="AQ22" s="859"/>
      <c r="AR22" s="859"/>
      <c r="AS22" s="859">
        <f t="shared" si="1"/>
        <v>0</v>
      </c>
      <c r="AT22" s="2239" t="str">
        <f t="shared" si="2"/>
        <v/>
      </c>
      <c r="AU22" s="803"/>
      <c r="AV22" s="819"/>
      <c r="AW22" s="797"/>
      <c r="AX22" s="805"/>
      <c r="AY22" s="807"/>
      <c r="AZ22" s="2136"/>
      <c r="BA22" s="2136"/>
    </row>
    <row r="23" spans="1:54" ht="13.9" hidden="1" customHeight="1" outlineLevel="1" x14ac:dyDescent="0.2">
      <c r="A23" s="808" t="s">
        <v>819</v>
      </c>
      <c r="B23" s="796">
        <v>0</v>
      </c>
      <c r="C23" s="797"/>
      <c r="D23" s="797"/>
      <c r="E23" s="860">
        <v>0</v>
      </c>
      <c r="F23" s="797"/>
      <c r="G23" s="798"/>
      <c r="H23" s="798"/>
      <c r="I23" s="715">
        <v>128139</v>
      </c>
      <c r="J23" s="797"/>
      <c r="K23" s="817"/>
      <c r="L23" s="845">
        <v>0</v>
      </c>
      <c r="M23" s="845"/>
      <c r="N23" s="846"/>
      <c r="O23" s="817"/>
      <c r="P23" s="817">
        <v>0</v>
      </c>
      <c r="Q23" s="817">
        <v>0</v>
      </c>
      <c r="R23" s="817">
        <v>0</v>
      </c>
      <c r="S23" s="817"/>
      <c r="T23" s="817">
        <v>0</v>
      </c>
      <c r="U23" s="817"/>
      <c r="V23" s="817">
        <v>0</v>
      </c>
      <c r="W23" s="817"/>
      <c r="X23" s="817">
        <v>0</v>
      </c>
      <c r="Y23" s="817"/>
      <c r="Z23" s="843">
        <f>Y23*(1+$A$4/100)</f>
        <v>0</v>
      </c>
      <c r="AA23" s="817"/>
      <c r="AB23" s="843">
        <f>AA23*(1+$A$4/100)</f>
        <v>0</v>
      </c>
      <c r="AC23" s="817"/>
      <c r="AD23" s="817"/>
      <c r="AE23" s="817"/>
      <c r="AF23" s="817"/>
      <c r="AG23" s="817"/>
      <c r="AH23" s="817"/>
      <c r="AI23" s="817"/>
      <c r="AJ23" s="817"/>
      <c r="AK23" s="817"/>
      <c r="AL23" s="817"/>
      <c r="AM23" s="817"/>
      <c r="AN23" s="817"/>
      <c r="AO23" s="817"/>
      <c r="AP23" s="817"/>
      <c r="AQ23" s="817"/>
      <c r="AR23" s="817"/>
      <c r="AS23" s="817">
        <f t="shared" si="1"/>
        <v>0</v>
      </c>
      <c r="AT23" s="2240" t="str">
        <f t="shared" si="2"/>
        <v/>
      </c>
      <c r="AU23" s="803"/>
      <c r="AV23" s="819"/>
      <c r="AW23" s="797">
        <f>SUM(AU23-H23)</f>
        <v>0</v>
      </c>
      <c r="AX23" s="805" t="str">
        <f>IF(H23&gt;0,AW23/H23,"")</f>
        <v/>
      </c>
      <c r="AY23" s="807"/>
      <c r="AZ23" s="2136"/>
      <c r="BA23" s="2136"/>
    </row>
    <row r="24" spans="1:54" ht="13.9" hidden="1" customHeight="1" outlineLevel="1" x14ac:dyDescent="0.2">
      <c r="A24" s="808" t="s">
        <v>820</v>
      </c>
      <c r="B24" s="796">
        <v>61700</v>
      </c>
      <c r="C24" s="797">
        <f>SUM(49328.57+4162.5)</f>
        <v>53491.07</v>
      </c>
      <c r="D24" s="797">
        <v>65200</v>
      </c>
      <c r="E24" s="797">
        <v>136973.65</v>
      </c>
      <c r="F24" s="797">
        <v>69200</v>
      </c>
      <c r="G24" s="798">
        <f>93724.17+12957.39</f>
        <v>106681.56</v>
      </c>
      <c r="H24" s="798">
        <v>73200</v>
      </c>
      <c r="I24" s="715">
        <v>95.72</v>
      </c>
      <c r="J24" s="839">
        <v>75700</v>
      </c>
      <c r="K24" s="817"/>
      <c r="L24" s="845">
        <v>81524.710000000006</v>
      </c>
      <c r="M24" s="845">
        <v>75900</v>
      </c>
      <c r="N24" s="846">
        <v>68000</v>
      </c>
      <c r="O24" s="817">
        <v>68000</v>
      </c>
      <c r="P24" s="817">
        <v>68050</v>
      </c>
      <c r="Q24" s="817">
        <v>68050</v>
      </c>
      <c r="R24" s="817">
        <v>68050</v>
      </c>
      <c r="S24" s="817"/>
      <c r="T24" s="817">
        <v>68200</v>
      </c>
      <c r="U24" s="817">
        <v>68200</v>
      </c>
      <c r="V24" s="843">
        <v>68200</v>
      </c>
      <c r="W24" s="817">
        <f>V24</f>
        <v>68200</v>
      </c>
      <c r="X24" s="843">
        <v>68200</v>
      </c>
      <c r="Y24" s="843">
        <v>68200</v>
      </c>
      <c r="Z24" s="843">
        <v>70200</v>
      </c>
      <c r="AA24" s="843">
        <f>Z24</f>
        <v>70200</v>
      </c>
      <c r="AB24" s="843">
        <v>72300</v>
      </c>
      <c r="AC24" s="843">
        <f>AB24</f>
        <v>72300</v>
      </c>
      <c r="AD24" s="843"/>
      <c r="AE24" s="843">
        <v>72300</v>
      </c>
      <c r="AF24" s="843"/>
      <c r="AG24" s="843">
        <v>72300</v>
      </c>
      <c r="AH24" s="843">
        <v>77300</v>
      </c>
      <c r="AI24" s="843">
        <v>77300</v>
      </c>
      <c r="AJ24" s="843">
        <v>77300</v>
      </c>
      <c r="AK24" s="843">
        <v>77300</v>
      </c>
      <c r="AL24" s="843">
        <v>77300</v>
      </c>
      <c r="AM24" s="843">
        <f>AL24*$AH$4</f>
        <v>77300</v>
      </c>
      <c r="AN24" s="843">
        <v>77300</v>
      </c>
      <c r="AO24" s="843">
        <v>77300</v>
      </c>
      <c r="AP24" s="843">
        <v>77300</v>
      </c>
      <c r="AQ24" s="843">
        <f>AP24*$AH$4</f>
        <v>77300</v>
      </c>
      <c r="AR24" s="843">
        <f>'[1]BUDGET DETAIL'!$CO$51</f>
        <v>77300</v>
      </c>
      <c r="AS24" s="843">
        <f t="shared" si="1"/>
        <v>0</v>
      </c>
      <c r="AT24" s="2239">
        <f t="shared" si="2"/>
        <v>0</v>
      </c>
      <c r="AU24" s="803"/>
      <c r="AV24" s="819"/>
      <c r="AW24" s="797">
        <f>SUM(AU24-H24)</f>
        <v>-73200</v>
      </c>
      <c r="AX24" s="805">
        <f>IF(H24&gt;0,AW24/H24,"")</f>
        <v>-1</v>
      </c>
      <c r="AY24" s="807"/>
      <c r="AZ24" s="2136"/>
      <c r="BA24" s="2136"/>
    </row>
    <row r="25" spans="1:54" ht="13.9" hidden="1" customHeight="1" outlineLevel="1" x14ac:dyDescent="0.2">
      <c r="A25" s="795" t="s">
        <v>306</v>
      </c>
      <c r="B25" s="847">
        <f>SUM(B23:B24)</f>
        <v>61700</v>
      </c>
      <c r="C25" s="847">
        <f>SUM(C23:C24)</f>
        <v>53491.07</v>
      </c>
      <c r="D25" s="847">
        <f>SUM(D22:D24)</f>
        <v>65200</v>
      </c>
      <c r="E25" s="847">
        <f t="shared" ref="E25:J25" si="4">SUM(E23:E24)</f>
        <v>136973.65</v>
      </c>
      <c r="F25" s="847">
        <f t="shared" si="4"/>
        <v>69200</v>
      </c>
      <c r="G25" s="847">
        <f t="shared" si="4"/>
        <v>106681.56</v>
      </c>
      <c r="H25" s="847">
        <f t="shared" si="4"/>
        <v>73200</v>
      </c>
      <c r="I25" s="847">
        <f t="shared" si="4"/>
        <v>128234.72</v>
      </c>
      <c r="J25" s="848">
        <f t="shared" si="4"/>
        <v>75700</v>
      </c>
      <c r="K25" s="861" t="s">
        <v>462</v>
      </c>
      <c r="L25" s="850">
        <f>SUM(L23:L24)</f>
        <v>81524.710000000006</v>
      </c>
      <c r="M25" s="850">
        <f>SUM(M23:M24)</f>
        <v>75900</v>
      </c>
      <c r="N25" s="851">
        <f>SUM(N23:N24)</f>
        <v>68000</v>
      </c>
      <c r="O25" s="861">
        <f>O24</f>
        <v>68000</v>
      </c>
      <c r="P25" s="861">
        <f>P24</f>
        <v>68050</v>
      </c>
      <c r="Q25" s="852">
        <f>IF(SUM(Q22:Q24)=0,P25,SUM(Q22:Q24))</f>
        <v>68050</v>
      </c>
      <c r="R25" s="861">
        <f>R24</f>
        <v>68050</v>
      </c>
      <c r="S25" s="853">
        <f>IF(SUM(S22:S24)=0,R25,SUM(S22:S24))</f>
        <v>68050</v>
      </c>
      <c r="T25" s="853">
        <v>68200</v>
      </c>
      <c r="U25" s="853">
        <v>68200</v>
      </c>
      <c r="V25" s="861">
        <f>V24</f>
        <v>68200</v>
      </c>
      <c r="W25" s="853">
        <f>IF(SUM(W22:W24)=0,V25,SUM(W22:W24))</f>
        <v>68200</v>
      </c>
      <c r="X25" s="861">
        <f>X24</f>
        <v>68200</v>
      </c>
      <c r="Y25" s="853">
        <f>IF(SUM(Y22:Y24)=0,X25,SUM(Y22:Y24))</f>
        <v>68200</v>
      </c>
      <c r="Z25" s="862">
        <f>Z24</f>
        <v>70200</v>
      </c>
      <c r="AA25" s="852">
        <f>IF(SUM(AA22:AA24)=0,Z25,SUM(AA22:AA24))</f>
        <v>70200</v>
      </c>
      <c r="AB25" s="862">
        <f>AB24</f>
        <v>72300</v>
      </c>
      <c r="AC25" s="852">
        <f>IF(SUM(AC22:AC24)=0,AB25,SUM(AC22:AC24))</f>
        <v>72300</v>
      </c>
      <c r="AD25" s="852"/>
      <c r="AE25" s="852">
        <v>72300</v>
      </c>
      <c r="AF25" s="852">
        <v>72300</v>
      </c>
      <c r="AG25" s="852">
        <v>72300</v>
      </c>
      <c r="AH25" s="852">
        <v>77300</v>
      </c>
      <c r="AI25" s="814">
        <v>77300</v>
      </c>
      <c r="AJ25" s="814">
        <v>77300</v>
      </c>
      <c r="AK25" s="814">
        <v>77300</v>
      </c>
      <c r="AL25" s="814">
        <v>77300</v>
      </c>
      <c r="AM25" s="814">
        <f>IF(SUM(AM22:AM24)=0,AL25,SUM(AM22:AM24))</f>
        <v>77300</v>
      </c>
      <c r="AN25" s="814">
        <f>IF(SUM(AN22:AN24)=0,AM25,SUM(AN22:AN24))</f>
        <v>77300</v>
      </c>
      <c r="AO25" s="814">
        <v>77300</v>
      </c>
      <c r="AP25" s="814">
        <f>SUM(AP24)</f>
        <v>77300</v>
      </c>
      <c r="AQ25" s="814">
        <f>IF(SUM(AQ22:AQ24)=0,AP25,SUM(AQ22:AQ24))</f>
        <v>77300</v>
      </c>
      <c r="AR25" s="814">
        <f>IF(SUM(AR22:AR24)=0,AQ25,SUM(AR22:AR24))</f>
        <v>77300</v>
      </c>
      <c r="AS25" s="814">
        <f t="shared" si="1"/>
        <v>0</v>
      </c>
      <c r="AT25" s="2242">
        <f t="shared" si="2"/>
        <v>0</v>
      </c>
      <c r="AU25" s="854">
        <f>SUM(AU23:AU24)</f>
        <v>0</v>
      </c>
      <c r="AV25" s="819"/>
      <c r="AW25" s="797">
        <f>SUM(AU25-H25)</f>
        <v>-73200</v>
      </c>
      <c r="AX25" s="805">
        <f>IF(H25&gt;0,AW25/H25,"")</f>
        <v>-1</v>
      </c>
      <c r="AY25" s="807"/>
      <c r="AZ25" s="2136"/>
      <c r="BA25" s="2136"/>
    </row>
    <row r="26" spans="1:54" ht="13.9" hidden="1" customHeight="1" outlineLevel="1" x14ac:dyDescent="0.2">
      <c r="A26" s="855"/>
      <c r="B26" s="822"/>
      <c r="C26" s="823"/>
      <c r="D26" s="823"/>
      <c r="E26" s="824"/>
      <c r="F26" s="823"/>
      <c r="G26" s="825"/>
      <c r="H26" s="825"/>
      <c r="I26" s="826"/>
      <c r="J26" s="827"/>
      <c r="K26" s="856"/>
      <c r="L26" s="863"/>
      <c r="M26" s="864"/>
      <c r="N26" s="858"/>
      <c r="O26" s="856"/>
      <c r="P26" s="856"/>
      <c r="Q26" s="856"/>
      <c r="R26" s="856"/>
      <c r="S26" s="856"/>
      <c r="T26" s="856"/>
      <c r="U26" s="856"/>
      <c r="V26" s="856"/>
      <c r="W26" s="856"/>
      <c r="X26" s="856"/>
      <c r="Y26" s="856"/>
      <c r="Z26" s="856"/>
      <c r="AA26" s="856"/>
      <c r="AB26" s="856"/>
      <c r="AC26" s="856"/>
      <c r="AD26" s="856"/>
      <c r="AE26" s="856"/>
      <c r="AF26" s="856"/>
      <c r="AG26" s="856"/>
      <c r="AH26" s="856"/>
      <c r="AI26" s="856"/>
      <c r="AJ26" s="856"/>
      <c r="AK26" s="856"/>
      <c r="AL26" s="856"/>
      <c r="AM26" s="856"/>
      <c r="AN26" s="856"/>
      <c r="AO26" s="856"/>
      <c r="AP26" s="856"/>
      <c r="AQ26" s="856"/>
      <c r="AR26" s="856"/>
      <c r="AS26" s="856">
        <f t="shared" si="1"/>
        <v>0</v>
      </c>
      <c r="AT26" s="2243" t="str">
        <f t="shared" si="2"/>
        <v/>
      </c>
      <c r="AU26" s="833"/>
      <c r="AV26" s="834"/>
      <c r="AW26" s="823"/>
      <c r="AX26" s="835"/>
      <c r="AY26" s="836"/>
      <c r="AZ26" s="2136"/>
      <c r="BA26" s="2136"/>
    </row>
    <row r="27" spans="1:54" ht="13.9" hidden="1" customHeight="1" outlineLevel="1" x14ac:dyDescent="0.2">
      <c r="A27" s="808" t="s">
        <v>556</v>
      </c>
      <c r="B27" s="796"/>
      <c r="C27" s="797"/>
      <c r="D27" s="797"/>
      <c r="E27" s="837"/>
      <c r="F27" s="797"/>
      <c r="G27" s="798"/>
      <c r="H27" s="798"/>
      <c r="J27" s="799"/>
      <c r="K27" s="859"/>
      <c r="L27" s="865"/>
      <c r="M27" s="865"/>
      <c r="N27" s="838"/>
      <c r="O27" s="859"/>
      <c r="P27" s="859"/>
      <c r="Q27" s="859"/>
      <c r="R27" s="859"/>
      <c r="S27" s="859"/>
      <c r="T27" s="859"/>
      <c r="U27" s="859"/>
      <c r="V27" s="859"/>
      <c r="W27" s="859"/>
      <c r="X27" s="859"/>
      <c r="Y27" s="859"/>
      <c r="Z27" s="859"/>
      <c r="AA27" s="859"/>
      <c r="AB27" s="859"/>
      <c r="AC27" s="859"/>
      <c r="AD27" s="859"/>
      <c r="AE27" s="1532"/>
      <c r="AF27" s="1532"/>
      <c r="AG27" s="1532"/>
      <c r="AH27" s="1532"/>
      <c r="AI27" s="1532"/>
      <c r="AJ27" s="1532"/>
      <c r="AK27" s="1532"/>
      <c r="AL27" s="1532"/>
      <c r="AM27" s="1532"/>
      <c r="AN27" s="1532"/>
      <c r="AO27" s="1532"/>
      <c r="AP27" s="1532"/>
      <c r="AQ27" s="1532"/>
      <c r="AR27" s="1532"/>
      <c r="AS27" s="1532" t="str">
        <f t="shared" ref="AS27:AS46" si="5">IF(AL27&gt;0,AN27-AL27,"")</f>
        <v/>
      </c>
      <c r="AT27" s="2244" t="str">
        <f t="shared" ref="AT27:AT79" si="6">IF(AL27&gt;0,AS27/AL27,"")</f>
        <v/>
      </c>
      <c r="AU27" s="803"/>
      <c r="AV27" s="819"/>
      <c r="AW27" s="797"/>
      <c r="AX27" s="805"/>
      <c r="AY27" s="807"/>
      <c r="AZ27" s="2136"/>
      <c r="BA27" s="2136"/>
      <c r="BB27" s="2129" t="s">
        <v>1099</v>
      </c>
    </row>
    <row r="28" spans="1:54" ht="13.9" hidden="1" customHeight="1" outlineLevel="1" x14ac:dyDescent="0.2">
      <c r="A28" s="808" t="s">
        <v>820</v>
      </c>
      <c r="B28" s="796">
        <v>125</v>
      </c>
      <c r="C28" s="797">
        <v>106</v>
      </c>
      <c r="D28" s="797">
        <v>125</v>
      </c>
      <c r="E28" s="797">
        <v>125</v>
      </c>
      <c r="F28" s="797">
        <v>175</v>
      </c>
      <c r="G28" s="798">
        <v>56</v>
      </c>
      <c r="H28" s="798">
        <v>125</v>
      </c>
      <c r="I28" s="715">
        <v>20</v>
      </c>
      <c r="J28" s="839">
        <v>125</v>
      </c>
      <c r="K28" s="817"/>
      <c r="L28" s="845">
        <v>34</v>
      </c>
      <c r="M28" s="845">
        <v>125</v>
      </c>
      <c r="N28" s="846">
        <v>50</v>
      </c>
      <c r="O28" s="817">
        <v>50</v>
      </c>
      <c r="P28" s="817">
        <v>0</v>
      </c>
      <c r="Q28" s="817">
        <v>0</v>
      </c>
      <c r="R28" s="817">
        <v>0</v>
      </c>
      <c r="S28" s="817"/>
      <c r="T28" s="817">
        <v>0</v>
      </c>
      <c r="U28" s="817"/>
      <c r="V28" s="817">
        <v>0</v>
      </c>
      <c r="W28" s="817"/>
      <c r="X28" s="817">
        <v>0</v>
      </c>
      <c r="Y28" s="817"/>
      <c r="Z28" s="817">
        <v>0</v>
      </c>
      <c r="AA28" s="817"/>
      <c r="AB28" s="817">
        <v>0</v>
      </c>
      <c r="AC28" s="817"/>
      <c r="AD28" s="817"/>
      <c r="AE28" s="1087"/>
      <c r="AF28" s="1087">
        <v>0</v>
      </c>
      <c r="AG28" s="1087"/>
      <c r="AH28" s="1087"/>
      <c r="AI28" s="1087"/>
      <c r="AJ28" s="1087"/>
      <c r="AK28" s="1087"/>
      <c r="AL28" s="1087"/>
      <c r="AM28" s="1087"/>
      <c r="AN28" s="1087"/>
      <c r="AO28" s="1087"/>
      <c r="AP28" s="1087"/>
      <c r="AQ28" s="1087"/>
      <c r="AR28" s="1087"/>
      <c r="AS28" s="1087" t="str">
        <f t="shared" si="5"/>
        <v/>
      </c>
      <c r="AT28" s="2245" t="str">
        <f t="shared" si="6"/>
        <v/>
      </c>
      <c r="AU28" s="803"/>
      <c r="AV28" s="819"/>
      <c r="AW28" s="797">
        <f>SUM(AU28-H28)</f>
        <v>-125</v>
      </c>
      <c r="AX28" s="805">
        <f>IF(H28&gt;0,AW28/H28,"")</f>
        <v>-1</v>
      </c>
      <c r="AY28" s="820"/>
      <c r="AZ28" s="2136"/>
      <c r="BA28" s="2136"/>
      <c r="BB28" s="2139" t="s">
        <v>1099</v>
      </c>
    </row>
    <row r="29" spans="1:54" ht="13.9" hidden="1" customHeight="1" outlineLevel="1" x14ac:dyDescent="0.2">
      <c r="A29" s="795" t="s">
        <v>821</v>
      </c>
      <c r="B29" s="866">
        <f>SUM(B28)</f>
        <v>125</v>
      </c>
      <c r="C29" s="847">
        <f>SUM(C28)</f>
        <v>106</v>
      </c>
      <c r="D29" s="847">
        <f>SUM(D28)</f>
        <v>125</v>
      </c>
      <c r="E29" s="847">
        <f t="shared" ref="E29:M29" si="7">SUM(E28)</f>
        <v>125</v>
      </c>
      <c r="F29" s="847">
        <f t="shared" si="7"/>
        <v>175</v>
      </c>
      <c r="G29" s="847">
        <f t="shared" si="7"/>
        <v>56</v>
      </c>
      <c r="H29" s="847">
        <f t="shared" si="7"/>
        <v>125</v>
      </c>
      <c r="I29" s="847">
        <f t="shared" si="7"/>
        <v>20</v>
      </c>
      <c r="J29" s="848">
        <f t="shared" si="7"/>
        <v>125</v>
      </c>
      <c r="K29" s="861" t="s">
        <v>462</v>
      </c>
      <c r="L29" s="850">
        <f t="shared" si="7"/>
        <v>34</v>
      </c>
      <c r="M29" s="850">
        <f t="shared" si="7"/>
        <v>125</v>
      </c>
      <c r="N29" s="851">
        <f>SUM(N27:N28)</f>
        <v>50</v>
      </c>
      <c r="O29" s="861">
        <f>O28</f>
        <v>50</v>
      </c>
      <c r="P29" s="867">
        <f t="shared" ref="P29:W29" si="8">SUM(P27:P28)</f>
        <v>0</v>
      </c>
      <c r="Q29" s="867">
        <f t="shared" si="8"/>
        <v>0</v>
      </c>
      <c r="R29" s="867">
        <f t="shared" si="8"/>
        <v>0</v>
      </c>
      <c r="S29" s="867">
        <f t="shared" si="8"/>
        <v>0</v>
      </c>
      <c r="T29" s="867">
        <v>0</v>
      </c>
      <c r="U29" s="867">
        <v>0</v>
      </c>
      <c r="V29" s="867">
        <f t="shared" si="8"/>
        <v>0</v>
      </c>
      <c r="W29" s="867">
        <f t="shared" si="8"/>
        <v>0</v>
      </c>
      <c r="X29" s="867">
        <f t="shared" ref="X29:AC29" si="9">SUM(X27:X28)</f>
        <v>0</v>
      </c>
      <c r="Y29" s="867">
        <f t="shared" si="9"/>
        <v>0</v>
      </c>
      <c r="Z29" s="867">
        <f t="shared" si="9"/>
        <v>0</v>
      </c>
      <c r="AA29" s="867">
        <f t="shared" si="9"/>
        <v>0</v>
      </c>
      <c r="AB29" s="867">
        <f t="shared" si="9"/>
        <v>0</v>
      </c>
      <c r="AC29" s="867">
        <f t="shared" si="9"/>
        <v>0</v>
      </c>
      <c r="AD29" s="867"/>
      <c r="AE29" s="1533">
        <v>0</v>
      </c>
      <c r="AF29" s="1533">
        <v>0</v>
      </c>
      <c r="AG29" s="1533">
        <v>0</v>
      </c>
      <c r="AH29" s="1533"/>
      <c r="AI29" s="1558">
        <v>0</v>
      </c>
      <c r="AJ29" s="1558"/>
      <c r="AK29" s="1558"/>
      <c r="AL29" s="1558"/>
      <c r="AM29" s="1558"/>
      <c r="AN29" s="1558"/>
      <c r="AO29" s="1558"/>
      <c r="AP29" s="1558"/>
      <c r="AQ29" s="1558"/>
      <c r="AR29" s="1558"/>
      <c r="AS29" s="1558" t="str">
        <f t="shared" si="5"/>
        <v/>
      </c>
      <c r="AT29" s="2246" t="str">
        <f t="shared" si="6"/>
        <v/>
      </c>
      <c r="AU29" s="868">
        <f>SUM(AU28)</f>
        <v>0</v>
      </c>
      <c r="AW29" s="797">
        <f>SUM(AU29-H29)</f>
        <v>-125</v>
      </c>
      <c r="AX29" s="805">
        <f>IF(H29&gt;0,AW29/H29,"")</f>
        <v>-1</v>
      </c>
      <c r="AY29" s="820"/>
      <c r="AZ29" s="2136"/>
      <c r="BA29" s="2136"/>
      <c r="BB29" s="2139" t="s">
        <v>1099</v>
      </c>
    </row>
    <row r="30" spans="1:54" ht="13.9" hidden="1" customHeight="1" outlineLevel="1" x14ac:dyDescent="0.2">
      <c r="A30" s="855"/>
      <c r="B30" s="822"/>
      <c r="C30" s="823"/>
      <c r="D30" s="823"/>
      <c r="E30" s="824"/>
      <c r="F30" s="823"/>
      <c r="G30" s="825"/>
      <c r="H30" s="825"/>
      <c r="I30" s="826"/>
      <c r="J30" s="827"/>
      <c r="K30" s="856"/>
      <c r="L30" s="863"/>
      <c r="M30" s="864"/>
      <c r="N30" s="858"/>
      <c r="O30" s="856"/>
      <c r="P30" s="856"/>
      <c r="Q30" s="856"/>
      <c r="R30" s="856"/>
      <c r="S30" s="856"/>
      <c r="T30" s="856"/>
      <c r="U30" s="856"/>
      <c r="V30" s="856"/>
      <c r="W30" s="856"/>
      <c r="X30" s="856"/>
      <c r="Y30" s="856"/>
      <c r="Z30" s="856"/>
      <c r="AA30" s="856"/>
      <c r="AB30" s="856"/>
      <c r="AC30" s="856"/>
      <c r="AD30" s="856"/>
      <c r="AE30" s="1092"/>
      <c r="AF30" s="1092"/>
      <c r="AG30" s="1092"/>
      <c r="AH30" s="1092"/>
      <c r="AI30" s="1092"/>
      <c r="AJ30" s="1092"/>
      <c r="AK30" s="1092"/>
      <c r="AL30" s="1092"/>
      <c r="AM30" s="1092"/>
      <c r="AN30" s="1092"/>
      <c r="AO30" s="1092"/>
      <c r="AP30" s="1092"/>
      <c r="AQ30" s="1092"/>
      <c r="AR30" s="1092"/>
      <c r="AS30" s="1092" t="str">
        <f t="shared" si="5"/>
        <v/>
      </c>
      <c r="AT30" s="2247" t="str">
        <f t="shared" si="6"/>
        <v/>
      </c>
      <c r="AU30" s="833"/>
      <c r="AV30" s="834"/>
      <c r="AW30" s="823"/>
      <c r="AX30" s="835"/>
      <c r="AY30" s="836"/>
      <c r="AZ30" s="2136"/>
      <c r="BA30" s="2136"/>
      <c r="BB30" s="2129" t="s">
        <v>1099</v>
      </c>
    </row>
    <row r="31" spans="1:54" ht="13.9" hidden="1" customHeight="1" outlineLevel="1" x14ac:dyDescent="0.2">
      <c r="A31" s="808" t="s">
        <v>557</v>
      </c>
      <c r="B31" s="796"/>
      <c r="C31" s="797"/>
      <c r="D31" s="797"/>
      <c r="E31" s="837"/>
      <c r="F31" s="870"/>
      <c r="G31" s="871"/>
      <c r="H31" s="871"/>
      <c r="I31" s="871"/>
      <c r="J31" s="799"/>
      <c r="K31" s="859"/>
      <c r="L31" s="865"/>
      <c r="M31" s="865"/>
      <c r="N31" s="838"/>
      <c r="O31" s="859"/>
      <c r="P31" s="859"/>
      <c r="Q31" s="859"/>
      <c r="R31" s="859"/>
      <c r="S31" s="859"/>
      <c r="T31" s="859"/>
      <c r="U31" s="859"/>
      <c r="V31" s="859"/>
      <c r="W31" s="859"/>
      <c r="X31" s="859"/>
      <c r="Y31" s="859"/>
      <c r="Z31" s="859"/>
      <c r="AA31" s="859"/>
      <c r="AB31" s="859"/>
      <c r="AC31" s="859"/>
      <c r="AD31" s="859"/>
      <c r="AE31" s="859"/>
      <c r="AF31" s="859"/>
      <c r="AG31" s="859"/>
      <c r="AH31" s="859"/>
      <c r="AI31" s="859"/>
      <c r="AJ31" s="859"/>
      <c r="AK31" s="859"/>
      <c r="AL31" s="859"/>
      <c r="AM31" s="859"/>
      <c r="AN31" s="859"/>
      <c r="AO31" s="859"/>
      <c r="AP31" s="859"/>
      <c r="AQ31" s="859"/>
      <c r="AR31" s="859"/>
      <c r="AS31" s="859">
        <f t="shared" ref="AS31:AS41" si="10">AR31-AP31</f>
        <v>0</v>
      </c>
      <c r="AT31" s="2239" t="str">
        <f>IF(AP31&gt;0,AS31/AP31,"")</f>
        <v/>
      </c>
      <c r="AU31" s="872"/>
      <c r="AV31" s="819"/>
      <c r="AW31" s="797"/>
      <c r="AX31" s="805"/>
      <c r="AY31" s="873"/>
      <c r="AZ31" s="2136"/>
      <c r="BA31" s="2136"/>
    </row>
    <row r="32" spans="1:54" ht="13.9" hidden="1" customHeight="1" outlineLevel="1" x14ac:dyDescent="0.2">
      <c r="A32" s="808" t="s">
        <v>558</v>
      </c>
      <c r="B32" s="796">
        <v>2000</v>
      </c>
      <c r="C32" s="797">
        <v>1074.69</v>
      </c>
      <c r="D32" s="797">
        <v>2000</v>
      </c>
      <c r="E32" s="797">
        <v>1154.72</v>
      </c>
      <c r="F32" s="797">
        <v>2000</v>
      </c>
      <c r="G32" s="798">
        <v>1626.21</v>
      </c>
      <c r="H32" s="798">
        <v>2000</v>
      </c>
      <c r="I32" s="715">
        <v>906.71</v>
      </c>
      <c r="J32" s="874">
        <v>2195.8000000000002</v>
      </c>
      <c r="K32" s="875"/>
      <c r="L32" s="876">
        <v>949.89</v>
      </c>
      <c r="M32" s="840">
        <v>2255</v>
      </c>
      <c r="N32" s="841">
        <v>1080</v>
      </c>
      <c r="O32" s="817">
        <v>1158</v>
      </c>
      <c r="P32" s="817">
        <v>1158</v>
      </c>
      <c r="Q32" s="817">
        <v>1158</v>
      </c>
      <c r="R32" s="817">
        <v>1158</v>
      </c>
      <c r="S32" s="817"/>
      <c r="T32" s="817">
        <v>1179</v>
      </c>
      <c r="U32" s="817">
        <v>1179</v>
      </c>
      <c r="V32" s="843">
        <v>1239</v>
      </c>
      <c r="W32" s="817">
        <f>V32</f>
        <v>1239</v>
      </c>
      <c r="X32" s="843">
        <v>1264</v>
      </c>
      <c r="Y32" s="843">
        <v>1264</v>
      </c>
      <c r="Z32" s="843">
        <v>1316</v>
      </c>
      <c r="AA32" s="843">
        <f>Z32</f>
        <v>1316</v>
      </c>
      <c r="AB32" s="843">
        <v>1308</v>
      </c>
      <c r="AC32" s="843">
        <f>AB32</f>
        <v>1308</v>
      </c>
      <c r="AD32" s="843"/>
      <c r="AE32" s="859">
        <v>1371</v>
      </c>
      <c r="AF32" s="843"/>
      <c r="AG32" s="843">
        <v>1412.13</v>
      </c>
      <c r="AH32" s="843">
        <v>1437</v>
      </c>
      <c r="AI32" s="843">
        <v>1480.1100000000001</v>
      </c>
      <c r="AJ32" s="843">
        <v>1505</v>
      </c>
      <c r="AK32" s="843">
        <v>1550.15</v>
      </c>
      <c r="AL32" s="843">
        <v>1548</v>
      </c>
      <c r="AM32" s="843">
        <f>AL32*$AH$3</f>
        <v>1578.96</v>
      </c>
      <c r="AN32" s="843">
        <v>1579</v>
      </c>
      <c r="AO32" s="843">
        <v>1618.4749999999999</v>
      </c>
      <c r="AP32" s="843">
        <v>1610</v>
      </c>
      <c r="AQ32" s="843">
        <f>AP32*$AH$3</f>
        <v>1642.2</v>
      </c>
      <c r="AR32" s="843">
        <f>'[1]BUDGET DETAIL'!$CO$57</f>
        <v>1687</v>
      </c>
      <c r="AS32" s="843">
        <f t="shared" si="10"/>
        <v>77</v>
      </c>
      <c r="AT32" s="2239">
        <f t="shared" ref="AT32:AT41" si="11">IF(AP32&gt;0,AS32/AP32,"")</f>
        <v>4.7826086956521741E-2</v>
      </c>
      <c r="AU32" s="803"/>
      <c r="AV32" s="819"/>
      <c r="AW32" s="797">
        <f>SUM(AU32-H32)</f>
        <v>-2000</v>
      </c>
      <c r="AX32" s="805">
        <f>IF(H32&gt;0,AW32/H32,"")</f>
        <v>-1</v>
      </c>
      <c r="AY32" s="820"/>
      <c r="AZ32" s="2136"/>
      <c r="BA32" s="2136"/>
    </row>
    <row r="33" spans="1:54" ht="13.9" hidden="1" customHeight="1" outlineLevel="1" x14ac:dyDescent="0.2">
      <c r="A33" s="808" t="s">
        <v>820</v>
      </c>
      <c r="B33" s="796">
        <v>1960</v>
      </c>
      <c r="C33" s="797">
        <v>719.41</v>
      </c>
      <c r="D33" s="797">
        <v>1850</v>
      </c>
      <c r="E33" s="797">
        <v>579.9</v>
      </c>
      <c r="F33" s="797">
        <v>1850</v>
      </c>
      <c r="G33" s="798">
        <v>619.96</v>
      </c>
      <c r="H33" s="798">
        <v>1850</v>
      </c>
      <c r="I33" s="715">
        <f>278.89+160+30.26</f>
        <v>469.15</v>
      </c>
      <c r="J33" s="839">
        <v>1850</v>
      </c>
      <c r="K33" s="817"/>
      <c r="L33" s="845">
        <v>169</v>
      </c>
      <c r="M33" s="845">
        <v>1850</v>
      </c>
      <c r="N33" s="846">
        <v>1666</v>
      </c>
      <c r="O33" s="817">
        <v>360</v>
      </c>
      <c r="P33" s="817">
        <v>360</v>
      </c>
      <c r="Q33" s="817">
        <v>360</v>
      </c>
      <c r="R33" s="817">
        <v>360</v>
      </c>
      <c r="S33" s="817"/>
      <c r="T33" s="817">
        <v>367</v>
      </c>
      <c r="U33" s="817">
        <v>367</v>
      </c>
      <c r="V33" s="843">
        <v>374</v>
      </c>
      <c r="W33" s="817">
        <f>V33</f>
        <v>374</v>
      </c>
      <c r="X33" s="843">
        <f>U33*(1+$A$4/100)</f>
        <v>367</v>
      </c>
      <c r="Y33" s="843">
        <v>385</v>
      </c>
      <c r="Z33" s="843">
        <v>390</v>
      </c>
      <c r="AA33" s="843">
        <f>Z33</f>
        <v>390</v>
      </c>
      <c r="AB33" s="843">
        <v>395</v>
      </c>
      <c r="AC33" s="843">
        <f>AB33</f>
        <v>395</v>
      </c>
      <c r="AD33" s="843"/>
      <c r="AE33" s="859">
        <v>395</v>
      </c>
      <c r="AF33" s="843"/>
      <c r="AG33" s="843">
        <v>395</v>
      </c>
      <c r="AH33" s="843">
        <v>395</v>
      </c>
      <c r="AI33" s="843">
        <v>395</v>
      </c>
      <c r="AJ33" s="843">
        <v>395</v>
      </c>
      <c r="AK33" s="843">
        <v>395</v>
      </c>
      <c r="AL33" s="843">
        <v>350</v>
      </c>
      <c r="AM33" s="843">
        <f>AL33*$AH$4</f>
        <v>350</v>
      </c>
      <c r="AN33" s="843">
        <v>350</v>
      </c>
      <c r="AO33" s="843">
        <v>350</v>
      </c>
      <c r="AP33" s="843">
        <v>350</v>
      </c>
      <c r="AQ33" s="843">
        <f>AP33*$AH$4</f>
        <v>350</v>
      </c>
      <c r="AR33" s="843">
        <f>'[1]BUDGET DETAIL'!$CO$63</f>
        <v>350</v>
      </c>
      <c r="AS33" s="843">
        <f t="shared" si="10"/>
        <v>0</v>
      </c>
      <c r="AT33" s="2239">
        <f t="shared" si="11"/>
        <v>0</v>
      </c>
      <c r="AU33" s="803"/>
      <c r="AV33" s="819"/>
      <c r="AW33" s="797">
        <f>SUM(AU33-H33)</f>
        <v>-1850</v>
      </c>
      <c r="AX33" s="805">
        <f>IF(H33&gt;0,AW33/H33,"")</f>
        <v>-1</v>
      </c>
      <c r="AY33" s="1673"/>
      <c r="AZ33" s="2136"/>
      <c r="BA33" s="2136"/>
    </row>
    <row r="34" spans="1:54" ht="13.9" hidden="1" customHeight="1" outlineLevel="1" x14ac:dyDescent="0.2">
      <c r="A34" s="808" t="s">
        <v>882</v>
      </c>
      <c r="B34" s="796"/>
      <c r="C34" s="797"/>
      <c r="D34" s="797"/>
      <c r="E34" s="797"/>
      <c r="F34" s="797"/>
      <c r="G34" s="798"/>
      <c r="H34" s="798"/>
      <c r="J34" s="839"/>
      <c r="K34" s="817"/>
      <c r="L34" s="845"/>
      <c r="M34" s="845"/>
      <c r="N34" s="846"/>
      <c r="O34" s="817"/>
      <c r="P34" s="817"/>
      <c r="Q34" s="877"/>
      <c r="R34" s="817"/>
      <c r="S34" s="877"/>
      <c r="T34" s="877"/>
      <c r="U34" s="877"/>
      <c r="V34" s="843"/>
      <c r="W34" s="877"/>
      <c r="X34" s="843"/>
      <c r="Y34" s="843"/>
      <c r="Z34" s="843"/>
      <c r="AA34" s="843"/>
      <c r="AB34" s="843"/>
      <c r="AC34" s="843"/>
      <c r="AD34" s="843"/>
      <c r="AE34" s="859">
        <v>100000</v>
      </c>
      <c r="AF34" s="843"/>
      <c r="AG34" s="843">
        <v>100000</v>
      </c>
      <c r="AH34" s="843">
        <v>100000</v>
      </c>
      <c r="AI34" s="843">
        <v>100000</v>
      </c>
      <c r="AJ34" s="843">
        <v>100000</v>
      </c>
      <c r="AK34" s="843">
        <v>100000</v>
      </c>
      <c r="AL34" s="843">
        <v>100000</v>
      </c>
      <c r="AM34" s="843">
        <v>100000</v>
      </c>
      <c r="AN34" s="843">
        <v>100000</v>
      </c>
      <c r="AO34" s="843">
        <v>100000</v>
      </c>
      <c r="AP34" s="843">
        <v>100000</v>
      </c>
      <c r="AQ34" s="843">
        <v>100000</v>
      </c>
      <c r="AR34" s="843">
        <f>'[1]BUDGET DETAIL'!$CO$66</f>
        <v>100000</v>
      </c>
      <c r="AS34" s="843">
        <f t="shared" si="10"/>
        <v>0</v>
      </c>
      <c r="AT34" s="2239">
        <f t="shared" si="11"/>
        <v>0</v>
      </c>
      <c r="AU34" s="803"/>
      <c r="AV34" s="819"/>
      <c r="AW34" s="797"/>
      <c r="AX34" s="805"/>
      <c r="AY34" s="820"/>
      <c r="AZ34" s="2136"/>
      <c r="BA34" s="2136"/>
    </row>
    <row r="35" spans="1:54" ht="13.9" hidden="1" customHeight="1" outlineLevel="1" x14ac:dyDescent="0.2">
      <c r="A35" s="878" t="s">
        <v>821</v>
      </c>
      <c r="B35" s="809">
        <f>SUM(B32:B33)</f>
        <v>3960</v>
      </c>
      <c r="C35" s="810">
        <f>SUM(C32:C33)</f>
        <v>1794.1</v>
      </c>
      <c r="D35" s="810">
        <f t="shared" ref="D35:L35" si="12">SUM(D32:D33)</f>
        <v>3850</v>
      </c>
      <c r="E35" s="810">
        <f t="shared" si="12"/>
        <v>1734.62</v>
      </c>
      <c r="F35" s="810">
        <f t="shared" si="12"/>
        <v>3850</v>
      </c>
      <c r="G35" s="810">
        <f t="shared" si="12"/>
        <v>2246.17</v>
      </c>
      <c r="H35" s="810">
        <f t="shared" si="12"/>
        <v>3850</v>
      </c>
      <c r="I35" s="810">
        <f t="shared" si="12"/>
        <v>1375.8600000000001</v>
      </c>
      <c r="J35" s="813">
        <v>4045.8</v>
      </c>
      <c r="K35" s="814" t="s">
        <v>462</v>
      </c>
      <c r="L35" s="879">
        <f t="shared" si="12"/>
        <v>1118.8899999999999</v>
      </c>
      <c r="M35" s="879">
        <f>M32+M33</f>
        <v>4105</v>
      </c>
      <c r="N35" s="880">
        <f>N32+N33</f>
        <v>2746</v>
      </c>
      <c r="O35" s="881">
        <f>O32+O33</f>
        <v>1518</v>
      </c>
      <c r="P35" s="881">
        <f>P32+P33</f>
        <v>1518</v>
      </c>
      <c r="Q35" s="853">
        <f>IF(SUM(Q32:Q33)=0,P35,SUM(Q32:Q33))</f>
        <v>1518</v>
      </c>
      <c r="R35" s="881">
        <f>R32+R33</f>
        <v>1518</v>
      </c>
      <c r="S35" s="853">
        <f>IF(SUM(S32:S33)=0,R35,SUM(S32:S33))</f>
        <v>1518</v>
      </c>
      <c r="T35" s="853">
        <v>1546</v>
      </c>
      <c r="U35" s="853">
        <v>1546</v>
      </c>
      <c r="V35" s="881">
        <f>V32+V33</f>
        <v>1613</v>
      </c>
      <c r="W35" s="853">
        <f>IF(SUM(W32:W33)=0,V35,SUM(W32:W33))</f>
        <v>1613</v>
      </c>
      <c r="X35" s="881">
        <f>X32+X33</f>
        <v>1631</v>
      </c>
      <c r="Y35" s="852">
        <f>IF(SUM(Y32:Y33)=0,X35,SUM(Y32:Y33))</f>
        <v>1649</v>
      </c>
      <c r="Z35" s="881">
        <f>Z32+Z33</f>
        <v>1706</v>
      </c>
      <c r="AA35" s="852">
        <f>IF(SUM(AA32:AA33)=0,Z35,SUM(AA32:AA33))</f>
        <v>1706</v>
      </c>
      <c r="AB35" s="881">
        <f>AB32+AB33</f>
        <v>1703</v>
      </c>
      <c r="AC35" s="852">
        <f>IF(SUM(AC32:AC33)=0,AB35,SUM(AC32:AC33))</f>
        <v>1703</v>
      </c>
      <c r="AD35" s="852"/>
      <c r="AE35" s="852">
        <v>101766</v>
      </c>
      <c r="AF35" s="852">
        <v>101766</v>
      </c>
      <c r="AG35" s="852">
        <v>101807.13</v>
      </c>
      <c r="AH35" s="852">
        <v>101832</v>
      </c>
      <c r="AI35" s="814">
        <v>101875.11</v>
      </c>
      <c r="AJ35" s="814">
        <v>101900</v>
      </c>
      <c r="AK35" s="814">
        <v>101945.15</v>
      </c>
      <c r="AL35" s="814">
        <v>101898</v>
      </c>
      <c r="AM35" s="814">
        <f>IF(SUM(AM32:AM34)=0,AL35,SUM(AM32:AM34))</f>
        <v>101928.96000000001</v>
      </c>
      <c r="AN35" s="814">
        <f>IF(SUM(AN32:AN34)=0,AM35,SUM(AN32:AN34))</f>
        <v>101929</v>
      </c>
      <c r="AO35" s="814">
        <f>IF(SUM(AO32:AO34)=0,AN35,SUM(AO32:AO34))</f>
        <v>101968.47500000001</v>
      </c>
      <c r="AP35" s="814">
        <f>SUM(AP32:AP34)</f>
        <v>101960</v>
      </c>
      <c r="AQ35" s="814">
        <f>IF(SUM(AQ32:AQ34)=0,AP35,SUM(AQ32:AQ34))</f>
        <v>101992.2</v>
      </c>
      <c r="AR35" s="814">
        <f>IF(SUM(AR32:AR34)=0,AQ35,SUM(AR32:AR34))</f>
        <v>102037</v>
      </c>
      <c r="AS35" s="814">
        <f t="shared" si="10"/>
        <v>77</v>
      </c>
      <c r="AT35" s="2242">
        <f t="shared" si="11"/>
        <v>7.5519811690859164E-4</v>
      </c>
      <c r="AU35" s="882">
        <f>SUM(AU32:AU33)</f>
        <v>0</v>
      </c>
      <c r="AV35" s="819"/>
      <c r="AW35" s="797">
        <f>SUM(AU35-H35)</f>
        <v>-3850</v>
      </c>
      <c r="AX35" s="805">
        <f>IF(H35&gt;0,AW35/H35,"")</f>
        <v>-1</v>
      </c>
      <c r="AY35" s="820"/>
      <c r="AZ35" s="2136"/>
      <c r="BA35" s="2136"/>
    </row>
    <row r="36" spans="1:54" ht="13.9" hidden="1" customHeight="1" outlineLevel="1" x14ac:dyDescent="0.2">
      <c r="A36" s="855"/>
      <c r="B36" s="822"/>
      <c r="C36" s="823"/>
      <c r="D36" s="823"/>
      <c r="E36" s="824"/>
      <c r="F36" s="823"/>
      <c r="G36" s="825"/>
      <c r="H36" s="825"/>
      <c r="I36" s="826"/>
      <c r="J36" s="883"/>
      <c r="K36" s="856"/>
      <c r="L36" s="863"/>
      <c r="M36" s="864"/>
      <c r="N36" s="858"/>
      <c r="O36" s="856"/>
      <c r="P36" s="856"/>
      <c r="Q36" s="856"/>
      <c r="R36" s="856"/>
      <c r="S36" s="856"/>
      <c r="T36" s="856"/>
      <c r="U36" s="856"/>
      <c r="V36" s="856"/>
      <c r="W36" s="856"/>
      <c r="X36" s="856"/>
      <c r="Y36" s="856"/>
      <c r="Z36" s="856"/>
      <c r="AA36" s="856"/>
      <c r="AB36" s="856"/>
      <c r="AC36" s="856"/>
      <c r="AD36" s="856"/>
      <c r="AE36" s="856"/>
      <c r="AF36" s="856"/>
      <c r="AG36" s="856"/>
      <c r="AH36" s="856"/>
      <c r="AI36" s="856"/>
      <c r="AJ36" s="856"/>
      <c r="AK36" s="856"/>
      <c r="AL36" s="856"/>
      <c r="AM36" s="856"/>
      <c r="AN36" s="856"/>
      <c r="AO36" s="856"/>
      <c r="AP36" s="856"/>
      <c r="AQ36" s="856"/>
      <c r="AR36" s="856"/>
      <c r="AS36" s="856">
        <f t="shared" si="10"/>
        <v>0</v>
      </c>
      <c r="AT36" s="2243" t="str">
        <f t="shared" si="11"/>
        <v/>
      </c>
      <c r="AU36" s="833"/>
      <c r="AV36" s="834"/>
      <c r="AW36" s="823"/>
      <c r="AX36" s="835"/>
      <c r="AY36" s="836"/>
      <c r="AZ36" s="2136"/>
      <c r="BA36" s="2136"/>
    </row>
    <row r="37" spans="1:54" ht="13.9" hidden="1" customHeight="1" outlineLevel="1" x14ac:dyDescent="0.2">
      <c r="A37" s="808" t="s">
        <v>690</v>
      </c>
      <c r="B37" s="796"/>
      <c r="C37" s="797"/>
      <c r="D37" s="797"/>
      <c r="E37" s="837"/>
      <c r="F37" s="797"/>
      <c r="G37" s="798"/>
      <c r="H37" s="798"/>
      <c r="J37" s="884"/>
      <c r="K37" s="859"/>
      <c r="L37" s="865"/>
      <c r="M37" s="865"/>
      <c r="N37" s="838"/>
      <c r="O37" s="859"/>
      <c r="P37" s="859"/>
      <c r="Q37" s="859"/>
      <c r="R37" s="859"/>
      <c r="S37" s="859"/>
      <c r="T37" s="859"/>
      <c r="U37" s="859"/>
      <c r="V37" s="859"/>
      <c r="W37" s="859"/>
      <c r="X37" s="859"/>
      <c r="Y37" s="859"/>
      <c r="Z37" s="859"/>
      <c r="AA37" s="859"/>
      <c r="AB37" s="859"/>
      <c r="AC37" s="859"/>
      <c r="AD37" s="859"/>
      <c r="AE37" s="859"/>
      <c r="AF37" s="859"/>
      <c r="AG37" s="859"/>
      <c r="AH37" s="859"/>
      <c r="AI37" s="859"/>
      <c r="AJ37" s="859"/>
      <c r="AK37" s="859"/>
      <c r="AL37" s="859"/>
      <c r="AM37" s="859"/>
      <c r="AN37" s="859"/>
      <c r="AO37" s="859"/>
      <c r="AP37" s="859"/>
      <c r="AQ37" s="859"/>
      <c r="AR37" s="859"/>
      <c r="AS37" s="859">
        <f t="shared" si="10"/>
        <v>0</v>
      </c>
      <c r="AT37" s="2239" t="str">
        <f t="shared" si="11"/>
        <v/>
      </c>
      <c r="AU37" s="803"/>
      <c r="AV37" s="819"/>
      <c r="AW37" s="797"/>
      <c r="AX37" s="805"/>
      <c r="AY37" s="807"/>
      <c r="AZ37" s="2136"/>
      <c r="BA37" s="2136"/>
    </row>
    <row r="38" spans="1:54" ht="13.9" hidden="1" customHeight="1" outlineLevel="1" x14ac:dyDescent="0.2">
      <c r="A38" s="808" t="s">
        <v>558</v>
      </c>
      <c r="B38" s="796">
        <v>0</v>
      </c>
      <c r="C38" s="797">
        <v>0</v>
      </c>
      <c r="D38" s="797">
        <v>0</v>
      </c>
      <c r="E38" s="837"/>
      <c r="F38" s="797">
        <v>920</v>
      </c>
      <c r="G38" s="798">
        <v>920</v>
      </c>
      <c r="H38" s="798">
        <v>5400</v>
      </c>
      <c r="I38" s="715">
        <v>5124.8</v>
      </c>
      <c r="J38" s="839">
        <v>5425</v>
      </c>
      <c r="K38" s="817"/>
      <c r="L38" s="876">
        <v>5981</v>
      </c>
      <c r="M38" s="840">
        <v>6329</v>
      </c>
      <c r="N38" s="841">
        <v>5610</v>
      </c>
      <c r="O38" s="817">
        <v>0</v>
      </c>
      <c r="P38" s="817">
        <v>0</v>
      </c>
      <c r="Q38" s="817">
        <v>0</v>
      </c>
      <c r="R38" s="817">
        <v>0</v>
      </c>
      <c r="S38" s="817"/>
      <c r="T38" s="817">
        <v>1630</v>
      </c>
      <c r="U38" s="817">
        <v>1630</v>
      </c>
      <c r="V38" s="817">
        <v>1630</v>
      </c>
      <c r="W38" s="817">
        <f>V38</f>
        <v>1630</v>
      </c>
      <c r="X38" s="843">
        <v>1630</v>
      </c>
      <c r="Y38" s="843">
        <v>1630</v>
      </c>
      <c r="Z38" s="843">
        <v>1858</v>
      </c>
      <c r="AA38" s="843">
        <f>Z38</f>
        <v>1858</v>
      </c>
      <c r="AB38" s="843">
        <v>1858</v>
      </c>
      <c r="AC38" s="843">
        <f>AB38</f>
        <v>1858</v>
      </c>
      <c r="AD38" s="843"/>
      <c r="AE38" s="843">
        <v>0</v>
      </c>
      <c r="AF38" s="843"/>
      <c r="AG38" s="843">
        <v>0</v>
      </c>
      <c r="AH38" s="843"/>
      <c r="AI38" s="843">
        <v>0</v>
      </c>
      <c r="AJ38" s="843"/>
      <c r="AK38" s="843"/>
      <c r="AL38" s="843">
        <v>5000</v>
      </c>
      <c r="AM38" s="843">
        <f>AL38*$AH$3</f>
        <v>5100</v>
      </c>
      <c r="AN38" s="843">
        <v>5000</v>
      </c>
      <c r="AO38" s="843">
        <v>5125</v>
      </c>
      <c r="AP38" s="843">
        <v>5048</v>
      </c>
      <c r="AQ38" s="843">
        <f>AP38*$AH$3</f>
        <v>5148.96</v>
      </c>
      <c r="AR38" s="843">
        <f>'[1]BUDGET DETAIL'!$CO$194</f>
        <v>5128</v>
      </c>
      <c r="AS38" s="843">
        <f t="shared" si="10"/>
        <v>80</v>
      </c>
      <c r="AT38" s="2239">
        <f t="shared" si="11"/>
        <v>1.5847860538827259E-2</v>
      </c>
      <c r="AU38" s="803"/>
      <c r="AV38" s="819"/>
      <c r="AW38" s="797">
        <f>SUM(AU38-H38)</f>
        <v>-5400</v>
      </c>
      <c r="AX38" s="805">
        <f>IF(H38&gt;0,AW38/H38,"")</f>
        <v>-1</v>
      </c>
      <c r="AY38" s="807"/>
      <c r="AZ38" s="2136"/>
      <c r="BA38" s="2136"/>
    </row>
    <row r="39" spans="1:54" ht="13.9" hidden="1" customHeight="1" outlineLevel="1" x14ac:dyDescent="0.2">
      <c r="A39" s="808" t="s">
        <v>820</v>
      </c>
      <c r="B39" s="796">
        <v>0</v>
      </c>
      <c r="C39" s="797">
        <v>0</v>
      </c>
      <c r="D39" s="797">
        <v>0</v>
      </c>
      <c r="E39" s="797"/>
      <c r="F39" s="797">
        <v>3500</v>
      </c>
      <c r="G39" s="798">
        <v>3208.56</v>
      </c>
      <c r="H39" s="798">
        <v>3500</v>
      </c>
      <c r="I39" s="715">
        <v>3497.03</v>
      </c>
      <c r="J39" s="885">
        <v>3500</v>
      </c>
      <c r="K39" s="814" t="s">
        <v>328</v>
      </c>
      <c r="L39" s="845">
        <v>3570</v>
      </c>
      <c r="M39" s="845">
        <v>3641</v>
      </c>
      <c r="N39" s="851">
        <v>3363</v>
      </c>
      <c r="O39" s="814">
        <v>0</v>
      </c>
      <c r="P39" s="817">
        <v>0</v>
      </c>
      <c r="Q39" s="814"/>
      <c r="R39" s="817">
        <v>0</v>
      </c>
      <c r="S39" s="814"/>
      <c r="T39" s="814">
        <v>1238</v>
      </c>
      <c r="U39" s="814">
        <v>1238</v>
      </c>
      <c r="V39" s="817">
        <v>1263</v>
      </c>
      <c r="W39" s="817">
        <f>V39</f>
        <v>1263</v>
      </c>
      <c r="X39" s="843">
        <v>1263</v>
      </c>
      <c r="Y39" s="843">
        <v>1263</v>
      </c>
      <c r="Z39" s="843">
        <v>1263</v>
      </c>
      <c r="AA39" s="843">
        <f>Z39</f>
        <v>1263</v>
      </c>
      <c r="AB39" s="843">
        <v>1263</v>
      </c>
      <c r="AC39" s="843">
        <f>AB39</f>
        <v>1263</v>
      </c>
      <c r="AD39" s="843"/>
      <c r="AE39" s="843">
        <v>35000</v>
      </c>
      <c r="AF39" s="843"/>
      <c r="AG39" s="843">
        <v>35000</v>
      </c>
      <c r="AH39" s="843">
        <v>37000</v>
      </c>
      <c r="AI39" s="817">
        <v>37000</v>
      </c>
      <c r="AJ39" s="817">
        <v>49000</v>
      </c>
      <c r="AK39" s="843">
        <v>49000</v>
      </c>
      <c r="AL39" s="817">
        <v>44000</v>
      </c>
      <c r="AM39" s="817">
        <f>AL39*$AH$4</f>
        <v>44000</v>
      </c>
      <c r="AN39" s="817">
        <v>49850</v>
      </c>
      <c r="AO39" s="817">
        <v>49850</v>
      </c>
      <c r="AP39" s="817">
        <v>49850</v>
      </c>
      <c r="AQ39" s="817">
        <f>AP39*$AH$4 + IF(BA39="yes",AZ39,0)</f>
        <v>50050</v>
      </c>
      <c r="AR39" s="817">
        <f>'[1]BUDGET DETAIL'!$CO$202 + IF(BA39="yes",AZ39,0)</f>
        <v>50050</v>
      </c>
      <c r="AS39" s="817">
        <f t="shared" si="10"/>
        <v>200</v>
      </c>
      <c r="AT39" s="2240">
        <f t="shared" si="11"/>
        <v>4.0120361083249749E-3</v>
      </c>
      <c r="AU39" s="803"/>
      <c r="AV39" s="819"/>
      <c r="AW39" s="797">
        <f>SUM(AU39-H39)</f>
        <v>-3500</v>
      </c>
      <c r="AX39" s="805">
        <f>IF(H39&gt;0,AW39/H39,"")</f>
        <v>-1</v>
      </c>
      <c r="AY39" s="1634"/>
      <c r="AZ39" s="2136">
        <f>'[1]ABOVE GUIDELINES'!$J$13</f>
        <v>200</v>
      </c>
      <c r="BA39" s="2321" t="s">
        <v>2506</v>
      </c>
      <c r="BB39" s="2942">
        <v>44998</v>
      </c>
    </row>
    <row r="40" spans="1:54" ht="13.9" hidden="1" customHeight="1" outlineLevel="1" x14ac:dyDescent="0.2">
      <c r="A40" s="878" t="s">
        <v>821</v>
      </c>
      <c r="B40" s="809">
        <f>SUM(B39)</f>
        <v>0</v>
      </c>
      <c r="C40" s="810">
        <f>SUM(C38:C39)</f>
        <v>0</v>
      </c>
      <c r="D40" s="810">
        <f t="shared" ref="D40:I40" si="13">SUM(D38:D39)</f>
        <v>0</v>
      </c>
      <c r="E40" s="810">
        <f t="shared" si="13"/>
        <v>0</v>
      </c>
      <c r="F40" s="810">
        <f t="shared" si="13"/>
        <v>4420</v>
      </c>
      <c r="G40" s="810">
        <f t="shared" si="13"/>
        <v>4128.5599999999995</v>
      </c>
      <c r="H40" s="810">
        <f t="shared" si="13"/>
        <v>8900</v>
      </c>
      <c r="I40" s="810">
        <f t="shared" si="13"/>
        <v>8621.83</v>
      </c>
      <c r="J40" s="813">
        <f>SUM(J38:J39)</f>
        <v>8925</v>
      </c>
      <c r="K40" s="814" t="s">
        <v>462</v>
      </c>
      <c r="L40" s="879">
        <f>SUM(L38:L39)</f>
        <v>9551</v>
      </c>
      <c r="M40" s="879">
        <f>SUM(M38:M39)</f>
        <v>9970</v>
      </c>
      <c r="N40" s="880">
        <f>SUM(N38:N39)</f>
        <v>8973</v>
      </c>
      <c r="O40" s="880">
        <f>SUM(O38:O39)</f>
        <v>0</v>
      </c>
      <c r="P40" s="880">
        <f>SUM(P38:P39)</f>
        <v>0</v>
      </c>
      <c r="Q40" s="853">
        <f>IF(SUM(Q38:Q39)=0,P40,SUM(Q38:Q39))</f>
        <v>0</v>
      </c>
      <c r="R40" s="880">
        <f>SUM(R38:R39)</f>
        <v>0</v>
      </c>
      <c r="S40" s="853">
        <f>IF(SUM(S38:S39)=0,R40,SUM(S38:S39))</f>
        <v>0</v>
      </c>
      <c r="T40" s="853">
        <v>2868</v>
      </c>
      <c r="U40" s="853">
        <v>2868</v>
      </c>
      <c r="V40" s="880">
        <f>SUM(V38:V39)</f>
        <v>2893</v>
      </c>
      <c r="W40" s="853">
        <f>IF(SUM(W38:W39)=0,V40,SUM(W38:W39))</f>
        <v>2893</v>
      </c>
      <c r="X40" s="880">
        <f>SUM(X38:X39)</f>
        <v>2893</v>
      </c>
      <c r="Y40" s="852">
        <f>IF(SUM(Y38:Y39)=0,X40,SUM(Y38:Y39))</f>
        <v>2893</v>
      </c>
      <c r="Z40" s="880">
        <f>SUM(Z38:Z39)</f>
        <v>3121</v>
      </c>
      <c r="AA40" s="852">
        <f>IF(SUM(AA38:AA39)=0,Z40,SUM(AA38:AA39))</f>
        <v>3121</v>
      </c>
      <c r="AB40" s="880">
        <f>SUM(AB38:AB39)</f>
        <v>3121</v>
      </c>
      <c r="AC40" s="852">
        <f>IF(SUM(AC38:AC39)=0,AB40,SUM(AC38:AC39))</f>
        <v>3121</v>
      </c>
      <c r="AD40" s="852"/>
      <c r="AE40" s="852">
        <v>35000</v>
      </c>
      <c r="AF40" s="852">
        <v>35000</v>
      </c>
      <c r="AG40" s="852">
        <v>35000</v>
      </c>
      <c r="AH40" s="852">
        <v>37000</v>
      </c>
      <c r="AI40" s="814">
        <v>37000</v>
      </c>
      <c r="AJ40" s="814">
        <v>49000</v>
      </c>
      <c r="AK40" s="814">
        <v>49000</v>
      </c>
      <c r="AL40" s="814">
        <v>49000</v>
      </c>
      <c r="AM40" s="814">
        <f>IF(SUM(AM38:AM39)=0,AL40,SUM(AM38:AM39))</f>
        <v>49100</v>
      </c>
      <c r="AN40" s="814">
        <f>IF(SUM(AN38:AN39)=0,AM40,SUM(AN38:AN39))</f>
        <v>54850</v>
      </c>
      <c r="AO40" s="814">
        <f>IF(SUM(AO38:AO39)=0,AN40,SUM(AO38:AO39))</f>
        <v>54975</v>
      </c>
      <c r="AP40" s="814">
        <f>SUM(AP38:AP39)</f>
        <v>54898</v>
      </c>
      <c r="AQ40" s="814">
        <f>IF(SUM(AQ38:AQ39)=0,AP40,SUM(AQ38:AQ39))</f>
        <v>55198.96</v>
      </c>
      <c r="AR40" s="814">
        <f>IF(SUM(AR38:AR39)=0,AQ40,SUM(AR38:AR39))</f>
        <v>55178</v>
      </c>
      <c r="AS40" s="814">
        <f t="shared" si="10"/>
        <v>280</v>
      </c>
      <c r="AT40" s="2242">
        <f t="shared" si="11"/>
        <v>5.1003679551167623E-3</v>
      </c>
      <c r="AU40" s="882">
        <f>SUM(AU38:AU39)</f>
        <v>0</v>
      </c>
      <c r="AV40" s="819"/>
      <c r="AW40" s="797">
        <f>SUM(AU40-H40)</f>
        <v>-8900</v>
      </c>
      <c r="AX40" s="805">
        <f>IF(H40&gt;0,AW40/H40,"")</f>
        <v>-1</v>
      </c>
      <c r="AY40" s="807"/>
      <c r="AZ40" s="2136"/>
      <c r="BA40" s="2136"/>
    </row>
    <row r="41" spans="1:54" ht="13.9" hidden="1" customHeight="1" outlineLevel="1" x14ac:dyDescent="0.2">
      <c r="A41" s="855"/>
      <c r="B41" s="822"/>
      <c r="C41" s="823"/>
      <c r="D41" s="823"/>
      <c r="E41" s="824"/>
      <c r="F41" s="823"/>
      <c r="G41" s="825"/>
      <c r="H41" s="825"/>
      <c r="I41" s="826"/>
      <c r="J41" s="883"/>
      <c r="K41" s="856"/>
      <c r="L41" s="856"/>
      <c r="M41" s="857"/>
      <c r="N41" s="858"/>
      <c r="O41" s="856"/>
      <c r="P41" s="856"/>
      <c r="Q41" s="856"/>
      <c r="R41" s="856"/>
      <c r="S41" s="856"/>
      <c r="T41" s="856"/>
      <c r="U41" s="856"/>
      <c r="V41" s="856"/>
      <c r="W41" s="856"/>
      <c r="X41" s="856"/>
      <c r="Y41" s="856"/>
      <c r="Z41" s="856"/>
      <c r="AA41" s="856"/>
      <c r="AB41" s="856"/>
      <c r="AC41" s="856"/>
      <c r="AD41" s="856"/>
      <c r="AE41" s="856"/>
      <c r="AF41" s="856"/>
      <c r="AG41" s="856"/>
      <c r="AH41" s="856"/>
      <c r="AI41" s="856"/>
      <c r="AJ41" s="856"/>
      <c r="AK41" s="856"/>
      <c r="AL41" s="856"/>
      <c r="AM41" s="856"/>
      <c r="AN41" s="856"/>
      <c r="AO41" s="856"/>
      <c r="AP41" s="856"/>
      <c r="AQ41" s="856"/>
      <c r="AR41" s="856"/>
      <c r="AS41" s="856">
        <f t="shared" si="10"/>
        <v>0</v>
      </c>
      <c r="AT41" s="2243" t="str">
        <f t="shared" si="11"/>
        <v/>
      </c>
      <c r="AU41" s="833"/>
      <c r="AV41" s="834"/>
      <c r="AW41" s="823"/>
      <c r="AX41" s="835"/>
      <c r="AY41" s="836"/>
      <c r="AZ41" s="2136"/>
      <c r="BA41" s="2136"/>
    </row>
    <row r="42" spans="1:54" ht="13.9" hidden="1" customHeight="1" outlineLevel="1" x14ac:dyDescent="0.2">
      <c r="A42" s="808" t="s">
        <v>691</v>
      </c>
      <c r="B42" s="796"/>
      <c r="C42" s="797">
        <v>225000</v>
      </c>
      <c r="D42" s="797"/>
      <c r="E42" s="837"/>
      <c r="F42" s="797"/>
      <c r="G42" s="798"/>
      <c r="H42" s="798"/>
      <c r="J42" s="884"/>
      <c r="K42" s="859"/>
      <c r="L42" s="859"/>
      <c r="M42" s="859"/>
      <c r="N42" s="859"/>
      <c r="O42" s="859"/>
      <c r="P42" s="859"/>
      <c r="Q42" s="859"/>
      <c r="R42" s="859"/>
      <c r="S42" s="859"/>
      <c r="T42" s="859"/>
      <c r="U42" s="859"/>
      <c r="V42" s="859"/>
      <c r="W42" s="859"/>
      <c r="X42" s="859"/>
      <c r="Y42" s="859"/>
      <c r="Z42" s="859"/>
      <c r="AA42" s="859"/>
      <c r="AB42" s="859"/>
      <c r="AC42" s="859"/>
      <c r="AD42" s="859"/>
      <c r="AE42" s="859"/>
      <c r="AF42" s="859"/>
      <c r="AG42" s="859"/>
      <c r="AH42" s="859"/>
      <c r="AI42" s="859"/>
      <c r="AJ42" s="859"/>
      <c r="AK42" s="859"/>
      <c r="AL42" s="859"/>
      <c r="AM42" s="859"/>
      <c r="AN42" s="859"/>
      <c r="AO42" s="859"/>
      <c r="AP42" s="859"/>
      <c r="AQ42" s="859"/>
      <c r="AR42" s="859"/>
      <c r="AS42" s="859" t="str">
        <f t="shared" si="5"/>
        <v/>
      </c>
      <c r="AT42" s="2239" t="str">
        <f t="shared" si="6"/>
        <v/>
      </c>
      <c r="AU42" s="803"/>
      <c r="AV42" s="819"/>
      <c r="AW42" s="797"/>
      <c r="AX42" s="805"/>
      <c r="AY42" s="807"/>
      <c r="AZ42" s="2136"/>
      <c r="BA42" s="2136"/>
      <c r="BB42" s="2129" t="s">
        <v>1099</v>
      </c>
    </row>
    <row r="43" spans="1:54" ht="13.9" hidden="1" customHeight="1" outlineLevel="1" x14ac:dyDescent="0.2">
      <c r="A43" s="808" t="s">
        <v>818</v>
      </c>
      <c r="B43" s="796">
        <v>0</v>
      </c>
      <c r="C43" s="797">
        <v>0</v>
      </c>
      <c r="D43" s="797">
        <v>0</v>
      </c>
      <c r="E43" s="837">
        <v>0</v>
      </c>
      <c r="F43" s="797">
        <v>1780</v>
      </c>
      <c r="G43" s="798">
        <v>1780</v>
      </c>
      <c r="H43" s="798">
        <v>0</v>
      </c>
      <c r="I43" s="715">
        <v>0</v>
      </c>
      <c r="J43" s="839">
        <v>0</v>
      </c>
      <c r="K43" s="817">
        <v>0</v>
      </c>
      <c r="L43" s="817"/>
      <c r="M43" s="817"/>
      <c r="N43" s="817"/>
      <c r="O43" s="817"/>
      <c r="P43" s="817" t="e">
        <f>O43*(1+#REF!)</f>
        <v>#REF!</v>
      </c>
      <c r="Q43" s="817"/>
      <c r="R43" s="817" t="e">
        <f>Q43*(1+#REF!)</f>
        <v>#REF!</v>
      </c>
      <c r="S43" s="817"/>
      <c r="T43" s="817">
        <v>0</v>
      </c>
      <c r="U43" s="817"/>
      <c r="V43" s="817" t="e">
        <f>S43*(1+#REF!)</f>
        <v>#REF!</v>
      </c>
      <c r="W43" s="817"/>
      <c r="X43" s="817" t="e">
        <f>S43*(1+#REF!)</f>
        <v>#REF!</v>
      </c>
      <c r="Y43" s="817"/>
      <c r="Z43" s="843">
        <f>Y43*(1+$A$2/100)</f>
        <v>0</v>
      </c>
      <c r="AA43" s="817"/>
      <c r="AB43" s="843">
        <f>AA43*(1+$A$2/100)</f>
        <v>0</v>
      </c>
      <c r="AC43" s="817"/>
      <c r="AD43" s="817"/>
      <c r="AE43" s="817"/>
      <c r="AF43" s="817"/>
      <c r="AG43" s="817"/>
      <c r="AH43" s="817"/>
      <c r="AI43" s="817"/>
      <c r="AJ43" s="817"/>
      <c r="AK43" s="817"/>
      <c r="AL43" s="817"/>
      <c r="AM43" s="817"/>
      <c r="AN43" s="817"/>
      <c r="AO43" s="817"/>
      <c r="AP43" s="817"/>
      <c r="AQ43" s="817"/>
      <c r="AR43" s="817"/>
      <c r="AS43" s="817" t="str">
        <f t="shared" si="5"/>
        <v/>
      </c>
      <c r="AT43" s="2240" t="str">
        <f t="shared" si="6"/>
        <v/>
      </c>
      <c r="AU43" s="803">
        <v>0</v>
      </c>
      <c r="AV43" s="819"/>
      <c r="AW43" s="797">
        <f>SUM(AU43-H43)</f>
        <v>0</v>
      </c>
      <c r="AX43" s="805" t="str">
        <f>IF(H43&gt;0,AW43/H43,"")</f>
        <v/>
      </c>
      <c r="AY43" s="807"/>
      <c r="AZ43" s="2136"/>
      <c r="BA43" s="2136"/>
      <c r="BB43" s="2129" t="s">
        <v>1099</v>
      </c>
    </row>
    <row r="44" spans="1:54" ht="13.9" hidden="1" customHeight="1" outlineLevel="1" x14ac:dyDescent="0.2">
      <c r="A44" s="808" t="s">
        <v>562</v>
      </c>
      <c r="B44" s="796"/>
      <c r="C44" s="797"/>
      <c r="D44" s="797"/>
      <c r="E44" s="837"/>
      <c r="F44" s="797"/>
      <c r="G44" s="798">
        <v>0</v>
      </c>
      <c r="H44" s="798">
        <v>0</v>
      </c>
      <c r="I44" s="715">
        <v>0</v>
      </c>
      <c r="J44" s="839">
        <v>0</v>
      </c>
      <c r="K44" s="817">
        <v>0</v>
      </c>
      <c r="L44" s="817"/>
      <c r="M44" s="817"/>
      <c r="N44" s="817"/>
      <c r="O44" s="817"/>
      <c r="P44" s="817" t="e">
        <f>O44*(1+#REF!)</f>
        <v>#REF!</v>
      </c>
      <c r="Q44" s="817"/>
      <c r="R44" s="817" t="e">
        <f>Q44*(1+#REF!)</f>
        <v>#REF!</v>
      </c>
      <c r="S44" s="817"/>
      <c r="T44" s="817">
        <v>0</v>
      </c>
      <c r="U44" s="817"/>
      <c r="V44" s="817" t="e">
        <f>S44*(1+#REF!)</f>
        <v>#REF!</v>
      </c>
      <c r="W44" s="817"/>
      <c r="X44" s="817" t="e">
        <f>S44*(1+#REF!)</f>
        <v>#REF!</v>
      </c>
      <c r="Y44" s="817"/>
      <c r="Z44" s="817" t="e">
        <f>U44*(1+#REF!)</f>
        <v>#REF!</v>
      </c>
      <c r="AA44" s="817"/>
      <c r="AB44" s="817">
        <f>W44*(1+BE$8)</f>
        <v>0</v>
      </c>
      <c r="AC44" s="817"/>
      <c r="AD44" s="817"/>
      <c r="AE44" s="817"/>
      <c r="AF44" s="843">
        <v>0</v>
      </c>
      <c r="AG44" s="843"/>
      <c r="AH44" s="843"/>
      <c r="AI44" s="817"/>
      <c r="AJ44" s="817"/>
      <c r="AK44" s="817"/>
      <c r="AL44" s="817"/>
      <c r="AM44" s="817"/>
      <c r="AN44" s="817"/>
      <c r="AO44" s="817"/>
      <c r="AP44" s="817"/>
      <c r="AQ44" s="817"/>
      <c r="AR44" s="817"/>
      <c r="AS44" s="817" t="str">
        <f t="shared" si="5"/>
        <v/>
      </c>
      <c r="AT44" s="2240" t="str">
        <f t="shared" si="6"/>
        <v/>
      </c>
      <c r="AU44" s="803">
        <v>0</v>
      </c>
      <c r="AV44" s="819"/>
      <c r="AW44" s="797">
        <f>SUM(AU44-H44)</f>
        <v>0</v>
      </c>
      <c r="AX44" s="805" t="str">
        <f>IF(H44&gt;0,AW44/H44,"")</f>
        <v/>
      </c>
      <c r="AY44" s="807"/>
      <c r="AZ44" s="2136"/>
      <c r="BA44" s="2136"/>
      <c r="BB44" s="2129" t="s">
        <v>1099</v>
      </c>
    </row>
    <row r="45" spans="1:54" ht="13.9" hidden="1" customHeight="1" outlineLevel="1" x14ac:dyDescent="0.2">
      <c r="A45" s="886" t="s">
        <v>565</v>
      </c>
      <c r="B45" s="809">
        <f>SUM(B43)</f>
        <v>0</v>
      </c>
      <c r="C45" s="810">
        <f>SUM(C43:C44)</f>
        <v>0</v>
      </c>
      <c r="D45" s="810">
        <f t="shared" ref="D45:I45" si="14">SUM(D43:D44)</f>
        <v>0</v>
      </c>
      <c r="E45" s="810">
        <f t="shared" si="14"/>
        <v>0</v>
      </c>
      <c r="F45" s="810">
        <f t="shared" si="14"/>
        <v>1780</v>
      </c>
      <c r="G45" s="810">
        <f t="shared" si="14"/>
        <v>1780</v>
      </c>
      <c r="H45" s="810">
        <f t="shared" si="14"/>
        <v>0</v>
      </c>
      <c r="I45" s="810">
        <f t="shared" si="14"/>
        <v>0</v>
      </c>
      <c r="J45" s="813">
        <v>0</v>
      </c>
      <c r="K45" s="814">
        <v>0</v>
      </c>
      <c r="L45" s="814"/>
      <c r="M45" s="814"/>
      <c r="N45" s="814"/>
      <c r="O45" s="814"/>
      <c r="P45" s="880" t="e">
        <f>SUM(P43:P44)</f>
        <v>#REF!</v>
      </c>
      <c r="Q45" s="852" t="e">
        <f>IF(SUM(Q43:Q44)=0,P45,SUM(Q43:Q44))</f>
        <v>#REF!</v>
      </c>
      <c r="R45" s="880" t="e">
        <f>SUM(R43:R44)</f>
        <v>#REF!</v>
      </c>
      <c r="S45" s="852" t="e">
        <f>IF(SUM(S43:S44)=0,R45,SUM(S43:S44))</f>
        <v>#REF!</v>
      </c>
      <c r="T45" s="852">
        <v>0</v>
      </c>
      <c r="U45" s="852">
        <v>0</v>
      </c>
      <c r="V45" s="880" t="e">
        <f>SUM(V43:V44)</f>
        <v>#REF!</v>
      </c>
      <c r="W45" s="852" t="e">
        <f>IF(SUM(W43:W44)=0,V45,SUM(W43:W44))</f>
        <v>#REF!</v>
      </c>
      <c r="X45" s="880" t="e">
        <f>SUM(X43:X44)</f>
        <v>#REF!</v>
      </c>
      <c r="Y45" s="852" t="e">
        <f>IF(SUM(Y43:Y44)=0,X45,SUM(Y43:Y44))</f>
        <v>#REF!</v>
      </c>
      <c r="Z45" s="880" t="e">
        <f>SUM(Z43:Z44)</f>
        <v>#REF!</v>
      </c>
      <c r="AA45" s="852" t="e">
        <f>IF(SUM(AA43:AA44)=0,Z45,SUM(AA43:AA44))</f>
        <v>#REF!</v>
      </c>
      <c r="AB45" s="880">
        <f>SUM(AB43:AB44)</f>
        <v>0</v>
      </c>
      <c r="AC45" s="852"/>
      <c r="AD45" s="852"/>
      <c r="AE45" s="852">
        <v>0</v>
      </c>
      <c r="AF45" s="814"/>
      <c r="AG45" s="814">
        <v>0</v>
      </c>
      <c r="AH45" s="814"/>
      <c r="AI45" s="814">
        <v>0</v>
      </c>
      <c r="AJ45" s="814"/>
      <c r="AK45" s="814"/>
      <c r="AL45" s="814"/>
      <c r="AM45" s="814"/>
      <c r="AN45" s="814"/>
      <c r="AO45" s="814"/>
      <c r="AP45" s="814"/>
      <c r="AQ45" s="814"/>
      <c r="AR45" s="814"/>
      <c r="AS45" s="814" t="str">
        <f t="shared" si="5"/>
        <v/>
      </c>
      <c r="AT45" s="2242" t="str">
        <f t="shared" si="6"/>
        <v/>
      </c>
      <c r="AU45" s="882">
        <f>SUM(AU43:AU44)</f>
        <v>0</v>
      </c>
      <c r="AV45" s="819"/>
      <c r="AW45" s="797">
        <f>SUM(AU45-H45)</f>
        <v>0</v>
      </c>
      <c r="AX45" s="805" t="str">
        <f>IF(H45&gt;0,AW45/H45,"")</f>
        <v/>
      </c>
      <c r="AY45" s="807"/>
      <c r="AZ45" s="2136"/>
      <c r="BA45" s="2136"/>
      <c r="BB45" s="2129" t="s">
        <v>1099</v>
      </c>
    </row>
    <row r="46" spans="1:54" ht="13.9" hidden="1" customHeight="1" outlineLevel="1" x14ac:dyDescent="0.2">
      <c r="A46" s="855"/>
      <c r="B46" s="822"/>
      <c r="C46" s="823"/>
      <c r="D46" s="823"/>
      <c r="E46" s="824"/>
      <c r="F46" s="823"/>
      <c r="G46" s="825"/>
      <c r="H46" s="825"/>
      <c r="I46" s="826"/>
      <c r="J46" s="883"/>
      <c r="K46" s="856"/>
      <c r="L46" s="856"/>
      <c r="M46" s="857"/>
      <c r="N46" s="856"/>
      <c r="O46" s="856"/>
      <c r="P46" s="856"/>
      <c r="Q46" s="856"/>
      <c r="R46" s="856"/>
      <c r="S46" s="856"/>
      <c r="T46" s="856"/>
      <c r="U46" s="856"/>
      <c r="V46" s="856"/>
      <c r="W46" s="856"/>
      <c r="X46" s="856"/>
      <c r="Y46" s="856"/>
      <c r="Z46" s="856"/>
      <c r="AA46" s="856"/>
      <c r="AB46" s="856"/>
      <c r="AC46" s="856"/>
      <c r="AD46" s="856"/>
      <c r="AE46" s="856"/>
      <c r="AF46" s="856"/>
      <c r="AG46" s="856"/>
      <c r="AH46" s="856"/>
      <c r="AI46" s="856"/>
      <c r="AJ46" s="856"/>
      <c r="AK46" s="856"/>
      <c r="AL46" s="856"/>
      <c r="AM46" s="856"/>
      <c r="AN46" s="856"/>
      <c r="AO46" s="856"/>
      <c r="AP46" s="856"/>
      <c r="AQ46" s="856"/>
      <c r="AR46" s="856"/>
      <c r="AS46" s="856" t="str">
        <f t="shared" si="5"/>
        <v/>
      </c>
      <c r="AT46" s="2243" t="str">
        <f t="shared" si="6"/>
        <v/>
      </c>
      <c r="AU46" s="833"/>
      <c r="AV46" s="834"/>
      <c r="AW46" s="823"/>
      <c r="AX46" s="835"/>
      <c r="AY46" s="836"/>
      <c r="AZ46" s="2136"/>
      <c r="BA46" s="2136"/>
      <c r="BB46" s="2129" t="s">
        <v>1099</v>
      </c>
    </row>
    <row r="47" spans="1:54" ht="13.9" hidden="1" customHeight="1" outlineLevel="1" x14ac:dyDescent="0.2">
      <c r="A47" s="808" t="s">
        <v>566</v>
      </c>
      <c r="B47" s="796"/>
      <c r="C47" s="797"/>
      <c r="D47" s="797"/>
      <c r="E47" s="837"/>
      <c r="F47" s="797"/>
      <c r="G47" s="798"/>
      <c r="H47" s="798"/>
      <c r="J47" s="884"/>
      <c r="K47" s="859"/>
      <c r="L47" s="859"/>
      <c r="M47" s="859"/>
      <c r="N47" s="859"/>
      <c r="O47" s="859"/>
      <c r="P47" s="859"/>
      <c r="Q47" s="859"/>
      <c r="R47" s="859"/>
      <c r="S47" s="859"/>
      <c r="T47" s="859"/>
      <c r="U47" s="859"/>
      <c r="V47" s="859"/>
      <c r="W47" s="859"/>
      <c r="X47" s="859"/>
      <c r="Y47" s="859"/>
      <c r="Z47" s="859"/>
      <c r="AA47" s="859"/>
      <c r="AB47" s="859"/>
      <c r="AC47" s="859"/>
      <c r="AD47" s="859"/>
      <c r="AE47" s="859"/>
      <c r="AF47" s="859"/>
      <c r="AG47" s="859"/>
      <c r="AH47" s="859"/>
      <c r="AI47" s="859"/>
      <c r="AJ47" s="859"/>
      <c r="AK47" s="859"/>
      <c r="AL47" s="859"/>
      <c r="AM47" s="859"/>
      <c r="AN47" s="859"/>
      <c r="AO47" s="859"/>
      <c r="AP47" s="859"/>
      <c r="AQ47" s="859"/>
      <c r="AR47" s="859"/>
      <c r="AS47" s="859">
        <f t="shared" ref="AS47:AS74" si="15">AR47-AP47</f>
        <v>0</v>
      </c>
      <c r="AT47" s="2239" t="str">
        <f t="shared" ref="AT47:AT74" si="16">IF(AP47&gt;0,AS47/AP47,"")</f>
        <v/>
      </c>
      <c r="AU47" s="803"/>
      <c r="AV47" s="819"/>
      <c r="AW47" s="797"/>
      <c r="AX47" s="805"/>
      <c r="AY47" s="807"/>
      <c r="AZ47" s="2136"/>
      <c r="BA47" s="2136"/>
    </row>
    <row r="48" spans="1:54" ht="13.9" hidden="1" customHeight="1" outlineLevel="1" x14ac:dyDescent="0.2">
      <c r="A48" s="808" t="s">
        <v>567</v>
      </c>
      <c r="B48" s="799">
        <v>54553</v>
      </c>
      <c r="C48" s="799">
        <v>54553</v>
      </c>
      <c r="D48" s="797">
        <v>56190</v>
      </c>
      <c r="E48" s="797">
        <v>56190</v>
      </c>
      <c r="F48" s="797">
        <v>56190</v>
      </c>
      <c r="G48" s="798">
        <v>69978</v>
      </c>
      <c r="H48" s="798">
        <v>58215</v>
      </c>
      <c r="I48" s="798">
        <v>57465</v>
      </c>
      <c r="J48" s="839">
        <v>59336</v>
      </c>
      <c r="K48" s="817"/>
      <c r="L48" s="876">
        <v>60937</v>
      </c>
      <c r="M48" s="840">
        <v>62583</v>
      </c>
      <c r="N48" s="841">
        <v>64272</v>
      </c>
      <c r="O48" s="817">
        <v>64272</v>
      </c>
      <c r="P48" s="843">
        <v>64272</v>
      </c>
      <c r="Q48" s="843">
        <v>64272</v>
      </c>
      <c r="R48" s="843">
        <v>64272</v>
      </c>
      <c r="S48" s="817"/>
      <c r="T48" s="817">
        <v>65557</v>
      </c>
      <c r="U48" s="817">
        <v>65557</v>
      </c>
      <c r="V48" s="843">
        <v>66868</v>
      </c>
      <c r="W48" s="817">
        <f>V48</f>
        <v>66868</v>
      </c>
      <c r="X48" s="843">
        <v>68205</v>
      </c>
      <c r="Y48" s="843">
        <v>68205</v>
      </c>
      <c r="Z48" s="843">
        <v>78365</v>
      </c>
      <c r="AA48" s="843">
        <f>Z48</f>
        <v>78365</v>
      </c>
      <c r="AB48" s="843">
        <v>89910</v>
      </c>
      <c r="AC48" s="843">
        <f>AB48</f>
        <v>89910</v>
      </c>
      <c r="AD48" s="843"/>
      <c r="AE48" s="843">
        <v>93892</v>
      </c>
      <c r="AF48" s="843"/>
      <c r="AG48" s="843">
        <v>96708.760000000009</v>
      </c>
      <c r="AH48" s="843">
        <v>98405</v>
      </c>
      <c r="AI48" s="843">
        <v>101357.15000000001</v>
      </c>
      <c r="AJ48" s="843">
        <v>103920</v>
      </c>
      <c r="AK48" s="843">
        <v>107037.6</v>
      </c>
      <c r="AL48" s="843">
        <v>106363</v>
      </c>
      <c r="AM48" s="843">
        <f>AL48*$AH$3</f>
        <v>108490.26</v>
      </c>
      <c r="AN48" s="843">
        <v>108493</v>
      </c>
      <c r="AO48" s="843">
        <v>111205.325</v>
      </c>
      <c r="AP48" s="843">
        <v>110664</v>
      </c>
      <c r="AQ48" s="843">
        <f>AP48*$AH$3</f>
        <v>112877.28</v>
      </c>
      <c r="AR48" s="843">
        <f>'[1]BUDGET DETAIL'!$CO$73</f>
        <v>115944</v>
      </c>
      <c r="AS48" s="843">
        <f t="shared" si="15"/>
        <v>5280</v>
      </c>
      <c r="AT48" s="2239">
        <f t="shared" si="16"/>
        <v>4.7711993060073739E-2</v>
      </c>
      <c r="AU48" s="844"/>
      <c r="AV48" s="819"/>
      <c r="AW48" s="797">
        <f>SUM(AU48-H48)</f>
        <v>-58215</v>
      </c>
      <c r="AX48" s="805">
        <f>IF(H48&gt;0,AW48/H48,"")</f>
        <v>-1</v>
      </c>
      <c r="AY48" s="807"/>
      <c r="AZ48" s="2136"/>
      <c r="BA48" s="2136"/>
    </row>
    <row r="49" spans="1:54" ht="13.9" hidden="1" customHeight="1" outlineLevel="1" x14ac:dyDescent="0.2">
      <c r="A49" s="808" t="s">
        <v>558</v>
      </c>
      <c r="B49" s="799">
        <v>31152</v>
      </c>
      <c r="C49" s="799">
        <v>30274.05</v>
      </c>
      <c r="D49" s="797">
        <v>31677</v>
      </c>
      <c r="E49" s="797">
        <v>30187.45</v>
      </c>
      <c r="F49" s="797">
        <v>31677</v>
      </c>
      <c r="G49" s="798">
        <v>29994.86</v>
      </c>
      <c r="H49" s="798">
        <v>30409</v>
      </c>
      <c r="I49" s="798">
        <v>30390.240000000002</v>
      </c>
      <c r="J49" s="839">
        <v>31250</v>
      </c>
      <c r="K49" s="817"/>
      <c r="L49" s="876">
        <v>26966.44</v>
      </c>
      <c r="M49" s="840">
        <v>31232</v>
      </c>
      <c r="N49" s="841">
        <v>20167</v>
      </c>
      <c r="O49" s="817">
        <v>33043</v>
      </c>
      <c r="P49" s="817">
        <v>33043</v>
      </c>
      <c r="Q49" s="817">
        <v>33043</v>
      </c>
      <c r="R49" s="817">
        <v>33043</v>
      </c>
      <c r="S49" s="817"/>
      <c r="T49" s="817">
        <v>35573</v>
      </c>
      <c r="U49" s="817">
        <v>35573</v>
      </c>
      <c r="V49" s="843">
        <v>37598</v>
      </c>
      <c r="W49" s="817">
        <f>V49</f>
        <v>37598</v>
      </c>
      <c r="X49" s="843">
        <v>36096</v>
      </c>
      <c r="Y49" s="843">
        <v>36096</v>
      </c>
      <c r="Z49" s="843">
        <v>42171</v>
      </c>
      <c r="AA49" s="843">
        <f>Z49</f>
        <v>42171</v>
      </c>
      <c r="AB49" s="843">
        <v>44051</v>
      </c>
      <c r="AC49" s="843">
        <f>AB49</f>
        <v>44051</v>
      </c>
      <c r="AD49" s="843"/>
      <c r="AE49" s="843">
        <v>45986</v>
      </c>
      <c r="AF49" s="843"/>
      <c r="AG49" s="843">
        <v>47365.58</v>
      </c>
      <c r="AH49" s="843">
        <v>48178</v>
      </c>
      <c r="AI49" s="843">
        <v>49623.340000000004</v>
      </c>
      <c r="AJ49" s="843">
        <v>50941</v>
      </c>
      <c r="AK49" s="843">
        <v>52469.23</v>
      </c>
      <c r="AL49" s="843">
        <v>52094</v>
      </c>
      <c r="AM49" s="843">
        <f>AL49*$AH$3</f>
        <v>53135.88</v>
      </c>
      <c r="AN49" s="843">
        <v>62553</v>
      </c>
      <c r="AO49" s="843">
        <v>64116.824999999997</v>
      </c>
      <c r="AP49" s="843">
        <v>63793</v>
      </c>
      <c r="AQ49" s="843">
        <f>AP49*$AH$3</f>
        <v>65068.86</v>
      </c>
      <c r="AR49" s="843">
        <f>'[1]BUDGET DETAIL'!$CO$77</f>
        <v>65422</v>
      </c>
      <c r="AS49" s="843">
        <f t="shared" si="15"/>
        <v>1629</v>
      </c>
      <c r="AT49" s="2239">
        <f t="shared" si="16"/>
        <v>2.5535717084946626E-2</v>
      </c>
      <c r="AU49" s="844"/>
      <c r="AV49" s="819"/>
      <c r="AW49" s="797">
        <f>SUM(AU49-H49)</f>
        <v>-30409</v>
      </c>
      <c r="AX49" s="805">
        <f>IF(H49&gt;0,AW49/H49,"")</f>
        <v>-1</v>
      </c>
      <c r="AY49" s="807"/>
      <c r="AZ49" s="2136"/>
      <c r="BA49" s="2136"/>
    </row>
    <row r="50" spans="1:54" ht="13.9" hidden="1" customHeight="1" outlineLevel="1" x14ac:dyDescent="0.2">
      <c r="A50" s="808" t="s">
        <v>820</v>
      </c>
      <c r="B50" s="799">
        <v>13225</v>
      </c>
      <c r="C50" s="799">
        <v>12044.74</v>
      </c>
      <c r="D50" s="797">
        <f>2005+15975</f>
        <v>17980</v>
      </c>
      <c r="E50" s="797">
        <v>17150.7</v>
      </c>
      <c r="F50" s="797">
        <v>17980</v>
      </c>
      <c r="G50" s="798">
        <v>17950.23</v>
      </c>
      <c r="H50" s="798">
        <v>21555</v>
      </c>
      <c r="I50" s="798">
        <v>21555</v>
      </c>
      <c r="J50" s="839">
        <v>21555</v>
      </c>
      <c r="K50" s="817"/>
      <c r="L50" s="845">
        <v>20995.96</v>
      </c>
      <c r="M50" s="845">
        <v>22740</v>
      </c>
      <c r="N50" s="846">
        <v>20460</v>
      </c>
      <c r="O50" s="817">
        <v>20788</v>
      </c>
      <c r="P50" s="817">
        <v>20788</v>
      </c>
      <c r="Q50" s="817">
        <v>20788</v>
      </c>
      <c r="R50" s="817">
        <v>20788</v>
      </c>
      <c r="S50" s="817"/>
      <c r="T50" s="817">
        <v>21530</v>
      </c>
      <c r="U50" s="817">
        <v>21530</v>
      </c>
      <c r="V50" s="843">
        <v>21960</v>
      </c>
      <c r="W50" s="817">
        <f>V50</f>
        <v>21960</v>
      </c>
      <c r="X50" s="843">
        <v>22619</v>
      </c>
      <c r="Y50" s="843">
        <v>22619</v>
      </c>
      <c r="Z50" s="843">
        <v>23297</v>
      </c>
      <c r="AA50" s="843">
        <f>Z50</f>
        <v>23297</v>
      </c>
      <c r="AB50" s="843">
        <v>23996</v>
      </c>
      <c r="AC50" s="843">
        <f>AB50</f>
        <v>23996</v>
      </c>
      <c r="AD50" s="843"/>
      <c r="AE50" s="843">
        <v>26126</v>
      </c>
      <c r="AF50" s="843"/>
      <c r="AG50" s="843">
        <v>26126</v>
      </c>
      <c r="AH50" s="843">
        <v>30226</v>
      </c>
      <c r="AI50" s="843">
        <v>30226</v>
      </c>
      <c r="AJ50" s="843">
        <v>30226</v>
      </c>
      <c r="AK50" s="843">
        <v>30226</v>
      </c>
      <c r="AL50" s="843">
        <v>32026</v>
      </c>
      <c r="AM50" s="843">
        <f>AL50*$AH$4</f>
        <v>32026</v>
      </c>
      <c r="AN50" s="843">
        <v>37026</v>
      </c>
      <c r="AO50" s="843">
        <v>37026</v>
      </c>
      <c r="AP50" s="843">
        <v>37026</v>
      </c>
      <c r="AQ50" s="843">
        <f>AP50*$AH$4</f>
        <v>37026</v>
      </c>
      <c r="AR50" s="843">
        <f>'[1]BUDGET DETAIL'!$CO$88</f>
        <v>37026</v>
      </c>
      <c r="AS50" s="843">
        <f t="shared" si="15"/>
        <v>0</v>
      </c>
      <c r="AT50" s="2239">
        <f t="shared" si="16"/>
        <v>0</v>
      </c>
      <c r="AU50" s="844"/>
      <c r="AV50" s="819"/>
      <c r="AW50" s="797">
        <f>SUM(AU50-H50)</f>
        <v>-21555</v>
      </c>
      <c r="AX50" s="805">
        <f>IF(H50&gt;0,AW50/H50,"")</f>
        <v>-1</v>
      </c>
      <c r="AZ50" s="2136"/>
      <c r="BA50" s="2136"/>
    </row>
    <row r="51" spans="1:54" ht="13.9" hidden="1" customHeight="1" outlineLevel="1" x14ac:dyDescent="0.2">
      <c r="A51" s="878" t="s">
        <v>306</v>
      </c>
      <c r="B51" s="810">
        <f>SUM(B48:B50)</f>
        <v>98930</v>
      </c>
      <c r="C51" s="810">
        <f>SUM(C48:C50)</f>
        <v>96871.790000000008</v>
      </c>
      <c r="D51" s="810">
        <f t="shared" ref="D51:N51" si="17">SUM(D48:D50)</f>
        <v>105847</v>
      </c>
      <c r="E51" s="810">
        <f t="shared" si="17"/>
        <v>103528.15</v>
      </c>
      <c r="F51" s="810">
        <f t="shared" si="17"/>
        <v>105847</v>
      </c>
      <c r="G51" s="810">
        <f t="shared" si="17"/>
        <v>117923.09</v>
      </c>
      <c r="H51" s="810">
        <f t="shared" si="17"/>
        <v>110179</v>
      </c>
      <c r="I51" s="810">
        <f t="shared" si="17"/>
        <v>109410.24000000001</v>
      </c>
      <c r="J51" s="813">
        <f t="shared" si="17"/>
        <v>112141</v>
      </c>
      <c r="K51" s="814" t="s">
        <v>462</v>
      </c>
      <c r="L51" s="879">
        <f t="shared" si="17"/>
        <v>108899.4</v>
      </c>
      <c r="M51" s="879">
        <f t="shared" si="17"/>
        <v>116555</v>
      </c>
      <c r="N51" s="880">
        <f t="shared" si="17"/>
        <v>104899</v>
      </c>
      <c r="O51" s="814">
        <f>SUM(O48:O50)</f>
        <v>118103</v>
      </c>
      <c r="P51" s="880">
        <f>SUM(P48:P50)</f>
        <v>118103</v>
      </c>
      <c r="Q51" s="853">
        <f>IF(SUM(Q48:Q50)=0,P51,SUM(Q48:Q50))</f>
        <v>118103</v>
      </c>
      <c r="R51" s="880">
        <f>SUM(R48:R50)</f>
        <v>118103</v>
      </c>
      <c r="S51" s="853">
        <f>IF(SUM(S48:S50)=0,R51,SUM(S48:S50))</f>
        <v>118103</v>
      </c>
      <c r="T51" s="814">
        <v>122660</v>
      </c>
      <c r="U51" s="852">
        <v>122660</v>
      </c>
      <c r="V51" s="880">
        <f>SUM(V48:V50)</f>
        <v>126426</v>
      </c>
      <c r="W51" s="852">
        <f>IF(SUM(W48:W50)=0,V51,SUM(W48:W50))</f>
        <v>126426</v>
      </c>
      <c r="X51" s="880">
        <f>SUM(X48:X50)</f>
        <v>126920</v>
      </c>
      <c r="Y51" s="852">
        <f>IF(SUM(Y48:Y50)=0,X51,SUM(Y48:Y50))</f>
        <v>126920</v>
      </c>
      <c r="Z51" s="880">
        <f>SUM(Z48:Z50)</f>
        <v>143833</v>
      </c>
      <c r="AA51" s="852">
        <f>IF(SUM(AA48:AA50)=0,Z51,SUM(AA48:AA50))</f>
        <v>143833</v>
      </c>
      <c r="AB51" s="880">
        <f>SUM(AB48:AB50)</f>
        <v>157957</v>
      </c>
      <c r="AC51" s="852">
        <f>IF(SUM(AC48:AC50)=0,AB51,SUM(AC48:AC50))</f>
        <v>157957</v>
      </c>
      <c r="AD51" s="852"/>
      <c r="AE51" s="852">
        <v>166004</v>
      </c>
      <c r="AF51" s="852">
        <v>166004</v>
      </c>
      <c r="AG51" s="852">
        <v>170200.34000000003</v>
      </c>
      <c r="AH51" s="852">
        <v>176809</v>
      </c>
      <c r="AI51" s="814">
        <v>181206.49000000002</v>
      </c>
      <c r="AJ51" s="814">
        <v>185087</v>
      </c>
      <c r="AK51" s="814">
        <v>189732.83000000002</v>
      </c>
      <c r="AL51" s="814">
        <v>190483</v>
      </c>
      <c r="AM51" s="814">
        <f t="shared" ref="AM51:AR51" si="18">SUM(AM48:AM50)</f>
        <v>193652.13999999998</v>
      </c>
      <c r="AN51" s="814">
        <f t="shared" si="18"/>
        <v>208072</v>
      </c>
      <c r="AO51" s="814">
        <f t="shared" si="18"/>
        <v>212348.15</v>
      </c>
      <c r="AP51" s="814">
        <f t="shared" si="18"/>
        <v>211483</v>
      </c>
      <c r="AQ51" s="814">
        <f t="shared" si="18"/>
        <v>214972.14</v>
      </c>
      <c r="AR51" s="814">
        <f t="shared" si="18"/>
        <v>218392</v>
      </c>
      <c r="AS51" s="814">
        <f t="shared" si="15"/>
        <v>6909</v>
      </c>
      <c r="AT51" s="2242">
        <f t="shared" si="16"/>
        <v>3.2669292567251269E-2</v>
      </c>
      <c r="AU51" s="854">
        <f>SUM(AU48:AU50)</f>
        <v>0</v>
      </c>
      <c r="AV51" s="819"/>
      <c r="AW51" s="797">
        <f>SUM(AU51-H51)</f>
        <v>-110179</v>
      </c>
      <c r="AX51" s="805">
        <f>IF(H51&gt;0,AW51/H51,"")</f>
        <v>-1</v>
      </c>
      <c r="AY51" s="807"/>
      <c r="AZ51" s="2136"/>
      <c r="BA51" s="2136"/>
    </row>
    <row r="52" spans="1:54" ht="13.9" hidden="1" customHeight="1" outlineLevel="1" x14ac:dyDescent="0.2">
      <c r="A52" s="855"/>
      <c r="B52" s="822"/>
      <c r="C52" s="823"/>
      <c r="D52" s="823"/>
      <c r="E52" s="824"/>
      <c r="F52" s="823"/>
      <c r="G52" s="825"/>
      <c r="H52" s="825"/>
      <c r="I52" s="826"/>
      <c r="J52" s="883"/>
      <c r="K52" s="856"/>
      <c r="L52" s="863"/>
      <c r="M52" s="864"/>
      <c r="N52" s="858"/>
      <c r="O52" s="856"/>
      <c r="P52" s="856"/>
      <c r="Q52" s="856"/>
      <c r="R52" s="856"/>
      <c r="S52" s="856"/>
      <c r="T52" s="856"/>
      <c r="U52" s="856"/>
      <c r="V52" s="856"/>
      <c r="W52" s="856"/>
      <c r="X52" s="856"/>
      <c r="Y52" s="856"/>
      <c r="Z52" s="856"/>
      <c r="AA52" s="856"/>
      <c r="AB52" s="856"/>
      <c r="AC52" s="856"/>
      <c r="AD52" s="856"/>
      <c r="AE52" s="856"/>
      <c r="AF52" s="856"/>
      <c r="AG52" s="856"/>
      <c r="AH52" s="856"/>
      <c r="AI52" s="856"/>
      <c r="AJ52" s="856"/>
      <c r="AK52" s="856"/>
      <c r="AL52" s="856"/>
      <c r="AM52" s="856"/>
      <c r="AN52" s="856"/>
      <c r="AO52" s="856"/>
      <c r="AP52" s="856"/>
      <c r="AQ52" s="856"/>
      <c r="AR52" s="856"/>
      <c r="AS52" s="856">
        <f t="shared" si="15"/>
        <v>0</v>
      </c>
      <c r="AT52" s="2243" t="str">
        <f t="shared" si="16"/>
        <v/>
      </c>
      <c r="AU52" s="833"/>
      <c r="AV52" s="834"/>
      <c r="AW52" s="823"/>
      <c r="AX52" s="835"/>
      <c r="AY52" s="836"/>
      <c r="AZ52" s="2136"/>
      <c r="BA52" s="2136"/>
    </row>
    <row r="53" spans="1:54" ht="13.9" hidden="1" customHeight="1" outlineLevel="1" x14ac:dyDescent="0.2">
      <c r="A53" s="808" t="s">
        <v>697</v>
      </c>
      <c r="B53" s="796"/>
      <c r="C53" s="797"/>
      <c r="D53" s="797"/>
      <c r="E53" s="837"/>
      <c r="F53" s="797"/>
      <c r="G53" s="798"/>
      <c r="H53" s="798"/>
      <c r="J53" s="884"/>
      <c r="K53" s="859"/>
      <c r="L53" s="865"/>
      <c r="M53" s="865"/>
      <c r="N53" s="838"/>
      <c r="O53" s="859"/>
      <c r="P53" s="859"/>
      <c r="Q53" s="859"/>
      <c r="R53" s="859"/>
      <c r="S53" s="859"/>
      <c r="T53" s="859"/>
      <c r="U53" s="859"/>
      <c r="V53" s="859"/>
      <c r="W53" s="859"/>
      <c r="X53" s="859"/>
      <c r="Y53" s="859"/>
      <c r="Z53" s="859"/>
      <c r="AA53" s="859"/>
      <c r="AB53" s="859"/>
      <c r="AC53" s="859"/>
      <c r="AD53" s="859"/>
      <c r="AE53" s="859"/>
      <c r="AF53" s="859"/>
      <c r="AG53" s="859"/>
      <c r="AH53" s="859"/>
      <c r="AI53" s="859"/>
      <c r="AJ53" s="859"/>
      <c r="AK53" s="859"/>
      <c r="AL53" s="859"/>
      <c r="AM53" s="859"/>
      <c r="AN53" s="859"/>
      <c r="AO53" s="859"/>
      <c r="AP53" s="859"/>
      <c r="AQ53" s="859"/>
      <c r="AR53" s="859"/>
      <c r="AS53" s="859">
        <f t="shared" si="15"/>
        <v>0</v>
      </c>
      <c r="AT53" s="2239" t="str">
        <f t="shared" si="16"/>
        <v/>
      </c>
      <c r="AU53" s="803"/>
      <c r="AV53" s="819"/>
      <c r="AW53" s="797"/>
      <c r="AX53" s="805"/>
      <c r="AY53" s="807"/>
      <c r="AZ53" s="2136"/>
      <c r="BA53" s="2136"/>
    </row>
    <row r="54" spans="1:54" ht="13.9" hidden="1" customHeight="1" outlineLevel="1" x14ac:dyDescent="0.2">
      <c r="A54" s="808" t="s">
        <v>724</v>
      </c>
      <c r="B54" s="799">
        <v>59054</v>
      </c>
      <c r="C54" s="799">
        <v>59054</v>
      </c>
      <c r="D54" s="887">
        <v>60690</v>
      </c>
      <c r="E54" s="797">
        <v>60690</v>
      </c>
      <c r="F54" s="887">
        <v>60690</v>
      </c>
      <c r="G54" s="888">
        <v>60690</v>
      </c>
      <c r="H54" s="888">
        <v>62965</v>
      </c>
      <c r="I54" s="888">
        <f>4500+57465+1000</f>
        <v>62965</v>
      </c>
      <c r="J54" s="839">
        <v>64836</v>
      </c>
      <c r="K54" s="817"/>
      <c r="L54" s="876">
        <v>66437</v>
      </c>
      <c r="M54" s="840">
        <v>68083</v>
      </c>
      <c r="N54" s="841">
        <v>67372</v>
      </c>
      <c r="O54" s="817">
        <v>69772</v>
      </c>
      <c r="P54" s="889">
        <v>69772</v>
      </c>
      <c r="Q54" s="889">
        <v>69772</v>
      </c>
      <c r="R54" s="889">
        <v>69772</v>
      </c>
      <c r="S54" s="817"/>
      <c r="T54" s="817">
        <v>71807</v>
      </c>
      <c r="U54" s="817">
        <v>71807</v>
      </c>
      <c r="V54" s="843">
        <v>73118</v>
      </c>
      <c r="W54" s="817">
        <f>V54</f>
        <v>73118</v>
      </c>
      <c r="X54" s="843">
        <v>74455</v>
      </c>
      <c r="Y54" s="843">
        <v>74455</v>
      </c>
      <c r="Z54" s="843">
        <v>83865</v>
      </c>
      <c r="AA54" s="843">
        <f>Z54</f>
        <v>83865</v>
      </c>
      <c r="AB54" s="843">
        <v>77226</v>
      </c>
      <c r="AC54" s="843">
        <f>AB54</f>
        <v>77226</v>
      </c>
      <c r="AD54" s="843"/>
      <c r="AE54" s="843">
        <v>82500</v>
      </c>
      <c r="AF54" s="843"/>
      <c r="AG54" s="843">
        <v>84975</v>
      </c>
      <c r="AH54" s="843">
        <v>86244</v>
      </c>
      <c r="AI54" s="843">
        <v>88831.32</v>
      </c>
      <c r="AJ54" s="843">
        <v>90835</v>
      </c>
      <c r="AK54" s="843">
        <v>93560.05</v>
      </c>
      <c r="AL54" s="843">
        <v>92865</v>
      </c>
      <c r="AM54" s="843">
        <f>AL54*$AH$3</f>
        <v>94722.3</v>
      </c>
      <c r="AN54" s="843">
        <v>94639</v>
      </c>
      <c r="AO54" s="843">
        <v>97004.974999999991</v>
      </c>
      <c r="AP54" s="843">
        <v>96435</v>
      </c>
      <c r="AQ54" s="843">
        <f>AP54*$AH$3</f>
        <v>98363.7</v>
      </c>
      <c r="AR54" s="843">
        <f>'[1]BUDGET DETAIL'!$CO$96</f>
        <v>100872</v>
      </c>
      <c r="AS54" s="843">
        <f t="shared" si="15"/>
        <v>4437</v>
      </c>
      <c r="AT54" s="2239">
        <f t="shared" si="16"/>
        <v>4.6010265982267852E-2</v>
      </c>
      <c r="AU54" s="890"/>
      <c r="AV54" s="819"/>
      <c r="AW54" s="797">
        <f>SUM(AU54-H54)</f>
        <v>-62965</v>
      </c>
      <c r="AX54" s="805">
        <f>IF(H54&gt;0,AW54/H54,"")</f>
        <v>-1</v>
      </c>
      <c r="AY54" s="891"/>
      <c r="AZ54" s="2136"/>
      <c r="BA54" s="2136"/>
      <c r="BB54" s="2145"/>
    </row>
    <row r="55" spans="1:54" ht="13.9" hidden="1" customHeight="1" outlineLevel="1" x14ac:dyDescent="0.2">
      <c r="A55" s="808" t="s">
        <v>725</v>
      </c>
      <c r="B55" s="799">
        <v>31119</v>
      </c>
      <c r="C55" s="799">
        <v>30643.98</v>
      </c>
      <c r="D55" s="887">
        <v>31677</v>
      </c>
      <c r="E55" s="797">
        <v>31677</v>
      </c>
      <c r="F55" s="887">
        <v>31677</v>
      </c>
      <c r="G55" s="888">
        <v>31568.39</v>
      </c>
      <c r="H55" s="888">
        <v>33227</v>
      </c>
      <c r="I55" s="888">
        <f>32226.39+850</f>
        <v>33076.39</v>
      </c>
      <c r="J55" s="839">
        <v>34054</v>
      </c>
      <c r="K55" s="817"/>
      <c r="L55" s="876">
        <v>35099.4</v>
      </c>
      <c r="M55" s="840">
        <v>36023</v>
      </c>
      <c r="N55" s="841">
        <v>36964</v>
      </c>
      <c r="O55" s="817">
        <v>36964</v>
      </c>
      <c r="P55" s="892">
        <v>33855</v>
      </c>
      <c r="Q55" s="892">
        <v>33855</v>
      </c>
      <c r="R55" s="893">
        <v>33331</v>
      </c>
      <c r="S55" s="817"/>
      <c r="T55" s="817">
        <v>35028</v>
      </c>
      <c r="U55" s="817">
        <v>35028</v>
      </c>
      <c r="V55" s="843">
        <v>35897</v>
      </c>
      <c r="W55" s="817">
        <f>V55</f>
        <v>35897</v>
      </c>
      <c r="X55" s="843">
        <v>36596</v>
      </c>
      <c r="Y55" s="843">
        <v>36596</v>
      </c>
      <c r="Z55" s="843">
        <v>42704</v>
      </c>
      <c r="AA55" s="843">
        <f>Z55</f>
        <v>42704</v>
      </c>
      <c r="AB55" s="843">
        <v>44551</v>
      </c>
      <c r="AC55" s="843">
        <f>AB55</f>
        <v>44551</v>
      </c>
      <c r="AD55" s="843"/>
      <c r="AE55" s="843">
        <v>45266</v>
      </c>
      <c r="AF55" s="843"/>
      <c r="AG55" s="843">
        <v>46623.98</v>
      </c>
      <c r="AH55" s="843">
        <v>47406</v>
      </c>
      <c r="AI55" s="843">
        <v>48828.18</v>
      </c>
      <c r="AJ55" s="843">
        <v>50068</v>
      </c>
      <c r="AK55" s="843">
        <v>51570.04</v>
      </c>
      <c r="AL55" s="843">
        <v>50691</v>
      </c>
      <c r="AM55" s="843">
        <f>AL55*$AH$3</f>
        <v>51704.82</v>
      </c>
      <c r="AN55" s="843">
        <v>51718</v>
      </c>
      <c r="AO55" s="843">
        <v>53010.95</v>
      </c>
      <c r="AP55" s="843">
        <v>51131</v>
      </c>
      <c r="AQ55" s="843">
        <f>AP55*$AH$3</f>
        <v>52153.62</v>
      </c>
      <c r="AR55" s="843">
        <f>'[1]BUDGET DETAIL'!$CO$100</f>
        <v>52156</v>
      </c>
      <c r="AS55" s="843">
        <f t="shared" si="15"/>
        <v>1025</v>
      </c>
      <c r="AT55" s="2239">
        <f t="shared" si="16"/>
        <v>2.0046547104496295E-2</v>
      </c>
      <c r="AU55" s="890"/>
      <c r="AV55" s="819"/>
      <c r="AW55" s="797">
        <f>SUM(AU55-H55)</f>
        <v>-33227</v>
      </c>
      <c r="AX55" s="805">
        <f>IF(H55&gt;0,AW55/H55,"")</f>
        <v>-1</v>
      </c>
      <c r="AY55" s="807"/>
      <c r="AZ55" s="2136"/>
      <c r="BA55" s="2136"/>
    </row>
    <row r="56" spans="1:54" ht="13.9" hidden="1" customHeight="1" outlineLevel="1" x14ac:dyDescent="0.2">
      <c r="A56" s="808" t="s">
        <v>820</v>
      </c>
      <c r="B56" s="799">
        <v>17095</v>
      </c>
      <c r="C56" s="799">
        <v>11272.16</v>
      </c>
      <c r="D56" s="887">
        <v>14900</v>
      </c>
      <c r="E56" s="797">
        <v>12783.1</v>
      </c>
      <c r="F56" s="887">
        <v>14900</v>
      </c>
      <c r="G56" s="888">
        <v>14345.97</v>
      </c>
      <c r="H56" s="888">
        <v>16300</v>
      </c>
      <c r="I56" s="888">
        <f>15617.13</f>
        <v>15617.13</v>
      </c>
      <c r="J56" s="839">
        <v>16300</v>
      </c>
      <c r="K56" s="817"/>
      <c r="L56" s="845">
        <v>16131.66</v>
      </c>
      <c r="M56" s="845">
        <v>16830</v>
      </c>
      <c r="N56" s="846">
        <v>14200</v>
      </c>
      <c r="O56" s="817">
        <v>14200</v>
      </c>
      <c r="P56" s="892">
        <v>17309</v>
      </c>
      <c r="Q56" s="892">
        <v>17309</v>
      </c>
      <c r="R56" s="893">
        <v>17833</v>
      </c>
      <c r="S56" s="817"/>
      <c r="T56" s="817">
        <v>18190</v>
      </c>
      <c r="U56" s="817">
        <v>18190</v>
      </c>
      <c r="V56" s="843">
        <v>18550</v>
      </c>
      <c r="W56" s="817">
        <f>V56+2500</f>
        <v>21050</v>
      </c>
      <c r="X56" s="843">
        <v>30875</v>
      </c>
      <c r="Y56" s="843">
        <v>30875</v>
      </c>
      <c r="Z56" s="843">
        <v>31725</v>
      </c>
      <c r="AA56" s="843">
        <f>Z56</f>
        <v>31725</v>
      </c>
      <c r="AB56" s="843">
        <v>32650</v>
      </c>
      <c r="AC56" s="843">
        <f>AB56</f>
        <v>32650</v>
      </c>
      <c r="AD56" s="843"/>
      <c r="AE56" s="843">
        <v>33303</v>
      </c>
      <c r="AF56" s="843"/>
      <c r="AG56" s="843">
        <v>33303</v>
      </c>
      <c r="AH56" s="843">
        <v>33303</v>
      </c>
      <c r="AI56" s="843">
        <v>33303</v>
      </c>
      <c r="AJ56" s="843">
        <v>43303</v>
      </c>
      <c r="AK56" s="843">
        <v>43303</v>
      </c>
      <c r="AL56" s="843">
        <v>43695</v>
      </c>
      <c r="AM56" s="843">
        <f>AL56*$AH$4</f>
        <v>43695</v>
      </c>
      <c r="AN56" s="843">
        <v>55295</v>
      </c>
      <c r="AO56" s="843">
        <v>55295</v>
      </c>
      <c r="AP56" s="843">
        <v>55295</v>
      </c>
      <c r="AQ56" s="843">
        <f>AP56*$AH$4</f>
        <v>55295</v>
      </c>
      <c r="AR56" s="843">
        <f>'[1]BUDGET DETAIL'!$CO$117+ IF(BA56="yes",AZ56,0)</f>
        <v>56945</v>
      </c>
      <c r="AS56" s="843">
        <f t="shared" si="15"/>
        <v>1650</v>
      </c>
      <c r="AT56" s="2239">
        <f t="shared" si="16"/>
        <v>2.9839949362510172E-2</v>
      </c>
      <c r="AU56" s="890"/>
      <c r="AV56" s="819"/>
      <c r="AW56" s="797">
        <f>SUM(AU56-H56)</f>
        <v>-16300</v>
      </c>
      <c r="AX56" s="805">
        <f>IF(H56&gt;0,AW56/H56,"")</f>
        <v>-1</v>
      </c>
      <c r="AY56" s="1528"/>
      <c r="AZ56" s="2136">
        <f>SUM('[1]ABOVE GUIDELINES'!$J$7:$L$8)</f>
        <v>1650</v>
      </c>
      <c r="BA56" s="2321" t="s">
        <v>2506</v>
      </c>
      <c r="BB56" s="2942">
        <v>44998</v>
      </c>
    </row>
    <row r="57" spans="1:54" ht="13.9" hidden="1" customHeight="1" outlineLevel="1" x14ac:dyDescent="0.2">
      <c r="A57" s="894" t="s">
        <v>821</v>
      </c>
      <c r="B57" s="810">
        <f>SUM(B54:B56)</f>
        <v>107268</v>
      </c>
      <c r="C57" s="810">
        <f>SUM(C54:C56)</f>
        <v>100970.14</v>
      </c>
      <c r="D57" s="810">
        <f t="shared" ref="D57:L57" si="19">SUM(D54:D56)</f>
        <v>107267</v>
      </c>
      <c r="E57" s="810">
        <f t="shared" si="19"/>
        <v>105150.1</v>
      </c>
      <c r="F57" s="810">
        <f t="shared" si="19"/>
        <v>107267</v>
      </c>
      <c r="G57" s="810">
        <f t="shared" si="19"/>
        <v>106604.36</v>
      </c>
      <c r="H57" s="810">
        <f t="shared" si="19"/>
        <v>112492</v>
      </c>
      <c r="I57" s="810">
        <f t="shared" si="19"/>
        <v>111658.52</v>
      </c>
      <c r="J57" s="813">
        <f t="shared" si="19"/>
        <v>115190</v>
      </c>
      <c r="K57" s="814" t="s">
        <v>462</v>
      </c>
      <c r="L57" s="879">
        <f t="shared" si="19"/>
        <v>117668.06</v>
      </c>
      <c r="M57" s="879">
        <f>SUM(M54:M56)</f>
        <v>120936</v>
      </c>
      <c r="N57" s="880">
        <f>SUM(N54:N56)</f>
        <v>118536</v>
      </c>
      <c r="O57" s="814">
        <f>SUM(O54:O56)</f>
        <v>120936</v>
      </c>
      <c r="P57" s="814">
        <f>SUM(P54:P56)</f>
        <v>120936</v>
      </c>
      <c r="Q57" s="852">
        <f>IF(SUM(Q54:Q56)=0,P57,SUM(Q54:Q56))</f>
        <v>120936</v>
      </c>
      <c r="R57" s="814">
        <f>SUM(R54:R56)</f>
        <v>120936</v>
      </c>
      <c r="S57" s="853">
        <f>IF(SUM(S54:S56)=0,R57,SUM(S54:S56))</f>
        <v>120936</v>
      </c>
      <c r="T57" s="814">
        <v>125025</v>
      </c>
      <c r="U57" s="852">
        <v>125025</v>
      </c>
      <c r="V57" s="852">
        <f>SUM(V54:V56)</f>
        <v>127565</v>
      </c>
      <c r="W57" s="852">
        <f>IF(SUM(W54:W56)=0,V57,SUM(W54:W56))</f>
        <v>130065</v>
      </c>
      <c r="X57" s="852">
        <f>SUM(X54:X56)</f>
        <v>141926</v>
      </c>
      <c r="Y57" s="852">
        <f>IF(SUM(Y54:Y56)=0,X57,SUM(Y54:Y56))</f>
        <v>141926</v>
      </c>
      <c r="Z57" s="852">
        <f>SUM(Z54:Z56)</f>
        <v>158294</v>
      </c>
      <c r="AA57" s="852">
        <f>IF(SUM(AA54:AA56)=0,Z57,SUM(AA54:AA56))</f>
        <v>158294</v>
      </c>
      <c r="AB57" s="852">
        <f>SUM(AB54:AB56)</f>
        <v>154427</v>
      </c>
      <c r="AC57" s="852">
        <f>IF(SUM(AC54:AC56)=0,AB57,SUM(AC54:AC56))</f>
        <v>154427</v>
      </c>
      <c r="AD57" s="852"/>
      <c r="AE57" s="852">
        <v>161069</v>
      </c>
      <c r="AF57" s="852">
        <v>161069</v>
      </c>
      <c r="AG57" s="852">
        <v>164901.98000000001</v>
      </c>
      <c r="AH57" s="852">
        <v>166953</v>
      </c>
      <c r="AI57" s="814">
        <v>170962.5</v>
      </c>
      <c r="AJ57" s="814">
        <v>184206</v>
      </c>
      <c r="AK57" s="814">
        <v>188433.09</v>
      </c>
      <c r="AL57" s="814">
        <v>187251</v>
      </c>
      <c r="AM57" s="814">
        <f t="shared" ref="AM57:AR57" si="20">SUM(AM54:AM56)</f>
        <v>190122.12</v>
      </c>
      <c r="AN57" s="814">
        <f t="shared" si="20"/>
        <v>201652</v>
      </c>
      <c r="AO57" s="814">
        <f t="shared" si="20"/>
        <v>205310.92499999999</v>
      </c>
      <c r="AP57" s="814">
        <f t="shared" si="20"/>
        <v>202861</v>
      </c>
      <c r="AQ57" s="814">
        <f t="shared" si="20"/>
        <v>205812.32</v>
      </c>
      <c r="AR57" s="814">
        <f t="shared" si="20"/>
        <v>209973</v>
      </c>
      <c r="AS57" s="814">
        <f t="shared" si="15"/>
        <v>7112</v>
      </c>
      <c r="AT57" s="2242">
        <f t="shared" si="16"/>
        <v>3.5058488324517773E-2</v>
      </c>
      <c r="AU57" s="854">
        <f>SUM(AU54:AU56)</f>
        <v>0</v>
      </c>
      <c r="AV57" s="819"/>
      <c r="AW57" s="797">
        <f>SUM(AU57-H57)</f>
        <v>-112492</v>
      </c>
      <c r="AX57" s="805">
        <f>IF(H57&gt;0,AW57/H57,"")</f>
        <v>-1</v>
      </c>
      <c r="AY57" s="807"/>
      <c r="AZ57" s="2136"/>
      <c r="BA57" s="2136"/>
    </row>
    <row r="58" spans="1:54" ht="13.9" hidden="1" customHeight="1" outlineLevel="1" x14ac:dyDescent="0.2">
      <c r="A58" s="821"/>
      <c r="B58" s="822"/>
      <c r="C58" s="823"/>
      <c r="D58" s="823"/>
      <c r="E58" s="895"/>
      <c r="F58" s="823"/>
      <c r="G58" s="825"/>
      <c r="H58" s="825"/>
      <c r="I58" s="826"/>
      <c r="J58" s="896"/>
      <c r="K58" s="831"/>
      <c r="L58" s="897"/>
      <c r="M58" s="898"/>
      <c r="N58" s="899"/>
      <c r="O58" s="831"/>
      <c r="P58" s="831"/>
      <c r="Q58" s="831"/>
      <c r="R58" s="831"/>
      <c r="S58" s="831"/>
      <c r="T58" s="831"/>
      <c r="U58" s="831"/>
      <c r="V58" s="831"/>
      <c r="W58" s="831"/>
      <c r="X58" s="831"/>
      <c r="Y58" s="831"/>
      <c r="Z58" s="831"/>
      <c r="AA58" s="831"/>
      <c r="AB58" s="831"/>
      <c r="AC58" s="831"/>
      <c r="AD58" s="831"/>
      <c r="AE58" s="831"/>
      <c r="AF58" s="831"/>
      <c r="AG58" s="831"/>
      <c r="AH58" s="831"/>
      <c r="AI58" s="831"/>
      <c r="AJ58" s="831"/>
      <c r="AK58" s="831"/>
      <c r="AL58" s="831"/>
      <c r="AM58" s="831"/>
      <c r="AN58" s="831"/>
      <c r="AO58" s="831"/>
      <c r="AP58" s="831"/>
      <c r="AQ58" s="831"/>
      <c r="AR58" s="831"/>
      <c r="AS58" s="831">
        <f t="shared" si="15"/>
        <v>0</v>
      </c>
      <c r="AT58" s="2241" t="str">
        <f t="shared" si="16"/>
        <v/>
      </c>
      <c r="AU58" s="833"/>
      <c r="AV58" s="834"/>
      <c r="AW58" s="823"/>
      <c r="AX58" s="835"/>
      <c r="AY58" s="900"/>
      <c r="AZ58" s="2136"/>
      <c r="BA58" s="2136"/>
      <c r="BB58" s="2146"/>
    </row>
    <row r="59" spans="1:54" ht="13.9" hidden="1" customHeight="1" outlineLevel="1" x14ac:dyDescent="0.2">
      <c r="A59" s="808" t="s">
        <v>726</v>
      </c>
      <c r="B59" s="796"/>
      <c r="C59" s="797"/>
      <c r="D59" s="797"/>
      <c r="E59" s="867"/>
      <c r="F59" s="797"/>
      <c r="G59" s="798"/>
      <c r="H59" s="798"/>
      <c r="J59" s="848"/>
      <c r="K59" s="861"/>
      <c r="L59" s="901"/>
      <c r="M59" s="901"/>
      <c r="N59" s="902"/>
      <c r="O59" s="861"/>
      <c r="P59" s="861"/>
      <c r="Q59" s="861"/>
      <c r="R59" s="861"/>
      <c r="S59" s="861"/>
      <c r="T59" s="861"/>
      <c r="U59" s="861"/>
      <c r="V59" s="861"/>
      <c r="W59" s="861"/>
      <c r="X59" s="861"/>
      <c r="Y59" s="861"/>
      <c r="Z59" s="861"/>
      <c r="AA59" s="861"/>
      <c r="AB59" s="861"/>
      <c r="AC59" s="861"/>
      <c r="AD59" s="861"/>
      <c r="AE59" s="861"/>
      <c r="AF59" s="861"/>
      <c r="AG59" s="861"/>
      <c r="AH59" s="861"/>
      <c r="AI59" s="861"/>
      <c r="AJ59" s="861"/>
      <c r="AK59" s="861"/>
      <c r="AL59" s="861"/>
      <c r="AM59" s="861"/>
      <c r="AN59" s="861"/>
      <c r="AO59" s="861"/>
      <c r="AP59" s="861"/>
      <c r="AQ59" s="861"/>
      <c r="AR59" s="861"/>
      <c r="AS59" s="861">
        <f t="shared" si="15"/>
        <v>0</v>
      </c>
      <c r="AT59" s="2248" t="str">
        <f t="shared" si="16"/>
        <v/>
      </c>
      <c r="AU59" s="803"/>
      <c r="AV59" s="819"/>
      <c r="AW59" s="797"/>
      <c r="AX59" s="805"/>
      <c r="AY59" s="903"/>
      <c r="AZ59" s="2136"/>
      <c r="BA59" s="2136"/>
      <c r="BB59" s="2146"/>
    </row>
    <row r="60" spans="1:54" ht="13.9" hidden="1" customHeight="1" outlineLevel="1" x14ac:dyDescent="0.2">
      <c r="A60" s="808" t="s">
        <v>567</v>
      </c>
      <c r="B60" s="799">
        <v>49924</v>
      </c>
      <c r="C60" s="799">
        <v>49924</v>
      </c>
      <c r="D60" s="887">
        <v>52964</v>
      </c>
      <c r="E60" s="797">
        <v>52964</v>
      </c>
      <c r="F60" s="797">
        <v>52964</v>
      </c>
      <c r="G60" s="798">
        <v>52964</v>
      </c>
      <c r="H60" s="798">
        <v>55791</v>
      </c>
      <c r="I60" s="798">
        <v>55791</v>
      </c>
      <c r="J60" s="839">
        <v>59336</v>
      </c>
      <c r="K60" s="817"/>
      <c r="L60" s="876">
        <v>60937</v>
      </c>
      <c r="M60" s="840">
        <v>62583</v>
      </c>
      <c r="N60" s="841">
        <v>64272</v>
      </c>
      <c r="O60" s="817">
        <v>64272</v>
      </c>
      <c r="P60" s="843">
        <v>64272</v>
      </c>
      <c r="Q60" s="843">
        <v>64272</v>
      </c>
      <c r="R60" s="843">
        <v>64922</v>
      </c>
      <c r="S60" s="817"/>
      <c r="T60" s="817">
        <v>66307</v>
      </c>
      <c r="U60" s="817">
        <v>66307</v>
      </c>
      <c r="V60" s="843">
        <v>67618</v>
      </c>
      <c r="W60" s="817">
        <f>V60</f>
        <v>67618</v>
      </c>
      <c r="X60" s="843">
        <v>68955</v>
      </c>
      <c r="Y60" s="843">
        <v>68955</v>
      </c>
      <c r="Z60" s="843">
        <v>78365</v>
      </c>
      <c r="AA60" s="843">
        <f>Z60</f>
        <v>78365</v>
      </c>
      <c r="AB60" s="843">
        <v>93394</v>
      </c>
      <c r="AC60" s="843">
        <f>AB60</f>
        <v>93394</v>
      </c>
      <c r="AD60" s="843"/>
      <c r="AE60" s="843">
        <v>97471</v>
      </c>
      <c r="AF60" s="843"/>
      <c r="AG60" s="843">
        <v>100395.13</v>
      </c>
      <c r="AH60" s="843">
        <v>102109</v>
      </c>
      <c r="AI60" s="843">
        <v>105172.27</v>
      </c>
      <c r="AJ60" s="843">
        <v>107792</v>
      </c>
      <c r="AK60" s="843">
        <v>111025.76000000001</v>
      </c>
      <c r="AL60" s="843">
        <v>106363</v>
      </c>
      <c r="AM60" s="843">
        <f>AL60*$AH$3</f>
        <v>108490.26</v>
      </c>
      <c r="AN60" s="843">
        <v>108493</v>
      </c>
      <c r="AO60" s="843">
        <v>111205.325</v>
      </c>
      <c r="AP60" s="843">
        <v>110664</v>
      </c>
      <c r="AQ60" s="843">
        <f>AP60*$AH$3</f>
        <v>112877.28</v>
      </c>
      <c r="AR60" s="843">
        <f>'[1]BUDGET DETAIL'!$CO$124</f>
        <v>112445</v>
      </c>
      <c r="AS60" s="843">
        <f t="shared" si="15"/>
        <v>1781</v>
      </c>
      <c r="AT60" s="2239">
        <f t="shared" si="16"/>
        <v>1.6093761295452903E-2</v>
      </c>
      <c r="AU60" s="844"/>
      <c r="AV60" s="819"/>
      <c r="AW60" s="797">
        <f>SUM(AU60-H60)</f>
        <v>-55791</v>
      </c>
      <c r="AX60" s="805">
        <f>IF(H60&gt;0,AW60/H60,"")</f>
        <v>-1</v>
      </c>
      <c r="AY60" s="807"/>
      <c r="AZ60" s="2136"/>
      <c r="BA60" s="2136"/>
    </row>
    <row r="61" spans="1:54" ht="13.9" hidden="1" customHeight="1" outlineLevel="1" x14ac:dyDescent="0.2">
      <c r="A61" s="808" t="s">
        <v>558</v>
      </c>
      <c r="B61" s="799">
        <v>61267</v>
      </c>
      <c r="C61" s="799">
        <v>59648.42</v>
      </c>
      <c r="D61" s="887">
        <v>63354</v>
      </c>
      <c r="E61" s="797">
        <v>59763.3</v>
      </c>
      <c r="F61" s="797">
        <v>63354</v>
      </c>
      <c r="G61" s="798">
        <v>63136.78</v>
      </c>
      <c r="H61" s="798">
        <v>65005</v>
      </c>
      <c r="I61" s="798">
        <f>2*32226.25+552.5</f>
        <v>65005</v>
      </c>
      <c r="J61" s="839">
        <v>66961</v>
      </c>
      <c r="K61" s="817"/>
      <c r="L61" s="876">
        <v>54318.32</v>
      </c>
      <c r="M61" s="840">
        <v>62745</v>
      </c>
      <c r="N61" s="841">
        <v>64132</v>
      </c>
      <c r="O61" s="817">
        <v>64132</v>
      </c>
      <c r="P61" s="817">
        <v>64132</v>
      </c>
      <c r="Q61" s="817">
        <v>64132</v>
      </c>
      <c r="R61" s="817">
        <v>64132</v>
      </c>
      <c r="S61" s="817"/>
      <c r="T61" s="817">
        <v>69094</v>
      </c>
      <c r="U61" s="817">
        <v>69094</v>
      </c>
      <c r="V61" s="843">
        <v>72868</v>
      </c>
      <c r="W61" s="817">
        <f>V61</f>
        <v>72868</v>
      </c>
      <c r="X61" s="843">
        <v>76668</v>
      </c>
      <c r="Y61" s="843">
        <v>76668</v>
      </c>
      <c r="Z61" s="843">
        <v>86779</v>
      </c>
      <c r="AA61" s="843">
        <f>Z61</f>
        <v>86779</v>
      </c>
      <c r="AB61" s="843">
        <v>86759</v>
      </c>
      <c r="AC61" s="843">
        <f>AB61</f>
        <v>86759</v>
      </c>
      <c r="AD61" s="843"/>
      <c r="AE61" s="843">
        <v>96162</v>
      </c>
      <c r="AF61" s="843"/>
      <c r="AG61" s="843">
        <v>99046.86</v>
      </c>
      <c r="AH61" s="843">
        <v>101502</v>
      </c>
      <c r="AI61" s="843">
        <v>104547.06</v>
      </c>
      <c r="AJ61" s="843">
        <v>107259</v>
      </c>
      <c r="AK61" s="843">
        <v>110476.77</v>
      </c>
      <c r="AL61" s="843">
        <v>109667</v>
      </c>
      <c r="AM61" s="843">
        <f>AL61*$AH$3</f>
        <v>111860.34</v>
      </c>
      <c r="AN61" s="843">
        <v>111131</v>
      </c>
      <c r="AO61" s="843">
        <v>113909.27499999999</v>
      </c>
      <c r="AP61" s="843">
        <v>112839</v>
      </c>
      <c r="AQ61" s="843">
        <f>AP61*$AH$3</f>
        <v>115095.78</v>
      </c>
      <c r="AR61" s="843">
        <f>'[1]BUDGET DETAIL'!$CO$129</f>
        <v>115426</v>
      </c>
      <c r="AS61" s="843">
        <f t="shared" si="15"/>
        <v>2587</v>
      </c>
      <c r="AT61" s="2239">
        <f t="shared" si="16"/>
        <v>2.2926470457909055E-2</v>
      </c>
      <c r="AU61" s="844"/>
      <c r="AV61" s="819"/>
      <c r="AW61" s="797">
        <f>SUM(AU61-H61)</f>
        <v>-65005</v>
      </c>
      <c r="AX61" s="805">
        <f>IF(H61&gt;0,AW61/H61,"")</f>
        <v>-1</v>
      </c>
      <c r="AY61" s="807"/>
      <c r="AZ61" s="2136"/>
      <c r="BA61" s="2136"/>
    </row>
    <row r="62" spans="1:54" ht="13.9" hidden="1" customHeight="1" outlineLevel="1" x14ac:dyDescent="0.2">
      <c r="A62" s="808" t="s">
        <v>820</v>
      </c>
      <c r="B62" s="799">
        <v>30645</v>
      </c>
      <c r="C62" s="799">
        <v>19053.77</v>
      </c>
      <c r="D62" s="887">
        <v>25465</v>
      </c>
      <c r="E62" s="797">
        <v>23199.79</v>
      </c>
      <c r="F62" s="797">
        <v>27965</v>
      </c>
      <c r="G62" s="798">
        <v>22989.67</v>
      </c>
      <c r="H62" s="798">
        <v>28675</v>
      </c>
      <c r="I62" s="798">
        <v>25249</v>
      </c>
      <c r="J62" s="839">
        <v>36275</v>
      </c>
      <c r="K62" s="814" t="s">
        <v>462</v>
      </c>
      <c r="L62" s="845">
        <v>43640.88</v>
      </c>
      <c r="M62" s="845">
        <v>37125</v>
      </c>
      <c r="N62" s="846">
        <v>17775</v>
      </c>
      <c r="O62" s="817">
        <v>30800</v>
      </c>
      <c r="P62" s="892">
        <v>30800</v>
      </c>
      <c r="Q62" s="892">
        <v>30800</v>
      </c>
      <c r="R62" s="817">
        <f>39500-8500</f>
        <v>31000</v>
      </c>
      <c r="S62" s="817"/>
      <c r="T62" s="817">
        <v>31620</v>
      </c>
      <c r="U62" s="817">
        <v>31620</v>
      </c>
      <c r="V62" s="843">
        <f>45625-8500</f>
        <v>37125</v>
      </c>
      <c r="W62" s="817">
        <f>V62</f>
        <v>37125</v>
      </c>
      <c r="X62" s="843">
        <v>39835</v>
      </c>
      <c r="Y62" s="843">
        <f>49176-1040</f>
        <v>48136</v>
      </c>
      <c r="Z62" s="843">
        <f>56583-7000</f>
        <v>49583</v>
      </c>
      <c r="AA62" s="843">
        <f>Z62</f>
        <v>49583</v>
      </c>
      <c r="AB62" s="843">
        <v>51046</v>
      </c>
      <c r="AC62" s="843">
        <f>AB62</f>
        <v>51046</v>
      </c>
      <c r="AD62" s="843"/>
      <c r="AE62" s="843">
        <v>52068</v>
      </c>
      <c r="AF62" s="843"/>
      <c r="AG62" s="843">
        <v>52068</v>
      </c>
      <c r="AH62" s="843">
        <v>52068</v>
      </c>
      <c r="AI62" s="843">
        <v>52068</v>
      </c>
      <c r="AJ62" s="843">
        <v>52068</v>
      </c>
      <c r="AK62" s="843">
        <v>52068</v>
      </c>
      <c r="AL62" s="843">
        <v>52068</v>
      </c>
      <c r="AM62" s="843">
        <f>AL62*$AH$4</f>
        <v>52068</v>
      </c>
      <c r="AN62" s="843">
        <v>52068</v>
      </c>
      <c r="AO62" s="843">
        <v>52068</v>
      </c>
      <c r="AP62" s="843">
        <v>52068</v>
      </c>
      <c r="AQ62" s="843">
        <f>AP62*$AH$4</f>
        <v>52068</v>
      </c>
      <c r="AR62" s="843">
        <f>'[1]BUDGET DETAIL'!$CO$146</f>
        <v>45627</v>
      </c>
      <c r="AS62" s="843">
        <f t="shared" si="15"/>
        <v>-6441</v>
      </c>
      <c r="AT62" s="2239">
        <f t="shared" si="16"/>
        <v>-0.12370361834524084</v>
      </c>
      <c r="AU62" s="844"/>
      <c r="AV62" s="819"/>
      <c r="AW62" s="797">
        <f>SUM(AU62-H62)</f>
        <v>-28675</v>
      </c>
      <c r="AX62" s="805">
        <f>IF(H62&gt;0,AW62/H62,"")</f>
        <v>-1</v>
      </c>
      <c r="AY62" s="807"/>
      <c r="AZ62" s="2136"/>
      <c r="BA62" s="2136"/>
    </row>
    <row r="63" spans="1:54" ht="13.9" hidden="1" customHeight="1" outlineLevel="1" x14ac:dyDescent="0.2">
      <c r="A63" s="795" t="s">
        <v>292</v>
      </c>
      <c r="B63" s="799"/>
      <c r="C63" s="799"/>
      <c r="D63" s="887"/>
      <c r="E63" s="797"/>
      <c r="F63" s="797"/>
      <c r="G63" s="798"/>
      <c r="H63" s="798"/>
      <c r="I63" s="798"/>
      <c r="J63" s="839"/>
      <c r="K63" s="814"/>
      <c r="L63" s="845">
        <v>15000</v>
      </c>
      <c r="M63" s="845">
        <v>0</v>
      </c>
      <c r="N63" s="846">
        <v>8500</v>
      </c>
      <c r="O63" s="814">
        <v>0</v>
      </c>
      <c r="P63" s="814">
        <v>0</v>
      </c>
      <c r="Q63" s="814">
        <v>8500</v>
      </c>
      <c r="R63" s="852">
        <v>8500</v>
      </c>
      <c r="S63" s="852"/>
      <c r="T63" s="852"/>
      <c r="U63" s="814">
        <v>0</v>
      </c>
      <c r="V63" s="814"/>
      <c r="W63" s="817">
        <v>8500</v>
      </c>
      <c r="X63" s="814"/>
      <c r="Y63" s="817"/>
      <c r="Z63" s="814">
        <v>7000</v>
      </c>
      <c r="AA63" s="843">
        <f>Z63</f>
        <v>7000</v>
      </c>
      <c r="AB63" s="814"/>
      <c r="AC63" s="843">
        <f>AB63</f>
        <v>0</v>
      </c>
      <c r="AD63" s="843"/>
      <c r="AE63" s="843">
        <v>7000</v>
      </c>
      <c r="AF63" s="843"/>
      <c r="AG63" s="843">
        <v>0</v>
      </c>
      <c r="AH63" s="843"/>
      <c r="AI63" s="843">
        <v>7650</v>
      </c>
      <c r="AJ63" s="843">
        <v>7650</v>
      </c>
      <c r="AK63" s="843"/>
      <c r="AL63" s="843"/>
      <c r="AM63" s="843">
        <v>7650</v>
      </c>
      <c r="AN63" s="843"/>
      <c r="AO63" s="843">
        <v>7650</v>
      </c>
      <c r="AP63" s="843">
        <v>8100</v>
      </c>
      <c r="AQ63" s="843">
        <v>0</v>
      </c>
      <c r="AR63" s="843"/>
      <c r="AS63" s="843">
        <f t="shared" si="15"/>
        <v>-8100</v>
      </c>
      <c r="AT63" s="2239">
        <f t="shared" si="16"/>
        <v>-1</v>
      </c>
      <c r="AU63" s="844"/>
      <c r="AV63" s="819"/>
      <c r="AW63" s="797"/>
      <c r="AX63" s="805"/>
      <c r="AY63" s="1528"/>
      <c r="AZ63" s="2136"/>
      <c r="BA63" s="2136"/>
      <c r="BB63" s="2129"/>
    </row>
    <row r="64" spans="1:54" ht="13.9" hidden="1" customHeight="1" outlineLevel="1" x14ac:dyDescent="0.2">
      <c r="A64" s="878" t="s">
        <v>293</v>
      </c>
      <c r="B64" s="810">
        <f>SUM(B60:B62)</f>
        <v>141836</v>
      </c>
      <c r="C64" s="810">
        <f>SUM(C60:C62)</f>
        <v>128626.19</v>
      </c>
      <c r="D64" s="810">
        <f t="shared" ref="D64:J64" si="21">SUM(D60:D62)</f>
        <v>141783</v>
      </c>
      <c r="E64" s="810">
        <f t="shared" si="21"/>
        <v>135927.09</v>
      </c>
      <c r="F64" s="810">
        <f t="shared" si="21"/>
        <v>144283</v>
      </c>
      <c r="G64" s="810">
        <f t="shared" si="21"/>
        <v>139090.45000000001</v>
      </c>
      <c r="H64" s="810">
        <f t="shared" si="21"/>
        <v>149471</v>
      </c>
      <c r="I64" s="810">
        <f t="shared" si="21"/>
        <v>146045</v>
      </c>
      <c r="J64" s="813">
        <f t="shared" si="21"/>
        <v>162572</v>
      </c>
      <c r="K64" s="849">
        <v>38789</v>
      </c>
      <c r="L64" s="879">
        <f>SUM(L60:L62)</f>
        <v>158896.20000000001</v>
      </c>
      <c r="M64" s="879">
        <f>SUM(M60:M62)</f>
        <v>162453</v>
      </c>
      <c r="N64" s="880">
        <f>SUM(N60:N62)</f>
        <v>146179</v>
      </c>
      <c r="O64" s="814">
        <f>O60+O61+O62</f>
        <v>159204</v>
      </c>
      <c r="P64" s="814">
        <f>P60+P61+P62</f>
        <v>159204</v>
      </c>
      <c r="Q64" s="852">
        <f>IF(SUM(Q60:Q63)=0,P64,SUM(Q60:Q62))</f>
        <v>159204</v>
      </c>
      <c r="R64" s="852">
        <f>R60+R61+R62</f>
        <v>160054</v>
      </c>
      <c r="S64" s="852">
        <f>IF(SUM(S61:S63)=0,R64,SUM(S61:S63))</f>
        <v>160054</v>
      </c>
      <c r="T64" s="852">
        <v>167021</v>
      </c>
      <c r="U64" s="852">
        <v>167021</v>
      </c>
      <c r="V64" s="852">
        <f>V60+V61+V62</f>
        <v>177611</v>
      </c>
      <c r="W64" s="852">
        <f>IF(SUM(W60:W62)=0,V64,SUM(W60:W62))</f>
        <v>177611</v>
      </c>
      <c r="X64" s="852">
        <f>X60+X61+X62</f>
        <v>185458</v>
      </c>
      <c r="Y64" s="852">
        <f>IF(SUM(Y60:Y62)=0,X64,SUM(Y60:Y62))</f>
        <v>193759</v>
      </c>
      <c r="Z64" s="852">
        <f>Z60+Z61+Z62</f>
        <v>214727</v>
      </c>
      <c r="AA64" s="852">
        <f>IF(SUM(AA60:AA62)=0,Z64,SUM(AA60:AA62))</f>
        <v>214727</v>
      </c>
      <c r="AB64" s="852">
        <f>AB60+AB61+AB62</f>
        <v>231199</v>
      </c>
      <c r="AC64" s="852">
        <f>IF(SUM(AC60:AC62)=0,AB64,SUM(AC60:AC62))</f>
        <v>231199</v>
      </c>
      <c r="AD64" s="852"/>
      <c r="AE64" s="852">
        <v>252701</v>
      </c>
      <c r="AF64" s="852">
        <v>252701</v>
      </c>
      <c r="AG64" s="852">
        <v>251509.99</v>
      </c>
      <c r="AH64" s="852">
        <v>255679</v>
      </c>
      <c r="AI64" s="814">
        <v>269437.33</v>
      </c>
      <c r="AJ64" s="814">
        <v>274769</v>
      </c>
      <c r="AK64" s="814">
        <v>273570.53000000003</v>
      </c>
      <c r="AL64" s="814">
        <v>268098</v>
      </c>
      <c r="AM64" s="814">
        <f t="shared" ref="AM64:AR64" si="22">SUM(AM60:AM63)</f>
        <v>280068.59999999998</v>
      </c>
      <c r="AN64" s="814">
        <f t="shared" si="22"/>
        <v>271692</v>
      </c>
      <c r="AO64" s="814">
        <f t="shared" si="22"/>
        <v>284832.59999999998</v>
      </c>
      <c r="AP64" s="814">
        <f t="shared" si="22"/>
        <v>283671</v>
      </c>
      <c r="AQ64" s="814">
        <f t="shared" si="22"/>
        <v>280041.06</v>
      </c>
      <c r="AR64" s="814">
        <f t="shared" si="22"/>
        <v>273498</v>
      </c>
      <c r="AS64" s="814">
        <f t="shared" si="15"/>
        <v>-10173</v>
      </c>
      <c r="AT64" s="2242">
        <f t="shared" si="16"/>
        <v>-3.586196685597047E-2</v>
      </c>
      <c r="AU64" s="854">
        <f>SUM(AU60:AU62)</f>
        <v>0</v>
      </c>
      <c r="AV64" s="819"/>
      <c r="AW64" s="797">
        <f>SUM(AU64-H64)</f>
        <v>-149471</v>
      </c>
      <c r="AX64" s="805">
        <f>IF(H64&gt;0,AW64/H64,"")</f>
        <v>-1</v>
      </c>
      <c r="AY64" s="807"/>
      <c r="AZ64" s="2136"/>
      <c r="BA64" s="2136"/>
    </row>
    <row r="65" spans="1:54" ht="13.9" hidden="1" customHeight="1" outlineLevel="1" thickBot="1" x14ac:dyDescent="0.25">
      <c r="A65" s="904"/>
      <c r="B65" s="822"/>
      <c r="C65" s="823"/>
      <c r="D65" s="823"/>
      <c r="E65" s="824"/>
      <c r="F65" s="823"/>
      <c r="G65" s="825"/>
      <c r="H65" s="825"/>
      <c r="I65" s="826"/>
      <c r="J65" s="883"/>
      <c r="K65" s="856"/>
      <c r="L65" s="863"/>
      <c r="M65" s="864"/>
      <c r="N65" s="858"/>
      <c r="O65" s="856"/>
      <c r="P65" s="856"/>
      <c r="Q65" s="856"/>
      <c r="R65" s="856"/>
      <c r="S65" s="905">
        <f>SUM(V$243:V$246)</f>
        <v>789033</v>
      </c>
      <c r="T65" s="856"/>
      <c r="U65" s="856"/>
      <c r="V65" s="856"/>
      <c r="W65" s="856"/>
      <c r="X65" s="856"/>
      <c r="Y65" s="856"/>
      <c r="Z65" s="856"/>
      <c r="AA65" s="856"/>
      <c r="AB65" s="856"/>
      <c r="AC65" s="856"/>
      <c r="AD65" s="856"/>
      <c r="AE65" s="856"/>
      <c r="AF65" s="856"/>
      <c r="AG65" s="856"/>
      <c r="AH65" s="856"/>
      <c r="AI65" s="856"/>
      <c r="AJ65" s="856"/>
      <c r="AK65" s="856"/>
      <c r="AL65" s="856"/>
      <c r="AM65" s="856"/>
      <c r="AN65" s="856"/>
      <c r="AO65" s="856"/>
      <c r="AP65" s="856"/>
      <c r="AQ65" s="856"/>
      <c r="AR65" s="856"/>
      <c r="AS65" s="856">
        <f t="shared" si="15"/>
        <v>0</v>
      </c>
      <c r="AT65" s="2243" t="str">
        <f t="shared" si="16"/>
        <v/>
      </c>
      <c r="AU65" s="833"/>
      <c r="AV65" s="834"/>
      <c r="AW65" s="823"/>
      <c r="AX65" s="835"/>
      <c r="AY65" s="836"/>
      <c r="AZ65" s="2136"/>
      <c r="BA65" s="2136"/>
    </row>
    <row r="66" spans="1:54" ht="13.9" hidden="1" customHeight="1" outlineLevel="1" thickTop="1" x14ac:dyDescent="0.2">
      <c r="A66" s="808" t="s">
        <v>767</v>
      </c>
      <c r="B66" s="796"/>
      <c r="C66" s="797"/>
      <c r="D66" s="797"/>
      <c r="E66" s="837"/>
      <c r="F66" s="797"/>
      <c r="G66" s="798"/>
      <c r="H66" s="798"/>
      <c r="J66" s="884"/>
      <c r="K66" s="859"/>
      <c r="L66" s="865"/>
      <c r="M66" s="865"/>
      <c r="N66" s="838"/>
      <c r="O66" s="859"/>
      <c r="P66" s="859"/>
      <c r="Q66" s="859"/>
      <c r="R66" s="859"/>
      <c r="S66" s="859"/>
      <c r="T66" s="859"/>
      <c r="U66" s="859"/>
      <c r="V66" s="859"/>
      <c r="W66" s="859"/>
      <c r="X66" s="859"/>
      <c r="Y66" s="859"/>
      <c r="Z66" s="859"/>
      <c r="AA66" s="859"/>
      <c r="AB66" s="859"/>
      <c r="AC66" s="859"/>
      <c r="AD66" s="859"/>
      <c r="AE66" s="859"/>
      <c r="AF66" s="859"/>
      <c r="AG66" s="859"/>
      <c r="AH66" s="859"/>
      <c r="AI66" s="859"/>
      <c r="AJ66" s="859"/>
      <c r="AK66" s="859"/>
      <c r="AL66" s="859"/>
      <c r="AM66" s="859"/>
      <c r="AN66" s="859"/>
      <c r="AO66" s="859"/>
      <c r="AP66" s="859"/>
      <c r="AQ66" s="859"/>
      <c r="AR66" s="859"/>
      <c r="AS66" s="859">
        <f t="shared" si="15"/>
        <v>0</v>
      </c>
      <c r="AT66" s="2239" t="str">
        <f t="shared" si="16"/>
        <v/>
      </c>
      <c r="AU66" s="803"/>
      <c r="AV66" s="819"/>
      <c r="AW66" s="797"/>
      <c r="AX66" s="805"/>
      <c r="AY66" s="807"/>
      <c r="AZ66" s="2136"/>
      <c r="BA66" s="2136"/>
    </row>
    <row r="67" spans="1:54" ht="13.9" hidden="1" customHeight="1" outlineLevel="1" x14ac:dyDescent="0.2">
      <c r="A67" s="808" t="s">
        <v>558</v>
      </c>
      <c r="B67" s="799">
        <v>29631</v>
      </c>
      <c r="C67" s="799">
        <v>29543.83</v>
      </c>
      <c r="D67" s="887">
        <v>30551</v>
      </c>
      <c r="E67" s="797">
        <v>30372.11</v>
      </c>
      <c r="F67" s="887">
        <v>30441</v>
      </c>
      <c r="G67" s="888">
        <v>30226.14</v>
      </c>
      <c r="H67" s="888">
        <v>32221</v>
      </c>
      <c r="I67" s="888">
        <f>29482.68+1441.2+937</f>
        <v>31860.880000000001</v>
      </c>
      <c r="J67" s="839">
        <v>33147</v>
      </c>
      <c r="K67" s="817"/>
      <c r="L67" s="876">
        <v>34102.54</v>
      </c>
      <c r="M67" s="840">
        <v>35126</v>
      </c>
      <c r="N67" s="841">
        <v>1500</v>
      </c>
      <c r="O67" s="817">
        <v>1500</v>
      </c>
      <c r="P67" s="817">
        <v>500</v>
      </c>
      <c r="Q67" s="817">
        <v>500</v>
      </c>
      <c r="R67" s="817">
        <v>300</v>
      </c>
      <c r="S67" s="817"/>
      <c r="T67" s="817"/>
      <c r="U67" s="817">
        <v>0</v>
      </c>
      <c r="V67" s="843"/>
      <c r="W67" s="817">
        <f>V67</f>
        <v>0</v>
      </c>
      <c r="X67" s="843"/>
      <c r="Y67" s="817">
        <f>X67</f>
        <v>0</v>
      </c>
      <c r="Z67" s="843">
        <f>Y67*(1+$A$2/100)</f>
        <v>0</v>
      </c>
      <c r="AA67" s="817">
        <f>Z67</f>
        <v>0</v>
      </c>
      <c r="AB67" s="843">
        <f>AA67*(1+$A$2/100)</f>
        <v>0</v>
      </c>
      <c r="AC67" s="817">
        <f>AB67</f>
        <v>0</v>
      </c>
      <c r="AD67" s="817"/>
      <c r="AE67" s="817"/>
      <c r="AF67" s="843">
        <v>0</v>
      </c>
      <c r="AG67" s="843"/>
      <c r="AH67" s="843"/>
      <c r="AI67" s="817"/>
      <c r="AJ67" s="817"/>
      <c r="AK67" s="817"/>
      <c r="AL67" s="817"/>
      <c r="AM67" s="817"/>
      <c r="AN67" s="817"/>
      <c r="AO67" s="817"/>
      <c r="AP67" s="817"/>
      <c r="AQ67" s="817"/>
      <c r="AR67" s="817"/>
      <c r="AS67" s="817">
        <f t="shared" si="15"/>
        <v>0</v>
      </c>
      <c r="AT67" s="2240" t="str">
        <f t="shared" si="16"/>
        <v/>
      </c>
      <c r="AU67" s="890"/>
      <c r="AV67" s="819"/>
      <c r="AW67" s="797">
        <f>SUM(AU67-H67)</f>
        <v>-32221</v>
      </c>
      <c r="AX67" s="805">
        <f>IF(H67&gt;0,AW67/H67,"")</f>
        <v>-1</v>
      </c>
      <c r="AY67" s="807"/>
      <c r="AZ67" s="2136"/>
      <c r="BA67" s="2136"/>
    </row>
    <row r="68" spans="1:54" ht="13.9" hidden="1" customHeight="1" outlineLevel="1" x14ac:dyDescent="0.2">
      <c r="A68" s="808" t="s">
        <v>820</v>
      </c>
      <c r="B68" s="799">
        <v>59926</v>
      </c>
      <c r="C68" s="799">
        <v>55876.82</v>
      </c>
      <c r="D68" s="887">
        <v>58988</v>
      </c>
      <c r="E68" s="799">
        <v>59928.87</v>
      </c>
      <c r="F68" s="887">
        <v>67518</v>
      </c>
      <c r="G68" s="888">
        <f>68940.24+39</f>
        <v>68979.240000000005</v>
      </c>
      <c r="H68" s="888">
        <v>74590</v>
      </c>
      <c r="I68" s="888">
        <f>78644.02+39</f>
        <v>78683.02</v>
      </c>
      <c r="J68" s="839">
        <v>81192</v>
      </c>
      <c r="K68" s="817"/>
      <c r="L68" s="845">
        <v>100072.68</v>
      </c>
      <c r="M68" s="845">
        <v>87961</v>
      </c>
      <c r="N68" s="846">
        <v>119108</v>
      </c>
      <c r="O68" s="817">
        <v>119108</v>
      </c>
      <c r="P68" s="817">
        <f>127378+16500</f>
        <v>143878</v>
      </c>
      <c r="Q68" s="817">
        <f>127378+16500</f>
        <v>143878</v>
      </c>
      <c r="R68" s="817">
        <v>139969</v>
      </c>
      <c r="S68" s="817"/>
      <c r="T68" s="817">
        <v>141902</v>
      </c>
      <c r="U68" s="817">
        <v>141902</v>
      </c>
      <c r="V68" s="843">
        <v>141296</v>
      </c>
      <c r="W68" s="817">
        <f>V68</f>
        <v>141296</v>
      </c>
      <c r="X68" s="843">
        <v>142431</v>
      </c>
      <c r="Y68" s="843">
        <f>146231-3800</f>
        <v>142431</v>
      </c>
      <c r="Z68" s="843">
        <v>137423</v>
      </c>
      <c r="AA68" s="843">
        <f>Z68</f>
        <v>137423</v>
      </c>
      <c r="AB68" s="843">
        <v>153318</v>
      </c>
      <c r="AC68" s="843">
        <f>AB68</f>
        <v>153318</v>
      </c>
      <c r="AD68" s="843"/>
      <c r="AE68" s="843">
        <v>188331</v>
      </c>
      <c r="AF68" s="843"/>
      <c r="AG68" s="843">
        <v>188331</v>
      </c>
      <c r="AH68" s="843">
        <v>188331</v>
      </c>
      <c r="AI68" s="843">
        <v>188331</v>
      </c>
      <c r="AJ68" s="843">
        <v>271471</v>
      </c>
      <c r="AK68" s="843">
        <v>271471</v>
      </c>
      <c r="AL68" s="843">
        <v>275122</v>
      </c>
      <c r="AM68" s="843">
        <f>AL68*$AH$4</f>
        <v>275122</v>
      </c>
      <c r="AN68" s="843">
        <v>265466</v>
      </c>
      <c r="AO68" s="843">
        <v>265466</v>
      </c>
      <c r="AP68" s="843">
        <v>261841</v>
      </c>
      <c r="AQ68" s="843">
        <f>AP68*$AH$4</f>
        <v>261841</v>
      </c>
      <c r="AR68" s="843">
        <f>'[1]BUDGET DETAIL'!$CO$180 + IF(BA68="yes",AZ68,0)</f>
        <v>268741</v>
      </c>
      <c r="AS68" s="843">
        <f t="shared" si="15"/>
        <v>6900</v>
      </c>
      <c r="AT68" s="2239">
        <f t="shared" si="16"/>
        <v>2.6351870027994089E-2</v>
      </c>
      <c r="AU68" s="890"/>
      <c r="AV68" s="819"/>
      <c r="AW68" s="797">
        <f>SUM(AU68-H68)</f>
        <v>-74590</v>
      </c>
      <c r="AX68" s="805">
        <f>IF(H68&gt;0,AW68/H68,"")</f>
        <v>-1</v>
      </c>
      <c r="AY68" s="807"/>
      <c r="AZ68" s="2896">
        <v>5600</v>
      </c>
      <c r="BA68" s="2321" t="s">
        <v>2506</v>
      </c>
      <c r="BB68" s="2942">
        <v>44998</v>
      </c>
    </row>
    <row r="69" spans="1:54" ht="13.9" hidden="1" customHeight="1" outlineLevel="1" x14ac:dyDescent="0.2">
      <c r="A69" s="878" t="s">
        <v>306</v>
      </c>
      <c r="B69" s="810">
        <f>SUM(B67:B68)</f>
        <v>89557</v>
      </c>
      <c r="C69" s="906">
        <f t="shared" ref="C69:J69" si="23">SUM(C67:C68)</f>
        <v>85420.65</v>
      </c>
      <c r="D69" s="906">
        <f t="shared" si="23"/>
        <v>89539</v>
      </c>
      <c r="E69" s="906">
        <f t="shared" si="23"/>
        <v>90300.98000000001</v>
      </c>
      <c r="F69" s="906">
        <f t="shared" si="23"/>
        <v>97959</v>
      </c>
      <c r="G69" s="906">
        <f t="shared" si="23"/>
        <v>99205.38</v>
      </c>
      <c r="H69" s="906">
        <f t="shared" si="23"/>
        <v>106811</v>
      </c>
      <c r="I69" s="906">
        <f t="shared" si="23"/>
        <v>110543.90000000001</v>
      </c>
      <c r="J69" s="907">
        <f t="shared" si="23"/>
        <v>114339</v>
      </c>
      <c r="K69" s="814" t="s">
        <v>462</v>
      </c>
      <c r="L69" s="879">
        <f>SUM(L66:L68)</f>
        <v>134175.22</v>
      </c>
      <c r="M69" s="879">
        <f>SUM(M66:M68)</f>
        <v>123087</v>
      </c>
      <c r="N69" s="880">
        <f>SUM(N66:N68)</f>
        <v>120608</v>
      </c>
      <c r="O69" s="908">
        <f>SUM(O66:O68)</f>
        <v>120608</v>
      </c>
      <c r="P69" s="908">
        <f>SUM(P67:P68)</f>
        <v>144378</v>
      </c>
      <c r="Q69" s="853">
        <f>IF(SUM(Q67:Q68)=0,P69,SUM(Q67:Q68))</f>
        <v>144378</v>
      </c>
      <c r="R69" s="908">
        <f>SUM(R67:R68)</f>
        <v>140269</v>
      </c>
      <c r="S69" s="852">
        <f>IF(SUM(S67:S68)=0,R69,SUM(S67:S68))</f>
        <v>140269</v>
      </c>
      <c r="T69" s="852">
        <v>141902</v>
      </c>
      <c r="U69" s="852">
        <v>141902</v>
      </c>
      <c r="V69" s="908">
        <f>SUM(V67:V68)</f>
        <v>141296</v>
      </c>
      <c r="W69" s="852">
        <f>IF(SUM(W67:W68)=0,V69,SUM(W67:W68))</f>
        <v>141296</v>
      </c>
      <c r="X69" s="908">
        <f>SUM(X67:X68)</f>
        <v>142431</v>
      </c>
      <c r="Y69" s="852">
        <f>IF(SUM(Y67:Y68)=0,X69,SUM(Y67:Y68))</f>
        <v>142431</v>
      </c>
      <c r="Z69" s="908">
        <f>SUM(Z67:Z68)</f>
        <v>137423</v>
      </c>
      <c r="AA69" s="852">
        <f>IF(SUM(AA67:AA68)=0,Z69,SUM(AA67:AA68))</f>
        <v>137423</v>
      </c>
      <c r="AB69" s="908">
        <f>SUM(AB67:AB68)</f>
        <v>153318</v>
      </c>
      <c r="AC69" s="852">
        <f>IF(SUM(AC67:AC68)=0,AB69,SUM(AC67:AC68))</f>
        <v>153318</v>
      </c>
      <c r="AD69" s="852"/>
      <c r="AE69" s="852">
        <v>188331</v>
      </c>
      <c r="AF69" s="852">
        <v>188331</v>
      </c>
      <c r="AG69" s="852">
        <v>188331</v>
      </c>
      <c r="AH69" s="852">
        <v>188331</v>
      </c>
      <c r="AI69" s="852">
        <v>188331</v>
      </c>
      <c r="AJ69" s="852">
        <v>271471</v>
      </c>
      <c r="AK69" s="852">
        <v>271471</v>
      </c>
      <c r="AL69" s="852">
        <v>275122</v>
      </c>
      <c r="AM69" s="852">
        <f t="shared" ref="AM69:AN69" si="24">SUM(AM68)</f>
        <v>275122</v>
      </c>
      <c r="AN69" s="852">
        <f t="shared" si="24"/>
        <v>265466</v>
      </c>
      <c r="AO69" s="852">
        <f t="shared" ref="AO69:AR69" si="25">SUM(AO68)</f>
        <v>265466</v>
      </c>
      <c r="AP69" s="852">
        <f>AP68</f>
        <v>261841</v>
      </c>
      <c r="AQ69" s="852">
        <f t="shared" si="25"/>
        <v>261841</v>
      </c>
      <c r="AR69" s="852">
        <f t="shared" si="25"/>
        <v>268741</v>
      </c>
      <c r="AS69" s="852">
        <f t="shared" si="15"/>
        <v>6900</v>
      </c>
      <c r="AT69" s="2249">
        <f t="shared" si="16"/>
        <v>2.6351870027994089E-2</v>
      </c>
      <c r="AU69" s="854">
        <f>SUM(AU67:AU68)</f>
        <v>0</v>
      </c>
      <c r="AV69" s="819"/>
      <c r="AW69" s="797">
        <f>SUM(AU69-H69)</f>
        <v>-106811</v>
      </c>
      <c r="AX69" s="805">
        <f>IF(H69&gt;0,AW69/H69,"")</f>
        <v>-1</v>
      </c>
      <c r="AY69" s="807"/>
      <c r="AZ69" s="2136"/>
      <c r="BA69" s="2136"/>
    </row>
    <row r="70" spans="1:54" ht="13.9" hidden="1" customHeight="1" outlineLevel="1" x14ac:dyDescent="0.2">
      <c r="A70" s="821"/>
      <c r="B70" s="909"/>
      <c r="C70" s="910"/>
      <c r="D70" s="910"/>
      <c r="E70" s="895"/>
      <c r="F70" s="910"/>
      <c r="G70" s="911"/>
      <c r="H70" s="911"/>
      <c r="I70" s="912"/>
      <c r="J70" s="896"/>
      <c r="K70" s="831"/>
      <c r="L70" s="897"/>
      <c r="M70" s="898"/>
      <c r="N70" s="899"/>
      <c r="O70" s="831"/>
      <c r="P70" s="831"/>
      <c r="Q70" s="831"/>
      <c r="R70" s="831"/>
      <c r="S70" s="831"/>
      <c r="T70" s="831"/>
      <c r="U70" s="831"/>
      <c r="V70" s="831"/>
      <c r="W70" s="831"/>
      <c r="X70" s="831"/>
      <c r="Y70" s="831"/>
      <c r="Z70" s="831"/>
      <c r="AA70" s="831"/>
      <c r="AB70" s="831"/>
      <c r="AC70" s="831"/>
      <c r="AD70" s="831"/>
      <c r="AE70" s="831"/>
      <c r="AF70" s="831"/>
      <c r="AG70" s="831"/>
      <c r="AH70" s="831"/>
      <c r="AI70" s="831"/>
      <c r="AJ70" s="831"/>
      <c r="AK70" s="831"/>
      <c r="AL70" s="831"/>
      <c r="AM70" s="831"/>
      <c r="AN70" s="831"/>
      <c r="AO70" s="831"/>
      <c r="AP70" s="831"/>
      <c r="AQ70" s="831"/>
      <c r="AR70" s="831"/>
      <c r="AS70" s="831">
        <f t="shared" si="15"/>
        <v>0</v>
      </c>
      <c r="AT70" s="2241" t="str">
        <f t="shared" si="16"/>
        <v/>
      </c>
      <c r="AU70" s="913"/>
      <c r="AV70" s="834"/>
      <c r="AW70" s="823"/>
      <c r="AX70" s="835"/>
      <c r="AY70" s="900"/>
      <c r="AZ70" s="2136"/>
      <c r="BA70" s="2136"/>
      <c r="BB70" s="2146"/>
    </row>
    <row r="71" spans="1:54" ht="13.9" hidden="1" customHeight="1" outlineLevel="1" x14ac:dyDescent="0.2">
      <c r="A71" s="808" t="s">
        <v>631</v>
      </c>
      <c r="B71" s="866"/>
      <c r="C71" s="847"/>
      <c r="D71" s="847"/>
      <c r="E71" s="867"/>
      <c r="F71" s="847"/>
      <c r="G71" s="914"/>
      <c r="H71" s="914"/>
      <c r="I71" s="915"/>
      <c r="J71" s="848"/>
      <c r="K71" s="861"/>
      <c r="L71" s="901"/>
      <c r="M71" s="901"/>
      <c r="N71" s="901"/>
      <c r="O71" s="861"/>
      <c r="P71" s="861"/>
      <c r="Q71" s="861"/>
      <c r="R71" s="861"/>
      <c r="S71" s="861"/>
      <c r="T71" s="861"/>
      <c r="U71" s="861"/>
      <c r="V71" s="861"/>
      <c r="W71" s="861"/>
      <c r="X71" s="861"/>
      <c r="Y71" s="861"/>
      <c r="Z71" s="861"/>
      <c r="AA71" s="861"/>
      <c r="AB71" s="861"/>
      <c r="AC71" s="861"/>
      <c r="AD71" s="861"/>
      <c r="AE71" s="861"/>
      <c r="AF71" s="861"/>
      <c r="AG71" s="861"/>
      <c r="AH71" s="861"/>
      <c r="AI71" s="861"/>
      <c r="AJ71" s="861"/>
      <c r="AK71" s="861"/>
      <c r="AL71" s="861"/>
      <c r="AM71" s="861"/>
      <c r="AN71" s="861"/>
      <c r="AO71" s="861"/>
      <c r="AP71" s="861"/>
      <c r="AQ71" s="861"/>
      <c r="AR71" s="861"/>
      <c r="AS71" s="861">
        <f t="shared" si="15"/>
        <v>0</v>
      </c>
      <c r="AT71" s="2248" t="str">
        <f t="shared" si="16"/>
        <v/>
      </c>
      <c r="AU71" s="882"/>
      <c r="AV71" s="819"/>
      <c r="AW71" s="797"/>
      <c r="AX71" s="805" t="str">
        <f>IF(F71&gt;0,AW71/F71,"")</f>
        <v/>
      </c>
      <c r="AY71" s="903"/>
      <c r="AZ71" s="2136"/>
      <c r="BA71" s="2136"/>
      <c r="BB71" s="2146"/>
    </row>
    <row r="72" spans="1:54" ht="13.9" hidden="1" customHeight="1" outlineLevel="1" x14ac:dyDescent="0.2">
      <c r="A72" s="808" t="s">
        <v>820</v>
      </c>
      <c r="B72" s="799">
        <v>800</v>
      </c>
      <c r="C72" s="799">
        <v>2435.42</v>
      </c>
      <c r="D72" s="887">
        <v>800</v>
      </c>
      <c r="E72" s="797">
        <v>560.47</v>
      </c>
      <c r="F72" s="887">
        <v>800</v>
      </c>
      <c r="G72" s="888">
        <v>294.72000000000003</v>
      </c>
      <c r="H72" s="888">
        <v>820</v>
      </c>
      <c r="I72" s="888">
        <v>668.25</v>
      </c>
      <c r="J72" s="839">
        <v>820</v>
      </c>
      <c r="K72" s="817"/>
      <c r="L72" s="845">
        <v>625.38</v>
      </c>
      <c r="M72" s="845">
        <v>955</v>
      </c>
      <c r="N72" s="846">
        <v>728</v>
      </c>
      <c r="O72" s="817">
        <v>728</v>
      </c>
      <c r="P72" s="817">
        <v>634</v>
      </c>
      <c r="Q72" s="817">
        <v>634</v>
      </c>
      <c r="R72" s="817">
        <v>500</v>
      </c>
      <c r="S72" s="817"/>
      <c r="T72" s="817">
        <v>500</v>
      </c>
      <c r="U72" s="817">
        <v>500</v>
      </c>
      <c r="V72" s="843">
        <v>500</v>
      </c>
      <c r="W72" s="817">
        <f>V72</f>
        <v>500</v>
      </c>
      <c r="X72" s="843">
        <v>500</v>
      </c>
      <c r="Y72" s="843">
        <v>500</v>
      </c>
      <c r="Z72" s="843">
        <v>600</v>
      </c>
      <c r="AA72" s="843">
        <f>Z72</f>
        <v>600</v>
      </c>
      <c r="AB72" s="843">
        <v>600</v>
      </c>
      <c r="AC72" s="843">
        <f>AB72</f>
        <v>600</v>
      </c>
      <c r="AD72" s="843"/>
      <c r="AE72" s="843">
        <v>600</v>
      </c>
      <c r="AF72" s="843"/>
      <c r="AG72" s="843">
        <v>600</v>
      </c>
      <c r="AH72" s="843">
        <v>600</v>
      </c>
      <c r="AI72" s="843">
        <v>600</v>
      </c>
      <c r="AJ72" s="843">
        <v>600</v>
      </c>
      <c r="AK72" s="843">
        <v>600</v>
      </c>
      <c r="AL72" s="843">
        <v>400</v>
      </c>
      <c r="AM72" s="843">
        <f>AL72*$AH$4</f>
        <v>400</v>
      </c>
      <c r="AN72" s="843">
        <v>400</v>
      </c>
      <c r="AO72" s="843">
        <v>400</v>
      </c>
      <c r="AP72" s="843">
        <v>625</v>
      </c>
      <c r="AQ72" s="843">
        <f>AP72*$AH$4</f>
        <v>625</v>
      </c>
      <c r="AR72" s="843">
        <f>'[1]BUDGET DETAIL'!$CO$186</f>
        <v>688</v>
      </c>
      <c r="AS72" s="843">
        <f t="shared" si="15"/>
        <v>63</v>
      </c>
      <c r="AT72" s="2239">
        <f t="shared" si="16"/>
        <v>0.1008</v>
      </c>
      <c r="AU72" s="890"/>
      <c r="AV72" s="819"/>
      <c r="AW72" s="797">
        <f>SUM(AU72-H72)</f>
        <v>-820</v>
      </c>
      <c r="AX72" s="805">
        <f>IF(H72&gt;0,AW72/H72,"")</f>
        <v>-1</v>
      </c>
      <c r="AY72" s="807"/>
      <c r="AZ72" s="2136"/>
      <c r="BA72" s="2136"/>
    </row>
    <row r="73" spans="1:54" ht="13.9" hidden="1" customHeight="1" outlineLevel="1" x14ac:dyDescent="0.2">
      <c r="A73" s="878" t="s">
        <v>632</v>
      </c>
      <c r="B73" s="916">
        <f t="shared" ref="B73:N73" si="26">SUM(B72)</f>
        <v>800</v>
      </c>
      <c r="C73" s="916">
        <f t="shared" si="26"/>
        <v>2435.42</v>
      </c>
      <c r="D73" s="917">
        <f t="shared" si="26"/>
        <v>800</v>
      </c>
      <c r="E73" s="811">
        <f t="shared" si="26"/>
        <v>560.47</v>
      </c>
      <c r="F73" s="917">
        <f t="shared" si="26"/>
        <v>800</v>
      </c>
      <c r="G73" s="916">
        <f t="shared" si="26"/>
        <v>294.72000000000003</v>
      </c>
      <c r="H73" s="916">
        <f t="shared" si="26"/>
        <v>820</v>
      </c>
      <c r="I73" s="916">
        <f t="shared" si="26"/>
        <v>668.25</v>
      </c>
      <c r="J73" s="907">
        <f t="shared" si="26"/>
        <v>820</v>
      </c>
      <c r="K73" s="814" t="s">
        <v>462</v>
      </c>
      <c r="L73" s="918">
        <f t="shared" si="26"/>
        <v>625.38</v>
      </c>
      <c r="M73" s="918">
        <f t="shared" si="26"/>
        <v>955</v>
      </c>
      <c r="N73" s="919">
        <f t="shared" si="26"/>
        <v>728</v>
      </c>
      <c r="O73" s="814">
        <f>O72</f>
        <v>728</v>
      </c>
      <c r="P73" s="814">
        <f>P72</f>
        <v>634</v>
      </c>
      <c r="Q73" s="852">
        <f>IF(SUM(Q72)=0,P73,Q72)</f>
        <v>634</v>
      </c>
      <c r="R73" s="814">
        <f>R72</f>
        <v>500</v>
      </c>
      <c r="S73" s="852">
        <f>IF(SUM(S72)=0,R73,S72)</f>
        <v>500</v>
      </c>
      <c r="T73" s="814">
        <v>500</v>
      </c>
      <c r="U73" s="814">
        <v>500</v>
      </c>
      <c r="V73" s="814">
        <f>V72</f>
        <v>500</v>
      </c>
      <c r="W73" s="852">
        <f>IF(SUM(W72)=0,V73,W72)</f>
        <v>500</v>
      </c>
      <c r="X73" s="814">
        <f>X72</f>
        <v>500</v>
      </c>
      <c r="Y73" s="852">
        <f>IF(SUM(Y72)=0,X73,Y72)</f>
        <v>500</v>
      </c>
      <c r="Z73" s="814">
        <f>Z72</f>
        <v>600</v>
      </c>
      <c r="AA73" s="852">
        <f>IF(SUM(AA72)=0,Z73,AA72)</f>
        <v>600</v>
      </c>
      <c r="AB73" s="814">
        <f>AB72</f>
        <v>600</v>
      </c>
      <c r="AC73" s="852">
        <f>IF(SUM(AC72)=0,AB73,AC72)</f>
        <v>600</v>
      </c>
      <c r="AD73" s="852"/>
      <c r="AE73" s="852">
        <v>600</v>
      </c>
      <c r="AF73" s="852">
        <v>600</v>
      </c>
      <c r="AG73" s="852">
        <v>600</v>
      </c>
      <c r="AH73" s="852">
        <v>600</v>
      </c>
      <c r="AI73" s="814">
        <v>600</v>
      </c>
      <c r="AJ73" s="814">
        <v>600</v>
      </c>
      <c r="AK73" s="814">
        <v>600</v>
      </c>
      <c r="AL73" s="814">
        <v>400</v>
      </c>
      <c r="AM73" s="814">
        <f>SUM(AM71:AM72)</f>
        <v>400</v>
      </c>
      <c r="AN73" s="814">
        <f>SUM(AN71:AN72)</f>
        <v>400</v>
      </c>
      <c r="AO73" s="814">
        <f>SUM(AO71:AO72)</f>
        <v>400</v>
      </c>
      <c r="AP73" s="814">
        <f>AP72</f>
        <v>625</v>
      </c>
      <c r="AQ73" s="814">
        <f>SUM(AQ71:AQ72)</f>
        <v>625</v>
      </c>
      <c r="AR73" s="814">
        <f>SUM(AR71:AR72)</f>
        <v>688</v>
      </c>
      <c r="AS73" s="814">
        <f t="shared" si="15"/>
        <v>63</v>
      </c>
      <c r="AT73" s="2242">
        <f t="shared" si="16"/>
        <v>0.1008</v>
      </c>
      <c r="AU73" s="920">
        <f>SUM(AU72)</f>
        <v>0</v>
      </c>
      <c r="AV73" s="819"/>
      <c r="AW73" s="797">
        <f>SUM(AU73-H73)</f>
        <v>-820</v>
      </c>
      <c r="AX73" s="805">
        <f>IF(H73&gt;0,AW73/H73,"")</f>
        <v>-1</v>
      </c>
      <c r="AY73" s="807"/>
      <c r="AZ73" s="2136"/>
      <c r="BA73" s="2136"/>
    </row>
    <row r="74" spans="1:54" ht="13.9" hidden="1" customHeight="1" outlineLevel="1" x14ac:dyDescent="0.2">
      <c r="A74" s="855"/>
      <c r="B74" s="822"/>
      <c r="C74" s="823"/>
      <c r="D74" s="823"/>
      <c r="E74" s="824"/>
      <c r="F74" s="823"/>
      <c r="G74" s="825"/>
      <c r="H74" s="825"/>
      <c r="I74" s="826"/>
      <c r="J74" s="883"/>
      <c r="K74" s="856"/>
      <c r="L74" s="863"/>
      <c r="M74" s="864"/>
      <c r="N74" s="858"/>
      <c r="O74" s="856"/>
      <c r="P74" s="856"/>
      <c r="Q74" s="856"/>
      <c r="R74" s="856"/>
      <c r="S74" s="856"/>
      <c r="T74" s="856"/>
      <c r="U74" s="856"/>
      <c r="V74" s="856"/>
      <c r="W74" s="856"/>
      <c r="X74" s="856"/>
      <c r="Y74" s="856"/>
      <c r="Z74" s="856"/>
      <c r="AA74" s="856"/>
      <c r="AB74" s="856"/>
      <c r="AC74" s="856"/>
      <c r="AD74" s="856"/>
      <c r="AE74" s="856"/>
      <c r="AF74" s="856"/>
      <c r="AG74" s="856"/>
      <c r="AH74" s="856"/>
      <c r="AI74" s="856"/>
      <c r="AJ74" s="856"/>
      <c r="AK74" s="856"/>
      <c r="AL74" s="856"/>
      <c r="AM74" s="856"/>
      <c r="AN74" s="856"/>
      <c r="AO74" s="856"/>
      <c r="AP74" s="856"/>
      <c r="AQ74" s="856"/>
      <c r="AR74" s="856"/>
      <c r="AS74" s="856">
        <f t="shared" si="15"/>
        <v>0</v>
      </c>
      <c r="AT74" s="2243" t="str">
        <f t="shared" si="16"/>
        <v/>
      </c>
      <c r="AU74" s="833"/>
      <c r="AV74" s="834"/>
      <c r="AW74" s="823"/>
      <c r="AX74" s="835"/>
      <c r="AY74" s="836"/>
      <c r="AZ74" s="2136"/>
      <c r="BA74" s="2136"/>
    </row>
    <row r="75" spans="1:54" ht="13.9" hidden="1" customHeight="1" outlineLevel="1" x14ac:dyDescent="0.2">
      <c r="A75" s="808" t="s">
        <v>669</v>
      </c>
      <c r="B75" s="796"/>
      <c r="C75" s="797"/>
      <c r="D75" s="797"/>
      <c r="E75" s="837"/>
      <c r="F75" s="797"/>
      <c r="G75" s="798"/>
      <c r="H75" s="798"/>
      <c r="J75" s="884"/>
      <c r="K75" s="859"/>
      <c r="L75" s="865"/>
      <c r="M75" s="865"/>
      <c r="N75" s="838"/>
      <c r="O75" s="859"/>
      <c r="P75" s="859"/>
      <c r="Q75" s="859"/>
      <c r="R75" s="859"/>
      <c r="S75" s="859"/>
      <c r="T75" s="859"/>
      <c r="U75" s="859"/>
      <c r="V75" s="859"/>
      <c r="W75" s="859"/>
      <c r="X75" s="859"/>
      <c r="Y75" s="859"/>
      <c r="Z75" s="859"/>
      <c r="AA75" s="859"/>
      <c r="AB75" s="859"/>
      <c r="AC75" s="859"/>
      <c r="AD75" s="859"/>
      <c r="AE75" s="859"/>
      <c r="AF75" s="859"/>
      <c r="AG75" s="859"/>
      <c r="AH75" s="859"/>
      <c r="AI75" s="859"/>
      <c r="AJ75" s="859"/>
      <c r="AK75" s="859"/>
      <c r="AL75" s="859"/>
      <c r="AM75" s="859"/>
      <c r="AN75" s="859"/>
      <c r="AO75" s="859"/>
      <c r="AP75" s="859"/>
      <c r="AQ75" s="859"/>
      <c r="AR75" s="859"/>
      <c r="AS75" s="859" t="str">
        <f t="shared" ref="AS75:AS79" si="27">IF(AL75&gt;0,AN75-AL75,"")</f>
        <v/>
      </c>
      <c r="AT75" s="2239" t="str">
        <f t="shared" si="6"/>
        <v/>
      </c>
      <c r="AU75" s="803"/>
      <c r="AV75" s="819"/>
      <c r="AW75" s="797"/>
      <c r="AX75" s="805"/>
      <c r="AY75" s="807"/>
      <c r="AZ75" s="2136"/>
      <c r="BA75" s="2136"/>
      <c r="BB75" s="2129" t="s">
        <v>1099</v>
      </c>
    </row>
    <row r="76" spans="1:54" ht="13.9" hidden="1" customHeight="1" outlineLevel="1" x14ac:dyDescent="0.2">
      <c r="A76" s="808" t="s">
        <v>558</v>
      </c>
      <c r="B76" s="796">
        <v>0</v>
      </c>
      <c r="C76" s="797">
        <v>0</v>
      </c>
      <c r="D76" s="797">
        <v>0</v>
      </c>
      <c r="E76" s="797">
        <v>0</v>
      </c>
      <c r="F76" s="797">
        <v>0</v>
      </c>
      <c r="G76" s="798">
        <v>0</v>
      </c>
      <c r="H76" s="798">
        <v>0</v>
      </c>
      <c r="I76" s="715">
        <v>0</v>
      </c>
      <c r="J76" s="839">
        <v>0</v>
      </c>
      <c r="K76" s="817"/>
      <c r="L76" s="893"/>
      <c r="M76" s="893"/>
      <c r="N76" s="846"/>
      <c r="O76" s="817"/>
      <c r="P76" s="817"/>
      <c r="Q76" s="817"/>
      <c r="R76" s="817"/>
      <c r="S76" s="817"/>
      <c r="T76" s="817"/>
      <c r="U76" s="817"/>
      <c r="V76" s="817"/>
      <c r="W76" s="817"/>
      <c r="X76" s="817"/>
      <c r="Y76" s="817"/>
      <c r="Z76" s="843">
        <f>Y76*(1+$A$2/100)</f>
        <v>0</v>
      </c>
      <c r="AA76" s="817"/>
      <c r="AB76" s="843">
        <f>AA76*(1+$A$2/100)</f>
        <v>0</v>
      </c>
      <c r="AC76" s="817"/>
      <c r="AD76" s="817"/>
      <c r="AE76" s="817"/>
      <c r="AF76" s="843">
        <v>0</v>
      </c>
      <c r="AG76" s="843"/>
      <c r="AH76" s="843"/>
      <c r="AI76" s="817"/>
      <c r="AJ76" s="817"/>
      <c r="AK76" s="817"/>
      <c r="AL76" s="817"/>
      <c r="AM76" s="817"/>
      <c r="AN76" s="817"/>
      <c r="AO76" s="817"/>
      <c r="AP76" s="817"/>
      <c r="AQ76" s="817"/>
      <c r="AR76" s="817"/>
      <c r="AS76" s="817" t="str">
        <f t="shared" si="27"/>
        <v/>
      </c>
      <c r="AT76" s="2240" t="str">
        <f t="shared" si="6"/>
        <v/>
      </c>
      <c r="AU76" s="803"/>
      <c r="AV76" s="819"/>
      <c r="AW76" s="797"/>
      <c r="AX76" s="805" t="str">
        <f>IF(F76&gt;0,AW76/F76,"")</f>
        <v/>
      </c>
      <c r="AY76" s="807"/>
      <c r="AZ76" s="2136"/>
      <c r="BA76" s="2136"/>
      <c r="BB76" s="2129" t="s">
        <v>1099</v>
      </c>
    </row>
    <row r="77" spans="1:54" ht="13.9" hidden="1" customHeight="1" outlineLevel="1" x14ac:dyDescent="0.2">
      <c r="A77" s="808" t="s">
        <v>820</v>
      </c>
      <c r="B77" s="796">
        <v>300</v>
      </c>
      <c r="C77" s="797">
        <v>120</v>
      </c>
      <c r="D77" s="797">
        <v>300</v>
      </c>
      <c r="E77" s="797">
        <v>120</v>
      </c>
      <c r="F77" s="797">
        <v>300</v>
      </c>
      <c r="G77" s="798">
        <v>120</v>
      </c>
      <c r="H77" s="798">
        <v>300</v>
      </c>
      <c r="I77" s="715">
        <v>120</v>
      </c>
      <c r="J77" s="921">
        <v>300</v>
      </c>
      <c r="K77" s="814" t="s">
        <v>462</v>
      </c>
      <c r="L77" s="845">
        <v>0</v>
      </c>
      <c r="M77" s="845"/>
      <c r="N77" s="846"/>
      <c r="O77" s="814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4"/>
      <c r="AA77" s="814"/>
      <c r="AB77" s="814"/>
      <c r="AC77" s="814"/>
      <c r="AD77" s="814"/>
      <c r="AE77" s="814"/>
      <c r="AF77" s="843">
        <v>0</v>
      </c>
      <c r="AG77" s="843"/>
      <c r="AH77" s="843"/>
      <c r="AI77" s="814"/>
      <c r="AJ77" s="814"/>
      <c r="AK77" s="814"/>
      <c r="AL77" s="814"/>
      <c r="AM77" s="814"/>
      <c r="AN77" s="814"/>
      <c r="AO77" s="814"/>
      <c r="AP77" s="814"/>
      <c r="AQ77" s="814"/>
      <c r="AR77" s="814"/>
      <c r="AS77" s="814" t="str">
        <f t="shared" si="27"/>
        <v/>
      </c>
      <c r="AT77" s="2242" t="str">
        <f t="shared" si="6"/>
        <v/>
      </c>
      <c r="AU77" s="803"/>
      <c r="AV77" s="819"/>
      <c r="AW77" s="797">
        <f>SUM(AU77-H77)</f>
        <v>-300</v>
      </c>
      <c r="AX77" s="805">
        <f>IF(H77&gt;0,AW77/H77,"")</f>
        <v>-1</v>
      </c>
      <c r="AY77" s="807"/>
      <c r="AZ77" s="2136"/>
      <c r="BA77" s="2136"/>
      <c r="BB77" s="2129" t="s">
        <v>1099</v>
      </c>
    </row>
    <row r="78" spans="1:54" ht="13.9" hidden="1" customHeight="1" outlineLevel="1" x14ac:dyDescent="0.2">
      <c r="A78" s="878" t="s">
        <v>821</v>
      </c>
      <c r="B78" s="809">
        <f>SUM(B76:B77)</f>
        <v>300</v>
      </c>
      <c r="C78" s="810">
        <f>SUM(C76:C77)</f>
        <v>120</v>
      </c>
      <c r="D78" s="810">
        <f t="shared" ref="D78:M78" si="28">SUM(D76:D77)</f>
        <v>300</v>
      </c>
      <c r="E78" s="810">
        <f t="shared" si="28"/>
        <v>120</v>
      </c>
      <c r="F78" s="810">
        <f t="shared" si="28"/>
        <v>300</v>
      </c>
      <c r="G78" s="810">
        <f t="shared" si="28"/>
        <v>120</v>
      </c>
      <c r="H78" s="810">
        <f t="shared" si="28"/>
        <v>300</v>
      </c>
      <c r="I78" s="810">
        <f t="shared" si="28"/>
        <v>120</v>
      </c>
      <c r="J78" s="922">
        <v>300</v>
      </c>
      <c r="K78" s="849">
        <v>38782</v>
      </c>
      <c r="L78" s="879">
        <f t="shared" si="28"/>
        <v>0</v>
      </c>
      <c r="M78" s="879">
        <f t="shared" si="28"/>
        <v>0</v>
      </c>
      <c r="N78" s="919"/>
      <c r="O78" s="814"/>
      <c r="P78" s="814">
        <f>SUM(P76:P77)</f>
        <v>0</v>
      </c>
      <c r="Q78" s="852">
        <f>IF(SUM(Q76:Q77)=0,P78,SUM(Q76:Q77))</f>
        <v>0</v>
      </c>
      <c r="R78" s="814">
        <f>SUM(R76:R77)</f>
        <v>0</v>
      </c>
      <c r="S78" s="852">
        <f>IF(SUM(S76:S77)=0,R78,SUM(S76:S77))</f>
        <v>0</v>
      </c>
      <c r="T78" s="814">
        <v>0</v>
      </c>
      <c r="U78" s="814">
        <v>0</v>
      </c>
      <c r="V78" s="814">
        <f>SUM(V76:V77)</f>
        <v>0</v>
      </c>
      <c r="W78" s="852">
        <f>IF(SUM(W76:W77)=0,V78,SUM(W76:W77))</f>
        <v>0</v>
      </c>
      <c r="X78" s="814">
        <f>SUM(X76:X77)</f>
        <v>0</v>
      </c>
      <c r="Y78" s="852">
        <f>IF(SUM(Y76:Y77)=0,X78,SUM(Y76:Y77))</f>
        <v>0</v>
      </c>
      <c r="Z78" s="814">
        <f>SUM(Z76:Z77)</f>
        <v>0</v>
      </c>
      <c r="AA78" s="852">
        <f>IF(SUM(AA76:AA77)=0,Z78,SUM(AA76:AA77))</f>
        <v>0</v>
      </c>
      <c r="AB78" s="814">
        <f>SUM(AB76:AB77)</f>
        <v>0</v>
      </c>
      <c r="AC78" s="852">
        <f>IF(SUM(AC76:AC77)=0,AB78,SUM(AC76:AC77))</f>
        <v>0</v>
      </c>
      <c r="AD78" s="852"/>
      <c r="AE78" s="852"/>
      <c r="AF78" s="814"/>
      <c r="AG78" s="814"/>
      <c r="AH78" s="814"/>
      <c r="AI78" s="814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 t="str">
        <f t="shared" si="27"/>
        <v/>
      </c>
      <c r="AT78" s="2242" t="str">
        <f t="shared" si="6"/>
        <v/>
      </c>
      <c r="AU78" s="882">
        <f>SUM(AU76:AU77)</f>
        <v>0</v>
      </c>
      <c r="AV78" s="819"/>
      <c r="AW78" s="797">
        <f>SUM(AU78-H78)</f>
        <v>-300</v>
      </c>
      <c r="AX78" s="805">
        <f>IF(H78&gt;0,AW78/H78,"")</f>
        <v>-1</v>
      </c>
      <c r="AY78" s="807"/>
      <c r="AZ78" s="2136"/>
      <c r="BA78" s="2136"/>
      <c r="BB78" s="2129" t="s">
        <v>1099</v>
      </c>
    </row>
    <row r="79" spans="1:54" ht="13.9" hidden="1" customHeight="1" outlineLevel="1" x14ac:dyDescent="0.2">
      <c r="A79" s="923"/>
      <c r="B79" s="822"/>
      <c r="C79" s="823"/>
      <c r="D79" s="823"/>
      <c r="E79" s="824"/>
      <c r="F79" s="823"/>
      <c r="G79" s="825"/>
      <c r="H79" s="825"/>
      <c r="I79" s="826"/>
      <c r="J79" s="883"/>
      <c r="K79" s="856"/>
      <c r="L79" s="924"/>
      <c r="M79" s="925"/>
      <c r="N79" s="858"/>
      <c r="O79" s="856"/>
      <c r="P79" s="856"/>
      <c r="Q79" s="856"/>
      <c r="R79" s="856"/>
      <c r="S79" s="856"/>
      <c r="T79" s="856"/>
      <c r="U79" s="856"/>
      <c r="V79" s="856"/>
      <c r="W79" s="856"/>
      <c r="X79" s="856"/>
      <c r="Y79" s="856"/>
      <c r="Z79" s="856"/>
      <c r="AA79" s="856"/>
      <c r="AB79" s="856"/>
      <c r="AC79" s="856"/>
      <c r="AD79" s="856"/>
      <c r="AE79" s="856"/>
      <c r="AF79" s="856"/>
      <c r="AG79" s="856"/>
      <c r="AH79" s="856"/>
      <c r="AI79" s="856"/>
      <c r="AJ79" s="856"/>
      <c r="AK79" s="856"/>
      <c r="AL79" s="856"/>
      <c r="AM79" s="856"/>
      <c r="AN79" s="856"/>
      <c r="AO79" s="856"/>
      <c r="AP79" s="856"/>
      <c r="AQ79" s="856"/>
      <c r="AR79" s="856"/>
      <c r="AS79" s="856" t="str">
        <f t="shared" si="27"/>
        <v/>
      </c>
      <c r="AT79" s="2243" t="str">
        <f t="shared" si="6"/>
        <v/>
      </c>
      <c r="AU79" s="833"/>
      <c r="AV79" s="834"/>
      <c r="AW79" s="823"/>
      <c r="AX79" s="835"/>
      <c r="AY79" s="836"/>
      <c r="AZ79" s="2136"/>
      <c r="BA79" s="2136"/>
      <c r="BB79" s="2129" t="s">
        <v>1099</v>
      </c>
    </row>
    <row r="80" spans="1:54" ht="13.9" hidden="1" customHeight="1" outlineLevel="1" x14ac:dyDescent="0.2">
      <c r="A80" s="808" t="s">
        <v>670</v>
      </c>
      <c r="B80" s="796"/>
      <c r="C80" s="797"/>
      <c r="D80" s="797"/>
      <c r="E80" s="837"/>
      <c r="F80" s="797"/>
      <c r="G80" s="798"/>
      <c r="H80" s="798"/>
      <c r="J80" s="884"/>
      <c r="K80" s="859"/>
      <c r="L80" s="865"/>
      <c r="M80" s="865"/>
      <c r="N80" s="838"/>
      <c r="O80" s="859"/>
      <c r="P80" s="859"/>
      <c r="Q80" s="859"/>
      <c r="R80" s="859"/>
      <c r="S80" s="859"/>
      <c r="T80" s="859"/>
      <c r="U80" s="859"/>
      <c r="V80" s="859"/>
      <c r="W80" s="859"/>
      <c r="X80" s="859"/>
      <c r="Y80" s="859"/>
      <c r="Z80" s="859"/>
      <c r="AA80" s="859"/>
      <c r="AB80" s="859"/>
      <c r="AC80" s="859"/>
      <c r="AD80" s="859"/>
      <c r="AE80" s="859"/>
      <c r="AF80" s="859"/>
      <c r="AG80" s="859"/>
      <c r="AH80" s="859"/>
      <c r="AI80" s="859"/>
      <c r="AJ80" s="859"/>
      <c r="AK80" s="859"/>
      <c r="AL80" s="859"/>
      <c r="AM80" s="859"/>
      <c r="AN80" s="859"/>
      <c r="AO80" s="859"/>
      <c r="AP80" s="859"/>
      <c r="AQ80" s="859"/>
      <c r="AR80" s="859"/>
      <c r="AS80" s="859">
        <f t="shared" ref="AS80:AS85" si="29">AR80-AP80</f>
        <v>0</v>
      </c>
      <c r="AT80" s="2239" t="str">
        <f t="shared" ref="AT80:AT85" si="30">IF(AP80&gt;0,AS80/AP80,"")</f>
        <v/>
      </c>
      <c r="AU80" s="803"/>
      <c r="AV80" s="819"/>
      <c r="AW80" s="797"/>
      <c r="AX80" s="805"/>
      <c r="AY80" s="807"/>
      <c r="AZ80" s="2136"/>
      <c r="BA80" s="2136"/>
    </row>
    <row r="81" spans="1:54" ht="13.9" hidden="1" customHeight="1" outlineLevel="1" x14ac:dyDescent="0.2">
      <c r="A81" s="808" t="s">
        <v>567</v>
      </c>
      <c r="B81" s="799">
        <v>48259</v>
      </c>
      <c r="C81" s="799">
        <v>48259</v>
      </c>
      <c r="D81" s="887">
        <v>49707</v>
      </c>
      <c r="E81" s="797">
        <v>49707</v>
      </c>
      <c r="F81" s="887">
        <v>49707</v>
      </c>
      <c r="G81" s="888">
        <v>49707</v>
      </c>
      <c r="H81" s="888">
        <v>51835</v>
      </c>
      <c r="I81" s="888">
        <f>50835+1000</f>
        <v>51835</v>
      </c>
      <c r="J81" s="839">
        <v>53490</v>
      </c>
      <c r="K81" s="817"/>
      <c r="L81" s="876">
        <v>54907</v>
      </c>
      <c r="M81" s="889">
        <f>L81*(1+0.027)+1000</f>
        <v>57389.488999999994</v>
      </c>
      <c r="N81" s="841">
        <v>58912</v>
      </c>
      <c r="O81" s="817">
        <v>58912</v>
      </c>
      <c r="P81" s="926">
        <v>50842</v>
      </c>
      <c r="Q81" s="926">
        <v>50842</v>
      </c>
      <c r="R81" s="843">
        <v>50842</v>
      </c>
      <c r="S81" s="817"/>
      <c r="T81" s="817">
        <v>54451</v>
      </c>
      <c r="U81" s="817">
        <v>54451</v>
      </c>
      <c r="V81" s="843">
        <v>59712</v>
      </c>
      <c r="W81" s="817">
        <v>53195</v>
      </c>
      <c r="X81" s="843">
        <v>56951</v>
      </c>
      <c r="Y81" s="843">
        <v>56951</v>
      </c>
      <c r="Z81" s="843">
        <v>63348</v>
      </c>
      <c r="AA81" s="843">
        <f>Z81</f>
        <v>63348</v>
      </c>
      <c r="AB81" s="843">
        <v>66135</v>
      </c>
      <c r="AC81" s="843">
        <f>AB81</f>
        <v>66135</v>
      </c>
      <c r="AD81" s="843"/>
      <c r="AE81" s="843">
        <v>61672</v>
      </c>
      <c r="AF81" s="843"/>
      <c r="AG81" s="843">
        <v>63522.16</v>
      </c>
      <c r="AH81" s="843">
        <v>64647</v>
      </c>
      <c r="AI81" s="843">
        <v>66586.41</v>
      </c>
      <c r="AJ81" s="843">
        <v>73717</v>
      </c>
      <c r="AK81" s="843">
        <v>75928.509999999995</v>
      </c>
      <c r="AL81" s="843">
        <v>75461</v>
      </c>
      <c r="AM81" s="843">
        <f>AL81*$AH$3</f>
        <v>76970.22</v>
      </c>
      <c r="AN81" s="843">
        <v>76964</v>
      </c>
      <c r="AO81" s="843">
        <f>AN81*$AH$3</f>
        <v>78503.28</v>
      </c>
      <c r="AP81" s="843">
        <v>78509</v>
      </c>
      <c r="AQ81" s="843">
        <f>AP81*$AH$3</f>
        <v>80079.180000000008</v>
      </c>
      <c r="AR81" s="843">
        <f>'[1]BUDGET DETAIL'!$CO$209</f>
        <v>82352</v>
      </c>
      <c r="AS81" s="843">
        <f t="shared" si="29"/>
        <v>3843</v>
      </c>
      <c r="AT81" s="2239">
        <f t="shared" si="30"/>
        <v>4.8949801933536284E-2</v>
      </c>
      <c r="AU81" s="890"/>
      <c r="AV81" s="819"/>
      <c r="AW81" s="797">
        <f>SUM(AU81-H81)</f>
        <v>-51835</v>
      </c>
      <c r="AX81" s="805">
        <f>IF(H81&gt;0,AW81/H81,"")</f>
        <v>-1</v>
      </c>
      <c r="AY81" s="891"/>
      <c r="AZ81" s="2136"/>
      <c r="BA81" s="2136"/>
      <c r="BB81" s="2145"/>
    </row>
    <row r="82" spans="1:54" ht="13.9" customHeight="1" outlineLevel="1" x14ac:dyDescent="0.2">
      <c r="A82" s="808" t="s">
        <v>558</v>
      </c>
      <c r="B82" s="799">
        <v>25228</v>
      </c>
      <c r="C82" s="799">
        <v>25225.49</v>
      </c>
      <c r="D82" s="799">
        <v>26087</v>
      </c>
      <c r="E82" s="797">
        <v>26087</v>
      </c>
      <c r="F82" s="799">
        <v>26087</v>
      </c>
      <c r="G82" s="801">
        <v>25798.78</v>
      </c>
      <c r="H82" s="801">
        <v>27145</v>
      </c>
      <c r="I82" s="801">
        <v>27143.48</v>
      </c>
      <c r="J82" s="839">
        <v>28044</v>
      </c>
      <c r="K82" s="817"/>
      <c r="L82" s="876">
        <v>28845.91</v>
      </c>
      <c r="M82" s="840">
        <v>29713</v>
      </c>
      <c r="N82" s="841">
        <v>30488</v>
      </c>
      <c r="O82" s="817">
        <v>30488</v>
      </c>
      <c r="P82" s="892">
        <v>15919</v>
      </c>
      <c r="Q82" s="892">
        <v>15919</v>
      </c>
      <c r="R82" s="817">
        <v>19714</v>
      </c>
      <c r="S82" s="817"/>
      <c r="T82" s="817">
        <v>20165</v>
      </c>
      <c r="U82" s="817">
        <v>20165</v>
      </c>
      <c r="V82" s="843">
        <v>18819</v>
      </c>
      <c r="W82" s="817">
        <f>V82</f>
        <v>18819</v>
      </c>
      <c r="X82" s="843">
        <v>20004</v>
      </c>
      <c r="Y82" s="843">
        <v>23447</v>
      </c>
      <c r="Z82" s="843">
        <v>26013</v>
      </c>
      <c r="AA82" s="843">
        <f>Z82</f>
        <v>26013</v>
      </c>
      <c r="AB82" s="843">
        <v>29011</v>
      </c>
      <c r="AC82" s="843">
        <f>AB82</f>
        <v>29011</v>
      </c>
      <c r="AD82" s="843"/>
      <c r="AE82" s="843">
        <v>26389</v>
      </c>
      <c r="AF82" s="843"/>
      <c r="AG82" s="843">
        <v>27180.670000000002</v>
      </c>
      <c r="AH82" s="843">
        <v>33927</v>
      </c>
      <c r="AI82" s="843">
        <v>34944.81</v>
      </c>
      <c r="AJ82" s="843">
        <v>33188</v>
      </c>
      <c r="AK82" s="843">
        <v>34183.64</v>
      </c>
      <c r="AL82" s="843">
        <v>30734</v>
      </c>
      <c r="AM82" s="843">
        <f>AL82*$AH$3</f>
        <v>31348.68</v>
      </c>
      <c r="AN82" s="843">
        <v>28328</v>
      </c>
      <c r="AO82" s="843">
        <f>AN82*$AH$3</f>
        <v>28894.560000000001</v>
      </c>
      <c r="AP82" s="843">
        <v>38307</v>
      </c>
      <c r="AQ82" s="843">
        <f>AP82*$AH$3</f>
        <v>39073.14</v>
      </c>
      <c r="AR82" s="843">
        <f>'[1]BUDGET DETAIL'!$CO$217 + IF(BA82="yes",AZ82,0)</f>
        <v>40497</v>
      </c>
      <c r="AS82" s="843">
        <f t="shared" si="29"/>
        <v>2190</v>
      </c>
      <c r="AT82" s="2239">
        <f t="shared" si="30"/>
        <v>5.7169707886287099E-2</v>
      </c>
      <c r="AU82" s="890"/>
      <c r="AV82" s="819"/>
      <c r="AW82" s="797">
        <f>SUM(AU82-H82)</f>
        <v>-27145</v>
      </c>
      <c r="AX82" s="805">
        <f>IF(H82&gt;0,AW82/H82,"")</f>
        <v>-1</v>
      </c>
      <c r="AY82" s="1528"/>
      <c r="AZ82" s="2136">
        <f>'[1]ABOVE GUIDELINES'!$K$14</f>
        <v>6909</v>
      </c>
      <c r="BA82" s="2321" t="s">
        <v>2506</v>
      </c>
      <c r="BB82" s="2955">
        <v>45012</v>
      </c>
    </row>
    <row r="83" spans="1:54" ht="13.9" hidden="1" customHeight="1" outlineLevel="1" x14ac:dyDescent="0.2">
      <c r="A83" s="808" t="s">
        <v>820</v>
      </c>
      <c r="B83" s="799">
        <v>19380</v>
      </c>
      <c r="C83" s="799">
        <v>18338.46</v>
      </c>
      <c r="D83" s="799">
        <v>17549</v>
      </c>
      <c r="E83" s="797">
        <v>15957.83</v>
      </c>
      <c r="F83" s="799">
        <v>17549</v>
      </c>
      <c r="G83" s="801">
        <v>16734.03</v>
      </c>
      <c r="H83" s="801">
        <v>14005</v>
      </c>
      <c r="I83" s="801">
        <v>13846.8</v>
      </c>
      <c r="J83" s="839">
        <v>14005</v>
      </c>
      <c r="K83" s="817"/>
      <c r="L83" s="845">
        <v>14518.75</v>
      </c>
      <c r="M83" s="845">
        <v>14570</v>
      </c>
      <c r="N83" s="846">
        <v>13110</v>
      </c>
      <c r="O83" s="817">
        <v>10238</v>
      </c>
      <c r="P83" s="817">
        <v>11309</v>
      </c>
      <c r="Q83" s="817">
        <v>11309</v>
      </c>
      <c r="R83" s="817">
        <f>7514+2542</f>
        <v>10056</v>
      </c>
      <c r="S83" s="817"/>
      <c r="T83" s="817">
        <v>10432</v>
      </c>
      <c r="U83" s="817">
        <v>12528</v>
      </c>
      <c r="V83" s="843">
        <v>7748</v>
      </c>
      <c r="W83" s="817">
        <v>10248</v>
      </c>
      <c r="X83" s="843">
        <v>10560</v>
      </c>
      <c r="Y83" s="843">
        <v>14335</v>
      </c>
      <c r="Z83" s="843">
        <v>13156</v>
      </c>
      <c r="AA83" s="843">
        <f>Z83</f>
        <v>13156</v>
      </c>
      <c r="AB83" s="843">
        <v>14385</v>
      </c>
      <c r="AC83" s="843">
        <f>AB83</f>
        <v>14385</v>
      </c>
      <c r="AD83" s="843"/>
      <c r="AE83" s="843">
        <v>13535</v>
      </c>
      <c r="AF83" s="843"/>
      <c r="AG83" s="843">
        <v>13535</v>
      </c>
      <c r="AH83" s="1514">
        <v>16585</v>
      </c>
      <c r="AI83" s="843">
        <v>16585</v>
      </c>
      <c r="AJ83" s="843">
        <v>13885</v>
      </c>
      <c r="AK83" s="843">
        <v>13885</v>
      </c>
      <c r="AL83" s="843">
        <v>17097</v>
      </c>
      <c r="AM83" s="843">
        <f>AL83*$AH$4</f>
        <v>17097</v>
      </c>
      <c r="AN83" s="843">
        <v>20457</v>
      </c>
      <c r="AO83" s="843">
        <f>AN83*$AH$4</f>
        <v>20457</v>
      </c>
      <c r="AP83" s="843">
        <v>23277</v>
      </c>
      <c r="AQ83" s="843">
        <f>AP83*$AH$4</f>
        <v>23277</v>
      </c>
      <c r="AR83" s="843">
        <f>'[1]BUDGET DETAIL'!$CO$236</f>
        <v>22507</v>
      </c>
      <c r="AS83" s="843">
        <f t="shared" si="29"/>
        <v>-770</v>
      </c>
      <c r="AT83" s="2239">
        <f t="shared" si="30"/>
        <v>-3.3079864243674012E-2</v>
      </c>
      <c r="AU83" s="890"/>
      <c r="AV83" s="819"/>
      <c r="AW83" s="797">
        <f>SUM(AU83-H83)</f>
        <v>-14005</v>
      </c>
      <c r="AX83" s="805">
        <f>IF(H83&gt;0,AW83/H83,"")</f>
        <v>-1</v>
      </c>
      <c r="AY83" s="1672"/>
      <c r="AZ83" s="2136"/>
      <c r="BA83" s="2136"/>
      <c r="BB83" s="2147"/>
    </row>
    <row r="84" spans="1:54" ht="13.9" hidden="1" customHeight="1" outlineLevel="1" x14ac:dyDescent="0.2">
      <c r="A84" s="878" t="s">
        <v>821</v>
      </c>
      <c r="B84" s="810">
        <f>SUM(B81:B83)</f>
        <v>92867</v>
      </c>
      <c r="C84" s="906">
        <f t="shared" ref="C84:O84" si="31">SUM(C81:C83)</f>
        <v>91822.950000000012</v>
      </c>
      <c r="D84" s="906">
        <f t="shared" si="31"/>
        <v>93343</v>
      </c>
      <c r="E84" s="906">
        <f t="shared" si="31"/>
        <v>91751.83</v>
      </c>
      <c r="F84" s="906">
        <f t="shared" si="31"/>
        <v>93343</v>
      </c>
      <c r="G84" s="906">
        <f t="shared" si="31"/>
        <v>92239.81</v>
      </c>
      <c r="H84" s="906">
        <f t="shared" si="31"/>
        <v>92985</v>
      </c>
      <c r="I84" s="906">
        <f t="shared" si="31"/>
        <v>92825.279999999999</v>
      </c>
      <c r="J84" s="907">
        <f t="shared" si="31"/>
        <v>95539</v>
      </c>
      <c r="K84" s="814" t="s">
        <v>462</v>
      </c>
      <c r="L84" s="918">
        <f t="shared" si="31"/>
        <v>98271.66</v>
      </c>
      <c r="M84" s="918">
        <f t="shared" si="31"/>
        <v>101672.489</v>
      </c>
      <c r="N84" s="919">
        <f t="shared" si="31"/>
        <v>102510</v>
      </c>
      <c r="O84" s="919">
        <f t="shared" si="31"/>
        <v>99638</v>
      </c>
      <c r="P84" s="928">
        <f>SUM(P81:P83)</f>
        <v>78070</v>
      </c>
      <c r="Q84" s="852">
        <f>IF(SUM(Q81:Q83)=0,P84,SUM(Q81:Q83))</f>
        <v>78070</v>
      </c>
      <c r="R84" s="919">
        <f>SUM(R81:R83)</f>
        <v>80612</v>
      </c>
      <c r="S84" s="852">
        <f>IF(SUM(S81:S83)=0,R84,SUM(S81:S83))</f>
        <v>80612</v>
      </c>
      <c r="T84" s="814">
        <v>85048</v>
      </c>
      <c r="U84" s="814">
        <v>87144</v>
      </c>
      <c r="V84" s="919">
        <f>SUM(V81:V83)</f>
        <v>86279</v>
      </c>
      <c r="W84" s="852">
        <f>IF(SUM(W81:W83)=0,V84,SUM(W81:W83))</f>
        <v>82262</v>
      </c>
      <c r="X84" s="919">
        <f>SUM(X81:X83)</f>
        <v>87515</v>
      </c>
      <c r="Y84" s="852">
        <f>IF(SUM(Y81:Y83)=0,X84,SUM(Y81:Y83))</f>
        <v>94733</v>
      </c>
      <c r="Z84" s="919">
        <f>SUM(Z81:Z83)</f>
        <v>102517</v>
      </c>
      <c r="AA84" s="852">
        <f>IF(SUM(AA81:AA83)=0,Z84,SUM(AA81:AA83))</f>
        <v>102517</v>
      </c>
      <c r="AB84" s="919">
        <f>SUM(AB81:AB83)</f>
        <v>109531</v>
      </c>
      <c r="AC84" s="852">
        <f>IF(SUM(AC81:AC83)=0,AB84,SUM(AC81:AC83))</f>
        <v>109531</v>
      </c>
      <c r="AD84" s="852"/>
      <c r="AE84" s="852">
        <v>101596</v>
      </c>
      <c r="AF84" s="852">
        <v>101596</v>
      </c>
      <c r="AG84" s="852">
        <v>104237.83</v>
      </c>
      <c r="AH84" s="852">
        <v>115159</v>
      </c>
      <c r="AI84" s="814">
        <v>118116.22</v>
      </c>
      <c r="AJ84" s="814">
        <v>120790</v>
      </c>
      <c r="AK84" s="814">
        <v>123997.15</v>
      </c>
      <c r="AL84" s="814">
        <v>123292</v>
      </c>
      <c r="AM84" s="814">
        <f t="shared" ref="AM84:AR84" si="32">SUM(AM81:AM83)</f>
        <v>125415.9</v>
      </c>
      <c r="AN84" s="814">
        <f t="shared" si="32"/>
        <v>125749</v>
      </c>
      <c r="AO84" s="814">
        <f t="shared" si="32"/>
        <v>127854.84</v>
      </c>
      <c r="AP84" s="814">
        <f t="shared" si="32"/>
        <v>140093</v>
      </c>
      <c r="AQ84" s="814">
        <f t="shared" si="32"/>
        <v>142429.32</v>
      </c>
      <c r="AR84" s="814">
        <f t="shared" si="32"/>
        <v>145356</v>
      </c>
      <c r="AS84" s="814">
        <f t="shared" si="29"/>
        <v>5263</v>
      </c>
      <c r="AT84" s="2242">
        <f t="shared" si="30"/>
        <v>3.7567901322692783E-2</v>
      </c>
      <c r="AU84" s="854">
        <f>SUM(AU81:AU83)</f>
        <v>0</v>
      </c>
      <c r="AV84" s="819"/>
      <c r="AW84" s="797">
        <f>SUM(AU84-H84)</f>
        <v>-92985</v>
      </c>
      <c r="AX84" s="805">
        <f>IF(H84&gt;0,AW84/H84,"")</f>
        <v>-1</v>
      </c>
      <c r="AY84" s="807"/>
      <c r="AZ84" s="2136"/>
      <c r="BA84" s="2136"/>
    </row>
    <row r="85" spans="1:54" ht="13.9" hidden="1" customHeight="1" outlineLevel="1" x14ac:dyDescent="0.2">
      <c r="A85" s="855"/>
      <c r="B85" s="822"/>
      <c r="C85" s="823"/>
      <c r="D85" s="823"/>
      <c r="E85" s="824"/>
      <c r="F85" s="823"/>
      <c r="G85" s="825"/>
      <c r="H85" s="825"/>
      <c r="I85" s="826"/>
      <c r="J85" s="883"/>
      <c r="K85" s="856"/>
      <c r="L85" s="863"/>
      <c r="M85" s="864"/>
      <c r="N85" s="858"/>
      <c r="O85" s="856"/>
      <c r="P85" s="856"/>
      <c r="Q85" s="856"/>
      <c r="R85" s="856"/>
      <c r="S85" s="856"/>
      <c r="T85" s="856"/>
      <c r="U85" s="856"/>
      <c r="V85" s="856"/>
      <c r="W85" s="856"/>
      <c r="X85" s="856"/>
      <c r="Y85" s="856"/>
      <c r="Z85" s="856"/>
      <c r="AA85" s="856"/>
      <c r="AB85" s="856"/>
      <c r="AC85" s="856"/>
      <c r="AD85" s="856"/>
      <c r="AE85" s="856"/>
      <c r="AF85" s="856"/>
      <c r="AG85" s="856"/>
      <c r="AH85" s="856"/>
      <c r="AI85" s="856"/>
      <c r="AJ85" s="856"/>
      <c r="AK85" s="856"/>
      <c r="AL85" s="856"/>
      <c r="AM85" s="856"/>
      <c r="AN85" s="856"/>
      <c r="AO85" s="856"/>
      <c r="AP85" s="856"/>
      <c r="AQ85" s="856"/>
      <c r="AR85" s="856"/>
      <c r="AS85" s="856">
        <f t="shared" si="29"/>
        <v>0</v>
      </c>
      <c r="AT85" s="2243" t="str">
        <f t="shared" si="30"/>
        <v/>
      </c>
      <c r="AU85" s="833"/>
      <c r="AV85" s="834"/>
      <c r="AW85" s="823"/>
      <c r="AX85" s="835"/>
      <c r="AY85" s="836"/>
      <c r="AZ85" s="2136"/>
      <c r="BA85" s="2136"/>
    </row>
    <row r="86" spans="1:54" ht="13.9" hidden="1" customHeight="1" outlineLevel="1" x14ac:dyDescent="0.2">
      <c r="A86" s="808" t="s">
        <v>683</v>
      </c>
      <c r="B86" s="796"/>
      <c r="C86" s="797"/>
      <c r="D86" s="797"/>
      <c r="E86" s="837"/>
      <c r="F86" s="797"/>
      <c r="G86" s="798"/>
      <c r="H86" s="798"/>
      <c r="J86" s="884"/>
      <c r="K86" s="859"/>
      <c r="L86" s="865"/>
      <c r="M86" s="865"/>
      <c r="N86" s="838"/>
      <c r="O86" s="859"/>
      <c r="P86" s="859"/>
      <c r="Q86" s="859"/>
      <c r="R86" s="859"/>
      <c r="S86" s="859"/>
      <c r="T86" s="859"/>
      <c r="U86" s="859"/>
      <c r="V86" s="859"/>
      <c r="W86" s="859"/>
      <c r="X86" s="859"/>
      <c r="Y86" s="859"/>
      <c r="Z86" s="859"/>
      <c r="AA86" s="859"/>
      <c r="AB86" s="859"/>
      <c r="AC86" s="859"/>
      <c r="AD86" s="859"/>
      <c r="AE86" s="859"/>
      <c r="AF86" s="859"/>
      <c r="AG86" s="859"/>
      <c r="AH86" s="859"/>
      <c r="AI86" s="859"/>
      <c r="AJ86" s="859"/>
      <c r="AK86" s="859"/>
      <c r="AL86" s="859"/>
      <c r="AM86" s="859"/>
      <c r="AN86" s="859"/>
      <c r="AO86" s="859"/>
      <c r="AP86" s="859"/>
      <c r="AQ86" s="859"/>
      <c r="AR86" s="859"/>
      <c r="AS86" s="859" t="str">
        <f t="shared" ref="AS86:AS101" si="33">IF(AL86&gt;0,AN86-AL86,"")</f>
        <v/>
      </c>
      <c r="AT86" s="2239" t="str">
        <f t="shared" ref="AT86:AT138" si="34">IF(AL86&gt;0,AS86/AL86,"")</f>
        <v/>
      </c>
      <c r="AU86" s="803"/>
      <c r="AV86" s="819"/>
      <c r="AW86" s="797"/>
      <c r="AX86" s="805"/>
      <c r="AY86" s="807"/>
      <c r="AZ86" s="2136"/>
      <c r="BA86" s="2136"/>
      <c r="BB86" s="2129" t="s">
        <v>1099</v>
      </c>
    </row>
    <row r="87" spans="1:54" ht="13.9" hidden="1" customHeight="1" outlineLevel="1" x14ac:dyDescent="0.2">
      <c r="A87" s="808" t="s">
        <v>684</v>
      </c>
      <c r="B87" s="796">
        <v>1000</v>
      </c>
      <c r="C87" s="797">
        <v>1000</v>
      </c>
      <c r="D87" s="797">
        <v>1000</v>
      </c>
      <c r="E87" s="797">
        <v>1000</v>
      </c>
      <c r="F87" s="797">
        <v>1000</v>
      </c>
      <c r="G87" s="798">
        <v>1000</v>
      </c>
      <c r="H87" s="798">
        <v>1000</v>
      </c>
      <c r="I87" s="715">
        <v>1000</v>
      </c>
      <c r="J87" s="839">
        <v>1000</v>
      </c>
      <c r="K87" s="817"/>
      <c r="L87" s="876">
        <v>833.33</v>
      </c>
      <c r="M87" s="840">
        <v>1000</v>
      </c>
      <c r="N87" s="841">
        <v>990</v>
      </c>
      <c r="O87" s="817">
        <v>0</v>
      </c>
      <c r="P87" s="817"/>
      <c r="Q87" s="817"/>
      <c r="R87" s="817"/>
      <c r="S87" s="817"/>
      <c r="T87" s="817"/>
      <c r="U87" s="817"/>
      <c r="V87" s="817"/>
      <c r="W87" s="817"/>
      <c r="X87" s="817"/>
      <c r="Y87" s="817"/>
      <c r="Z87" s="843">
        <f>Y87*(1+$A$2/100)</f>
        <v>0</v>
      </c>
      <c r="AA87" s="817"/>
      <c r="AB87" s="843">
        <f>AA87*(1+$A$2/100)</f>
        <v>0</v>
      </c>
      <c r="AC87" s="817"/>
      <c r="AD87" s="817"/>
      <c r="AE87" s="817"/>
      <c r="AF87" s="843">
        <v>0</v>
      </c>
      <c r="AG87" s="843"/>
      <c r="AH87" s="843"/>
      <c r="AI87" s="817"/>
      <c r="AJ87" s="817"/>
      <c r="AK87" s="817"/>
      <c r="AL87" s="817"/>
      <c r="AM87" s="817"/>
      <c r="AN87" s="817"/>
      <c r="AO87" s="817"/>
      <c r="AP87" s="817"/>
      <c r="AQ87" s="817"/>
      <c r="AR87" s="817"/>
      <c r="AS87" s="817" t="str">
        <f t="shared" si="33"/>
        <v/>
      </c>
      <c r="AT87" s="2240" t="str">
        <f t="shared" si="34"/>
        <v/>
      </c>
      <c r="AU87" s="803"/>
      <c r="AV87" s="819"/>
      <c r="AW87" s="797">
        <f>SUM(AU87-H87)</f>
        <v>-1000</v>
      </c>
      <c r="AX87" s="805">
        <f>IF(H87&gt;0,AW87/H87,"")</f>
        <v>-1</v>
      </c>
      <c r="AY87" s="820"/>
      <c r="AZ87" s="2136"/>
      <c r="BA87" s="2136"/>
      <c r="BB87" s="2139" t="s">
        <v>1099</v>
      </c>
    </row>
    <row r="88" spans="1:54" ht="13.9" hidden="1" customHeight="1" outlineLevel="1" x14ac:dyDescent="0.2">
      <c r="A88" s="808" t="s">
        <v>558</v>
      </c>
      <c r="B88" s="929">
        <v>0</v>
      </c>
      <c r="C88" s="799">
        <v>0</v>
      </c>
      <c r="D88" s="799">
        <v>0</v>
      </c>
      <c r="E88" s="797"/>
      <c r="F88" s="799">
        <v>0</v>
      </c>
      <c r="G88" s="801">
        <v>0</v>
      </c>
      <c r="H88" s="801">
        <v>0</v>
      </c>
      <c r="I88" s="733">
        <v>0</v>
      </c>
      <c r="J88" s="839">
        <v>0</v>
      </c>
      <c r="K88" s="817"/>
      <c r="L88" s="845">
        <v>0</v>
      </c>
      <c r="M88" s="840">
        <f>L88*(1+AT$8)</f>
        <v>0</v>
      </c>
      <c r="N88" s="841">
        <f>M88*(1+AT$8)</f>
        <v>0</v>
      </c>
      <c r="O88" s="817"/>
      <c r="P88" s="817"/>
      <c r="Q88" s="817"/>
      <c r="R88" s="817"/>
      <c r="S88" s="817"/>
      <c r="T88" s="817"/>
      <c r="U88" s="817"/>
      <c r="V88" s="817"/>
      <c r="W88" s="817"/>
      <c r="X88" s="817"/>
      <c r="Y88" s="817"/>
      <c r="Z88" s="843">
        <f>Y88*(1+$A$2/100)</f>
        <v>0</v>
      </c>
      <c r="AA88" s="817"/>
      <c r="AB88" s="843">
        <f>AA88*(1+$A$2/100)</f>
        <v>0</v>
      </c>
      <c r="AC88" s="817"/>
      <c r="AD88" s="817"/>
      <c r="AE88" s="817"/>
      <c r="AF88" s="843">
        <v>0</v>
      </c>
      <c r="AG88" s="843"/>
      <c r="AH88" s="843"/>
      <c r="AI88" s="817"/>
      <c r="AJ88" s="817"/>
      <c r="AK88" s="817"/>
      <c r="AL88" s="817"/>
      <c r="AM88" s="817"/>
      <c r="AN88" s="817"/>
      <c r="AO88" s="817"/>
      <c r="AP88" s="817"/>
      <c r="AQ88" s="817"/>
      <c r="AR88" s="817"/>
      <c r="AS88" s="817" t="str">
        <f t="shared" si="33"/>
        <v/>
      </c>
      <c r="AT88" s="2240" t="str">
        <f t="shared" si="34"/>
        <v/>
      </c>
      <c r="AU88" s="930"/>
      <c r="AV88" s="819"/>
      <c r="AW88" s="797">
        <f>SUM(AU88-H88)</f>
        <v>0</v>
      </c>
      <c r="AX88" s="805" t="str">
        <f>IF(H88&gt;0,AW88/H88,"")</f>
        <v/>
      </c>
      <c r="AY88" s="807"/>
      <c r="AZ88" s="2136"/>
      <c r="BA88" s="2136"/>
      <c r="BB88" s="2129" t="s">
        <v>1099</v>
      </c>
    </row>
    <row r="89" spans="1:54" ht="13.9" hidden="1" customHeight="1" outlineLevel="1" x14ac:dyDescent="0.2">
      <c r="A89" s="808" t="s">
        <v>820</v>
      </c>
      <c r="B89" s="796">
        <v>100</v>
      </c>
      <c r="C89" s="797">
        <v>0</v>
      </c>
      <c r="D89" s="797">
        <v>100</v>
      </c>
      <c r="E89" s="797">
        <v>0</v>
      </c>
      <c r="F89" s="797">
        <v>100</v>
      </c>
      <c r="G89" s="798"/>
      <c r="H89" s="798">
        <v>100</v>
      </c>
      <c r="I89" s="715">
        <v>0</v>
      </c>
      <c r="J89" s="813">
        <v>100</v>
      </c>
      <c r="K89" s="814" t="s">
        <v>201</v>
      </c>
      <c r="L89" s="845">
        <v>0</v>
      </c>
      <c r="M89" s="845">
        <v>100</v>
      </c>
      <c r="N89" s="846">
        <v>0</v>
      </c>
      <c r="O89" s="817">
        <v>100</v>
      </c>
      <c r="P89" s="817">
        <v>100</v>
      </c>
      <c r="Q89" s="817">
        <v>100</v>
      </c>
      <c r="R89" s="817">
        <v>100</v>
      </c>
      <c r="S89" s="817"/>
      <c r="T89" s="817">
        <v>100</v>
      </c>
      <c r="U89" s="817">
        <v>100</v>
      </c>
      <c r="V89" s="843">
        <v>100</v>
      </c>
      <c r="W89" s="817">
        <f>V89</f>
        <v>100</v>
      </c>
      <c r="X89" s="843">
        <v>100</v>
      </c>
      <c r="Y89" s="843">
        <v>100</v>
      </c>
      <c r="Z89" s="843">
        <v>100</v>
      </c>
      <c r="AA89" s="843">
        <f>Z89</f>
        <v>100</v>
      </c>
      <c r="AB89" s="843">
        <v>100</v>
      </c>
      <c r="AC89" s="843">
        <f>AB89</f>
        <v>100</v>
      </c>
      <c r="AD89" s="843"/>
      <c r="AE89" s="843">
        <v>0.01</v>
      </c>
      <c r="AF89" s="843"/>
      <c r="AG89" s="843">
        <v>0.01</v>
      </c>
      <c r="AH89" s="843"/>
      <c r="AI89" s="843">
        <v>0.01</v>
      </c>
      <c r="AJ89" s="843">
        <v>0</v>
      </c>
      <c r="AK89" s="843"/>
      <c r="AL89" s="843"/>
      <c r="AM89" s="843"/>
      <c r="AN89" s="843"/>
      <c r="AO89" s="843"/>
      <c r="AP89" s="843"/>
      <c r="AQ89" s="843"/>
      <c r="AR89" s="843"/>
      <c r="AS89" s="843" t="str">
        <f t="shared" si="33"/>
        <v/>
      </c>
      <c r="AT89" s="2239" t="str">
        <f t="shared" si="34"/>
        <v/>
      </c>
      <c r="AU89" s="803"/>
      <c r="AV89" s="819"/>
      <c r="AW89" s="797">
        <f>SUM(AU89-H89)</f>
        <v>-100</v>
      </c>
      <c r="AX89" s="805">
        <f>IF(H89&gt;0,AW89/H89,"")</f>
        <v>-1</v>
      </c>
      <c r="AY89" s="820"/>
      <c r="AZ89" s="2136"/>
      <c r="BA89" s="2136"/>
      <c r="BB89" s="2139" t="s">
        <v>1099</v>
      </c>
    </row>
    <row r="90" spans="1:54" ht="13.9" hidden="1" customHeight="1" outlineLevel="1" x14ac:dyDescent="0.2">
      <c r="A90" s="878" t="s">
        <v>821</v>
      </c>
      <c r="B90" s="809">
        <f>SUM(B87:B89)</f>
        <v>1100</v>
      </c>
      <c r="C90" s="810">
        <f>SUM(C87:C89)</f>
        <v>1000</v>
      </c>
      <c r="D90" s="810">
        <f t="shared" ref="D90:N90" si="35">SUM(D87:D89)</f>
        <v>1100</v>
      </c>
      <c r="E90" s="810">
        <f t="shared" si="35"/>
        <v>1000</v>
      </c>
      <c r="F90" s="810">
        <f t="shared" si="35"/>
        <v>1100</v>
      </c>
      <c r="G90" s="810">
        <f t="shared" si="35"/>
        <v>1000</v>
      </c>
      <c r="H90" s="810">
        <f t="shared" si="35"/>
        <v>1100</v>
      </c>
      <c r="I90" s="810">
        <f t="shared" si="35"/>
        <v>1000</v>
      </c>
      <c r="J90" s="813">
        <v>1100</v>
      </c>
      <c r="K90" s="814" t="s">
        <v>462</v>
      </c>
      <c r="L90" s="879">
        <f t="shared" si="35"/>
        <v>833.33</v>
      </c>
      <c r="M90" s="879">
        <f t="shared" si="35"/>
        <v>1100</v>
      </c>
      <c r="N90" s="880">
        <f t="shared" si="35"/>
        <v>990</v>
      </c>
      <c r="O90" s="814">
        <f>SUM(O87:O89)</f>
        <v>100</v>
      </c>
      <c r="P90" s="817">
        <f>SUM(P87:P89)</f>
        <v>100</v>
      </c>
      <c r="Q90" s="852">
        <f>IF(SUM(Q87:Q89)=0,P90,SUM(Q87:Q89))</f>
        <v>100</v>
      </c>
      <c r="R90" s="817">
        <f>SUM(R87:R89)</f>
        <v>100</v>
      </c>
      <c r="S90" s="852">
        <f>IF(SUM(S87:S89)=0,R90,SUM(S87:S89))</f>
        <v>100</v>
      </c>
      <c r="T90" s="814">
        <v>100</v>
      </c>
      <c r="U90" s="814">
        <v>100</v>
      </c>
      <c r="V90" s="817">
        <f>SUM(V87:V89)</f>
        <v>100</v>
      </c>
      <c r="W90" s="852">
        <f>IF(SUM(W87:W89)=0,V90,SUM(W87:W89))</f>
        <v>100</v>
      </c>
      <c r="X90" s="817">
        <f>SUM(X87:X89)</f>
        <v>100</v>
      </c>
      <c r="Y90" s="852">
        <f>IF(SUM(Y87:Y89)=0,X90,SUM(Y87:Y89))</f>
        <v>100</v>
      </c>
      <c r="Z90" s="817">
        <f>SUM(Z87:Z89)</f>
        <v>100</v>
      </c>
      <c r="AA90" s="852">
        <f>IF(SUM(AA87:AA89)=0,Z90,SUM(AA87:AA89))</f>
        <v>100</v>
      </c>
      <c r="AB90" s="817">
        <f>SUM(AB87:AB89)</f>
        <v>100</v>
      </c>
      <c r="AC90" s="852">
        <f>IF(SUM(AC87:AC89)=0,AB90,SUM(AC87:AC89))</f>
        <v>100</v>
      </c>
      <c r="AD90" s="852"/>
      <c r="AE90" s="852">
        <v>0.01</v>
      </c>
      <c r="AF90" s="852">
        <v>0.01</v>
      </c>
      <c r="AG90" s="852">
        <v>0.01</v>
      </c>
      <c r="AH90" s="852"/>
      <c r="AI90" s="814">
        <v>0.01</v>
      </c>
      <c r="AJ90" s="814">
        <v>0</v>
      </c>
      <c r="AK90" s="814"/>
      <c r="AL90" s="814"/>
      <c r="AM90" s="814"/>
      <c r="AN90" s="814"/>
      <c r="AO90" s="814"/>
      <c r="AP90" s="814"/>
      <c r="AQ90" s="814"/>
      <c r="AR90" s="814"/>
      <c r="AS90" s="814" t="str">
        <f t="shared" si="33"/>
        <v/>
      </c>
      <c r="AT90" s="2242" t="str">
        <f t="shared" si="34"/>
        <v/>
      </c>
      <c r="AU90" s="882">
        <f>SUM(AU87:AU89)</f>
        <v>0</v>
      </c>
      <c r="AV90" s="819"/>
      <c r="AW90" s="797">
        <f>SUM(AU90-H90)</f>
        <v>-1100</v>
      </c>
      <c r="AX90" s="805">
        <f>IF(H90&gt;0,AW90/H90,"")</f>
        <v>-1</v>
      </c>
      <c r="AY90" s="807"/>
      <c r="AZ90" s="2136"/>
      <c r="BA90" s="2136"/>
      <c r="BB90" s="2129" t="s">
        <v>1099</v>
      </c>
    </row>
    <row r="91" spans="1:54" ht="13.9" hidden="1" customHeight="1" outlineLevel="1" x14ac:dyDescent="0.2">
      <c r="A91" s="855"/>
      <c r="B91" s="822"/>
      <c r="C91" s="823"/>
      <c r="D91" s="823"/>
      <c r="E91" s="824"/>
      <c r="F91" s="823"/>
      <c r="G91" s="825"/>
      <c r="H91" s="825"/>
      <c r="I91" s="826"/>
      <c r="J91" s="883"/>
      <c r="K91" s="856"/>
      <c r="L91" s="863"/>
      <c r="M91" s="864"/>
      <c r="N91" s="858"/>
      <c r="O91" s="856"/>
      <c r="P91" s="856"/>
      <c r="Q91" s="856"/>
      <c r="R91" s="856"/>
      <c r="S91" s="856"/>
      <c r="T91" s="856"/>
      <c r="U91" s="856"/>
      <c r="V91" s="856"/>
      <c r="W91" s="856"/>
      <c r="X91" s="856"/>
      <c r="Y91" s="856"/>
      <c r="Z91" s="856"/>
      <c r="AA91" s="856"/>
      <c r="AB91" s="856"/>
      <c r="AC91" s="856"/>
      <c r="AD91" s="856"/>
      <c r="AE91" s="856"/>
      <c r="AF91" s="856"/>
      <c r="AG91" s="856"/>
      <c r="AH91" s="856"/>
      <c r="AI91" s="856"/>
      <c r="AJ91" s="856"/>
      <c r="AK91" s="856"/>
      <c r="AL91" s="856"/>
      <c r="AM91" s="856"/>
      <c r="AN91" s="856"/>
      <c r="AO91" s="856"/>
      <c r="AP91" s="856"/>
      <c r="AQ91" s="856"/>
      <c r="AR91" s="856"/>
      <c r="AS91" s="856" t="str">
        <f t="shared" si="33"/>
        <v/>
      </c>
      <c r="AT91" s="2243" t="str">
        <f t="shared" si="34"/>
        <v/>
      </c>
      <c r="AU91" s="833"/>
      <c r="AV91" s="834"/>
      <c r="AW91" s="823"/>
      <c r="AX91" s="835"/>
      <c r="AY91" s="836"/>
      <c r="AZ91" s="2136"/>
      <c r="BA91" s="2136"/>
      <c r="BB91" s="2129" t="s">
        <v>1099</v>
      </c>
    </row>
    <row r="92" spans="1:54" ht="13.9" hidden="1" customHeight="1" outlineLevel="1" x14ac:dyDescent="0.2">
      <c r="A92" s="808" t="s">
        <v>431</v>
      </c>
      <c r="B92" s="796"/>
      <c r="C92" s="797"/>
      <c r="D92" s="797"/>
      <c r="E92" s="837"/>
      <c r="F92" s="797"/>
      <c r="G92" s="798"/>
      <c r="H92" s="798"/>
      <c r="J92" s="884"/>
      <c r="K92" s="859"/>
      <c r="L92" s="865"/>
      <c r="M92" s="865"/>
      <c r="N92" s="838"/>
      <c r="O92" s="859"/>
      <c r="P92" s="859"/>
      <c r="Q92" s="859"/>
      <c r="R92" s="859"/>
      <c r="S92" s="859"/>
      <c r="T92" s="859"/>
      <c r="U92" s="859"/>
      <c r="V92" s="859"/>
      <c r="W92" s="859"/>
      <c r="X92" s="859"/>
      <c r="Y92" s="859"/>
      <c r="Z92" s="859"/>
      <c r="AA92" s="859"/>
      <c r="AB92" s="859"/>
      <c r="AC92" s="859"/>
      <c r="AD92" s="859"/>
      <c r="AE92" s="859"/>
      <c r="AF92" s="859"/>
      <c r="AG92" s="859"/>
      <c r="AH92" s="859"/>
      <c r="AI92" s="859"/>
      <c r="AJ92" s="859"/>
      <c r="AK92" s="859"/>
      <c r="AL92" s="859"/>
      <c r="AM92" s="859"/>
      <c r="AN92" s="859"/>
      <c r="AO92" s="859"/>
      <c r="AP92" s="859"/>
      <c r="AQ92" s="859"/>
      <c r="AR92" s="859"/>
      <c r="AS92" s="859">
        <f t="shared" ref="AS92:AS97" si="36">AR92-AP92</f>
        <v>0</v>
      </c>
      <c r="AT92" s="2239" t="str">
        <f t="shared" ref="AT92:AT97" si="37">IF(AP92&gt;0,AS92/AP92,"")</f>
        <v/>
      </c>
      <c r="AU92" s="803"/>
      <c r="AV92" s="819"/>
      <c r="AW92" s="797"/>
      <c r="AX92" s="805"/>
      <c r="AY92" s="807"/>
      <c r="AZ92" s="2136"/>
      <c r="BA92" s="2136"/>
    </row>
    <row r="93" spans="1:54" ht="13.9" hidden="1" customHeight="1" outlineLevel="1" x14ac:dyDescent="0.2">
      <c r="A93" s="1542" t="s">
        <v>567</v>
      </c>
      <c r="B93" s="799">
        <v>35440</v>
      </c>
      <c r="C93" s="799">
        <v>35440</v>
      </c>
      <c r="D93" s="887">
        <v>37088</v>
      </c>
      <c r="E93" s="797">
        <v>37088</v>
      </c>
      <c r="F93" s="887">
        <v>37088</v>
      </c>
      <c r="G93" s="888">
        <v>37088</v>
      </c>
      <c r="H93" s="888">
        <v>37929</v>
      </c>
      <c r="I93" s="888">
        <v>37496.47</v>
      </c>
      <c r="J93" s="839">
        <v>45095</v>
      </c>
      <c r="K93" s="817"/>
      <c r="L93" s="876">
        <v>45703</v>
      </c>
      <c r="M93" s="889">
        <v>58671</v>
      </c>
      <c r="N93" s="841">
        <v>54760</v>
      </c>
      <c r="O93" s="817">
        <v>54760</v>
      </c>
      <c r="P93" s="843">
        <v>54760</v>
      </c>
      <c r="Q93" s="843">
        <v>54760</v>
      </c>
      <c r="R93" s="843">
        <v>54760</v>
      </c>
      <c r="S93" s="817"/>
      <c r="T93" s="817">
        <v>61390</v>
      </c>
      <c r="U93" s="817">
        <v>61390</v>
      </c>
      <c r="V93" s="843">
        <v>67618</v>
      </c>
      <c r="W93" s="817">
        <f>V93</f>
        <v>67618</v>
      </c>
      <c r="X93" s="843">
        <v>68955</v>
      </c>
      <c r="Y93" s="843">
        <v>68955</v>
      </c>
      <c r="Z93" s="843">
        <v>72979</v>
      </c>
      <c r="AA93" s="843">
        <f>Z93</f>
        <v>72979</v>
      </c>
      <c r="AB93" s="843">
        <v>74956</v>
      </c>
      <c r="AC93" s="843">
        <f>AB93</f>
        <v>74956</v>
      </c>
      <c r="AD93" s="843"/>
      <c r="AE93" s="843">
        <v>61672</v>
      </c>
      <c r="AF93" s="843"/>
      <c r="AG93" s="843">
        <v>63522.16</v>
      </c>
      <c r="AH93" s="843">
        <v>64647</v>
      </c>
      <c r="AI93" s="843">
        <v>66586.41</v>
      </c>
      <c r="AJ93" s="843">
        <v>68246</v>
      </c>
      <c r="AK93" s="843">
        <v>70293.38</v>
      </c>
      <c r="AL93" s="843">
        <v>69907</v>
      </c>
      <c r="AM93" s="843">
        <f>AL93*$AH$3</f>
        <v>71305.14</v>
      </c>
      <c r="AN93" s="843">
        <v>71306</v>
      </c>
      <c r="AO93" s="843">
        <v>73088.649999999994</v>
      </c>
      <c r="AP93" s="843">
        <v>72726</v>
      </c>
      <c r="AQ93" s="843">
        <f>AP93*$AH$3</f>
        <v>74180.52</v>
      </c>
      <c r="AR93" s="843">
        <f>'[1]BUDGET DETAIL'!$CO$249</f>
        <v>74303</v>
      </c>
      <c r="AS93" s="843">
        <f t="shared" si="36"/>
        <v>1577</v>
      </c>
      <c r="AT93" s="2239">
        <f t="shared" si="37"/>
        <v>2.1684129472265765E-2</v>
      </c>
      <c r="AU93" s="890"/>
      <c r="AV93" s="819"/>
      <c r="AW93" s="797">
        <f>SUM(AU93-H93)</f>
        <v>-37929</v>
      </c>
      <c r="AX93" s="805">
        <f>IF(H93&gt;0,AW93/H93,"")</f>
        <v>-1</v>
      </c>
      <c r="AY93" s="931"/>
      <c r="AZ93" s="2136"/>
      <c r="BA93" s="2136"/>
      <c r="BB93" s="2148"/>
    </row>
    <row r="94" spans="1:54" ht="13.9" hidden="1" customHeight="1" outlineLevel="1" x14ac:dyDescent="0.2">
      <c r="A94" s="808" t="s">
        <v>558</v>
      </c>
      <c r="B94" s="799">
        <v>0</v>
      </c>
      <c r="C94" s="799">
        <v>0</v>
      </c>
      <c r="D94" s="799">
        <v>0</v>
      </c>
      <c r="E94" s="797">
        <v>0</v>
      </c>
      <c r="F94" s="799">
        <v>0</v>
      </c>
      <c r="G94" s="801"/>
      <c r="H94" s="801"/>
      <c r="I94" s="801">
        <v>0</v>
      </c>
      <c r="J94" s="839">
        <v>0</v>
      </c>
      <c r="K94" s="817">
        <v>0</v>
      </c>
      <c r="L94" s="845">
        <v>0</v>
      </c>
      <c r="M94" s="893">
        <v>23020</v>
      </c>
      <c r="N94" s="841">
        <v>14731</v>
      </c>
      <c r="O94" s="817">
        <v>14167</v>
      </c>
      <c r="P94" s="817">
        <v>14127</v>
      </c>
      <c r="Q94" s="817">
        <v>14127</v>
      </c>
      <c r="R94" s="817">
        <v>14127</v>
      </c>
      <c r="S94" s="817"/>
      <c r="T94" s="817">
        <v>13707</v>
      </c>
      <c r="U94" s="817">
        <v>13707</v>
      </c>
      <c r="V94" s="843">
        <v>13659</v>
      </c>
      <c r="W94" s="817">
        <f>V94</f>
        <v>13659</v>
      </c>
      <c r="X94" s="843">
        <v>14079</v>
      </c>
      <c r="Y94" s="843">
        <v>14079</v>
      </c>
      <c r="Z94" s="843">
        <v>14797</v>
      </c>
      <c r="AA94" s="843">
        <f>Z94+2959</f>
        <v>17756</v>
      </c>
      <c r="AB94" s="843">
        <v>18481</v>
      </c>
      <c r="AC94" s="843">
        <f>AB94</f>
        <v>18481</v>
      </c>
      <c r="AD94" s="843"/>
      <c r="AE94" s="843">
        <v>18749</v>
      </c>
      <c r="AF94" s="843"/>
      <c r="AG94" s="843">
        <v>19311.47</v>
      </c>
      <c r="AH94" s="843">
        <v>19647</v>
      </c>
      <c r="AI94" s="843">
        <v>20236.41</v>
      </c>
      <c r="AJ94" s="843">
        <v>24240</v>
      </c>
      <c r="AK94" s="843">
        <v>24967.200000000001</v>
      </c>
      <c r="AL94" s="843">
        <v>24786</v>
      </c>
      <c r="AM94" s="843">
        <f>AL94*$AH$3</f>
        <v>25281.72</v>
      </c>
      <c r="AN94" s="843">
        <v>25291</v>
      </c>
      <c r="AO94" s="843">
        <v>25923.274999999998</v>
      </c>
      <c r="AP94" s="843">
        <v>25681</v>
      </c>
      <c r="AQ94" s="843">
        <f>AP94*$AH$3</f>
        <v>26194.62</v>
      </c>
      <c r="AR94" s="843">
        <f>'[1]BUDGET DETAIL'!$CO$253</f>
        <v>26363</v>
      </c>
      <c r="AS94" s="843">
        <f t="shared" si="36"/>
        <v>682</v>
      </c>
      <c r="AT94" s="2239">
        <f t="shared" si="37"/>
        <v>2.6556598263307505E-2</v>
      </c>
      <c r="AU94" s="890"/>
      <c r="AV94" s="819"/>
      <c r="AW94" s="797">
        <f>SUM(AU94-H94)</f>
        <v>0</v>
      </c>
      <c r="AX94" s="805" t="str">
        <f>IF(H94&gt;0,AW94/H94,"")</f>
        <v/>
      </c>
      <c r="AY94" s="891"/>
      <c r="AZ94" s="2136"/>
      <c r="BA94" s="2136"/>
      <c r="BB94" s="2145"/>
    </row>
    <row r="95" spans="1:54" ht="13.9" hidden="1" customHeight="1" outlineLevel="1" x14ac:dyDescent="0.2">
      <c r="A95" s="808" t="s">
        <v>820</v>
      </c>
      <c r="B95" s="799">
        <v>1370</v>
      </c>
      <c r="C95" s="799">
        <v>1370</v>
      </c>
      <c r="D95" s="799">
        <v>0</v>
      </c>
      <c r="E95" s="797">
        <v>0</v>
      </c>
      <c r="F95" s="799">
        <v>0</v>
      </c>
      <c r="G95" s="801"/>
      <c r="H95" s="801">
        <v>0</v>
      </c>
      <c r="I95" s="801"/>
      <c r="J95" s="839">
        <v>0</v>
      </c>
      <c r="K95" s="817">
        <v>0</v>
      </c>
      <c r="L95" s="845">
        <v>0</v>
      </c>
      <c r="M95" s="845">
        <v>0</v>
      </c>
      <c r="N95" s="846" t="e">
        <f>M95*(1+#REF!)</f>
        <v>#REF!</v>
      </c>
      <c r="O95" s="817">
        <v>0</v>
      </c>
      <c r="P95" s="817">
        <v>0</v>
      </c>
      <c r="Q95" s="817">
        <f>0</f>
        <v>0</v>
      </c>
      <c r="R95" s="817">
        <f>0</f>
        <v>0</v>
      </c>
      <c r="S95" s="817"/>
      <c r="T95" s="817">
        <v>0</v>
      </c>
      <c r="U95" s="817">
        <v>0</v>
      </c>
      <c r="V95" s="817">
        <f>0</f>
        <v>0</v>
      </c>
      <c r="W95" s="817">
        <f>V95</f>
        <v>0</v>
      </c>
      <c r="X95" s="817">
        <f>0</f>
        <v>0</v>
      </c>
      <c r="Y95" s="817">
        <f>X95</f>
        <v>0</v>
      </c>
      <c r="Z95" s="843">
        <f>Y95*(1+$A$4/100)</f>
        <v>0</v>
      </c>
      <c r="AA95" s="817">
        <f>Z95</f>
        <v>0</v>
      </c>
      <c r="AB95" s="843">
        <f>AA95*(1+$A$4/100)</f>
        <v>0</v>
      </c>
      <c r="AC95" s="932">
        <f>AB95</f>
        <v>0</v>
      </c>
      <c r="AD95" s="932"/>
      <c r="AE95" s="932"/>
      <c r="AF95" s="843">
        <v>0</v>
      </c>
      <c r="AG95" s="843"/>
      <c r="AH95" s="843"/>
      <c r="AI95" s="817"/>
      <c r="AJ95" s="817"/>
      <c r="AK95" s="843">
        <v>0</v>
      </c>
      <c r="AL95" s="817"/>
      <c r="AM95" s="817">
        <f>AL95*$AH$4</f>
        <v>0</v>
      </c>
      <c r="AN95" s="817"/>
      <c r="AO95" s="817">
        <f>AN95*$AH$4</f>
        <v>0</v>
      </c>
      <c r="AP95" s="817"/>
      <c r="AQ95" s="817">
        <f>AP95*$AH$4</f>
        <v>0</v>
      </c>
      <c r="AR95" s="817"/>
      <c r="AS95" s="817">
        <f t="shared" si="36"/>
        <v>0</v>
      </c>
      <c r="AT95" s="2240" t="str">
        <f t="shared" si="37"/>
        <v/>
      </c>
      <c r="AU95" s="890"/>
      <c r="AV95" s="819"/>
      <c r="AW95" s="797">
        <f>SUM(AU95-H95)</f>
        <v>0</v>
      </c>
      <c r="AX95" s="805" t="str">
        <f>IF(H95&gt;0,AW95/H95,"")</f>
        <v/>
      </c>
      <c r="AY95" s="807"/>
      <c r="AZ95" s="2136"/>
      <c r="BA95" s="2136"/>
    </row>
    <row r="96" spans="1:54" ht="13.9" hidden="1" customHeight="1" outlineLevel="1" x14ac:dyDescent="0.2">
      <c r="A96" s="878" t="s">
        <v>821</v>
      </c>
      <c r="B96" s="810">
        <f>SUM(B93:B95)</f>
        <v>36810</v>
      </c>
      <c r="C96" s="810">
        <f>SUM(C93:C95)</f>
        <v>36810</v>
      </c>
      <c r="D96" s="810">
        <f t="shared" ref="D96:N96" si="38">SUM(D93:D95)</f>
        <v>37088</v>
      </c>
      <c r="E96" s="810">
        <f t="shared" si="38"/>
        <v>37088</v>
      </c>
      <c r="F96" s="810">
        <f t="shared" si="38"/>
        <v>37088</v>
      </c>
      <c r="G96" s="810">
        <f t="shared" si="38"/>
        <v>37088</v>
      </c>
      <c r="H96" s="810">
        <f t="shared" si="38"/>
        <v>37929</v>
      </c>
      <c r="I96" s="810">
        <f t="shared" si="38"/>
        <v>37496.47</v>
      </c>
      <c r="J96" s="813">
        <v>45095</v>
      </c>
      <c r="K96" s="814" t="s">
        <v>462</v>
      </c>
      <c r="L96" s="879">
        <f t="shared" si="38"/>
        <v>45703</v>
      </c>
      <c r="M96" s="879">
        <f t="shared" si="38"/>
        <v>81691</v>
      </c>
      <c r="N96" s="880" t="e">
        <f t="shared" si="38"/>
        <v>#REF!</v>
      </c>
      <c r="O96" s="814">
        <f>SUM(O93:O95)</f>
        <v>68927</v>
      </c>
      <c r="P96" s="814">
        <f>SUM(P93:P95)</f>
        <v>68887</v>
      </c>
      <c r="Q96" s="852">
        <f>IF(SUM(Q93:Q95)=0,P96,SUM(Q93:Q95))</f>
        <v>68887</v>
      </c>
      <c r="R96" s="814">
        <f>SUM(R93:R95)</f>
        <v>68887</v>
      </c>
      <c r="S96" s="853">
        <f>IF(SUM(S93:S95)=0,R96,SUM(S93:S95))</f>
        <v>68887</v>
      </c>
      <c r="T96" s="853">
        <v>75097</v>
      </c>
      <c r="U96" s="853">
        <v>75097</v>
      </c>
      <c r="V96" s="814">
        <f>SUM(V93:V95)</f>
        <v>81277</v>
      </c>
      <c r="W96" s="853">
        <f>IF(SUM(W93:W95)=0,V96,SUM(W93:W95))</f>
        <v>81277</v>
      </c>
      <c r="X96" s="814">
        <f>SUM(X93:X95)</f>
        <v>83034</v>
      </c>
      <c r="Y96" s="853">
        <f>IF(SUM(Y93:Y95)=0,X96,SUM(Y93:Y95))</f>
        <v>83034</v>
      </c>
      <c r="Z96" s="814">
        <f>SUM(Z93:Z95)</f>
        <v>87776</v>
      </c>
      <c r="AA96" s="853">
        <f>IF(SUM(AA93:AA95)=0,Z96,SUM(AA93:AA95))</f>
        <v>90735</v>
      </c>
      <c r="AB96" s="814">
        <f>SUM(AB93:AB95)</f>
        <v>93437</v>
      </c>
      <c r="AC96" s="852">
        <f>IF(SUM(AC93:AC95)=0,AB96,SUM(AC93:AC95))</f>
        <v>93437</v>
      </c>
      <c r="AD96" s="852"/>
      <c r="AE96" s="852">
        <v>80421</v>
      </c>
      <c r="AF96" s="852">
        <v>80421</v>
      </c>
      <c r="AG96" s="852">
        <v>82833.63</v>
      </c>
      <c r="AH96" s="852">
        <v>84294</v>
      </c>
      <c r="AI96" s="814">
        <v>86822.82</v>
      </c>
      <c r="AJ96" s="814">
        <v>92486</v>
      </c>
      <c r="AK96" s="814">
        <v>95260.58</v>
      </c>
      <c r="AL96" s="814">
        <v>94693</v>
      </c>
      <c r="AM96" s="814">
        <f>SUM(AM93:AM95)</f>
        <v>96586.86</v>
      </c>
      <c r="AN96" s="814">
        <f>SUM(AN93:AN95)</f>
        <v>96597</v>
      </c>
      <c r="AO96" s="814">
        <f>SUM(AO93:AO95)</f>
        <v>99011.924999999988</v>
      </c>
      <c r="AP96" s="814">
        <f>SUM(AP93:AP94)</f>
        <v>98407</v>
      </c>
      <c r="AQ96" s="814">
        <f>SUM(AQ93:AQ95)</f>
        <v>100375.14</v>
      </c>
      <c r="AR96" s="814">
        <f>SUM(AR93:AR95)</f>
        <v>100666</v>
      </c>
      <c r="AS96" s="814">
        <f t="shared" si="36"/>
        <v>2259</v>
      </c>
      <c r="AT96" s="2242">
        <f t="shared" si="37"/>
        <v>2.2955684046866584E-2</v>
      </c>
      <c r="AU96" s="854">
        <f>SUM(AU93:AU95)</f>
        <v>0</v>
      </c>
      <c r="AV96" s="819"/>
      <c r="AW96" s="797">
        <f>SUM(AU96-H96)</f>
        <v>-37929</v>
      </c>
      <c r="AX96" s="805">
        <f>IF(H96&gt;0,AW96/H96,"")</f>
        <v>-1</v>
      </c>
      <c r="AY96" s="820"/>
      <c r="AZ96" s="2136"/>
      <c r="BA96" s="2136"/>
      <c r="BB96" s="2143"/>
    </row>
    <row r="97" spans="1:54" ht="13.9" hidden="1" customHeight="1" outlineLevel="1" x14ac:dyDescent="0.2">
      <c r="A97" s="855"/>
      <c r="B97" s="824"/>
      <c r="C97" s="824"/>
      <c r="D97" s="933"/>
      <c r="E97" s="824"/>
      <c r="F97" s="933"/>
      <c r="G97" s="934"/>
      <c r="H97" s="934"/>
      <c r="I97" s="934"/>
      <c r="J97" s="883"/>
      <c r="K97" s="856"/>
      <c r="L97" s="863"/>
      <c r="M97" s="864"/>
      <c r="N97" s="863"/>
      <c r="O97" s="856"/>
      <c r="P97" s="856"/>
      <c r="Q97" s="856"/>
      <c r="R97" s="856"/>
      <c r="S97" s="856"/>
      <c r="T97" s="856"/>
      <c r="U97" s="856"/>
      <c r="V97" s="856"/>
      <c r="W97" s="856"/>
      <c r="X97" s="856"/>
      <c r="Y97" s="856"/>
      <c r="Z97" s="856"/>
      <c r="AA97" s="856"/>
      <c r="AB97" s="856"/>
      <c r="AC97" s="857"/>
      <c r="AD97" s="857"/>
      <c r="AE97" s="857"/>
      <c r="AF97" s="856"/>
      <c r="AG97" s="856"/>
      <c r="AH97" s="856"/>
      <c r="AI97" s="856"/>
      <c r="AJ97" s="856"/>
      <c r="AK97" s="856"/>
      <c r="AL97" s="856"/>
      <c r="AM97" s="856"/>
      <c r="AN97" s="856"/>
      <c r="AO97" s="856"/>
      <c r="AP97" s="856"/>
      <c r="AQ97" s="856"/>
      <c r="AR97" s="856"/>
      <c r="AS97" s="856">
        <f t="shared" si="36"/>
        <v>0</v>
      </c>
      <c r="AT97" s="2243" t="str">
        <f t="shared" si="37"/>
        <v/>
      </c>
      <c r="AU97" s="935"/>
      <c r="AV97" s="834"/>
      <c r="AW97" s="823"/>
      <c r="AX97" s="835"/>
      <c r="AY97" s="836"/>
      <c r="AZ97" s="2136"/>
      <c r="BA97" s="2136"/>
    </row>
    <row r="98" spans="1:54" ht="13.9" hidden="1" customHeight="1" outlineLevel="1" x14ac:dyDescent="0.2">
      <c r="A98" s="808" t="s">
        <v>551</v>
      </c>
      <c r="B98" s="837"/>
      <c r="C98" s="837"/>
      <c r="D98" s="936"/>
      <c r="E98" s="837"/>
      <c r="F98" s="936"/>
      <c r="G98" s="937"/>
      <c r="H98" s="937"/>
      <c r="I98" s="937"/>
      <c r="J98" s="884"/>
      <c r="K98" s="859"/>
      <c r="L98" s="865"/>
      <c r="M98" s="865"/>
      <c r="N98" s="865"/>
      <c r="O98" s="859"/>
      <c r="P98" s="859"/>
      <c r="Q98" s="859"/>
      <c r="R98" s="859"/>
      <c r="S98" s="859"/>
      <c r="T98" s="859"/>
      <c r="U98" s="859"/>
      <c r="V98" s="859"/>
      <c r="W98" s="859"/>
      <c r="X98" s="859"/>
      <c r="Y98" s="859"/>
      <c r="Z98" s="859"/>
      <c r="AA98" s="859"/>
      <c r="AB98" s="859"/>
      <c r="AC98" s="859"/>
      <c r="AD98" s="859"/>
      <c r="AE98" s="859"/>
      <c r="AF98" s="859"/>
      <c r="AG98" s="859"/>
      <c r="AH98" s="859"/>
      <c r="AI98" s="859"/>
      <c r="AJ98" s="859"/>
      <c r="AK98" s="859"/>
      <c r="AL98" s="859"/>
      <c r="AM98" s="859"/>
      <c r="AN98" s="859"/>
      <c r="AO98" s="859"/>
      <c r="AP98" s="859"/>
      <c r="AQ98" s="859"/>
      <c r="AR98" s="859"/>
      <c r="AS98" s="859" t="str">
        <f t="shared" si="33"/>
        <v/>
      </c>
      <c r="AT98" s="2239" t="str">
        <f t="shared" si="34"/>
        <v/>
      </c>
      <c r="AU98" s="938"/>
      <c r="AV98" s="819"/>
      <c r="AW98" s="797"/>
      <c r="AX98" s="805"/>
      <c r="AY98" s="807"/>
      <c r="AZ98" s="2136"/>
      <c r="BA98" s="2136"/>
      <c r="BB98" s="2129" t="s">
        <v>1099</v>
      </c>
    </row>
    <row r="99" spans="1:54" ht="13.9" hidden="1" customHeight="1" outlineLevel="1" x14ac:dyDescent="0.2">
      <c r="A99" s="808" t="s">
        <v>552</v>
      </c>
      <c r="B99" s="799">
        <v>0</v>
      </c>
      <c r="C99" s="799">
        <v>0</v>
      </c>
      <c r="D99" s="799">
        <v>0</v>
      </c>
      <c r="E99" s="797">
        <v>0</v>
      </c>
      <c r="F99" s="799">
        <v>0</v>
      </c>
      <c r="G99" s="801"/>
      <c r="H99" s="801">
        <v>0</v>
      </c>
      <c r="I99" s="801"/>
      <c r="J99" s="839">
        <v>0</v>
      </c>
      <c r="K99" s="817">
        <v>0</v>
      </c>
      <c r="L99" s="893"/>
      <c r="M99" s="893"/>
      <c r="N99" s="893"/>
      <c r="O99" s="817"/>
      <c r="P99" s="817"/>
      <c r="Q99" s="817"/>
      <c r="R99" s="817"/>
      <c r="S99" s="817"/>
      <c r="T99" s="817"/>
      <c r="U99" s="817"/>
      <c r="V99" s="817"/>
      <c r="W99" s="817"/>
      <c r="X99" s="817"/>
      <c r="Y99" s="817"/>
      <c r="Z99" s="817"/>
      <c r="AA99" s="817"/>
      <c r="AB99" s="817"/>
      <c r="AC99" s="817"/>
      <c r="AD99" s="817"/>
      <c r="AE99" s="817"/>
      <c r="AF99" s="843">
        <v>0</v>
      </c>
      <c r="AG99" s="843"/>
      <c r="AH99" s="843"/>
      <c r="AI99" s="817"/>
      <c r="AJ99" s="817"/>
      <c r="AK99" s="817"/>
      <c r="AL99" s="817"/>
      <c r="AM99" s="817"/>
      <c r="AN99" s="817"/>
      <c r="AO99" s="817"/>
      <c r="AP99" s="817"/>
      <c r="AQ99" s="817"/>
      <c r="AR99" s="817"/>
      <c r="AS99" s="817" t="str">
        <f t="shared" si="33"/>
        <v/>
      </c>
      <c r="AT99" s="2240" t="str">
        <f t="shared" si="34"/>
        <v/>
      </c>
      <c r="AU99" s="890">
        <v>0</v>
      </c>
      <c r="AV99" s="819"/>
      <c r="AW99" s="797">
        <f>SUM(AU99-H99)</f>
        <v>0</v>
      </c>
      <c r="AX99" s="805" t="str">
        <f>IF(H99&gt;0,AW99/H99,"")</f>
        <v/>
      </c>
      <c r="AY99" s="807"/>
      <c r="AZ99" s="2136"/>
      <c r="BA99" s="2136"/>
      <c r="BB99" s="2129" t="s">
        <v>1099</v>
      </c>
    </row>
    <row r="100" spans="1:54" ht="13.9" hidden="1" customHeight="1" outlineLevel="1" x14ac:dyDescent="0.2">
      <c r="A100" s="878" t="s">
        <v>821</v>
      </c>
      <c r="B100" s="810">
        <f>SUM(B99)</f>
        <v>0</v>
      </c>
      <c r="C100" s="810">
        <f>SUM(C99:C99)</f>
        <v>0</v>
      </c>
      <c r="D100" s="810">
        <f>SUM(D98:D99)</f>
        <v>0</v>
      </c>
      <c r="E100" s="810">
        <f>SUM(E98:E99)</f>
        <v>0</v>
      </c>
      <c r="F100" s="810">
        <f>SUM(F99)</f>
        <v>0</v>
      </c>
      <c r="G100" s="810">
        <f>SUM(G99)</f>
        <v>0</v>
      </c>
      <c r="H100" s="810">
        <f>SUM(H99)</f>
        <v>0</v>
      </c>
      <c r="I100" s="810">
        <f>SUM(I99)</f>
        <v>0</v>
      </c>
      <c r="J100" s="813">
        <v>0</v>
      </c>
      <c r="K100" s="814">
        <v>0</v>
      </c>
      <c r="L100" s="939"/>
      <c r="M100" s="939"/>
      <c r="N100" s="939"/>
      <c r="O100" s="814"/>
      <c r="P100" s="814"/>
      <c r="Q100" s="814"/>
      <c r="R100" s="814"/>
      <c r="S100" s="814"/>
      <c r="T100" s="814"/>
      <c r="U100" s="814"/>
      <c r="V100" s="814"/>
      <c r="W100" s="814"/>
      <c r="X100" s="814"/>
      <c r="Y100" s="814"/>
      <c r="Z100" s="814"/>
      <c r="AA100" s="814"/>
      <c r="AB100" s="814"/>
      <c r="AC100" s="814"/>
      <c r="AD100" s="814"/>
      <c r="AE100" s="814"/>
      <c r="AF100" s="814"/>
      <c r="AG100" s="814"/>
      <c r="AH100" s="814"/>
      <c r="AI100" s="814"/>
      <c r="AJ100" s="814"/>
      <c r="AK100" s="814"/>
      <c r="AL100" s="814"/>
      <c r="AM100" s="814"/>
      <c r="AN100" s="814"/>
      <c r="AO100" s="814"/>
      <c r="AP100" s="814"/>
      <c r="AQ100" s="814"/>
      <c r="AR100" s="814"/>
      <c r="AS100" s="814" t="str">
        <f t="shared" si="33"/>
        <v/>
      </c>
      <c r="AT100" s="2242" t="str">
        <f t="shared" si="34"/>
        <v/>
      </c>
      <c r="AU100" s="868">
        <f>SUM(AU99)</f>
        <v>0</v>
      </c>
      <c r="AV100" s="940"/>
      <c r="AW100" s="797">
        <f>SUM(AU100-H100)</f>
        <v>0</v>
      </c>
      <c r="AX100" s="805" t="str">
        <f>IF(H100&gt;0,AW100/H100,"")</f>
        <v/>
      </c>
      <c r="AY100" s="820"/>
      <c r="AZ100" s="2136"/>
      <c r="BA100" s="2136"/>
      <c r="BB100" s="2139" t="s">
        <v>1099</v>
      </c>
    </row>
    <row r="101" spans="1:54" ht="13.9" hidden="1" customHeight="1" outlineLevel="1" x14ac:dyDescent="0.2">
      <c r="A101" s="855"/>
      <c r="B101" s="824"/>
      <c r="C101" s="824"/>
      <c r="D101" s="933"/>
      <c r="E101" s="824"/>
      <c r="F101" s="933"/>
      <c r="G101" s="934"/>
      <c r="H101" s="934"/>
      <c r="I101" s="934"/>
      <c r="J101" s="883"/>
      <c r="K101" s="856"/>
      <c r="L101" s="863"/>
      <c r="M101" s="864"/>
      <c r="N101" s="863"/>
      <c r="O101" s="856"/>
      <c r="P101" s="856"/>
      <c r="Q101" s="856"/>
      <c r="R101" s="856"/>
      <c r="S101" s="856"/>
      <c r="T101" s="856"/>
      <c r="U101" s="856"/>
      <c r="V101" s="856"/>
      <c r="W101" s="856"/>
      <c r="X101" s="856"/>
      <c r="Y101" s="856"/>
      <c r="Z101" s="856"/>
      <c r="AA101" s="856"/>
      <c r="AB101" s="856"/>
      <c r="AC101" s="856"/>
      <c r="AD101" s="856"/>
      <c r="AE101" s="856"/>
      <c r="AF101" s="856"/>
      <c r="AG101" s="856"/>
      <c r="AH101" s="856"/>
      <c r="AI101" s="856"/>
      <c r="AJ101" s="856"/>
      <c r="AK101" s="856"/>
      <c r="AL101" s="856"/>
      <c r="AM101" s="856"/>
      <c r="AN101" s="856"/>
      <c r="AO101" s="856"/>
      <c r="AP101" s="856"/>
      <c r="AQ101" s="856"/>
      <c r="AR101" s="856"/>
      <c r="AS101" s="856" t="str">
        <f t="shared" si="33"/>
        <v/>
      </c>
      <c r="AT101" s="2243" t="str">
        <f t="shared" si="34"/>
        <v/>
      </c>
      <c r="AU101" s="935"/>
      <c r="AV101" s="834"/>
      <c r="AW101" s="823"/>
      <c r="AX101" s="835"/>
      <c r="AY101" s="836"/>
      <c r="AZ101" s="2136"/>
      <c r="BA101" s="2136"/>
      <c r="BB101" s="2129" t="s">
        <v>1099</v>
      </c>
    </row>
    <row r="102" spans="1:54" ht="13.9" hidden="1" customHeight="1" outlineLevel="1" x14ac:dyDescent="0.2">
      <c r="A102" s="808" t="s">
        <v>748</v>
      </c>
      <c r="B102" s="837"/>
      <c r="C102" s="837"/>
      <c r="D102" s="936"/>
      <c r="E102" s="837"/>
      <c r="F102" s="936"/>
      <c r="G102" s="937"/>
      <c r="H102" s="937"/>
      <c r="I102" s="937"/>
      <c r="J102" s="884"/>
      <c r="K102" s="859"/>
      <c r="L102" s="865"/>
      <c r="M102" s="865"/>
      <c r="N102" s="865"/>
      <c r="O102" s="859"/>
      <c r="P102" s="859"/>
      <c r="Q102" s="859"/>
      <c r="R102" s="859"/>
      <c r="S102" s="859"/>
      <c r="T102" s="859"/>
      <c r="U102" s="859"/>
      <c r="V102" s="859"/>
      <c r="W102" s="859"/>
      <c r="X102" s="859"/>
      <c r="Y102" s="859"/>
      <c r="Z102" s="859"/>
      <c r="AA102" s="859"/>
      <c r="AB102" s="859"/>
      <c r="AC102" s="859"/>
      <c r="AD102" s="859"/>
      <c r="AE102" s="859"/>
      <c r="AF102" s="859"/>
      <c r="AG102" s="859"/>
      <c r="AH102" s="859"/>
      <c r="AI102" s="859"/>
      <c r="AJ102" s="859"/>
      <c r="AK102" s="859"/>
      <c r="AL102" s="859"/>
      <c r="AM102" s="859"/>
      <c r="AN102" s="859"/>
      <c r="AO102" s="859"/>
      <c r="AP102" s="859"/>
      <c r="AQ102" s="859"/>
      <c r="AR102" s="859"/>
      <c r="AS102" s="859">
        <f t="shared" ref="AS102:AS134" si="39">AR102-AP102</f>
        <v>0</v>
      </c>
      <c r="AT102" s="2239" t="str">
        <f t="shared" ref="AT102:AT134" si="40">IF(AP102&gt;0,AS102/AP102,"")</f>
        <v/>
      </c>
      <c r="AU102" s="938"/>
      <c r="AV102" s="819"/>
      <c r="AW102" s="797"/>
      <c r="AX102" s="805"/>
      <c r="AY102" s="807"/>
      <c r="AZ102" s="2136"/>
      <c r="BA102" s="2136"/>
    </row>
    <row r="103" spans="1:54" ht="13.9" hidden="1" customHeight="1" outlineLevel="1" x14ac:dyDescent="0.2">
      <c r="A103" s="808" t="s">
        <v>567</v>
      </c>
      <c r="B103" s="799">
        <v>600</v>
      </c>
      <c r="C103" s="799">
        <v>600</v>
      </c>
      <c r="D103" s="887">
        <v>600</v>
      </c>
      <c r="E103" s="797">
        <v>600</v>
      </c>
      <c r="F103" s="887">
        <v>600</v>
      </c>
      <c r="G103" s="888">
        <v>600</v>
      </c>
      <c r="H103" s="888">
        <v>600</v>
      </c>
      <c r="I103" s="888">
        <v>600</v>
      </c>
      <c r="J103" s="839">
        <v>25073</v>
      </c>
      <c r="K103" s="817"/>
      <c r="L103" s="876">
        <v>550</v>
      </c>
      <c r="M103" s="840">
        <v>600</v>
      </c>
      <c r="N103" s="841">
        <v>5</v>
      </c>
      <c r="O103" s="817">
        <v>5</v>
      </c>
      <c r="P103" s="843">
        <f t="shared" ref="P103:R104" si="41">O103</f>
        <v>5</v>
      </c>
      <c r="Q103" s="843">
        <f t="shared" si="41"/>
        <v>5</v>
      </c>
      <c r="R103" s="843">
        <f t="shared" si="41"/>
        <v>5</v>
      </c>
      <c r="S103" s="817"/>
      <c r="T103" s="817">
        <v>5</v>
      </c>
      <c r="U103" s="817">
        <v>5</v>
      </c>
      <c r="V103" s="843">
        <v>5</v>
      </c>
      <c r="W103" s="817">
        <f>V103</f>
        <v>5</v>
      </c>
      <c r="X103" s="843">
        <v>5</v>
      </c>
      <c r="Y103" s="817">
        <v>5005</v>
      </c>
      <c r="Z103" s="843">
        <v>5105</v>
      </c>
      <c r="AA103" s="843">
        <f>Z103</f>
        <v>5105</v>
      </c>
      <c r="AB103" s="843">
        <v>5207</v>
      </c>
      <c r="AC103" s="843">
        <f>AB103</f>
        <v>5207</v>
      </c>
      <c r="AD103" s="843"/>
      <c r="AE103" s="843">
        <v>5</v>
      </c>
      <c r="AF103" s="843"/>
      <c r="AG103" s="843">
        <v>5</v>
      </c>
      <c r="AH103" s="843">
        <v>5</v>
      </c>
      <c r="AI103" s="817">
        <v>5</v>
      </c>
      <c r="AJ103" s="817">
        <v>5</v>
      </c>
      <c r="AK103" s="817">
        <v>5</v>
      </c>
      <c r="AL103" s="817">
        <v>5</v>
      </c>
      <c r="AM103" s="817">
        <v>5</v>
      </c>
      <c r="AN103" s="817">
        <v>5</v>
      </c>
      <c r="AO103" s="817">
        <v>5</v>
      </c>
      <c r="AP103" s="817">
        <v>5</v>
      </c>
      <c r="AQ103" s="817">
        <v>5</v>
      </c>
      <c r="AR103" s="817">
        <f>'[1]BUDGET DETAIL'!$CO$262</f>
        <v>5</v>
      </c>
      <c r="AS103" s="817">
        <f t="shared" si="39"/>
        <v>0</v>
      </c>
      <c r="AT103" s="2240">
        <f t="shared" si="40"/>
        <v>0</v>
      </c>
      <c r="AU103" s="890"/>
      <c r="AV103" s="819"/>
      <c r="AW103" s="797">
        <f>SUM(AU103-H103)</f>
        <v>-600</v>
      </c>
      <c r="AX103" s="805">
        <f>IF(H103&gt;0,AW103/H103,"")</f>
        <v>-1</v>
      </c>
      <c r="AY103" s="807"/>
      <c r="AZ103" s="2136"/>
      <c r="BA103" s="2136"/>
    </row>
    <row r="104" spans="1:54" ht="13.9" customHeight="1" outlineLevel="1" x14ac:dyDescent="0.2">
      <c r="A104" s="808" t="s">
        <v>558</v>
      </c>
      <c r="B104" s="799">
        <v>3949</v>
      </c>
      <c r="C104" s="799">
        <v>3860.66</v>
      </c>
      <c r="D104" s="887">
        <v>4072</v>
      </c>
      <c r="E104" s="797">
        <v>4227.6000000000004</v>
      </c>
      <c r="F104" s="887">
        <v>4072</v>
      </c>
      <c r="G104" s="888">
        <v>4072</v>
      </c>
      <c r="H104" s="888">
        <v>23090</v>
      </c>
      <c r="I104" s="888">
        <v>15684</v>
      </c>
      <c r="J104" s="839">
        <v>2141</v>
      </c>
      <c r="K104" s="817"/>
      <c r="L104" s="876">
        <v>0</v>
      </c>
      <c r="M104" s="840">
        <f>L104*(1+AT$8)</f>
        <v>0</v>
      </c>
      <c r="N104" s="841">
        <f>M104</f>
        <v>0</v>
      </c>
      <c r="O104" s="817">
        <v>0</v>
      </c>
      <c r="P104" s="817">
        <f t="shared" si="41"/>
        <v>0</v>
      </c>
      <c r="Q104" s="817">
        <f t="shared" si="41"/>
        <v>0</v>
      </c>
      <c r="R104" s="817">
        <f t="shared" si="41"/>
        <v>0</v>
      </c>
      <c r="S104" s="817"/>
      <c r="T104" s="817">
        <v>0</v>
      </c>
      <c r="U104" s="817">
        <v>0</v>
      </c>
      <c r="V104" s="817">
        <f>S104</f>
        <v>0</v>
      </c>
      <c r="W104" s="817">
        <f>V104</f>
        <v>0</v>
      </c>
      <c r="X104" s="817">
        <f>S104</f>
        <v>0</v>
      </c>
      <c r="Y104" s="817">
        <f>X104</f>
        <v>0</v>
      </c>
      <c r="Z104" s="843">
        <f>Y104*(1+$A$2/100)</f>
        <v>0</v>
      </c>
      <c r="AA104" s="843">
        <f>Z104</f>
        <v>0</v>
      </c>
      <c r="AB104" s="843"/>
      <c r="AC104" s="843">
        <f>AB104</f>
        <v>0</v>
      </c>
      <c r="AD104" s="843"/>
      <c r="AE104" s="941"/>
      <c r="AF104" s="843">
        <v>0</v>
      </c>
      <c r="AG104" s="843"/>
      <c r="AH104" s="843"/>
      <c r="AI104" s="941"/>
      <c r="AJ104" s="941"/>
      <c r="AK104" s="941"/>
      <c r="AL104" s="941"/>
      <c r="AM104" s="941"/>
      <c r="AN104" s="941"/>
      <c r="AO104" s="941"/>
      <c r="AP104" s="941"/>
      <c r="AQ104" s="941"/>
      <c r="AR104" s="941">
        <f>IF(BA104="yes",AZ104,0)</f>
        <v>2840</v>
      </c>
      <c r="AS104" s="941">
        <f t="shared" si="39"/>
        <v>2840</v>
      </c>
      <c r="AT104" s="2250" t="str">
        <f t="shared" si="40"/>
        <v/>
      </c>
      <c r="AU104" s="890"/>
      <c r="AV104" s="819"/>
      <c r="AW104" s="797">
        <f>SUM(AU104-H104)</f>
        <v>-23090</v>
      </c>
      <c r="AX104" s="805">
        <f>IF(H104&gt;0,AW104/H104,"")</f>
        <v>-1</v>
      </c>
      <c r="AY104" s="807"/>
      <c r="AZ104" s="2136">
        <v>2840</v>
      </c>
      <c r="BA104" s="2321" t="s">
        <v>2506</v>
      </c>
      <c r="BB104" s="2157">
        <v>45012</v>
      </c>
    </row>
    <row r="105" spans="1:54" ht="13.9" hidden="1" customHeight="1" outlineLevel="1" x14ac:dyDescent="0.2">
      <c r="A105" s="808" t="s">
        <v>820</v>
      </c>
      <c r="B105" s="799">
        <v>2080</v>
      </c>
      <c r="C105" s="799">
        <v>378.37</v>
      </c>
      <c r="D105" s="887">
        <v>1958</v>
      </c>
      <c r="E105" s="797">
        <v>431.88</v>
      </c>
      <c r="F105" s="887">
        <v>1958</v>
      </c>
      <c r="G105" s="888">
        <v>726.71</v>
      </c>
      <c r="H105" s="888">
        <v>1958</v>
      </c>
      <c r="I105" s="888">
        <v>1903</v>
      </c>
      <c r="J105" s="839">
        <v>1958</v>
      </c>
      <c r="K105" s="817"/>
      <c r="L105" s="845">
        <v>1980</v>
      </c>
      <c r="M105" s="845">
        <v>2018</v>
      </c>
      <c r="N105" s="846">
        <v>1754</v>
      </c>
      <c r="O105" s="817">
        <v>1754</v>
      </c>
      <c r="P105" s="817">
        <v>1754</v>
      </c>
      <c r="Q105" s="817">
        <v>1754</v>
      </c>
      <c r="R105" s="817">
        <v>1754</v>
      </c>
      <c r="S105" s="817"/>
      <c r="T105" s="817">
        <v>1754</v>
      </c>
      <c r="U105" s="817">
        <v>1754</v>
      </c>
      <c r="V105" s="843">
        <v>1709</v>
      </c>
      <c r="W105" s="817">
        <f>V105</f>
        <v>1709</v>
      </c>
      <c r="X105" s="843">
        <v>1742</v>
      </c>
      <c r="Y105" s="843">
        <v>1742</v>
      </c>
      <c r="Z105" s="843">
        <v>1791</v>
      </c>
      <c r="AA105" s="843">
        <f>Z105</f>
        <v>1791</v>
      </c>
      <c r="AB105" s="843">
        <v>1791</v>
      </c>
      <c r="AC105" s="843">
        <f>AB105</f>
        <v>1791</v>
      </c>
      <c r="AD105" s="843"/>
      <c r="AE105" s="843">
        <v>1791</v>
      </c>
      <c r="AF105" s="843"/>
      <c r="AG105" s="843">
        <v>1791</v>
      </c>
      <c r="AH105" s="843">
        <v>1791</v>
      </c>
      <c r="AI105" s="843">
        <v>1791</v>
      </c>
      <c r="AJ105" s="843">
        <v>1791</v>
      </c>
      <c r="AK105" s="843">
        <v>1791</v>
      </c>
      <c r="AL105" s="843">
        <v>1791</v>
      </c>
      <c r="AM105" s="843">
        <f>AL105*$AH$4</f>
        <v>1791</v>
      </c>
      <c r="AN105" s="843">
        <v>1791</v>
      </c>
      <c r="AO105" s="843">
        <v>1791</v>
      </c>
      <c r="AP105" s="843">
        <v>1750</v>
      </c>
      <c r="AQ105" s="843">
        <f>AP105*$AH$4</f>
        <v>1750</v>
      </c>
      <c r="AR105" s="843">
        <f>'[1]BUDGET DETAIL'!$CO$277</f>
        <v>1750</v>
      </c>
      <c r="AS105" s="843">
        <f t="shared" si="39"/>
        <v>0</v>
      </c>
      <c r="AT105" s="2239">
        <f t="shared" si="40"/>
        <v>0</v>
      </c>
      <c r="AU105" s="890"/>
      <c r="AV105" s="819"/>
      <c r="AW105" s="797">
        <f>SUM(AU105-H105)</f>
        <v>-1958</v>
      </c>
      <c r="AX105" s="805">
        <f>IF(H105&gt;0,AW105/H105,"")</f>
        <v>-1</v>
      </c>
      <c r="AY105" s="807"/>
      <c r="AZ105" s="2136"/>
      <c r="BA105" s="2136"/>
    </row>
    <row r="106" spans="1:54" ht="13.9" hidden="1" customHeight="1" outlineLevel="1" x14ac:dyDescent="0.2">
      <c r="A106" s="878" t="s">
        <v>821</v>
      </c>
      <c r="B106" s="810">
        <f>SUM(B103:B105)</f>
        <v>6629</v>
      </c>
      <c r="C106" s="906">
        <f t="shared" ref="C106:N106" si="42">SUM(C103:C105)</f>
        <v>4839.03</v>
      </c>
      <c r="D106" s="906">
        <f t="shared" si="42"/>
        <v>6630</v>
      </c>
      <c r="E106" s="906">
        <f t="shared" si="42"/>
        <v>5259.4800000000005</v>
      </c>
      <c r="F106" s="906">
        <f t="shared" si="42"/>
        <v>6630</v>
      </c>
      <c r="G106" s="906">
        <f t="shared" si="42"/>
        <v>5398.71</v>
      </c>
      <c r="H106" s="906">
        <f t="shared" si="42"/>
        <v>25648</v>
      </c>
      <c r="I106" s="906">
        <f t="shared" si="42"/>
        <v>18187</v>
      </c>
      <c r="J106" s="907">
        <v>29172</v>
      </c>
      <c r="K106" s="814" t="s">
        <v>462</v>
      </c>
      <c r="L106" s="918">
        <f t="shared" si="42"/>
        <v>2530</v>
      </c>
      <c r="M106" s="918">
        <f t="shared" si="42"/>
        <v>2618</v>
      </c>
      <c r="N106" s="919">
        <f t="shared" si="42"/>
        <v>1759</v>
      </c>
      <c r="O106" s="814">
        <f>SUM(O103:O105)</f>
        <v>1759</v>
      </c>
      <c r="P106" s="814">
        <f>SUM(P103:P105)</f>
        <v>1759</v>
      </c>
      <c r="Q106" s="852">
        <f>IF(SUM(Q103:Q105)=0,P106,SUM(Q103:Q105))</f>
        <v>1759</v>
      </c>
      <c r="R106" s="814">
        <f>SUM(R103:R105)</f>
        <v>1759</v>
      </c>
      <c r="S106" s="853">
        <f>IF(SUM(S103:S105)=0,R106,SUM(S103:S105))</f>
        <v>1759</v>
      </c>
      <c r="T106" s="814">
        <v>1759</v>
      </c>
      <c r="U106" s="852">
        <v>1759</v>
      </c>
      <c r="V106" s="852">
        <f>SUM(V103:V105)</f>
        <v>1714</v>
      </c>
      <c r="W106" s="852">
        <f>IF(SUM(W103:W105)=0,V106,SUM(W103:W105))</f>
        <v>1714</v>
      </c>
      <c r="X106" s="852">
        <f>SUM(X103:X105)</f>
        <v>1747</v>
      </c>
      <c r="Y106" s="852">
        <f>IF(SUM(Y103:Y105)=0,X106,SUM(Y103:Y105))</f>
        <v>6747</v>
      </c>
      <c r="Z106" s="852">
        <f>SUM(Z103:Z105)</f>
        <v>6896</v>
      </c>
      <c r="AA106" s="852">
        <f>IF(SUM(AA103:AA105)=0,Z106,SUM(AA103:AA105))</f>
        <v>6896</v>
      </c>
      <c r="AB106" s="852">
        <f>SUM(AB103:AB105)</f>
        <v>6998</v>
      </c>
      <c r="AC106" s="852">
        <f>IF(SUM(AC103:AC105)=0,AB106,SUM(AC103:AC105))</f>
        <v>6998</v>
      </c>
      <c r="AD106" s="852"/>
      <c r="AE106" s="852">
        <v>1796</v>
      </c>
      <c r="AF106" s="852">
        <v>1796</v>
      </c>
      <c r="AG106" s="852">
        <v>1796</v>
      </c>
      <c r="AH106" s="852">
        <v>1796</v>
      </c>
      <c r="AI106" s="814">
        <v>1796</v>
      </c>
      <c r="AJ106" s="814">
        <v>1796</v>
      </c>
      <c r="AK106" s="814">
        <v>1796</v>
      </c>
      <c r="AL106" s="814">
        <v>1796</v>
      </c>
      <c r="AM106" s="814">
        <f t="shared" ref="AM106:AR106" si="43">SUM(AM103:AM105)</f>
        <v>1796</v>
      </c>
      <c r="AN106" s="814">
        <f t="shared" si="43"/>
        <v>1796</v>
      </c>
      <c r="AO106" s="814">
        <f t="shared" si="43"/>
        <v>1796</v>
      </c>
      <c r="AP106" s="814">
        <f t="shared" si="43"/>
        <v>1755</v>
      </c>
      <c r="AQ106" s="814">
        <f t="shared" si="43"/>
        <v>1755</v>
      </c>
      <c r="AR106" s="814">
        <f t="shared" si="43"/>
        <v>4595</v>
      </c>
      <c r="AS106" s="814">
        <f t="shared" si="39"/>
        <v>2840</v>
      </c>
      <c r="AT106" s="2242">
        <f t="shared" si="40"/>
        <v>1.6182336182336183</v>
      </c>
      <c r="AU106" s="854">
        <f>SUM(AU103:AU105)</f>
        <v>0</v>
      </c>
      <c r="AV106" s="819"/>
      <c r="AW106" s="797">
        <f>SUM(AU106-H106)</f>
        <v>-25648</v>
      </c>
      <c r="AX106" s="805">
        <f>IF(H106&gt;0,AW106/H106,"")</f>
        <v>-1</v>
      </c>
      <c r="AY106" s="807"/>
      <c r="AZ106" s="2136"/>
      <c r="BA106" s="2136"/>
    </row>
    <row r="107" spans="1:54" ht="13.9" hidden="1" customHeight="1" outlineLevel="1" x14ac:dyDescent="0.2">
      <c r="A107" s="821"/>
      <c r="B107" s="824"/>
      <c r="C107" s="824"/>
      <c r="D107" s="933"/>
      <c r="E107" s="824"/>
      <c r="F107" s="933"/>
      <c r="G107" s="934"/>
      <c r="H107" s="934"/>
      <c r="I107" s="934"/>
      <c r="J107" s="883"/>
      <c r="K107" s="856"/>
      <c r="L107" s="863"/>
      <c r="M107" s="864"/>
      <c r="N107" s="858"/>
      <c r="O107" s="856"/>
      <c r="P107" s="856"/>
      <c r="Q107" s="856"/>
      <c r="R107" s="856"/>
      <c r="S107" s="856"/>
      <c r="T107" s="856"/>
      <c r="U107" s="856"/>
      <c r="V107" s="856"/>
      <c r="W107" s="856"/>
      <c r="X107" s="856"/>
      <c r="Y107" s="856"/>
      <c r="Z107" s="856"/>
      <c r="AA107" s="856"/>
      <c r="AB107" s="856"/>
      <c r="AC107" s="856"/>
      <c r="AD107" s="856"/>
      <c r="AE107" s="856"/>
      <c r="AF107" s="856"/>
      <c r="AG107" s="856"/>
      <c r="AH107" s="856"/>
      <c r="AI107" s="856"/>
      <c r="AJ107" s="856"/>
      <c r="AK107" s="856"/>
      <c r="AL107" s="856"/>
      <c r="AM107" s="856"/>
      <c r="AN107" s="856"/>
      <c r="AO107" s="856"/>
      <c r="AP107" s="856"/>
      <c r="AQ107" s="856"/>
      <c r="AR107" s="856"/>
      <c r="AS107" s="856">
        <f t="shared" si="39"/>
        <v>0</v>
      </c>
      <c r="AT107" s="2243" t="str">
        <f t="shared" si="40"/>
        <v/>
      </c>
      <c r="AU107" s="935"/>
      <c r="AV107" s="834"/>
      <c r="AW107" s="823"/>
      <c r="AX107" s="835"/>
      <c r="AY107" s="836"/>
      <c r="AZ107" s="2136"/>
      <c r="BA107" s="2136"/>
    </row>
    <row r="108" spans="1:54" ht="13.9" hidden="1" customHeight="1" outlineLevel="1" x14ac:dyDescent="0.2">
      <c r="A108" s="808" t="s">
        <v>730</v>
      </c>
      <c r="B108" s="837"/>
      <c r="C108" s="837"/>
      <c r="D108" s="936"/>
      <c r="E108" s="837"/>
      <c r="F108" s="936"/>
      <c r="G108" s="937"/>
      <c r="H108" s="937"/>
      <c r="I108" s="937"/>
      <c r="J108" s="884"/>
      <c r="K108" s="859"/>
      <c r="L108" s="865"/>
      <c r="M108" s="865"/>
      <c r="N108" s="838"/>
      <c r="O108" s="859"/>
      <c r="P108" s="859"/>
      <c r="Q108" s="859"/>
      <c r="R108" s="859"/>
      <c r="S108" s="859"/>
      <c r="T108" s="859"/>
      <c r="U108" s="859"/>
      <c r="V108" s="859"/>
      <c r="W108" s="859"/>
      <c r="X108" s="859"/>
      <c r="Y108" s="859"/>
      <c r="Z108" s="859"/>
      <c r="AA108" s="859"/>
      <c r="AB108" s="859"/>
      <c r="AC108" s="859"/>
      <c r="AD108" s="859"/>
      <c r="AE108" s="859"/>
      <c r="AF108" s="859"/>
      <c r="AG108" s="859"/>
      <c r="AH108" s="859"/>
      <c r="AI108" s="859"/>
      <c r="AJ108" s="859"/>
      <c r="AK108" s="859"/>
      <c r="AL108" s="859"/>
      <c r="AM108" s="859"/>
      <c r="AN108" s="859"/>
      <c r="AO108" s="859"/>
      <c r="AP108" s="859"/>
      <c r="AQ108" s="859"/>
      <c r="AR108" s="859"/>
      <c r="AS108" s="859">
        <f t="shared" si="39"/>
        <v>0</v>
      </c>
      <c r="AT108" s="2239" t="str">
        <f t="shared" si="40"/>
        <v/>
      </c>
      <c r="AU108" s="938"/>
      <c r="AV108" s="819"/>
      <c r="AW108" s="797"/>
      <c r="AX108" s="805"/>
      <c r="AY108" s="807"/>
      <c r="AZ108" s="2136"/>
      <c r="BA108" s="2136"/>
    </row>
    <row r="109" spans="1:54" ht="13.9" hidden="1" customHeight="1" outlineLevel="1" x14ac:dyDescent="0.2">
      <c r="A109" s="808" t="s">
        <v>567</v>
      </c>
      <c r="B109" s="799">
        <v>0</v>
      </c>
      <c r="C109" s="799">
        <v>0</v>
      </c>
      <c r="D109" s="799">
        <v>0</v>
      </c>
      <c r="E109" s="799"/>
      <c r="F109" s="799"/>
      <c r="G109" s="801"/>
      <c r="H109" s="801"/>
      <c r="I109" s="801"/>
      <c r="J109" s="884">
        <v>0</v>
      </c>
      <c r="K109" s="859"/>
      <c r="L109" s="865"/>
      <c r="M109" s="865"/>
      <c r="N109" s="838"/>
      <c r="O109" s="859"/>
      <c r="P109" s="859"/>
      <c r="Q109" s="859"/>
      <c r="R109" s="859"/>
      <c r="S109" s="859"/>
      <c r="T109" s="859"/>
      <c r="U109" s="859"/>
      <c r="V109" s="859"/>
      <c r="W109" s="859"/>
      <c r="X109" s="859"/>
      <c r="Y109" s="859"/>
      <c r="Z109" s="859"/>
      <c r="AA109" s="859"/>
      <c r="AB109" s="859"/>
      <c r="AC109" s="859"/>
      <c r="AD109" s="859"/>
      <c r="AE109" s="859"/>
      <c r="AF109" s="859"/>
      <c r="AG109" s="859"/>
      <c r="AH109" s="859"/>
      <c r="AI109" s="859"/>
      <c r="AJ109" s="859"/>
      <c r="AK109" s="843">
        <v>0</v>
      </c>
      <c r="AL109" s="859"/>
      <c r="AM109" s="859">
        <f>AL109*$AH$3</f>
        <v>0</v>
      </c>
      <c r="AN109" s="859"/>
      <c r="AO109" s="859">
        <f>AN109*$AH$3</f>
        <v>0</v>
      </c>
      <c r="AP109" s="859"/>
      <c r="AQ109" s="859">
        <f>AP109*$AH$3</f>
        <v>0</v>
      </c>
      <c r="AR109" s="859"/>
      <c r="AS109" s="859">
        <f t="shared" si="39"/>
        <v>0</v>
      </c>
      <c r="AT109" s="2239" t="str">
        <f t="shared" si="40"/>
        <v/>
      </c>
      <c r="AU109" s="844"/>
      <c r="AV109" s="819"/>
      <c r="AW109" s="797"/>
      <c r="AX109" s="805"/>
      <c r="AY109" s="807"/>
      <c r="AZ109" s="2136"/>
      <c r="BA109" s="2136"/>
    </row>
    <row r="110" spans="1:54" ht="13.9" customHeight="1" outlineLevel="1" x14ac:dyDescent="0.2">
      <c r="A110" s="808" t="s">
        <v>558</v>
      </c>
      <c r="B110" s="799">
        <v>745</v>
      </c>
      <c r="C110" s="799">
        <v>697.76</v>
      </c>
      <c r="D110" s="799">
        <v>745</v>
      </c>
      <c r="E110" s="799">
        <v>242.64</v>
      </c>
      <c r="F110" s="799">
        <v>745</v>
      </c>
      <c r="G110" s="801">
        <v>163.35</v>
      </c>
      <c r="H110" s="801">
        <v>745</v>
      </c>
      <c r="I110" s="801">
        <v>934.94</v>
      </c>
      <c r="J110" s="884">
        <v>2141</v>
      </c>
      <c r="K110" s="859"/>
      <c r="L110" s="876">
        <v>0</v>
      </c>
      <c r="M110" s="840">
        <f>L110*(1+AT$8)</f>
        <v>0</v>
      </c>
      <c r="N110" s="841"/>
      <c r="O110" s="859">
        <v>0</v>
      </c>
      <c r="P110" s="859"/>
      <c r="Q110" s="859"/>
      <c r="R110" s="859"/>
      <c r="S110" s="859"/>
      <c r="T110" s="859"/>
      <c r="U110" s="859"/>
      <c r="V110" s="859"/>
      <c r="W110" s="859"/>
      <c r="X110" s="859"/>
      <c r="Y110" s="859"/>
      <c r="Z110" s="859"/>
      <c r="AA110" s="859"/>
      <c r="AB110" s="859"/>
      <c r="AC110" s="859"/>
      <c r="AD110" s="859"/>
      <c r="AE110" s="859"/>
      <c r="AF110" s="859"/>
      <c r="AG110" s="859"/>
      <c r="AH110" s="859"/>
      <c r="AI110" s="859"/>
      <c r="AJ110" s="859"/>
      <c r="AK110" s="843">
        <v>0</v>
      </c>
      <c r="AL110" s="859"/>
      <c r="AM110" s="859">
        <f>AL110*$AH$3</f>
        <v>0</v>
      </c>
      <c r="AN110" s="859"/>
      <c r="AO110" s="859">
        <f>AN110*$AH$3</f>
        <v>0</v>
      </c>
      <c r="AP110" s="859"/>
      <c r="AQ110" s="859">
        <f>AP110*$AH$3</f>
        <v>0</v>
      </c>
      <c r="AR110" s="941">
        <f>IF(BA110="yes",AZ110,0)</f>
        <v>11357</v>
      </c>
      <c r="AS110" s="859">
        <f t="shared" si="39"/>
        <v>11357</v>
      </c>
      <c r="AT110" s="2239" t="str">
        <f t="shared" si="40"/>
        <v/>
      </c>
      <c r="AU110" s="844"/>
      <c r="AV110" s="819"/>
      <c r="AW110" s="797">
        <f>SUM(AU110-H110)</f>
        <v>-745</v>
      </c>
      <c r="AX110" s="805">
        <f>IF(H110&gt;0,AW110/H110,"")</f>
        <v>-1</v>
      </c>
      <c r="AY110" s="807"/>
      <c r="AZ110" s="2136">
        <f>'[1]ABOVE GUIDELINES'!$L$16</f>
        <v>11357</v>
      </c>
      <c r="BA110" s="2321" t="s">
        <v>2506</v>
      </c>
      <c r="BB110" s="2157">
        <v>45012</v>
      </c>
    </row>
    <row r="111" spans="1:54" ht="13.9" hidden="1" customHeight="1" outlineLevel="1" x14ac:dyDescent="0.2">
      <c r="A111" s="808" t="s">
        <v>820</v>
      </c>
      <c r="B111" s="799">
        <v>1100</v>
      </c>
      <c r="C111" s="799">
        <v>277.8</v>
      </c>
      <c r="D111" s="799">
        <v>1100</v>
      </c>
      <c r="E111" s="799">
        <v>1188.27</v>
      </c>
      <c r="F111" s="799">
        <v>1100</v>
      </c>
      <c r="G111" s="801">
        <v>1059.1199999999999</v>
      </c>
      <c r="H111" s="801">
        <v>1100</v>
      </c>
      <c r="I111" s="801">
        <v>0</v>
      </c>
      <c r="J111" s="884">
        <v>775</v>
      </c>
      <c r="K111" s="859"/>
      <c r="L111" s="942">
        <v>293</v>
      </c>
      <c r="M111" s="942">
        <v>805</v>
      </c>
      <c r="N111" s="838">
        <v>724</v>
      </c>
      <c r="O111" s="859">
        <v>724</v>
      </c>
      <c r="P111" s="859">
        <v>724</v>
      </c>
      <c r="Q111" s="859">
        <v>724</v>
      </c>
      <c r="R111" s="859">
        <v>724</v>
      </c>
      <c r="S111" s="859"/>
      <c r="T111" s="859">
        <v>724</v>
      </c>
      <c r="U111" s="859">
        <v>724</v>
      </c>
      <c r="V111" s="843">
        <v>724</v>
      </c>
      <c r="W111" s="859">
        <f>V111</f>
        <v>724</v>
      </c>
      <c r="X111" s="843">
        <v>724</v>
      </c>
      <c r="Y111" s="843">
        <v>724</v>
      </c>
      <c r="Z111" s="843">
        <v>745</v>
      </c>
      <c r="AA111" s="843">
        <f>Z111</f>
        <v>745</v>
      </c>
      <c r="AB111" s="843">
        <v>745</v>
      </c>
      <c r="AC111" s="843">
        <f>AB111</f>
        <v>745</v>
      </c>
      <c r="AD111" s="843"/>
      <c r="AE111" s="843">
        <v>745</v>
      </c>
      <c r="AF111" s="843"/>
      <c r="AG111" s="843">
        <v>745</v>
      </c>
      <c r="AH111" s="843">
        <v>745</v>
      </c>
      <c r="AI111" s="843">
        <v>745</v>
      </c>
      <c r="AJ111" s="843">
        <v>745</v>
      </c>
      <c r="AK111" s="843">
        <v>745</v>
      </c>
      <c r="AL111" s="843">
        <v>745</v>
      </c>
      <c r="AM111" s="843">
        <f>AL111*$AH$4</f>
        <v>745</v>
      </c>
      <c r="AN111" s="843">
        <v>745</v>
      </c>
      <c r="AO111" s="843">
        <v>745</v>
      </c>
      <c r="AP111" s="843">
        <v>750</v>
      </c>
      <c r="AQ111" s="843">
        <f>AP111*$AH$4</f>
        <v>750</v>
      </c>
      <c r="AR111" s="843">
        <f>'[1]BUDGET DETAIL'!$CO$293</f>
        <v>750</v>
      </c>
      <c r="AS111" s="843">
        <f t="shared" si="39"/>
        <v>0</v>
      </c>
      <c r="AT111" s="2239">
        <f t="shared" si="40"/>
        <v>0</v>
      </c>
      <c r="AU111" s="844"/>
      <c r="AV111" s="819"/>
      <c r="AW111" s="797">
        <f>SUM(AU111-H111)</f>
        <v>-1100</v>
      </c>
      <c r="AX111" s="805">
        <f>IF(H111&gt;0,AW111/H111,"")</f>
        <v>-1</v>
      </c>
      <c r="AY111" s="807"/>
      <c r="AZ111" s="2136"/>
      <c r="BA111" s="2136"/>
    </row>
    <row r="112" spans="1:54" ht="13.9" hidden="1" customHeight="1" outlineLevel="1" x14ac:dyDescent="0.2">
      <c r="A112" s="878" t="s">
        <v>821</v>
      </c>
      <c r="B112" s="810">
        <f>SUM(B109:B111)</f>
        <v>1845</v>
      </c>
      <c r="C112" s="810">
        <f>SUM(C109:C111)</f>
        <v>975.56</v>
      </c>
      <c r="D112" s="810">
        <f t="shared" ref="D112:L112" si="44">SUM(D109:D111)</f>
        <v>1845</v>
      </c>
      <c r="E112" s="810">
        <f t="shared" si="44"/>
        <v>1430.9099999999999</v>
      </c>
      <c r="F112" s="810">
        <f t="shared" si="44"/>
        <v>1845</v>
      </c>
      <c r="G112" s="810">
        <f t="shared" si="44"/>
        <v>1222.4699999999998</v>
      </c>
      <c r="H112" s="810">
        <f t="shared" si="44"/>
        <v>1845</v>
      </c>
      <c r="I112" s="810">
        <f t="shared" si="44"/>
        <v>934.94</v>
      </c>
      <c r="J112" s="813">
        <f t="shared" si="44"/>
        <v>2916</v>
      </c>
      <c r="K112" s="814" t="s">
        <v>462</v>
      </c>
      <c r="L112" s="879">
        <f t="shared" si="44"/>
        <v>293</v>
      </c>
      <c r="M112" s="879">
        <f>SUM(M109:M111)</f>
        <v>805</v>
      </c>
      <c r="N112" s="880">
        <f>SUM(N109:N111)</f>
        <v>724</v>
      </c>
      <c r="O112" s="852">
        <f>SUM(O110:O111)</f>
        <v>724</v>
      </c>
      <c r="P112" s="814">
        <f>SUM(P109:P111)</f>
        <v>724</v>
      </c>
      <c r="Q112" s="852">
        <f>IF(SUM(Q109:Q111)=0,P112,SUM(Q109:Q111))</f>
        <v>724</v>
      </c>
      <c r="R112" s="814">
        <f>SUM(R109:R111)</f>
        <v>724</v>
      </c>
      <c r="S112" s="853">
        <f>IF(SUM(S109:S111)=0,R112,SUM(S109:S111))</f>
        <v>724</v>
      </c>
      <c r="T112" s="814">
        <v>724</v>
      </c>
      <c r="U112" s="852">
        <v>724</v>
      </c>
      <c r="V112" s="852">
        <f>SUM(V109:V111)</f>
        <v>724</v>
      </c>
      <c r="W112" s="852">
        <f>IF(SUM(W109:W111)=0,V112,SUM(W109:W111))</f>
        <v>724</v>
      </c>
      <c r="X112" s="852">
        <f>SUM(X109:X111)</f>
        <v>724</v>
      </c>
      <c r="Y112" s="852">
        <f>IF(SUM(Y109:Y111)=0,X112,SUM(Y109:Y111))</f>
        <v>724</v>
      </c>
      <c r="Z112" s="852">
        <f>SUM(Z109:Z111)</f>
        <v>745</v>
      </c>
      <c r="AA112" s="852">
        <f>IF(SUM(AA109:AA111)=0,Z112,SUM(AA109:AA111))</f>
        <v>745</v>
      </c>
      <c r="AB112" s="852">
        <f>SUM(AB109:AB111)</f>
        <v>745</v>
      </c>
      <c r="AC112" s="852">
        <f>IF(SUM(AC109:AC111)=0,AB112,SUM(AC109:AC111))</f>
        <v>745</v>
      </c>
      <c r="AD112" s="852"/>
      <c r="AE112" s="852">
        <v>745</v>
      </c>
      <c r="AF112" s="852">
        <v>745</v>
      </c>
      <c r="AG112" s="852">
        <v>745</v>
      </c>
      <c r="AH112" s="852">
        <v>745</v>
      </c>
      <c r="AI112" s="814">
        <v>745</v>
      </c>
      <c r="AJ112" s="814">
        <v>745</v>
      </c>
      <c r="AK112" s="814">
        <v>745</v>
      </c>
      <c r="AL112" s="814">
        <v>745</v>
      </c>
      <c r="AM112" s="814">
        <f>IF(SUM(AM109:AM111)=0,AL112,SUM(AM109:AM111))</f>
        <v>745</v>
      </c>
      <c r="AN112" s="814">
        <f>IF(SUM(AN109:AN111)=0,AM112,SUM(AN109:AN111))</f>
        <v>745</v>
      </c>
      <c r="AO112" s="814">
        <f>IF(SUM(AO109:AO111)=0,AN112,SUM(AO109:AO111))</f>
        <v>745</v>
      </c>
      <c r="AP112" s="814">
        <f>SUM(AP109:AP111)</f>
        <v>750</v>
      </c>
      <c r="AQ112" s="814">
        <f>IF(SUM(AQ109:AQ111)=0,AP112,SUM(AQ109:AQ111))</f>
        <v>750</v>
      </c>
      <c r="AR112" s="814">
        <f>IF(SUM(AR109:AR111)=0,AQ112,SUM(AR109:AR111))</f>
        <v>12107</v>
      </c>
      <c r="AS112" s="814">
        <f t="shared" si="39"/>
        <v>11357</v>
      </c>
      <c r="AT112" s="2242">
        <f t="shared" si="40"/>
        <v>15.142666666666667</v>
      </c>
      <c r="AU112" s="854">
        <f>SUM(AU109:AU111)</f>
        <v>0</v>
      </c>
      <c r="AV112" s="819"/>
      <c r="AW112" s="797">
        <f>SUM(AU112-H112)</f>
        <v>-1845</v>
      </c>
      <c r="AX112" s="805">
        <f>IF(H112&gt;0,AW112/H112,"")</f>
        <v>-1</v>
      </c>
      <c r="AY112" s="807"/>
      <c r="AZ112" s="2136"/>
      <c r="BA112" s="2136"/>
    </row>
    <row r="113" spans="1:54" ht="13.9" hidden="1" customHeight="1" outlineLevel="1" x14ac:dyDescent="0.2">
      <c r="A113" s="855"/>
      <c r="B113" s="822"/>
      <c r="C113" s="823"/>
      <c r="D113" s="823"/>
      <c r="E113" s="824"/>
      <c r="F113" s="823"/>
      <c r="G113" s="825"/>
      <c r="H113" s="825"/>
      <c r="I113" s="943"/>
      <c r="J113" s="883"/>
      <c r="K113" s="856"/>
      <c r="L113" s="863"/>
      <c r="M113" s="864"/>
      <c r="N113" s="858"/>
      <c r="O113" s="856"/>
      <c r="P113" s="856"/>
      <c r="Q113" s="856"/>
      <c r="R113" s="856"/>
      <c r="S113" s="856"/>
      <c r="T113" s="856"/>
      <c r="U113" s="856"/>
      <c r="V113" s="856"/>
      <c r="W113" s="856"/>
      <c r="X113" s="856"/>
      <c r="Y113" s="856"/>
      <c r="Z113" s="856"/>
      <c r="AA113" s="856"/>
      <c r="AB113" s="856"/>
      <c r="AC113" s="856"/>
      <c r="AD113" s="856"/>
      <c r="AE113" s="856"/>
      <c r="AF113" s="856"/>
      <c r="AG113" s="856"/>
      <c r="AH113" s="856"/>
      <c r="AI113" s="856"/>
      <c r="AJ113" s="856"/>
      <c r="AK113" s="856"/>
      <c r="AL113" s="856"/>
      <c r="AM113" s="856"/>
      <c r="AN113" s="856"/>
      <c r="AO113" s="856"/>
      <c r="AP113" s="856"/>
      <c r="AQ113" s="856"/>
      <c r="AR113" s="856"/>
      <c r="AS113" s="856">
        <f t="shared" si="39"/>
        <v>0</v>
      </c>
      <c r="AT113" s="2243" t="str">
        <f t="shared" si="40"/>
        <v/>
      </c>
      <c r="AU113" s="833"/>
      <c r="AV113" s="834"/>
      <c r="AW113" s="823"/>
      <c r="AX113" s="835"/>
      <c r="AY113" s="836"/>
      <c r="AZ113" s="2136"/>
      <c r="BA113" s="2136"/>
    </row>
    <row r="114" spans="1:54" ht="13.9" hidden="1" customHeight="1" outlineLevel="1" x14ac:dyDescent="0.2">
      <c r="A114" s="795" t="s">
        <v>103</v>
      </c>
      <c r="B114" s="796"/>
      <c r="C114" s="797"/>
      <c r="D114" s="797"/>
      <c r="E114" s="870"/>
      <c r="F114" s="870"/>
      <c r="G114" s="798"/>
      <c r="H114" s="798"/>
      <c r="J114" s="848"/>
      <c r="K114" s="861"/>
      <c r="L114" s="901"/>
      <c r="M114" s="901"/>
      <c r="N114" s="902"/>
      <c r="O114" s="861"/>
      <c r="P114" s="861"/>
      <c r="Q114" s="861"/>
      <c r="R114" s="861"/>
      <c r="S114" s="861"/>
      <c r="T114" s="861"/>
      <c r="U114" s="861"/>
      <c r="V114" s="861"/>
      <c r="W114" s="861"/>
      <c r="X114" s="861"/>
      <c r="Y114" s="861"/>
      <c r="Z114" s="861"/>
      <c r="AA114" s="861"/>
      <c r="AB114" s="861"/>
      <c r="AC114" s="861"/>
      <c r="AD114" s="861"/>
      <c r="AE114" s="861"/>
      <c r="AF114" s="861"/>
      <c r="AG114" s="861"/>
      <c r="AH114" s="861"/>
      <c r="AI114" s="861"/>
      <c r="AJ114" s="861"/>
      <c r="AK114" s="861"/>
      <c r="AL114" s="861"/>
      <c r="AM114" s="861"/>
      <c r="AN114" s="861"/>
      <c r="AO114" s="861"/>
      <c r="AP114" s="861"/>
      <c r="AQ114" s="861"/>
      <c r="AR114" s="861"/>
      <c r="AS114" s="861">
        <f t="shared" si="39"/>
        <v>0</v>
      </c>
      <c r="AT114" s="2248" t="str">
        <f t="shared" si="40"/>
        <v/>
      </c>
      <c r="AU114" s="803"/>
      <c r="AV114" s="819"/>
      <c r="AW114" s="797"/>
      <c r="AX114" s="805"/>
      <c r="AY114" s="903"/>
      <c r="AZ114" s="2136"/>
      <c r="BA114" s="2136"/>
      <c r="BB114" s="2146"/>
    </row>
    <row r="115" spans="1:54" ht="13.9" hidden="1" customHeight="1" outlineLevel="1" x14ac:dyDescent="0.2">
      <c r="A115" s="878" t="s">
        <v>567</v>
      </c>
      <c r="B115" s="810">
        <f>SUM($B$14+$B$17+$B$48+$B54+$B$60+$B$81+$B$87+$B$93+$B$103+$B$109)</f>
        <v>316097</v>
      </c>
      <c r="C115" s="810">
        <f>SUM($C$14+$C$17+$C$48+$C54+$C$60+$C$81+$C$87+$C$93+$C$103+$C$109)</f>
        <v>316097</v>
      </c>
      <c r="D115" s="944">
        <f>SUM($D$14+$D$17+$D$48+$D54+$D$60+$D$81+$D$87+$D$93+$D$103+$D$109)</f>
        <v>328343</v>
      </c>
      <c r="E115" s="810">
        <f>SUM($E$14+$E$17+$E$48+$E54+$E$60+$E$81+$E$87+$E$93+$E$103+$E$109)</f>
        <v>328343</v>
      </c>
      <c r="F115" s="944">
        <f>SUM($F$14+$F$17+$F$48+$F54+$F$60+$F$81+$F$87+$F$93+$F$103+$F$109)</f>
        <v>328343</v>
      </c>
      <c r="G115" s="810">
        <f>SUM($G$14+$G$17+$G$48+$G54+$G$60+$G$81+$G$87+$G$93+$G$103+$G$109)</f>
        <v>342131</v>
      </c>
      <c r="H115" s="810">
        <f>SUM($H$14+$H$17+$H$48+$H54+$H$60+$H$81+$H$87+$H$93+$H$103+$H$109)</f>
        <v>340677</v>
      </c>
      <c r="I115" s="811">
        <f>SUM($I$14+$I$17+$I$48+$I54+$I$60+$I$81+$I$87+$I$93+$I$103+$I$109)</f>
        <v>339176.47</v>
      </c>
      <c r="J115" s="813">
        <f t="shared" ref="J115:Q115" si="45">SUM(J$14+J$17+J$48+J54+J$60+J$81+J$87+J$93+J$103+J$109)</f>
        <v>427939</v>
      </c>
      <c r="K115" s="813" t="e">
        <f t="shared" si="45"/>
        <v>#VALUE!</v>
      </c>
      <c r="L115" s="879">
        <f t="shared" si="45"/>
        <v>449457.33</v>
      </c>
      <c r="M115" s="879">
        <f t="shared" si="45"/>
        <v>474034.489</v>
      </c>
      <c r="N115" s="880">
        <f t="shared" si="45"/>
        <v>472038</v>
      </c>
      <c r="O115" s="881">
        <f t="shared" si="45"/>
        <v>474647</v>
      </c>
      <c r="P115" s="881">
        <f t="shared" si="45"/>
        <v>468330</v>
      </c>
      <c r="Q115" s="881">
        <f t="shared" si="45"/>
        <v>468330</v>
      </c>
      <c r="R115" s="881">
        <f>SUM(R$14+R$17+R$48+R54+R$60+R$81+R$87+R$93+R$103+R$109)</f>
        <v>470479</v>
      </c>
      <c r="S115" s="881"/>
      <c r="T115" s="881">
        <v>495890</v>
      </c>
      <c r="U115" s="881">
        <v>495890</v>
      </c>
      <c r="V115" s="881">
        <f t="shared" ref="V115:AA115" si="46">SUM(V$14+V$17+V$48+V54+V$60+V$81+V$87+V$93+V$103+V$109)</f>
        <v>512623</v>
      </c>
      <c r="W115" s="881">
        <f t="shared" si="46"/>
        <v>506106</v>
      </c>
      <c r="X115" s="881">
        <f t="shared" si="46"/>
        <v>519736</v>
      </c>
      <c r="Y115" s="881">
        <f t="shared" si="46"/>
        <v>524736</v>
      </c>
      <c r="Z115" s="881">
        <f t="shared" si="46"/>
        <v>570505</v>
      </c>
      <c r="AA115" s="881">
        <f t="shared" si="46"/>
        <v>570505</v>
      </c>
      <c r="AB115" s="881">
        <f t="shared" ref="AB115" si="47">SUM(AB$14+AB$17+AB$48+AB54+AB$60+AB$81+AB$87+AB$93+AB$103+AB$109)</f>
        <v>582776</v>
      </c>
      <c r="AC115" s="881">
        <f>SUM(AC$14+AC$17+AC$48+AC54+AC$60+AC$81+AC$87+AC$93+AC$103+AC$109)</f>
        <v>582776</v>
      </c>
      <c r="AD115" s="881"/>
      <c r="AE115" s="881">
        <v>524767</v>
      </c>
      <c r="AF115" s="881">
        <v>0</v>
      </c>
      <c r="AG115" s="881">
        <v>540508.3600000001</v>
      </c>
      <c r="AH115" s="881">
        <v>613306</v>
      </c>
      <c r="AI115" s="928">
        <v>631703.53</v>
      </c>
      <c r="AJ115" s="928">
        <v>645503</v>
      </c>
      <c r="AK115" s="928">
        <v>664866.43999999994</v>
      </c>
      <c r="AL115" s="928">
        <v>660577</v>
      </c>
      <c r="AM115" s="928">
        <f t="shared" ref="AM115:AN115" si="48">SUM(AM$14+AM$17+AM$48+AM54+AM$60+AM$81+AM$87+AM$93+AM$103+AM$109)</f>
        <v>673787.44</v>
      </c>
      <c r="AN115" s="928">
        <f t="shared" si="48"/>
        <v>673633</v>
      </c>
      <c r="AO115" s="928">
        <f t="shared" ref="AO115:AP115" si="49">SUM(AO$14+AO$17+AO$48+AO54+AO$60+AO$81+AO$87+AO$93+AO$103+AO$109)</f>
        <v>690087.63</v>
      </c>
      <c r="AP115" s="928">
        <f t="shared" si="49"/>
        <v>696788</v>
      </c>
      <c r="AQ115" s="928">
        <f t="shared" ref="AQ115:AR115" si="50">SUM(AQ$14+AQ$17+AQ$48+AQ54+AQ$60+AQ$81+AQ$87+AQ$93+AQ$103+AQ$109)</f>
        <v>710722.66</v>
      </c>
      <c r="AR115" s="928">
        <f t="shared" si="50"/>
        <v>718317</v>
      </c>
      <c r="AS115" s="928">
        <f t="shared" si="39"/>
        <v>21529</v>
      </c>
      <c r="AT115" s="2242">
        <f t="shared" si="40"/>
        <v>3.0897489623816714E-2</v>
      </c>
      <c r="AU115" s="854">
        <f>SUM($AU$14+$AU$17+$AU$48+$AU54+$AU$60+$AU$81+$AU$87+$AU$93+$AU$103+$AU$109)</f>
        <v>0</v>
      </c>
      <c r="AV115" s="819"/>
      <c r="AW115" s="797">
        <f>SUM(AU115-H115)</f>
        <v>-340677</v>
      </c>
      <c r="AX115" s="805">
        <f>IF(H115&gt;0,AW115/H115,"")</f>
        <v>-1</v>
      </c>
      <c r="AY115" s="903"/>
      <c r="AZ115" s="2136"/>
      <c r="BA115" s="2136"/>
      <c r="BB115" s="2146"/>
    </row>
    <row r="116" spans="1:54" ht="13.9" hidden="1" customHeight="1" outlineLevel="1" x14ac:dyDescent="0.2">
      <c r="A116" s="878" t="s">
        <v>725</v>
      </c>
      <c r="B116" s="810">
        <f>SUM($B$18+$B$32+$B$49+$B$55+$B$61+$B$67++$B$76+$B82+$B$88+$B$94+$B$104+$B$110)</f>
        <v>230141</v>
      </c>
      <c r="C116" s="810">
        <f>SUM($C$18+$C$32+$C$49+$C$55+$C$61+$C$67+$C$76+$C$82+$C$88+$C$94+$C$104+$C$110)</f>
        <v>224814.6</v>
      </c>
      <c r="D116" s="810">
        <f>SUM($D$18+$D$32+$D$49+$D$55+$D$61+$D$67+$D$76+$D$82+$D$88+$D$94+$D$104+$D$110)</f>
        <v>257709</v>
      </c>
      <c r="E116" s="810">
        <f>SUM($E$18+$E$32+$E$49+$E$55+$E$61+$E$67+$E$76+$E$82+$E$88+$E$94+$E$104+$E$110)</f>
        <v>251257.82000000004</v>
      </c>
      <c r="F116" s="810">
        <f>SUM($F$18+$F$32+$F$38+$F$43+$F$49+$F$55+$F$61+$F$67+$F$76+$F$82+$F$88+$F$94+$F$104+$F$110)</f>
        <v>260043</v>
      </c>
      <c r="G116" s="810">
        <f>SUM($G$18+$G$32+$G$38+$G$43+$G$49+$G$55+$G$61+$G$67+$G$76+$G$82+$G$88+$G$94+$G$104+$G$110)</f>
        <v>256588.26</v>
      </c>
      <c r="H116" s="810">
        <f>SUM($H$18+$H$32+$H$38+$H$43+$H$49+$H$55+$H$61+$H$67+$H$76+$H$82+$H$88+$H$94+$H$104+$H$110)</f>
        <v>289369</v>
      </c>
      <c r="I116" s="811">
        <f>SUM($I$18+$I$32+$I$38+$I$43+$I$49+$I$55+$I$61+$I$67+$I$76+$I$82+$I$88+$I$94+$I$104+$I$110)</f>
        <v>271482.43</v>
      </c>
      <c r="J116" s="813">
        <f t="shared" ref="J116:AC116" si="51">SUM(J$18+J$32+J$38+J$43+J$49+J$55+J$61+J$67+J$76+J$82+J$88+J$94+J$104+J$110)</f>
        <v>259865.8</v>
      </c>
      <c r="K116" s="813">
        <f t="shared" si="51"/>
        <v>0</v>
      </c>
      <c r="L116" s="879">
        <f t="shared" si="51"/>
        <v>222031.50000000003</v>
      </c>
      <c r="M116" s="879">
        <f t="shared" si="51"/>
        <v>265406</v>
      </c>
      <c r="N116" s="880">
        <f t="shared" si="51"/>
        <v>215869</v>
      </c>
      <c r="O116" s="881">
        <f t="shared" si="51"/>
        <v>222649</v>
      </c>
      <c r="P116" s="881" t="e">
        <f t="shared" si="51"/>
        <v>#REF!</v>
      </c>
      <c r="Q116" s="881">
        <f t="shared" si="51"/>
        <v>203931</v>
      </c>
      <c r="R116" s="881" t="e">
        <f t="shared" si="51"/>
        <v>#REF!</v>
      </c>
      <c r="S116" s="881"/>
      <c r="T116" s="881">
        <v>219536</v>
      </c>
      <c r="U116" s="881">
        <v>219536</v>
      </c>
      <c r="V116" s="881" t="e">
        <f t="shared" si="51"/>
        <v>#REF!</v>
      </c>
      <c r="W116" s="881">
        <f t="shared" si="51"/>
        <v>225913</v>
      </c>
      <c r="X116" s="881" t="e">
        <f t="shared" si="51"/>
        <v>#REF!</v>
      </c>
      <c r="Y116" s="881">
        <f t="shared" si="51"/>
        <v>234860</v>
      </c>
      <c r="Z116" s="881">
        <f t="shared" si="51"/>
        <v>268788</v>
      </c>
      <c r="AA116" s="881">
        <f t="shared" si="51"/>
        <v>271747</v>
      </c>
      <c r="AB116" s="881">
        <f t="shared" si="51"/>
        <v>280725</v>
      </c>
      <c r="AC116" s="881">
        <f t="shared" si="51"/>
        <v>280725</v>
      </c>
      <c r="AD116" s="881"/>
      <c r="AE116" s="881">
        <v>352152</v>
      </c>
      <c r="AF116" s="881">
        <v>0</v>
      </c>
      <c r="AG116" s="881">
        <v>362716.56000000006</v>
      </c>
      <c r="AH116" s="881">
        <v>315309</v>
      </c>
      <c r="AI116" s="928">
        <v>324768.26999999996</v>
      </c>
      <c r="AJ116" s="928">
        <v>336211</v>
      </c>
      <c r="AK116" s="928">
        <v>346297.33</v>
      </c>
      <c r="AL116" s="928">
        <v>344972</v>
      </c>
      <c r="AM116" s="928">
        <f t="shared" ref="AM116:AR116" si="52">SUM(AM$18+AM$32+AM$38+AM$43+AM$49+AM$55+AM$61+AM$67+AM$76+AM$82+AM$88+AM$94+AM$104+AM$110)</f>
        <v>351871.44000000006</v>
      </c>
      <c r="AN116" s="928">
        <f t="shared" si="52"/>
        <v>357468</v>
      </c>
      <c r="AO116" s="928">
        <f t="shared" si="52"/>
        <v>366263.06</v>
      </c>
      <c r="AP116" s="928">
        <f t="shared" si="52"/>
        <v>379811</v>
      </c>
      <c r="AQ116" s="928">
        <f t="shared" si="52"/>
        <v>387407.22</v>
      </c>
      <c r="AR116" s="928">
        <f t="shared" si="52"/>
        <v>396445</v>
      </c>
      <c r="AS116" s="928">
        <f t="shared" si="39"/>
        <v>16634</v>
      </c>
      <c r="AT116" s="2242">
        <f t="shared" si="40"/>
        <v>4.3795466692644502E-2</v>
      </c>
      <c r="AU116" s="854">
        <f>SUM($AU$18+$AU$32+$AU$38+$AU$43+$AU$49+$AU$55+$AU$61+$AU$67+$AU$76+$AU$82+$AU$88+$AU$94+$AU$104+$AU$110)</f>
        <v>0</v>
      </c>
      <c r="AV116" s="819"/>
      <c r="AW116" s="797">
        <f>SUM(AU116-H116)</f>
        <v>-289369</v>
      </c>
      <c r="AX116" s="805">
        <f>IF(H116&gt;0,AW116/H116,"")</f>
        <v>-1</v>
      </c>
      <c r="AY116" s="945"/>
      <c r="AZ116" s="2136"/>
      <c r="BA116" s="2136"/>
      <c r="BB116" s="2149"/>
    </row>
    <row r="117" spans="1:54" ht="13.9" hidden="1" customHeight="1" outlineLevel="1" x14ac:dyDescent="0.2">
      <c r="A117" s="878" t="s">
        <v>820</v>
      </c>
      <c r="B117" s="810">
        <f>SUM($B$19+$B$24+$B$28+$B$33+$B$39+$B$50+$B$56+$B$62+$B$68+$B$72+$B$77+$B$83+$B$89+$B$95+$B$99+$B$105+$B$111)</f>
        <v>248535</v>
      </c>
      <c r="C117" s="810">
        <f>SUM($C$19+$C$24+$C$28+$C$33+$C$39+$C$50+$C$56+$C$62+$C$68+$C$72+$C$77+$C$83+$C$89+$C$95+$C$99+$C$105+$C$111)</f>
        <v>205434.74000000002</v>
      </c>
      <c r="D117" s="810">
        <f>SUM($D$19+$D$24+$D$28+$D$33+$D$39+$D$50+$D$56+$D$62+$D$68+$D$72+$D$77+$D$83+$D$89+$D$95+$D$99+$D$105+$D$111)</f>
        <v>239588</v>
      </c>
      <c r="E117" s="810">
        <f>SUM($E$19+$E$24+$E$28+$E$33+$E$39+$E$44+$E$50+$E$56+$E$62+$E$68+$E$72+$E$77+$E$83+$E$89+$E$95+$E$99+$E$105+$E$111)</f>
        <v>299438.49000000005</v>
      </c>
      <c r="F117" s="810">
        <f>SUM($F$19+$F$24+$F$28+$F$33+$F$39+$F$44+$F$50+$F$56+$F$62+$F$68+$F$72+$F$77+$F$83+$F$89+$F$95+$F$99+$F$105+$F$111)</f>
        <v>258168</v>
      </c>
      <c r="G117" s="810">
        <f>SUM($G$19+$G$24+$G$28+$G$33+$G$39+$G$44+$G$50+$G$56+$G$62+$G$68+$G$72+$G$77+$G$83+$G$89+$G$95+$G$99+$G$105+$G$111)</f>
        <v>288402.47999999992</v>
      </c>
      <c r="H117" s="810">
        <f>SUM($H$19+$H$24+$H$28+$H$33+$H$39+$H$44+$H$50+$H$56+$H$62+$H$68+$H$72+$H$77+$H$83+$H$89+$H$95+$H$99+$H$105+$H$111)</f>
        <v>272492</v>
      </c>
      <c r="I117" s="811">
        <f>SUM(I$19+$I$24+$I$28+$I$33+$I$39+$I$44+$I$50+$I$56+$I$62+$I$68+$I$72+$I$77+$I$83+$I$89+$I$95+$I$100+$I$105+$I$111)</f>
        <v>191208.09999999998</v>
      </c>
      <c r="J117" s="811">
        <f>SUM(J$19+J$24+J$28+J$33+J$39+J$44+J$50+J$56+J$62+J$68+J$72+J$77+J$83+J$89+J$95+J$100+J$105+J$111)</f>
        <v>285963</v>
      </c>
      <c r="K117" s="811" t="e">
        <f>SUM(K$19+K$24+K$28+K$33+K$39+K$44+K$50+K$56+K$62+K$68+K$72+K$77+K$83+K$89+K$95+K$100+K$105+K$111)</f>
        <v>#VALUE!</v>
      </c>
      <c r="L117" s="811">
        <f>SUM(L$19+L$24+L$28+L$33+L$39+L$44+L$50+L$56+L$62+L$68+L$72+L$77+L$83+L$89+L$95+L$100+L$105+L$111)</f>
        <v>326483.42000000004</v>
      </c>
      <c r="M117" s="811">
        <f>SUM(M$19+M$24+M$28+M$33+M$39+M$44+M$50+M$56+M$62+M63+M$68+M$72+M$77+M$83+M$89+M$95+M$100+M$105+M$111)</f>
        <v>302540</v>
      </c>
      <c r="N117" s="919" t="e">
        <f>SUM(N$19+N$24+N$28+N$33+N$39+N$44+N$50+N$56+N$62+N$68+N$72+N$77+N$83+N$89+N$95+N$100+N$105+N$111)</f>
        <v>#REF!</v>
      </c>
      <c r="O117" s="928">
        <f>SUM(O$19+O$24+O$28+O$33+O$39+O$44+O$50+O$56+O$62+O$68+O$72+O$77+O$83+O$89+O$95+O$100+O$105+O$111)</f>
        <v>293590</v>
      </c>
      <c r="P117" s="928" t="e">
        <f>SUM(P$19+P$24+P$28+P$33+P$39+P$44+P$50+P$56+P$62+P$68+P$72+P$77+P$83+P$89+P$95+P$100+P$105+P$111)</f>
        <v>#REF!</v>
      </c>
      <c r="Q117" s="928">
        <f>SUM(Q$19+Q$24+Q$28+Q$33+Q$39+Q$44+Q$50+Q$56+Q$62+Q$68+Q$72+Q$77+Q$83+Q$89+Q$95+Q$100+Q$105+Q$111)</f>
        <v>321596</v>
      </c>
      <c r="R117" s="928" t="e">
        <f>SUM(R$19+R$24+R$28+R$33+R$39+R$44+R$50+R$56+R$62+R$68+R$72+R$77+R$83+R$89+R$95+R$100+R$105+R$111)</f>
        <v>#REF!</v>
      </c>
      <c r="S117" s="928"/>
      <c r="T117" s="928">
        <v>328872</v>
      </c>
      <c r="U117" s="928">
        <v>331968</v>
      </c>
      <c r="V117" s="928" t="e">
        <f t="shared" ref="V117:AC117" si="53">SUM(V$19+V$24+V$28+V$33+V$39+V$44+V$50+V$56+V$62+V$68+V$72+V$77+V$83+V$89+V$95+V$100+V$105+V$111)</f>
        <v>#REF!</v>
      </c>
      <c r="W117" s="928">
        <f t="shared" si="53"/>
        <v>338616</v>
      </c>
      <c r="X117" s="928" t="e">
        <f t="shared" si="53"/>
        <v>#REF!</v>
      </c>
      <c r="Y117" s="928">
        <f t="shared" si="53"/>
        <v>369177</v>
      </c>
      <c r="Z117" s="928" t="e">
        <f t="shared" si="53"/>
        <v>#REF!</v>
      </c>
      <c r="AA117" s="928">
        <f t="shared" si="53"/>
        <v>369969</v>
      </c>
      <c r="AB117" s="928">
        <f t="shared" si="53"/>
        <v>393476</v>
      </c>
      <c r="AC117" s="928">
        <f t="shared" si="53"/>
        <v>393476</v>
      </c>
      <c r="AD117" s="928"/>
      <c r="AE117" s="928">
        <v>442505.01</v>
      </c>
      <c r="AF117" s="928">
        <v>0</v>
      </c>
      <c r="AG117" s="928">
        <v>442505.01</v>
      </c>
      <c r="AH117" s="928">
        <v>456655</v>
      </c>
      <c r="AI117" s="928">
        <v>456655.01</v>
      </c>
      <c r="AJ117" s="928">
        <v>559095</v>
      </c>
      <c r="AK117" s="928">
        <v>559095</v>
      </c>
      <c r="AL117" s="928">
        <v>558705</v>
      </c>
      <c r="AM117" s="928">
        <f t="shared" ref="AM117:AR117" si="54">SUM(AM$19+AM$24+AM$28+AM$33+AM$39+AM$44+AM$50+AM$56+AM$62+AM$63+AM$68+AM$72+AM$77+AM$83+AM$89+AM$95+AM$100+AM$105+AM$111)</f>
        <v>566355</v>
      </c>
      <c r="AN117" s="928">
        <f t="shared" si="54"/>
        <v>574859</v>
      </c>
      <c r="AO117" s="928">
        <f t="shared" si="54"/>
        <v>582509</v>
      </c>
      <c r="AP117" s="928">
        <f t="shared" si="54"/>
        <v>582343</v>
      </c>
      <c r="AQ117" s="928">
        <f t="shared" si="54"/>
        <v>574443</v>
      </c>
      <c r="AR117" s="928">
        <f t="shared" si="54"/>
        <v>575624</v>
      </c>
      <c r="AS117" s="928">
        <f t="shared" si="39"/>
        <v>-6719</v>
      </c>
      <c r="AT117" s="2242">
        <f t="shared" si="40"/>
        <v>-1.1537873727339385E-2</v>
      </c>
      <c r="AU117" s="854">
        <f>SUM($AU$19+$AU$24+$AU$28+$AU$33+$AU$39+$AU$44+$AU$50+$AU$56+$AU$62+$AU$68+$AU$72+$AU$77+$AU$83+$AU$89+$AU$95+$AU$99+$AU$105+$AU$111)</f>
        <v>0</v>
      </c>
      <c r="AV117" s="819"/>
      <c r="AW117" s="797">
        <f>SUM(AU117-H117)</f>
        <v>-272492</v>
      </c>
      <c r="AX117" s="805">
        <f>IF(H117&gt;0,AW117/H117,"")</f>
        <v>-1</v>
      </c>
      <c r="AY117" s="903"/>
      <c r="AZ117" s="2136"/>
      <c r="BA117" s="2136"/>
      <c r="BB117" s="2146"/>
    </row>
    <row r="118" spans="1:54" ht="13.9" hidden="1" customHeight="1" outlineLevel="1" x14ac:dyDescent="0.2">
      <c r="A118" s="878" t="s">
        <v>921</v>
      </c>
      <c r="B118" s="809"/>
      <c r="C118" s="810"/>
      <c r="D118" s="810"/>
      <c r="E118" s="810"/>
      <c r="F118" s="810"/>
      <c r="G118" s="810"/>
      <c r="H118" s="810"/>
      <c r="I118" s="811"/>
      <c r="J118" s="811"/>
      <c r="K118" s="811"/>
      <c r="L118" s="811"/>
      <c r="M118" s="811"/>
      <c r="N118" s="919"/>
      <c r="O118" s="928"/>
      <c r="P118" s="928"/>
      <c r="Q118" s="928"/>
      <c r="R118" s="928"/>
      <c r="S118" s="928"/>
      <c r="T118" s="928"/>
      <c r="U118" s="928"/>
      <c r="V118" s="928"/>
      <c r="W118" s="928"/>
      <c r="X118" s="928"/>
      <c r="Y118" s="928"/>
      <c r="Z118" s="928"/>
      <c r="AA118" s="928"/>
      <c r="AB118" s="928"/>
      <c r="AC118" s="928"/>
      <c r="AD118" s="928"/>
      <c r="AE118" s="928">
        <v>100000</v>
      </c>
      <c r="AF118" s="928">
        <v>0</v>
      </c>
      <c r="AG118" s="928">
        <v>100000</v>
      </c>
      <c r="AH118" s="928">
        <v>100000</v>
      </c>
      <c r="AI118" s="928">
        <v>100000</v>
      </c>
      <c r="AJ118" s="928">
        <v>100000</v>
      </c>
      <c r="AK118" s="928">
        <v>100000</v>
      </c>
      <c r="AL118" s="928">
        <v>100000</v>
      </c>
      <c r="AM118" s="928">
        <f t="shared" ref="AM118:AN118" si="55">AM34</f>
        <v>100000</v>
      </c>
      <c r="AN118" s="928">
        <f t="shared" si="55"/>
        <v>100000</v>
      </c>
      <c r="AO118" s="928">
        <f t="shared" ref="AO118:AP118" si="56">AO34</f>
        <v>100000</v>
      </c>
      <c r="AP118" s="928">
        <f t="shared" si="56"/>
        <v>100000</v>
      </c>
      <c r="AQ118" s="928">
        <f t="shared" ref="AQ118:AR118" si="57">AQ34</f>
        <v>100000</v>
      </c>
      <c r="AR118" s="928">
        <f t="shared" si="57"/>
        <v>100000</v>
      </c>
      <c r="AS118" s="928">
        <f t="shared" si="39"/>
        <v>0</v>
      </c>
      <c r="AT118" s="2242">
        <f t="shared" si="40"/>
        <v>0</v>
      </c>
      <c r="AU118" s="882"/>
      <c r="AV118" s="819"/>
      <c r="AW118" s="797"/>
      <c r="AX118" s="805"/>
      <c r="AY118" s="903"/>
      <c r="AZ118" s="2136"/>
      <c r="BA118" s="2136"/>
      <c r="BB118" s="2146"/>
    </row>
    <row r="119" spans="1:54" ht="13.9" hidden="1" customHeight="1" outlineLevel="1" x14ac:dyDescent="0.2">
      <c r="A119" s="878" t="s">
        <v>294</v>
      </c>
      <c r="B119" s="809"/>
      <c r="C119" s="810"/>
      <c r="D119" s="810"/>
      <c r="E119" s="810"/>
      <c r="F119" s="810"/>
      <c r="G119" s="810"/>
      <c r="H119" s="810"/>
      <c r="I119" s="811"/>
      <c r="J119" s="811"/>
      <c r="K119" s="811"/>
      <c r="L119" s="811">
        <f>L63</f>
        <v>15000</v>
      </c>
      <c r="M119" s="811">
        <f>M63</f>
        <v>0</v>
      </c>
      <c r="N119" s="919">
        <f>N63</f>
        <v>8500</v>
      </c>
      <c r="O119" s="928">
        <f>O63</f>
        <v>0</v>
      </c>
      <c r="P119" s="928">
        <f>P63</f>
        <v>0</v>
      </c>
      <c r="Q119" s="928">
        <v>0</v>
      </c>
      <c r="R119" s="928">
        <f>R63</f>
        <v>8500</v>
      </c>
      <c r="S119" s="928"/>
      <c r="T119" s="928"/>
      <c r="U119" s="928"/>
      <c r="V119" s="928">
        <v>8500</v>
      </c>
      <c r="W119" s="928">
        <f>V119</f>
        <v>8500</v>
      </c>
      <c r="X119" s="928">
        <f t="shared" ref="X119:AC119" si="58">X63</f>
        <v>0</v>
      </c>
      <c r="Y119" s="928">
        <f t="shared" si="58"/>
        <v>0</v>
      </c>
      <c r="Z119" s="928">
        <f t="shared" si="58"/>
        <v>7000</v>
      </c>
      <c r="AA119" s="928">
        <f t="shared" si="58"/>
        <v>7000</v>
      </c>
      <c r="AB119" s="928">
        <f t="shared" si="58"/>
        <v>0</v>
      </c>
      <c r="AC119" s="928">
        <f t="shared" si="58"/>
        <v>0</v>
      </c>
      <c r="AD119" s="928"/>
      <c r="AE119" s="928">
        <v>7000</v>
      </c>
      <c r="AF119" s="928">
        <v>0</v>
      </c>
      <c r="AG119" s="928">
        <v>0</v>
      </c>
      <c r="AH119" s="928">
        <v>0</v>
      </c>
      <c r="AI119" s="928">
        <v>7650</v>
      </c>
      <c r="AJ119" s="928">
        <v>7650</v>
      </c>
      <c r="AK119" s="928"/>
      <c r="AL119" s="928"/>
      <c r="AM119" s="928"/>
      <c r="AN119" s="928"/>
      <c r="AO119" s="928"/>
      <c r="AP119" s="928"/>
      <c r="AQ119" s="928"/>
      <c r="AR119" s="928"/>
      <c r="AS119" s="928">
        <f t="shared" si="39"/>
        <v>0</v>
      </c>
      <c r="AT119" s="2242" t="str">
        <f t="shared" si="40"/>
        <v/>
      </c>
      <c r="AU119" s="882"/>
      <c r="AV119" s="819"/>
      <c r="AW119" s="797"/>
      <c r="AX119" s="805"/>
      <c r="AY119" s="903"/>
      <c r="AZ119" s="2136"/>
      <c r="BA119" s="2136"/>
      <c r="BB119" s="2146"/>
    </row>
    <row r="120" spans="1:54" ht="13.9" hidden="1" customHeight="1" outlineLevel="1" thickBot="1" x14ac:dyDescent="0.25">
      <c r="A120" s="946" t="s">
        <v>731</v>
      </c>
      <c r="B120" s="947">
        <f>SUM(B115:B117)</f>
        <v>794773</v>
      </c>
      <c r="C120" s="948">
        <f>SUM(C114:C117)</f>
        <v>746346.34</v>
      </c>
      <c r="D120" s="948">
        <f>SUM(D114:D117)</f>
        <v>825640</v>
      </c>
      <c r="E120" s="948">
        <f>SUM(E114:E117)</f>
        <v>879039.31</v>
      </c>
      <c r="F120" s="948">
        <f t="shared" ref="F120:K120" si="59">SUM(F115:F117)</f>
        <v>846554</v>
      </c>
      <c r="G120" s="948">
        <f t="shared" si="59"/>
        <v>887121.74</v>
      </c>
      <c r="H120" s="948">
        <f t="shared" si="59"/>
        <v>902538</v>
      </c>
      <c r="I120" s="949">
        <f t="shared" si="59"/>
        <v>801866.99999999988</v>
      </c>
      <c r="J120" s="950">
        <f t="shared" si="59"/>
        <v>973767.8</v>
      </c>
      <c r="K120" s="950" t="e">
        <f t="shared" si="59"/>
        <v>#VALUE!</v>
      </c>
      <c r="L120" s="951">
        <f>SUM(L115:L119)</f>
        <v>1012972.2500000001</v>
      </c>
      <c r="M120" s="951">
        <f>SUM(M115:M119)</f>
        <v>1041980.4890000001</v>
      </c>
      <c r="N120" s="952" t="e">
        <f>SUM(N115:N119)</f>
        <v>#REF!</v>
      </c>
      <c r="O120" s="953">
        <f>SUM(O115:O119)</f>
        <v>990886</v>
      </c>
      <c r="P120" s="953" t="e">
        <f>SUM(P115:P119)</f>
        <v>#REF!</v>
      </c>
      <c r="Q120" s="953">
        <f>IF(SUM(Q115:Q117)=0,P120,SUM(Q115:Q119))</f>
        <v>993857</v>
      </c>
      <c r="R120" s="953" t="e">
        <f>SUM(R115:R119)</f>
        <v>#REF!</v>
      </c>
      <c r="S120" s="953" t="e">
        <f>IF(SUM(S115:S117)=0,R120,SUM(S115:S119))</f>
        <v>#REF!</v>
      </c>
      <c r="T120" s="953">
        <v>1044298</v>
      </c>
      <c r="U120" s="953">
        <v>1047394</v>
      </c>
      <c r="V120" s="953" t="e">
        <f>SUM(V115:V119)</f>
        <v>#REF!</v>
      </c>
      <c r="W120" s="953">
        <f>IF(SUM(W115:W117)=0,V120,SUM(W115:W119))</f>
        <v>1079135</v>
      </c>
      <c r="X120" s="953" t="e">
        <f>SUM(X115:X119)</f>
        <v>#REF!</v>
      </c>
      <c r="Y120" s="953">
        <f>IF(SUM(Y115:Y117)=0,X120,SUM(Y115:Y119))</f>
        <v>1128773</v>
      </c>
      <c r="Z120" s="953" t="e">
        <f>SUM(Z115:Z119)</f>
        <v>#REF!</v>
      </c>
      <c r="AA120" s="953">
        <f>IF(SUM(AA115:AA117)=0,Z120,SUM(AA115:AA119))</f>
        <v>1219221</v>
      </c>
      <c r="AB120" s="953">
        <f>SUM(AB115:AB119)</f>
        <v>1256977</v>
      </c>
      <c r="AC120" s="953">
        <f>SUM(AC115:AC119)</f>
        <v>1256977</v>
      </c>
      <c r="AD120" s="953"/>
      <c r="AE120" s="953">
        <v>1426424.01</v>
      </c>
      <c r="AF120" s="953">
        <v>0</v>
      </c>
      <c r="AG120" s="953">
        <v>1445729.9300000002</v>
      </c>
      <c r="AH120" s="953">
        <v>1485270</v>
      </c>
      <c r="AI120" s="953">
        <v>1520776.81</v>
      </c>
      <c r="AJ120" s="953">
        <v>1648459</v>
      </c>
      <c r="AK120" s="953">
        <v>1670258.77</v>
      </c>
      <c r="AL120" s="953">
        <v>1664254</v>
      </c>
      <c r="AM120" s="953">
        <f t="shared" ref="AM120:AR120" si="60">SUM(AM115:AM119)</f>
        <v>1692013.88</v>
      </c>
      <c r="AN120" s="953">
        <f t="shared" si="60"/>
        <v>1705960</v>
      </c>
      <c r="AO120" s="953">
        <f t="shared" si="60"/>
        <v>1738859.69</v>
      </c>
      <c r="AP120" s="953">
        <f t="shared" si="60"/>
        <v>1758942</v>
      </c>
      <c r="AQ120" s="953">
        <f t="shared" si="60"/>
        <v>1772572.88</v>
      </c>
      <c r="AR120" s="953">
        <f t="shared" si="60"/>
        <v>1790386</v>
      </c>
      <c r="AS120" s="953">
        <f t="shared" si="39"/>
        <v>31444</v>
      </c>
      <c r="AT120" s="2251">
        <f t="shared" si="40"/>
        <v>1.7876655398529343E-2</v>
      </c>
      <c r="AU120" s="954">
        <f>SUM(AU115:AU117)</f>
        <v>0</v>
      </c>
      <c r="AV120" s="955"/>
      <c r="AW120" s="956">
        <f>SUM(AU120-H120)</f>
        <v>-902538</v>
      </c>
      <c r="AX120" s="957">
        <f>IF(H120&gt;0,AW120/H120,"")</f>
        <v>-1</v>
      </c>
      <c r="AY120" s="958" t="s">
        <v>732</v>
      </c>
      <c r="AZ120" s="2136"/>
      <c r="BA120" s="2136"/>
    </row>
    <row r="121" spans="1:54" ht="13.9" hidden="1" customHeight="1" thickTop="1" x14ac:dyDescent="0.2">
      <c r="A121" s="795" t="s">
        <v>733</v>
      </c>
      <c r="B121" s="796"/>
      <c r="C121" s="797"/>
      <c r="D121" s="797"/>
      <c r="E121" s="797"/>
      <c r="F121" s="797"/>
      <c r="G121" s="797"/>
      <c r="H121" s="798"/>
      <c r="J121" s="884"/>
      <c r="K121" s="859"/>
      <c r="L121" s="865"/>
      <c r="M121" s="865"/>
      <c r="N121" s="865"/>
      <c r="O121" s="859"/>
      <c r="P121" s="859"/>
      <c r="Q121" s="859"/>
      <c r="R121" s="859"/>
      <c r="S121" s="859"/>
      <c r="T121" s="859"/>
      <c r="U121" s="859"/>
      <c r="V121" s="859"/>
      <c r="W121" s="859"/>
      <c r="X121" s="859"/>
      <c r="Y121" s="859"/>
      <c r="Z121" s="859"/>
      <c r="AA121" s="859"/>
      <c r="AB121" s="859"/>
      <c r="AC121" s="859"/>
      <c r="AD121" s="859"/>
      <c r="AE121" s="859"/>
      <c r="AF121" s="859"/>
      <c r="AG121" s="859"/>
      <c r="AH121" s="859"/>
      <c r="AI121" s="859"/>
      <c r="AJ121" s="859"/>
      <c r="AK121" s="859"/>
      <c r="AL121" s="859"/>
      <c r="AM121" s="859"/>
      <c r="AN121" s="859"/>
      <c r="AO121" s="859"/>
      <c r="AP121" s="859"/>
      <c r="AQ121" s="859"/>
      <c r="AR121" s="859"/>
      <c r="AS121" s="859">
        <f t="shared" si="39"/>
        <v>0</v>
      </c>
      <c r="AT121" s="2239" t="str">
        <f t="shared" si="40"/>
        <v/>
      </c>
      <c r="AU121" s="803"/>
      <c r="AV121" s="819"/>
      <c r="AW121" s="797"/>
      <c r="AX121" s="805"/>
      <c r="AY121" s="807"/>
      <c r="AZ121" s="2136"/>
      <c r="BA121" s="2136"/>
    </row>
    <row r="122" spans="1:54" ht="13.9" hidden="1" customHeight="1" outlineLevel="1" collapsed="1" x14ac:dyDescent="0.2">
      <c r="A122" s="808" t="s">
        <v>734</v>
      </c>
      <c r="B122" s="796"/>
      <c r="C122" s="797"/>
      <c r="D122" s="797"/>
      <c r="E122" s="797"/>
      <c r="F122" s="797"/>
      <c r="G122" s="797"/>
      <c r="H122" s="798"/>
      <c r="J122" s="884"/>
      <c r="K122" s="859"/>
      <c r="L122" s="865"/>
      <c r="M122" s="865"/>
      <c r="N122" s="865"/>
      <c r="O122" s="859"/>
      <c r="P122" s="859"/>
      <c r="Q122" s="859"/>
      <c r="R122" s="859"/>
      <c r="S122" s="859"/>
      <c r="T122" s="859"/>
      <c r="U122" s="859"/>
      <c r="V122" s="859"/>
      <c r="W122" s="859"/>
      <c r="X122" s="859"/>
      <c r="Y122" s="859"/>
      <c r="Z122" s="859"/>
      <c r="AA122" s="859"/>
      <c r="AB122" s="859"/>
      <c r="AC122" s="859"/>
      <c r="AD122" s="859"/>
      <c r="AE122" s="859"/>
      <c r="AF122" s="859"/>
      <c r="AG122" s="859"/>
      <c r="AH122" s="859"/>
      <c r="AI122" s="859"/>
      <c r="AJ122" s="859"/>
      <c r="AK122" s="859"/>
      <c r="AL122" s="859"/>
      <c r="AM122" s="859"/>
      <c r="AN122" s="859"/>
      <c r="AO122" s="859"/>
      <c r="AP122" s="859"/>
      <c r="AQ122" s="859"/>
      <c r="AR122" s="859"/>
      <c r="AS122" s="859">
        <f t="shared" si="39"/>
        <v>0</v>
      </c>
      <c r="AT122" s="2239" t="str">
        <f t="shared" si="40"/>
        <v/>
      </c>
      <c r="AU122" s="803"/>
      <c r="AV122" s="819"/>
      <c r="AW122" s="797"/>
      <c r="AX122" s="805"/>
      <c r="AY122" s="807"/>
      <c r="AZ122" s="2136"/>
      <c r="BA122" s="2136"/>
    </row>
    <row r="123" spans="1:54" ht="13.9" hidden="1" customHeight="1" outlineLevel="1" x14ac:dyDescent="0.2">
      <c r="A123" s="808" t="s">
        <v>724</v>
      </c>
      <c r="B123" s="799">
        <v>127334</v>
      </c>
      <c r="C123" s="797">
        <v>127334</v>
      </c>
      <c r="D123" s="887">
        <v>133862</v>
      </c>
      <c r="E123" s="797">
        <v>133862</v>
      </c>
      <c r="F123" s="887">
        <v>133862</v>
      </c>
      <c r="G123" s="887">
        <v>133862</v>
      </c>
      <c r="H123" s="888">
        <v>141754</v>
      </c>
      <c r="I123" s="888">
        <f>97956+41798+2000</f>
        <v>141754</v>
      </c>
      <c r="J123" s="839">
        <v>146303</v>
      </c>
      <c r="K123" s="817"/>
      <c r="L123" s="959">
        <v>142524</v>
      </c>
      <c r="M123" s="840">
        <v>145838</v>
      </c>
      <c r="N123" s="841">
        <v>148886</v>
      </c>
      <c r="O123" s="817">
        <v>142219</v>
      </c>
      <c r="P123" s="817">
        <v>144202</v>
      </c>
      <c r="Q123" s="817">
        <v>144202</v>
      </c>
      <c r="R123" s="817">
        <v>145113</v>
      </c>
      <c r="S123" s="817"/>
      <c r="T123" s="817">
        <v>149530</v>
      </c>
      <c r="U123" s="817">
        <v>148671</v>
      </c>
      <c r="V123" s="843">
        <v>149530</v>
      </c>
      <c r="W123" s="817">
        <f>V123</f>
        <v>149530</v>
      </c>
      <c r="X123" s="843">
        <v>157062</v>
      </c>
      <c r="Y123" s="843">
        <v>157062</v>
      </c>
      <c r="Z123" s="843">
        <v>161789</v>
      </c>
      <c r="AA123" s="843">
        <f>Z123</f>
        <v>161789</v>
      </c>
      <c r="AB123" s="843">
        <v>115315</v>
      </c>
      <c r="AC123" s="843">
        <f>AB123</f>
        <v>115315</v>
      </c>
      <c r="AD123" s="843"/>
      <c r="AE123" s="843">
        <v>115965</v>
      </c>
      <c r="AF123" s="843"/>
      <c r="AG123" s="843">
        <v>119443.95</v>
      </c>
      <c r="AH123" s="843">
        <v>128150</v>
      </c>
      <c r="AI123" s="843">
        <v>131994.5</v>
      </c>
      <c r="AJ123" s="843">
        <v>130700</v>
      </c>
      <c r="AK123" s="843">
        <v>134621</v>
      </c>
      <c r="AL123" s="843">
        <v>244300</v>
      </c>
      <c r="AM123" s="843">
        <f>AL123*$AH$3</f>
        <v>249186</v>
      </c>
      <c r="AN123" s="843">
        <v>249150</v>
      </c>
      <c r="AO123" s="843">
        <v>255378.74999999997</v>
      </c>
      <c r="AP123" s="843">
        <v>247150</v>
      </c>
      <c r="AQ123" s="843">
        <f>AP123*$AH$3</f>
        <v>252093</v>
      </c>
      <c r="AR123" s="843">
        <f>'[1]BUDGET DETAIL'!$CO$305</f>
        <v>249432</v>
      </c>
      <c r="AS123" s="843">
        <f t="shared" si="39"/>
        <v>2282</v>
      </c>
      <c r="AT123" s="2239">
        <f t="shared" si="40"/>
        <v>9.233259154359701E-3</v>
      </c>
      <c r="AU123" s="890"/>
      <c r="AV123" s="819"/>
      <c r="AW123" s="797">
        <f>SUM(AU123-H123)</f>
        <v>-141754</v>
      </c>
      <c r="AX123" s="805">
        <f>IF(H123&gt;0,AW123/H123,"")</f>
        <v>-1</v>
      </c>
      <c r="AY123" s="1528"/>
      <c r="AZ123" s="2136"/>
      <c r="BA123" s="2136"/>
      <c r="BB123" s="2129"/>
    </row>
    <row r="124" spans="1:54" ht="13.9" hidden="1" customHeight="1" outlineLevel="1" x14ac:dyDescent="0.2">
      <c r="A124" s="808" t="s">
        <v>558</v>
      </c>
      <c r="B124" s="799">
        <v>801343</v>
      </c>
      <c r="C124" s="797">
        <v>823185.48</v>
      </c>
      <c r="D124" s="887">
        <v>805747</v>
      </c>
      <c r="E124" s="797">
        <v>833839.4</v>
      </c>
      <c r="F124" s="887">
        <v>817091</v>
      </c>
      <c r="G124" s="887">
        <v>883197.5</v>
      </c>
      <c r="H124" s="888">
        <v>889546</v>
      </c>
      <c r="I124" s="888">
        <v>868619.19</v>
      </c>
      <c r="J124" s="839">
        <v>945764</v>
      </c>
      <c r="K124" s="817"/>
      <c r="L124" s="959">
        <v>982437.28</v>
      </c>
      <c r="M124" s="889">
        <v>1039345</v>
      </c>
      <c r="N124" s="841">
        <v>899998</v>
      </c>
      <c r="O124" s="817">
        <f>1045005+8102</f>
        <v>1053107</v>
      </c>
      <c r="P124" s="817">
        <v>1122374</v>
      </c>
      <c r="Q124" s="817">
        <f>P124</f>
        <v>1122374</v>
      </c>
      <c r="R124" s="817">
        <v>1098522</v>
      </c>
      <c r="S124" s="817"/>
      <c r="T124" s="817">
        <v>1109378</v>
      </c>
      <c r="U124" s="817">
        <v>1109378</v>
      </c>
      <c r="V124" s="843">
        <v>972519</v>
      </c>
      <c r="W124" s="817">
        <f>V124+18940</f>
        <v>991459</v>
      </c>
      <c r="X124" s="843">
        <v>1008953</v>
      </c>
      <c r="Y124" s="843">
        <v>1015293</v>
      </c>
      <c r="Z124" s="843">
        <v>1168805</v>
      </c>
      <c r="AA124" s="843">
        <f>Z124</f>
        <v>1168805</v>
      </c>
      <c r="AB124" s="843">
        <v>1269281</v>
      </c>
      <c r="AC124" s="843">
        <f>AB124+7506</f>
        <v>1276787</v>
      </c>
      <c r="AD124" s="843"/>
      <c r="AE124" s="843">
        <v>1274887</v>
      </c>
      <c r="AF124" s="843"/>
      <c r="AG124" s="843">
        <v>1313133.6100000001</v>
      </c>
      <c r="AH124" s="1529">
        <v>1320848</v>
      </c>
      <c r="AI124" s="843">
        <v>1360473.44</v>
      </c>
      <c r="AJ124" s="843">
        <v>1318927.46</v>
      </c>
      <c r="AK124" s="843">
        <v>1358495.2838000001</v>
      </c>
      <c r="AL124" s="843">
        <v>1319101</v>
      </c>
      <c r="AM124" s="843">
        <f>AL124*$AN$2</f>
        <v>1345483.02</v>
      </c>
      <c r="AN124" s="843">
        <v>1311020</v>
      </c>
      <c r="AO124" s="843">
        <v>1337240.3999999999</v>
      </c>
      <c r="AP124" s="843">
        <v>1297492</v>
      </c>
      <c r="AQ124" s="843">
        <f>AP124*$AN$2</f>
        <v>1323441.8400000001</v>
      </c>
      <c r="AR124" s="843">
        <f>'[1]BUDGET DETAIL'!$CO$328 + IF(BA124="yes",AZ124,0)</f>
        <v>1301825</v>
      </c>
      <c r="AS124" s="843">
        <f t="shared" si="39"/>
        <v>4333</v>
      </c>
      <c r="AT124" s="2239">
        <f t="shared" si="40"/>
        <v>3.3395196270959667E-3</v>
      </c>
      <c r="AU124" s="890"/>
      <c r="AV124" s="819"/>
      <c r="AW124" s="797">
        <f>SUM(AU124-H124)</f>
        <v>-889546</v>
      </c>
      <c r="AX124" s="805">
        <f>IF(H124&gt;0,AW124/H124,"")</f>
        <v>-1</v>
      </c>
      <c r="AY124" s="1685"/>
      <c r="AZ124" s="2136">
        <f>3000+1000</f>
        <v>4000</v>
      </c>
      <c r="BA124" s="2321" t="s">
        <v>2506</v>
      </c>
      <c r="BB124" s="2942">
        <v>44998</v>
      </c>
    </row>
    <row r="125" spans="1:54" ht="13.9" hidden="1" customHeight="1" outlineLevel="1" x14ac:dyDescent="0.2">
      <c r="A125" s="808" t="s">
        <v>891</v>
      </c>
      <c r="B125" s="799"/>
      <c r="C125" s="797"/>
      <c r="D125" s="887"/>
      <c r="E125" s="797"/>
      <c r="F125" s="887"/>
      <c r="G125" s="887"/>
      <c r="H125" s="888"/>
      <c r="I125" s="888"/>
      <c r="J125" s="839"/>
      <c r="K125" s="817"/>
      <c r="L125" s="960"/>
      <c r="M125" s="840">
        <v>15300</v>
      </c>
      <c r="N125" s="841">
        <v>17453</v>
      </c>
      <c r="O125" s="817">
        <v>0</v>
      </c>
      <c r="P125" s="817">
        <v>0</v>
      </c>
      <c r="Q125" s="817">
        <v>0</v>
      </c>
      <c r="R125" s="817">
        <v>0</v>
      </c>
      <c r="S125" s="817"/>
      <c r="T125" s="817">
        <v>0</v>
      </c>
      <c r="U125" s="817">
        <v>0</v>
      </c>
      <c r="V125" s="817">
        <v>0</v>
      </c>
      <c r="W125" s="817">
        <f>V125</f>
        <v>0</v>
      </c>
      <c r="X125" s="817">
        <v>0</v>
      </c>
      <c r="Y125" s="817">
        <v>0</v>
      </c>
      <c r="Z125" s="817">
        <v>0</v>
      </c>
      <c r="AA125" s="843">
        <f>Z125</f>
        <v>0</v>
      </c>
      <c r="AB125" s="817">
        <v>0</v>
      </c>
      <c r="AC125" s="843">
        <f>AB125</f>
        <v>0</v>
      </c>
      <c r="AD125" s="843"/>
      <c r="AE125" s="843"/>
      <c r="AF125" s="843">
        <v>0</v>
      </c>
      <c r="AG125" s="843"/>
      <c r="AH125" s="843"/>
      <c r="AI125" s="843"/>
      <c r="AJ125" s="843"/>
      <c r="AK125" s="843"/>
      <c r="AL125" s="843"/>
      <c r="AM125" s="843"/>
      <c r="AN125" s="843"/>
      <c r="AO125" s="843"/>
      <c r="AP125" s="843"/>
      <c r="AQ125" s="843"/>
      <c r="AR125" s="843"/>
      <c r="AS125" s="843">
        <f t="shared" si="39"/>
        <v>0</v>
      </c>
      <c r="AT125" s="2239" t="str">
        <f t="shared" si="40"/>
        <v/>
      </c>
      <c r="AU125" s="890"/>
      <c r="AV125" s="819"/>
      <c r="AW125" s="797"/>
      <c r="AX125" s="805"/>
      <c r="AY125" s="807"/>
      <c r="AZ125" s="2136"/>
      <c r="BA125" s="2136"/>
    </row>
    <row r="126" spans="1:54" ht="13.9" hidden="1" customHeight="1" outlineLevel="1" x14ac:dyDescent="0.2">
      <c r="A126" s="808" t="s">
        <v>820</v>
      </c>
      <c r="B126" s="799">
        <v>90575</v>
      </c>
      <c r="C126" s="797">
        <v>90492.74</v>
      </c>
      <c r="D126" s="887">
        <v>88220</v>
      </c>
      <c r="E126" s="797">
        <v>88197.03</v>
      </c>
      <c r="F126" s="887">
        <v>98303</v>
      </c>
      <c r="G126" s="887">
        <f>97961.63+76.52</f>
        <v>98038.150000000009</v>
      </c>
      <c r="H126" s="888">
        <v>102330</v>
      </c>
      <c r="I126" s="888">
        <f>105122.11+76.52</f>
        <v>105198.63</v>
      </c>
      <c r="J126" s="839">
        <v>128295</v>
      </c>
      <c r="K126" s="814" t="s">
        <v>1</v>
      </c>
      <c r="L126" s="961">
        <f>108694.26+4251.03</f>
        <v>112945.29</v>
      </c>
      <c r="M126" s="893">
        <v>103670</v>
      </c>
      <c r="N126" s="846">
        <v>106270</v>
      </c>
      <c r="O126" s="817">
        <v>106270</v>
      </c>
      <c r="P126" s="817">
        <v>109653</v>
      </c>
      <c r="Q126" s="817">
        <f>109653</f>
        <v>109653</v>
      </c>
      <c r="R126" s="817">
        <v>113372</v>
      </c>
      <c r="S126" s="817"/>
      <c r="T126" s="817">
        <v>116080</v>
      </c>
      <c r="U126" s="817">
        <v>116080</v>
      </c>
      <c r="V126" s="843">
        <v>130421</v>
      </c>
      <c r="W126" s="817">
        <f>V126+3628</f>
        <v>134049</v>
      </c>
      <c r="X126" s="843">
        <v>138929</v>
      </c>
      <c r="Y126" s="843">
        <v>138929</v>
      </c>
      <c r="Z126" s="843">
        <v>142990</v>
      </c>
      <c r="AA126" s="843">
        <f>Z126</f>
        <v>142990</v>
      </c>
      <c r="AB126" s="843">
        <v>147300</v>
      </c>
      <c r="AC126" s="843">
        <f>AB126</f>
        <v>147300</v>
      </c>
      <c r="AD126" s="843"/>
      <c r="AE126" s="843">
        <v>150900</v>
      </c>
      <c r="AF126" s="843"/>
      <c r="AG126" s="843">
        <v>150900</v>
      </c>
      <c r="AH126" s="843">
        <v>135900</v>
      </c>
      <c r="AI126" s="843">
        <v>135900</v>
      </c>
      <c r="AJ126" s="843">
        <v>134150</v>
      </c>
      <c r="AK126" s="843">
        <v>134150</v>
      </c>
      <c r="AL126" s="843">
        <v>135388</v>
      </c>
      <c r="AM126" s="843">
        <f>AL126*$AH$4</f>
        <v>135388</v>
      </c>
      <c r="AN126" s="843">
        <v>125488</v>
      </c>
      <c r="AO126" s="843">
        <v>125488</v>
      </c>
      <c r="AP126" s="843">
        <v>122188</v>
      </c>
      <c r="AQ126" s="843">
        <f>AP126*$AH$4</f>
        <v>122188</v>
      </c>
      <c r="AR126" s="843">
        <f>'[1]BUDGET DETAIL'!$CO$369+ IF(BA126="yes",AZ126,0)</f>
        <v>125714</v>
      </c>
      <c r="AS126" s="843">
        <f t="shared" si="39"/>
        <v>3526</v>
      </c>
      <c r="AT126" s="2239">
        <f t="shared" si="40"/>
        <v>2.8857170916947655E-2</v>
      </c>
      <c r="AU126" s="890"/>
      <c r="AV126" s="819"/>
      <c r="AW126" s="797">
        <f>SUM(AU126-H126)</f>
        <v>-102330</v>
      </c>
      <c r="AX126" s="805">
        <f>IF(H126&gt;0,AW126/H126,"")</f>
        <v>-1</v>
      </c>
      <c r="AY126" s="1528"/>
      <c r="AZ126" s="2136">
        <v>1985</v>
      </c>
      <c r="BA126" s="2321" t="s">
        <v>2506</v>
      </c>
      <c r="BB126" s="2942">
        <v>44998</v>
      </c>
    </row>
    <row r="127" spans="1:54" ht="13.9" hidden="1" customHeight="1" outlineLevel="1" x14ac:dyDescent="0.2">
      <c r="A127" s="878" t="s">
        <v>821</v>
      </c>
      <c r="B127" s="810">
        <f t="shared" ref="B127:O127" si="61">SUM(B123:B126)</f>
        <v>1019252</v>
      </c>
      <c r="C127" s="944">
        <f t="shared" si="61"/>
        <v>1041012.22</v>
      </c>
      <c r="D127" s="944">
        <f t="shared" si="61"/>
        <v>1027829</v>
      </c>
      <c r="E127" s="944">
        <f t="shared" si="61"/>
        <v>1055898.43</v>
      </c>
      <c r="F127" s="944">
        <f t="shared" si="61"/>
        <v>1049256</v>
      </c>
      <c r="G127" s="944">
        <f t="shared" si="61"/>
        <v>1115097.6499999999</v>
      </c>
      <c r="H127" s="944">
        <f t="shared" si="61"/>
        <v>1133630</v>
      </c>
      <c r="I127" s="944">
        <f t="shared" si="61"/>
        <v>1115571.8199999998</v>
      </c>
      <c r="J127" s="813">
        <f t="shared" si="61"/>
        <v>1220362</v>
      </c>
      <c r="K127" s="852" t="s">
        <v>2</v>
      </c>
      <c r="L127" s="962">
        <f t="shared" si="61"/>
        <v>1237906.57</v>
      </c>
      <c r="M127" s="962">
        <f t="shared" si="61"/>
        <v>1304153</v>
      </c>
      <c r="N127" s="880">
        <f t="shared" si="61"/>
        <v>1172607</v>
      </c>
      <c r="O127" s="881">
        <f t="shared" si="61"/>
        <v>1301596</v>
      </c>
      <c r="P127" s="881">
        <f>SUM(P123:P126)</f>
        <v>1376229</v>
      </c>
      <c r="Q127" s="852">
        <f>IF(SUM(Q123:Q126)=0,P127,SUM(Q123:Q126))</f>
        <v>1376229</v>
      </c>
      <c r="R127" s="881">
        <f>SUM(R123:R126)</f>
        <v>1357007</v>
      </c>
      <c r="S127" s="852">
        <f>IF(SUM(S123:S126)=0,R127,SUM(S123:S126))</f>
        <v>1357007</v>
      </c>
      <c r="T127" s="852">
        <v>1374129</v>
      </c>
      <c r="U127" s="852">
        <v>1374129</v>
      </c>
      <c r="V127" s="881">
        <f>SUM(V123:V126)</f>
        <v>1252470</v>
      </c>
      <c r="W127" s="852">
        <f>IF(SUM(W123:W126)=0,V127,SUM(W123:W126))</f>
        <v>1275038</v>
      </c>
      <c r="X127" s="881">
        <f>SUM(X123:X126)</f>
        <v>1304944</v>
      </c>
      <c r="Y127" s="852">
        <f>IF(SUM(Y123:Y126)=0,X127,SUM(Y123:Y126))</f>
        <v>1311284</v>
      </c>
      <c r="Z127" s="881">
        <f>SUM(Z123:Z126)</f>
        <v>1473584</v>
      </c>
      <c r="AA127" s="852">
        <f>IF(SUM(AA123:AA126)=0,Z127,SUM(AA123:AA126))</f>
        <v>1473584</v>
      </c>
      <c r="AB127" s="881">
        <f>SUM(AB123:AB126)</f>
        <v>1531896</v>
      </c>
      <c r="AC127" s="852">
        <f>IF(SUM(AC123:AC126)=0,AB127,SUM(AC123:AC126))</f>
        <v>1539402</v>
      </c>
      <c r="AD127" s="852"/>
      <c r="AE127" s="852">
        <v>1541752</v>
      </c>
      <c r="AF127" s="852">
        <v>1541752</v>
      </c>
      <c r="AG127" s="852">
        <v>1583477.56</v>
      </c>
      <c r="AH127" s="852">
        <v>1584898</v>
      </c>
      <c r="AI127" s="814">
        <v>1628367.94</v>
      </c>
      <c r="AJ127" s="814">
        <v>1583777.46</v>
      </c>
      <c r="AK127" s="814">
        <v>1627266.2838000001</v>
      </c>
      <c r="AL127" s="814">
        <v>1698789</v>
      </c>
      <c r="AM127" s="814">
        <f>SUM(AM123:AM126)</f>
        <v>1730057.02</v>
      </c>
      <c r="AN127" s="814">
        <f>SUM(AN123:AN126)</f>
        <v>1685658</v>
      </c>
      <c r="AO127" s="814">
        <f>SUM(AO123:AO126)</f>
        <v>1718107.15</v>
      </c>
      <c r="AP127" s="814">
        <f>SUM(AP122:AP126)</f>
        <v>1666830</v>
      </c>
      <c r="AQ127" s="814">
        <f>SUM(AQ123:AQ126)</f>
        <v>1697722.84</v>
      </c>
      <c r="AR127" s="814">
        <f>SUM(AR123:AR126)</f>
        <v>1676971</v>
      </c>
      <c r="AS127" s="814">
        <f t="shared" si="39"/>
        <v>10141</v>
      </c>
      <c r="AT127" s="2242">
        <f t="shared" si="40"/>
        <v>6.0840037676307725E-3</v>
      </c>
      <c r="AU127" s="854">
        <f>SUM(AU123:AU126)</f>
        <v>0</v>
      </c>
      <c r="AV127" s="819"/>
      <c r="AW127" s="797">
        <f>SUM(AU127-H127)</f>
        <v>-1133630</v>
      </c>
      <c r="AX127" s="805">
        <f>IF(H127&gt;0,AW127/H127,"")</f>
        <v>-1</v>
      </c>
      <c r="AY127" s="807"/>
      <c r="AZ127" s="2136"/>
      <c r="BA127" s="2136"/>
    </row>
    <row r="128" spans="1:54" ht="13.9" hidden="1" customHeight="1" outlineLevel="1" x14ac:dyDescent="0.2">
      <c r="A128" s="821"/>
      <c r="B128" s="895"/>
      <c r="C128" s="895"/>
      <c r="D128" s="963"/>
      <c r="E128" s="895"/>
      <c r="F128" s="963"/>
      <c r="G128" s="963"/>
      <c r="H128" s="964"/>
      <c r="I128" s="964"/>
      <c r="J128" s="896"/>
      <c r="K128" s="965">
        <v>38796</v>
      </c>
      <c r="L128" s="966"/>
      <c r="M128" s="967"/>
      <c r="N128" s="968"/>
      <c r="O128" s="831"/>
      <c r="P128" s="831"/>
      <c r="Q128" s="831"/>
      <c r="R128" s="831"/>
      <c r="S128" s="831"/>
      <c r="T128" s="831"/>
      <c r="U128" s="831"/>
      <c r="V128" s="831"/>
      <c r="W128" s="831"/>
      <c r="X128" s="831"/>
      <c r="Y128" s="831"/>
      <c r="Z128" s="831"/>
      <c r="AA128" s="831"/>
      <c r="AB128" s="831"/>
      <c r="AC128" s="831"/>
      <c r="AD128" s="831"/>
      <c r="AE128" s="831"/>
      <c r="AF128" s="831"/>
      <c r="AG128" s="831"/>
      <c r="AH128" s="831"/>
      <c r="AI128" s="831"/>
      <c r="AJ128" s="831"/>
      <c r="AK128" s="831"/>
      <c r="AL128" s="831"/>
      <c r="AM128" s="831"/>
      <c r="AN128" s="831"/>
      <c r="AO128" s="831"/>
      <c r="AP128" s="831"/>
      <c r="AQ128" s="831"/>
      <c r="AR128" s="831"/>
      <c r="AS128" s="831">
        <f t="shared" si="39"/>
        <v>0</v>
      </c>
      <c r="AT128" s="2241" t="str">
        <f t="shared" si="40"/>
        <v/>
      </c>
      <c r="AU128" s="969"/>
      <c r="AV128" s="834"/>
      <c r="AW128" s="823"/>
      <c r="AX128" s="835"/>
      <c r="AY128" s="900"/>
      <c r="AZ128" s="2136"/>
      <c r="BA128" s="2136"/>
      <c r="BB128" s="2146"/>
    </row>
    <row r="129" spans="1:54" ht="13.9" hidden="1" customHeight="1" outlineLevel="1" collapsed="1" x14ac:dyDescent="0.2">
      <c r="A129" s="808" t="s">
        <v>833</v>
      </c>
      <c r="B129" s="837"/>
      <c r="C129" s="837"/>
      <c r="D129" s="936"/>
      <c r="E129" s="837"/>
      <c r="F129" s="936"/>
      <c r="G129" s="936"/>
      <c r="H129" s="937"/>
      <c r="I129" s="937"/>
      <c r="J129" s="884"/>
      <c r="K129" s="859"/>
      <c r="L129" s="865"/>
      <c r="M129" s="865"/>
      <c r="N129" s="838"/>
      <c r="O129" s="859"/>
      <c r="P129" s="859"/>
      <c r="Q129" s="859"/>
      <c r="R129" s="859"/>
      <c r="S129" s="859"/>
      <c r="T129" s="859"/>
      <c r="U129" s="859"/>
      <c r="V129" s="859"/>
      <c r="W129" s="859"/>
      <c r="X129" s="859"/>
      <c r="Y129" s="859"/>
      <c r="Z129" s="859"/>
      <c r="AA129" s="859"/>
      <c r="AB129" s="859"/>
      <c r="AC129" s="859"/>
      <c r="AD129" s="859"/>
      <c r="AE129" s="859"/>
      <c r="AF129" s="859"/>
      <c r="AG129" s="859"/>
      <c r="AH129" s="859"/>
      <c r="AI129" s="859"/>
      <c r="AJ129" s="859"/>
      <c r="AK129" s="859"/>
      <c r="AL129" s="859"/>
      <c r="AM129" s="859"/>
      <c r="AN129" s="859"/>
      <c r="AO129" s="859"/>
      <c r="AP129" s="859"/>
      <c r="AQ129" s="859"/>
      <c r="AR129" s="859"/>
      <c r="AS129" s="859">
        <f t="shared" si="39"/>
        <v>0</v>
      </c>
      <c r="AT129" s="2239" t="str">
        <f t="shared" si="40"/>
        <v/>
      </c>
      <c r="AU129" s="938"/>
      <c r="AV129" s="819"/>
      <c r="AW129" s="797"/>
      <c r="AX129" s="805"/>
      <c r="AY129" s="807"/>
      <c r="AZ129" s="2136"/>
      <c r="BA129" s="2136"/>
    </row>
    <row r="130" spans="1:54" ht="13.9" hidden="1" customHeight="1" outlineLevel="1" x14ac:dyDescent="0.2">
      <c r="A130" s="808" t="s">
        <v>567</v>
      </c>
      <c r="B130" s="799">
        <v>70618</v>
      </c>
      <c r="C130" s="797">
        <v>70618</v>
      </c>
      <c r="D130" s="797">
        <v>81899</v>
      </c>
      <c r="E130" s="797">
        <v>81899</v>
      </c>
      <c r="F130" s="797">
        <v>89364</v>
      </c>
      <c r="G130" s="797">
        <v>89364</v>
      </c>
      <c r="H130" s="798">
        <v>89364</v>
      </c>
      <c r="I130" s="798">
        <f>87314+1050+323.44</f>
        <v>88687.44</v>
      </c>
      <c r="J130" s="839">
        <v>94424</v>
      </c>
      <c r="K130" s="814"/>
      <c r="L130" s="876">
        <v>94588</v>
      </c>
      <c r="M130" s="840">
        <v>96458</v>
      </c>
      <c r="N130" s="841">
        <v>98366</v>
      </c>
      <c r="O130" s="814">
        <v>98366</v>
      </c>
      <c r="P130" s="817">
        <v>97316</v>
      </c>
      <c r="Q130" s="817">
        <v>97316</v>
      </c>
      <c r="R130" s="817">
        <f>97316+4000</f>
        <v>101316</v>
      </c>
      <c r="S130" s="814"/>
      <c r="T130" s="814">
        <v>101316</v>
      </c>
      <c r="U130" s="814">
        <v>101316</v>
      </c>
      <c r="V130" s="843">
        <v>101316</v>
      </c>
      <c r="W130" s="817">
        <f>V130</f>
        <v>101316</v>
      </c>
      <c r="X130" s="843">
        <v>103262</v>
      </c>
      <c r="Y130" s="843">
        <v>103262</v>
      </c>
      <c r="Z130" s="843">
        <v>103262</v>
      </c>
      <c r="AA130" s="843">
        <f>Z130</f>
        <v>103262</v>
      </c>
      <c r="AB130" s="843">
        <v>117692</v>
      </c>
      <c r="AC130" s="843">
        <f>AB130</f>
        <v>117692</v>
      </c>
      <c r="AD130" s="843"/>
      <c r="AE130" s="843">
        <v>117692</v>
      </c>
      <c r="AF130" s="843"/>
      <c r="AG130" s="843">
        <v>121222.76000000001</v>
      </c>
      <c r="AH130" s="843">
        <v>120052</v>
      </c>
      <c r="AI130" s="843">
        <v>123653.56</v>
      </c>
      <c r="AJ130" s="843">
        <v>122768</v>
      </c>
      <c r="AK130" s="843">
        <v>126451.04000000001</v>
      </c>
      <c r="AL130" s="843">
        <v>125224</v>
      </c>
      <c r="AM130" s="843">
        <f>AL130*$AH$3</f>
        <v>127728.48</v>
      </c>
      <c r="AN130" s="843">
        <v>127755</v>
      </c>
      <c r="AO130" s="843">
        <v>130948.87499999999</v>
      </c>
      <c r="AP130" s="843">
        <v>130305</v>
      </c>
      <c r="AQ130" s="843">
        <f>AP130*$AH$3</f>
        <v>132911.1</v>
      </c>
      <c r="AR130" s="843">
        <f>'[1]BUDGET DETAIL'!$CO$376</f>
        <v>130305</v>
      </c>
      <c r="AS130" s="843">
        <f t="shared" si="39"/>
        <v>0</v>
      </c>
      <c r="AT130" s="2239">
        <f t="shared" si="40"/>
        <v>0</v>
      </c>
      <c r="AU130" s="844"/>
      <c r="AV130" s="819"/>
      <c r="AW130" s="797">
        <f>SUM(AU130-H130)</f>
        <v>-89364</v>
      </c>
      <c r="AX130" s="805">
        <f>IF(H130&gt;0,AW130/H130,"")</f>
        <v>-1</v>
      </c>
      <c r="AY130" s="1528"/>
      <c r="AZ130" s="2136"/>
      <c r="BA130" s="2136"/>
    </row>
    <row r="131" spans="1:54" ht="13.9" hidden="1" customHeight="1" outlineLevel="1" x14ac:dyDescent="0.2">
      <c r="A131" s="808" t="s">
        <v>558</v>
      </c>
      <c r="B131" s="799">
        <v>278758</v>
      </c>
      <c r="C131" s="797">
        <v>282658.8</v>
      </c>
      <c r="D131" s="797">
        <v>290928</v>
      </c>
      <c r="E131" s="797">
        <v>305297.21000000002</v>
      </c>
      <c r="F131" s="797">
        <v>310566</v>
      </c>
      <c r="G131" s="797">
        <v>291721.40000000002</v>
      </c>
      <c r="H131" s="798">
        <v>372698</v>
      </c>
      <c r="I131" s="798">
        <v>343252</v>
      </c>
      <c r="J131" s="839">
        <v>437021</v>
      </c>
      <c r="K131" s="814" t="s">
        <v>462</v>
      </c>
      <c r="L131" s="876">
        <v>408834.4</v>
      </c>
      <c r="M131" s="840">
        <v>428142</v>
      </c>
      <c r="N131" s="841">
        <v>365734</v>
      </c>
      <c r="O131" s="814">
        <v>400735</v>
      </c>
      <c r="P131" s="814">
        <v>401785</v>
      </c>
      <c r="Q131" s="817">
        <v>401785</v>
      </c>
      <c r="R131" s="817">
        <f>401785</f>
        <v>401785</v>
      </c>
      <c r="S131" s="814"/>
      <c r="T131" s="814">
        <v>402683</v>
      </c>
      <c r="U131" s="814">
        <v>402683</v>
      </c>
      <c r="V131" s="843">
        <v>407417</v>
      </c>
      <c r="W131" s="817">
        <f>V131+5031</f>
        <v>412448</v>
      </c>
      <c r="X131" s="843">
        <v>458837</v>
      </c>
      <c r="Y131" s="843">
        <v>458837</v>
      </c>
      <c r="Z131" s="843">
        <v>497510</v>
      </c>
      <c r="AA131" s="843">
        <f>Z131+9360</f>
        <v>506870</v>
      </c>
      <c r="AB131" s="843">
        <v>530351</v>
      </c>
      <c r="AC131" s="843">
        <f>AB131</f>
        <v>530351</v>
      </c>
      <c r="AD131" s="843"/>
      <c r="AE131" s="843">
        <v>537987</v>
      </c>
      <c r="AF131" s="843"/>
      <c r="AG131" s="843">
        <v>554126.61</v>
      </c>
      <c r="AH131" s="843">
        <v>613145</v>
      </c>
      <c r="AI131" s="843">
        <v>631539.35</v>
      </c>
      <c r="AJ131" s="843">
        <v>669091</v>
      </c>
      <c r="AK131" s="843">
        <v>689163.73</v>
      </c>
      <c r="AL131" s="843">
        <v>734181</v>
      </c>
      <c r="AM131" s="843">
        <f>AL131*$AN$3</f>
        <v>748864.62</v>
      </c>
      <c r="AN131" s="843">
        <v>773679</v>
      </c>
      <c r="AO131" s="843">
        <v>789152.58</v>
      </c>
      <c r="AP131" s="843">
        <v>919989</v>
      </c>
      <c r="AQ131" s="843">
        <f>AP131*$AN$3</f>
        <v>938388.78</v>
      </c>
      <c r="AR131" s="843">
        <f>'[1]BUDGET DETAIL'!$CO$390</f>
        <v>919841</v>
      </c>
      <c r="AS131" s="843">
        <f t="shared" si="39"/>
        <v>-148</v>
      </c>
      <c r="AT131" s="2239">
        <f t="shared" si="40"/>
        <v>-1.6087148868084293E-4</v>
      </c>
      <c r="AU131" s="844"/>
      <c r="AV131" s="819"/>
      <c r="AW131" s="797">
        <f>SUM(AU131-H131)</f>
        <v>-372698</v>
      </c>
      <c r="AX131" s="805">
        <f>IF(H131&gt;0,AW131/H131,"")</f>
        <v>-1</v>
      </c>
      <c r="AY131" s="1528"/>
      <c r="AZ131" s="2136"/>
      <c r="BA131" s="2136"/>
    </row>
    <row r="132" spans="1:54" ht="13.9" hidden="1" customHeight="1" outlineLevel="1" x14ac:dyDescent="0.2">
      <c r="A132" s="808" t="s">
        <v>820</v>
      </c>
      <c r="B132" s="799">
        <v>73647</v>
      </c>
      <c r="C132" s="797">
        <f>SUM(80564.96+135)</f>
        <v>80699.960000000006</v>
      </c>
      <c r="D132" s="797">
        <f>35190+17385+22800</f>
        <v>75375</v>
      </c>
      <c r="E132" s="797">
        <v>74053.62</v>
      </c>
      <c r="F132" s="797">
        <v>79305</v>
      </c>
      <c r="G132" s="797">
        <f>76771.22+10904.62</f>
        <v>87675.839999999997</v>
      </c>
      <c r="H132" s="798">
        <v>82410</v>
      </c>
      <c r="I132" s="798">
        <v>97730</v>
      </c>
      <c r="J132" s="839">
        <v>86435</v>
      </c>
      <c r="K132" s="849">
        <v>38789</v>
      </c>
      <c r="L132" s="845">
        <v>121085.41</v>
      </c>
      <c r="M132" s="845">
        <v>99041</v>
      </c>
      <c r="N132" s="846">
        <v>97488</v>
      </c>
      <c r="O132" s="814">
        <v>86866</v>
      </c>
      <c r="P132" s="817">
        <v>86866</v>
      </c>
      <c r="Q132" s="817">
        <v>86866</v>
      </c>
      <c r="R132" s="817">
        <f>86866-1500</f>
        <v>85366</v>
      </c>
      <c r="S132" s="814"/>
      <c r="T132" s="814">
        <v>87073</v>
      </c>
      <c r="U132" s="814">
        <v>87073</v>
      </c>
      <c r="V132" s="843">
        <v>91510</v>
      </c>
      <c r="W132" s="817">
        <f>V132</f>
        <v>91510</v>
      </c>
      <c r="X132" s="843">
        <v>104255</v>
      </c>
      <c r="Y132" s="843">
        <f>118255-14000</f>
        <v>104255</v>
      </c>
      <c r="Z132" s="843">
        <v>108007</v>
      </c>
      <c r="AA132" s="843">
        <f>Z132</f>
        <v>108007</v>
      </c>
      <c r="AB132" s="843">
        <v>109180</v>
      </c>
      <c r="AC132" s="843">
        <f>AB132</f>
        <v>109180</v>
      </c>
      <c r="AD132" s="843"/>
      <c r="AE132" s="843">
        <v>111363</v>
      </c>
      <c r="AF132" s="843"/>
      <c r="AG132" s="843">
        <v>111363</v>
      </c>
      <c r="AH132" s="843">
        <v>109858</v>
      </c>
      <c r="AI132" s="843">
        <v>109858</v>
      </c>
      <c r="AJ132" s="843">
        <v>123558</v>
      </c>
      <c r="AK132" s="843">
        <v>123558</v>
      </c>
      <c r="AL132" s="843">
        <v>130058</v>
      </c>
      <c r="AM132" s="843">
        <f>AL132*$AH$4</f>
        <v>130058</v>
      </c>
      <c r="AN132" s="843">
        <v>142183</v>
      </c>
      <c r="AO132" s="843">
        <v>142183</v>
      </c>
      <c r="AP132" s="843">
        <v>156283</v>
      </c>
      <c r="AQ132" s="843">
        <f>AP132*$AH$4</f>
        <v>156283</v>
      </c>
      <c r="AR132" s="843">
        <f>'[1]BUDGET DETAIL'!$CO$432+IF(BA132="yes",AZ132,0)</f>
        <v>164233</v>
      </c>
      <c r="AS132" s="843">
        <f t="shared" si="39"/>
        <v>7950</v>
      </c>
      <c r="AT132" s="2239">
        <f t="shared" si="40"/>
        <v>5.0869256413045565E-2</v>
      </c>
      <c r="AU132" s="844"/>
      <c r="AV132" s="819"/>
      <c r="AW132" s="797">
        <f>SUM(AU132-H132)</f>
        <v>-82410</v>
      </c>
      <c r="AX132" s="805">
        <f>IF(H132&gt;0,AW132/H132,"")</f>
        <v>-1</v>
      </c>
      <c r="AY132" s="1528"/>
      <c r="AZ132" s="2136">
        <f>3500+3000</f>
        <v>6500</v>
      </c>
      <c r="BA132" s="2321" t="s">
        <v>2506</v>
      </c>
      <c r="BB132" s="2942">
        <v>44998</v>
      </c>
    </row>
    <row r="133" spans="1:54" ht="13.9" hidden="1" customHeight="1" outlineLevel="1" x14ac:dyDescent="0.2">
      <c r="A133" s="878" t="s">
        <v>821</v>
      </c>
      <c r="B133" s="810">
        <f>SUM(B130:B132)</f>
        <v>423023</v>
      </c>
      <c r="C133" s="810">
        <f>SUM(C130:C132)</f>
        <v>433976.76</v>
      </c>
      <c r="D133" s="810">
        <f t="shared" ref="D133:I133" si="62">SUM(D130:D132)</f>
        <v>448202</v>
      </c>
      <c r="E133" s="810">
        <f t="shared" si="62"/>
        <v>461249.83</v>
      </c>
      <c r="F133" s="810">
        <f t="shared" si="62"/>
        <v>479235</v>
      </c>
      <c r="G133" s="810">
        <f t="shared" si="62"/>
        <v>468761.24</v>
      </c>
      <c r="H133" s="810">
        <f t="shared" si="62"/>
        <v>544472</v>
      </c>
      <c r="I133" s="810">
        <f t="shared" si="62"/>
        <v>529669.43999999994</v>
      </c>
      <c r="J133" s="813">
        <f>SUM(J130:J132)</f>
        <v>617880</v>
      </c>
      <c r="K133" s="814"/>
      <c r="L133" s="879">
        <f>SUM(L130:L132)</f>
        <v>624507.81000000006</v>
      </c>
      <c r="M133" s="879">
        <f>SUM(M130:M132)</f>
        <v>623641</v>
      </c>
      <c r="N133" s="880">
        <f>SUM(N130:N132)</f>
        <v>561588</v>
      </c>
      <c r="O133" s="814">
        <f>SUM(O130:O132)</f>
        <v>585967</v>
      </c>
      <c r="P133" s="814">
        <f>SUM(P130:P132)</f>
        <v>585967</v>
      </c>
      <c r="Q133" s="852">
        <f>IF(SUM(Q130:Q132)=0,P133,SUM(Q130:Q132))</f>
        <v>585967</v>
      </c>
      <c r="R133" s="814">
        <f>SUM(R130:R132)</f>
        <v>588467</v>
      </c>
      <c r="S133" s="853">
        <f>IF(SUM(S130:S132)=0,R133,SUM(S130:S132))</f>
        <v>588467</v>
      </c>
      <c r="T133" s="853">
        <v>591072</v>
      </c>
      <c r="U133" s="853">
        <v>591072</v>
      </c>
      <c r="V133" s="814">
        <f>SUM(V130:V132)</f>
        <v>600243</v>
      </c>
      <c r="W133" s="853">
        <f>IF(SUM(W130:W132)=0,V133,SUM(W130:W132))</f>
        <v>605274</v>
      </c>
      <c r="X133" s="852">
        <f>SUM(X130:X132)</f>
        <v>666354</v>
      </c>
      <c r="Y133" s="852">
        <f>IF(SUM(Y130:Y132)=0,X133,SUM(Y130:Y132))</f>
        <v>666354</v>
      </c>
      <c r="Z133" s="852">
        <f>SUM(Z130:Z132)</f>
        <v>708779</v>
      </c>
      <c r="AA133" s="852">
        <f>IF(SUM(AA130:AA132)=0,Z133,SUM(AA130:AA132))</f>
        <v>718139</v>
      </c>
      <c r="AB133" s="852">
        <f>SUM(AB130:AB132)</f>
        <v>757223</v>
      </c>
      <c r="AC133" s="852">
        <f>IF(SUM(AC130:AC132)=0,AB133,SUM(AC130:AC132))</f>
        <v>757223</v>
      </c>
      <c r="AD133" s="852"/>
      <c r="AE133" s="852">
        <v>767042</v>
      </c>
      <c r="AF133" s="852">
        <v>767042</v>
      </c>
      <c r="AG133" s="852">
        <v>786712.37</v>
      </c>
      <c r="AH133" s="852">
        <v>843055</v>
      </c>
      <c r="AI133" s="814">
        <v>865050.90999999992</v>
      </c>
      <c r="AJ133" s="814">
        <v>915417</v>
      </c>
      <c r="AK133" s="814">
        <v>939172.77</v>
      </c>
      <c r="AL133" s="814">
        <v>989463</v>
      </c>
      <c r="AM133" s="814">
        <f t="shared" ref="AM133:AR133" si="63">SUM(AM130:AM132)</f>
        <v>1006651.1</v>
      </c>
      <c r="AN133" s="814">
        <f t="shared" si="63"/>
        <v>1043617</v>
      </c>
      <c r="AO133" s="814">
        <f t="shared" si="63"/>
        <v>1062284.4550000001</v>
      </c>
      <c r="AP133" s="814">
        <f t="shared" si="63"/>
        <v>1206577</v>
      </c>
      <c r="AQ133" s="814">
        <f t="shared" si="63"/>
        <v>1227582.8800000001</v>
      </c>
      <c r="AR133" s="814">
        <f t="shared" si="63"/>
        <v>1214379</v>
      </c>
      <c r="AS133" s="814">
        <f t="shared" si="39"/>
        <v>7802</v>
      </c>
      <c r="AT133" s="2242">
        <f t="shared" si="40"/>
        <v>6.4662263577044818E-3</v>
      </c>
      <c r="AU133" s="854">
        <f>SUM(AU130:AU132)</f>
        <v>0</v>
      </c>
      <c r="AV133" s="819"/>
      <c r="AW133" s="797">
        <f>SUM(AU133-H133)</f>
        <v>-544472</v>
      </c>
      <c r="AX133" s="805">
        <f>IF(H133&gt;0,AW133/H133,"")</f>
        <v>-1</v>
      </c>
      <c r="AY133" s="820"/>
      <c r="AZ133" s="2136"/>
      <c r="BA133" s="2136"/>
      <c r="BB133" s="2143"/>
    </row>
    <row r="134" spans="1:54" ht="13.9" hidden="1" customHeight="1" outlineLevel="1" collapsed="1" x14ac:dyDescent="0.2">
      <c r="A134" s="821"/>
      <c r="B134" s="895"/>
      <c r="C134" s="895"/>
      <c r="D134" s="963"/>
      <c r="E134" s="895"/>
      <c r="F134" s="963"/>
      <c r="G134" s="963"/>
      <c r="H134" s="964"/>
      <c r="I134" s="964"/>
      <c r="J134" s="896"/>
      <c r="K134" s="970"/>
      <c r="L134" s="898"/>
      <c r="M134" s="898"/>
      <c r="N134" s="971"/>
      <c r="O134" s="970"/>
      <c r="P134" s="970"/>
      <c r="Q134" s="970"/>
      <c r="R134" s="970"/>
      <c r="S134" s="970"/>
      <c r="T134" s="970"/>
      <c r="U134" s="970"/>
      <c r="V134" s="970"/>
      <c r="W134" s="970"/>
      <c r="X134" s="970"/>
      <c r="Y134" s="970"/>
      <c r="Z134" s="970"/>
      <c r="AA134" s="970"/>
      <c r="AB134" s="970"/>
      <c r="AC134" s="970"/>
      <c r="AD134" s="970"/>
      <c r="AE134" s="970"/>
      <c r="AF134" s="970"/>
      <c r="AG134" s="970"/>
      <c r="AH134" s="970"/>
      <c r="AI134" s="970"/>
      <c r="AJ134" s="970"/>
      <c r="AK134" s="970"/>
      <c r="AL134" s="970"/>
      <c r="AM134" s="970"/>
      <c r="AN134" s="970"/>
      <c r="AO134" s="970"/>
      <c r="AP134" s="970"/>
      <c r="AQ134" s="970"/>
      <c r="AR134" s="970"/>
      <c r="AS134" s="970">
        <f t="shared" si="39"/>
        <v>0</v>
      </c>
      <c r="AT134" s="2252" t="str">
        <f t="shared" si="40"/>
        <v/>
      </c>
      <c r="AU134" s="969"/>
      <c r="AV134" s="834"/>
      <c r="AW134" s="823"/>
      <c r="AX134" s="835"/>
      <c r="AY134" s="836"/>
      <c r="AZ134" s="2136"/>
      <c r="BA134" s="2136"/>
    </row>
    <row r="135" spans="1:54" ht="13.9" hidden="1" customHeight="1" outlineLevel="1" x14ac:dyDescent="0.2">
      <c r="A135" s="808" t="s">
        <v>834</v>
      </c>
      <c r="B135" s="837"/>
      <c r="C135" s="837"/>
      <c r="D135" s="936"/>
      <c r="E135" s="837"/>
      <c r="F135" s="936"/>
      <c r="G135" s="936"/>
      <c r="H135" s="937"/>
      <c r="I135" s="937"/>
      <c r="J135" s="884"/>
      <c r="K135" s="859"/>
      <c r="L135" s="865"/>
      <c r="M135" s="865"/>
      <c r="N135" s="838"/>
      <c r="O135" s="859"/>
      <c r="P135" s="859"/>
      <c r="Q135" s="859"/>
      <c r="R135" s="859"/>
      <c r="S135" s="859"/>
      <c r="T135" s="859"/>
      <c r="U135" s="859"/>
      <c r="V135" s="859"/>
      <c r="W135" s="859"/>
      <c r="X135" s="859"/>
      <c r="Y135" s="859"/>
      <c r="Z135" s="859"/>
      <c r="AA135" s="859"/>
      <c r="AB135" s="859"/>
      <c r="AC135" s="859"/>
      <c r="AD135" s="859"/>
      <c r="AE135" s="859"/>
      <c r="AF135" s="859"/>
      <c r="AG135" s="859"/>
      <c r="AH135" s="859"/>
      <c r="AI135" s="859"/>
      <c r="AJ135" s="859"/>
      <c r="AK135" s="859"/>
      <c r="AL135" s="859"/>
      <c r="AM135" s="859"/>
      <c r="AN135" s="859"/>
      <c r="AO135" s="859"/>
      <c r="AP135" s="859"/>
      <c r="AQ135" s="859"/>
      <c r="AR135" s="859"/>
      <c r="AS135" s="859" t="str">
        <f t="shared" ref="AS135:AS138" si="64">IF(AL135&gt;0,AN135-AL135,"")</f>
        <v/>
      </c>
      <c r="AT135" s="2239" t="str">
        <f t="shared" si="34"/>
        <v/>
      </c>
      <c r="AU135" s="938"/>
      <c r="AV135" s="819"/>
      <c r="AW135" s="797"/>
      <c r="AX135" s="805"/>
      <c r="AY135" s="807"/>
      <c r="AZ135" s="2136"/>
      <c r="BA135" s="2136"/>
      <c r="BB135" s="2129" t="s">
        <v>1099</v>
      </c>
    </row>
    <row r="136" spans="1:54" ht="13.9" hidden="1" customHeight="1" outlineLevel="1" x14ac:dyDescent="0.2">
      <c r="A136" s="808" t="s">
        <v>552</v>
      </c>
      <c r="B136" s="799">
        <v>40000</v>
      </c>
      <c r="C136" s="797">
        <v>40000</v>
      </c>
      <c r="D136" s="887">
        <v>42500</v>
      </c>
      <c r="E136" s="797">
        <v>42500</v>
      </c>
      <c r="F136" s="887">
        <v>45200</v>
      </c>
      <c r="G136" s="887">
        <v>45000</v>
      </c>
      <c r="H136" s="888">
        <v>47500</v>
      </c>
      <c r="I136" s="888">
        <v>47500</v>
      </c>
      <c r="J136" s="839">
        <v>50000</v>
      </c>
      <c r="K136" s="817"/>
      <c r="L136" s="845">
        <v>52000</v>
      </c>
      <c r="M136" s="845">
        <v>54000</v>
      </c>
      <c r="N136" s="846">
        <v>54000</v>
      </c>
      <c r="O136" s="817">
        <v>54000</v>
      </c>
      <c r="P136" s="817">
        <v>0</v>
      </c>
      <c r="Q136" s="817">
        <v>0</v>
      </c>
      <c r="R136" s="817">
        <v>0</v>
      </c>
      <c r="S136" s="817"/>
      <c r="T136" s="817">
        <v>0</v>
      </c>
      <c r="U136" s="817"/>
      <c r="V136" s="817">
        <v>0</v>
      </c>
      <c r="W136" s="817"/>
      <c r="X136" s="817">
        <v>0</v>
      </c>
      <c r="Y136" s="817"/>
      <c r="Z136" s="843">
        <f>Y136*(1+$A$4/100)</f>
        <v>0</v>
      </c>
      <c r="AA136" s="817"/>
      <c r="AB136" s="843">
        <f>AA136*(1+$A$4/100)</f>
        <v>0</v>
      </c>
      <c r="AC136" s="817"/>
      <c r="AD136" s="817"/>
      <c r="AE136" s="817"/>
      <c r="AF136" s="843">
        <v>0</v>
      </c>
      <c r="AG136" s="843"/>
      <c r="AH136" s="843"/>
      <c r="AI136" s="817"/>
      <c r="AJ136" s="817"/>
      <c r="AK136" s="817"/>
      <c r="AL136" s="817"/>
      <c r="AM136" s="817"/>
      <c r="AN136" s="817"/>
      <c r="AO136" s="817"/>
      <c r="AP136" s="817"/>
      <c r="AQ136" s="817"/>
      <c r="AR136" s="817"/>
      <c r="AS136" s="817" t="str">
        <f t="shared" si="64"/>
        <v/>
      </c>
      <c r="AT136" s="2240" t="str">
        <f t="shared" si="34"/>
        <v/>
      </c>
      <c r="AU136" s="890"/>
      <c r="AV136" s="819"/>
      <c r="AW136" s="797">
        <f>SUM(AU136-H136)</f>
        <v>-47500</v>
      </c>
      <c r="AX136" s="805">
        <f>IF(H136&gt;0,AW136/H136,"")</f>
        <v>-1</v>
      </c>
      <c r="AY136" s="820"/>
      <c r="AZ136" s="2136"/>
      <c r="BA136" s="2136"/>
      <c r="BB136" s="2139" t="s">
        <v>1099</v>
      </c>
    </row>
    <row r="137" spans="1:54" ht="13.9" hidden="1" customHeight="1" outlineLevel="1" x14ac:dyDescent="0.2">
      <c r="A137" s="795" t="s">
        <v>821</v>
      </c>
      <c r="B137" s="847">
        <f>SUM(B136)</f>
        <v>40000</v>
      </c>
      <c r="C137" s="847">
        <f>SUM(C135:C136)</f>
        <v>40000</v>
      </c>
      <c r="D137" s="972">
        <f>SUM(D136)</f>
        <v>42500</v>
      </c>
      <c r="E137" s="972">
        <f t="shared" ref="E137:O137" si="65">SUM(E136)</f>
        <v>42500</v>
      </c>
      <c r="F137" s="972">
        <f t="shared" si="65"/>
        <v>45200</v>
      </c>
      <c r="G137" s="972">
        <f t="shared" si="65"/>
        <v>45000</v>
      </c>
      <c r="H137" s="972">
        <f t="shared" si="65"/>
        <v>47500</v>
      </c>
      <c r="I137" s="972">
        <f t="shared" si="65"/>
        <v>47500</v>
      </c>
      <c r="J137" s="848">
        <f t="shared" si="65"/>
        <v>50000</v>
      </c>
      <c r="K137" s="861" t="s">
        <v>462</v>
      </c>
      <c r="L137" s="850">
        <f t="shared" si="65"/>
        <v>52000</v>
      </c>
      <c r="M137" s="850">
        <f t="shared" si="65"/>
        <v>54000</v>
      </c>
      <c r="N137" s="851">
        <f t="shared" si="65"/>
        <v>54000</v>
      </c>
      <c r="O137" s="851">
        <f t="shared" si="65"/>
        <v>54000</v>
      </c>
      <c r="P137" s="973">
        <f>SUM(P136)</f>
        <v>0</v>
      </c>
      <c r="Q137" s="862">
        <f>IF(SUM(Q136)=0,P137,Q136)</f>
        <v>0</v>
      </c>
      <c r="R137" s="973">
        <f>SUM(R136)</f>
        <v>0</v>
      </c>
      <c r="S137" s="862">
        <f>IF(SUM(S136)=0,R137,S136)</f>
        <v>0</v>
      </c>
      <c r="T137" s="974">
        <v>0</v>
      </c>
      <c r="U137" s="974">
        <v>0</v>
      </c>
      <c r="V137" s="973">
        <f>SUM(V136)</f>
        <v>0</v>
      </c>
      <c r="W137" s="862">
        <f>IF(SUM(W136)=0,V137,W136)</f>
        <v>0</v>
      </c>
      <c r="X137" s="973">
        <f>SUM(X136)</f>
        <v>0</v>
      </c>
      <c r="Y137" s="862">
        <f>IF(SUM(Y136)=0,X137,Y136)</f>
        <v>0</v>
      </c>
      <c r="Z137" s="973">
        <f>SUM(Z136)</f>
        <v>0</v>
      </c>
      <c r="AA137" s="862">
        <f>IF(SUM(AA136)=0,Z137,AA136)</f>
        <v>0</v>
      </c>
      <c r="AB137" s="973">
        <f>SUM(AB136)</f>
        <v>0</v>
      </c>
      <c r="AC137" s="862">
        <f>IF(SUM(AC136)=0,AB137,AC136)</f>
        <v>0</v>
      </c>
      <c r="AD137" s="862"/>
      <c r="AE137" s="862"/>
      <c r="AF137" s="861"/>
      <c r="AG137" s="861"/>
      <c r="AH137" s="861"/>
      <c r="AI137" s="861"/>
      <c r="AJ137" s="861"/>
      <c r="AK137" s="861"/>
      <c r="AL137" s="861"/>
      <c r="AM137" s="861"/>
      <c r="AN137" s="861"/>
      <c r="AO137" s="861"/>
      <c r="AP137" s="861"/>
      <c r="AQ137" s="861"/>
      <c r="AR137" s="861"/>
      <c r="AS137" s="861" t="str">
        <f t="shared" si="64"/>
        <v/>
      </c>
      <c r="AT137" s="2248" t="str">
        <f t="shared" si="34"/>
        <v/>
      </c>
      <c r="AU137" s="868">
        <f>SUM(AU136)</f>
        <v>0</v>
      </c>
      <c r="AV137" s="819"/>
      <c r="AW137" s="797">
        <f>SUM(AU137-H137)</f>
        <v>-47500</v>
      </c>
      <c r="AX137" s="805">
        <f>IF(H137&gt;0,AW137/H137,"")</f>
        <v>-1</v>
      </c>
      <c r="AY137" s="820"/>
      <c r="AZ137" s="2136"/>
      <c r="BA137" s="2136"/>
      <c r="BB137" s="2139" t="s">
        <v>1099</v>
      </c>
    </row>
    <row r="138" spans="1:54" ht="13.9" hidden="1" customHeight="1" outlineLevel="1" x14ac:dyDescent="0.2">
      <c r="A138" s="855"/>
      <c r="B138" s="824"/>
      <c r="C138" s="824"/>
      <c r="D138" s="933"/>
      <c r="E138" s="824"/>
      <c r="F138" s="933"/>
      <c r="G138" s="933"/>
      <c r="H138" s="934"/>
      <c r="I138" s="934"/>
      <c r="J138" s="883"/>
      <c r="K138" s="857"/>
      <c r="L138" s="864"/>
      <c r="M138" s="864"/>
      <c r="N138" s="975"/>
      <c r="O138" s="857"/>
      <c r="P138" s="857"/>
      <c r="Q138" s="857"/>
      <c r="R138" s="857"/>
      <c r="S138" s="857"/>
      <c r="T138" s="857"/>
      <c r="U138" s="857"/>
      <c r="V138" s="857"/>
      <c r="W138" s="857"/>
      <c r="X138" s="857"/>
      <c r="Y138" s="857"/>
      <c r="Z138" s="857"/>
      <c r="AA138" s="857"/>
      <c r="AB138" s="857"/>
      <c r="AC138" s="857"/>
      <c r="AD138" s="857"/>
      <c r="AE138" s="857"/>
      <c r="AF138" s="857"/>
      <c r="AG138" s="857"/>
      <c r="AH138" s="857"/>
      <c r="AI138" s="857"/>
      <c r="AJ138" s="857"/>
      <c r="AK138" s="857"/>
      <c r="AL138" s="857"/>
      <c r="AM138" s="857"/>
      <c r="AN138" s="857"/>
      <c r="AO138" s="857"/>
      <c r="AP138" s="857"/>
      <c r="AQ138" s="857"/>
      <c r="AR138" s="857"/>
      <c r="AS138" s="857" t="str">
        <f t="shared" si="64"/>
        <v/>
      </c>
      <c r="AT138" s="2253" t="str">
        <f t="shared" si="34"/>
        <v/>
      </c>
      <c r="AU138" s="935"/>
      <c r="AV138" s="834"/>
      <c r="AW138" s="823"/>
      <c r="AX138" s="835"/>
      <c r="AY138" s="836"/>
      <c r="AZ138" s="2136"/>
      <c r="BA138" s="2136"/>
      <c r="BB138" s="2129" t="s">
        <v>1099</v>
      </c>
    </row>
    <row r="139" spans="1:54" ht="13.9" hidden="1" customHeight="1" outlineLevel="1" collapsed="1" x14ac:dyDescent="0.2">
      <c r="A139" s="808" t="s">
        <v>605</v>
      </c>
      <c r="B139" s="837"/>
      <c r="C139" s="837"/>
      <c r="D139" s="936"/>
      <c r="E139" s="837"/>
      <c r="F139" s="936"/>
      <c r="G139" s="936"/>
      <c r="H139" s="937"/>
      <c r="I139" s="937"/>
      <c r="J139" s="884"/>
      <c r="K139" s="859"/>
      <c r="L139" s="865"/>
      <c r="M139" s="865"/>
      <c r="N139" s="838"/>
      <c r="O139" s="859"/>
      <c r="P139" s="859"/>
      <c r="Q139" s="859"/>
      <c r="R139" s="859"/>
      <c r="S139" s="859"/>
      <c r="T139" s="859"/>
      <c r="U139" s="859"/>
      <c r="V139" s="859"/>
      <c r="W139" s="859"/>
      <c r="X139" s="859"/>
      <c r="Y139" s="859"/>
      <c r="Z139" s="859"/>
      <c r="AA139" s="859"/>
      <c r="AB139" s="859"/>
      <c r="AC139" s="859"/>
      <c r="AD139" s="859"/>
      <c r="AE139" s="859"/>
      <c r="AF139" s="859"/>
      <c r="AG139" s="859"/>
      <c r="AH139" s="859"/>
      <c r="AI139" s="859"/>
      <c r="AJ139" s="859"/>
      <c r="AK139" s="859"/>
      <c r="AL139" s="859"/>
      <c r="AM139" s="859"/>
      <c r="AN139" s="859"/>
      <c r="AO139" s="859"/>
      <c r="AP139" s="859"/>
      <c r="AQ139" s="859"/>
      <c r="AR139" s="859"/>
      <c r="AS139" s="859">
        <f t="shared" ref="AS139:AS184" si="66">AR139-AP139</f>
        <v>0</v>
      </c>
      <c r="AT139" s="2239" t="str">
        <f t="shared" ref="AT139:AT184" si="67">IF(AP139&gt;0,AS139/AP139,"")</f>
        <v/>
      </c>
      <c r="AU139" s="938"/>
      <c r="AV139" s="819"/>
      <c r="AW139" s="797"/>
      <c r="AX139" s="805"/>
      <c r="AY139" s="807"/>
      <c r="AZ139" s="2136"/>
      <c r="BA139" s="2136"/>
    </row>
    <row r="140" spans="1:54" ht="13.9" hidden="1" customHeight="1" outlineLevel="1" x14ac:dyDescent="0.2">
      <c r="A140" s="808" t="s">
        <v>817</v>
      </c>
      <c r="B140" s="799">
        <v>57146</v>
      </c>
      <c r="C140" s="797">
        <v>57146</v>
      </c>
      <c r="D140" s="887">
        <v>59520</v>
      </c>
      <c r="E140" s="797">
        <v>59047.839999999997</v>
      </c>
      <c r="F140" s="887">
        <v>59520</v>
      </c>
      <c r="G140" s="887">
        <v>58753.22</v>
      </c>
      <c r="H140" s="888">
        <v>62164</v>
      </c>
      <c r="I140" s="888">
        <f>42402+2607.61+4701.64+12009.8</f>
        <v>61721.05</v>
      </c>
      <c r="J140" s="976">
        <v>66268</v>
      </c>
      <c r="K140" s="814" t="s">
        <v>4</v>
      </c>
      <c r="L140" s="876">
        <v>66629.289999999994</v>
      </c>
      <c r="M140" s="840">
        <v>71775</v>
      </c>
      <c r="N140" s="841">
        <v>68149</v>
      </c>
      <c r="O140" s="837">
        <v>71775</v>
      </c>
      <c r="P140" s="817">
        <v>71775</v>
      </c>
      <c r="Q140" s="817">
        <v>71775</v>
      </c>
      <c r="R140" s="817">
        <f>71775+2675</f>
        <v>74450</v>
      </c>
      <c r="S140" s="889"/>
      <c r="T140" s="889">
        <v>76776</v>
      </c>
      <c r="U140" s="889">
        <v>76776</v>
      </c>
      <c r="V140" s="843">
        <v>78300</v>
      </c>
      <c r="W140" s="817">
        <f>V140</f>
        <v>78300</v>
      </c>
      <c r="X140" s="843">
        <v>79854</v>
      </c>
      <c r="Y140" s="843">
        <v>88259</v>
      </c>
      <c r="Z140" s="843">
        <v>96718</v>
      </c>
      <c r="AA140" s="843">
        <f>Z140</f>
        <v>96718</v>
      </c>
      <c r="AB140" s="843">
        <v>99834</v>
      </c>
      <c r="AC140" s="843">
        <f>AB140</f>
        <v>99834</v>
      </c>
      <c r="AD140" s="843"/>
      <c r="AE140" s="843">
        <v>103056</v>
      </c>
      <c r="AF140" s="843"/>
      <c r="AG140" s="843">
        <v>106147.68000000001</v>
      </c>
      <c r="AH140" s="843">
        <v>106852</v>
      </c>
      <c r="AI140" s="843">
        <v>110057.56</v>
      </c>
      <c r="AJ140" s="843">
        <v>110145</v>
      </c>
      <c r="AK140" s="843">
        <v>113449.35</v>
      </c>
      <c r="AL140" s="843">
        <v>83093</v>
      </c>
      <c r="AM140" s="843">
        <f>AL140*$AH$3</f>
        <v>84754.86</v>
      </c>
      <c r="AN140" s="843">
        <v>107141</v>
      </c>
      <c r="AO140" s="843">
        <v>109819.52499999999</v>
      </c>
      <c r="AP140" s="843">
        <v>121150</v>
      </c>
      <c r="AQ140" s="843">
        <f>AP140*$AH$3</f>
        <v>123573</v>
      </c>
      <c r="AR140" s="843">
        <f>'[1]BUDGET DETAIL'!$CO$443</f>
        <v>111968</v>
      </c>
      <c r="AS140" s="843">
        <f t="shared" si="66"/>
        <v>-9182</v>
      </c>
      <c r="AT140" s="2239">
        <f t="shared" si="67"/>
        <v>-7.5790342550557166E-2</v>
      </c>
      <c r="AU140" s="890"/>
      <c r="AV140" s="819"/>
      <c r="AW140" s="797">
        <f>SUM(AU140-H140)</f>
        <v>-62164</v>
      </c>
      <c r="AX140" s="805">
        <f>IF(H140&gt;0,AW140/H140,"")</f>
        <v>-1</v>
      </c>
      <c r="AY140" s="807"/>
      <c r="AZ140" s="2136"/>
      <c r="BA140" s="2136"/>
    </row>
    <row r="141" spans="1:54" ht="13.9" hidden="1" customHeight="1" outlineLevel="1" x14ac:dyDescent="0.2">
      <c r="A141" s="808" t="s">
        <v>558</v>
      </c>
      <c r="B141" s="799">
        <v>16195</v>
      </c>
      <c r="C141" s="797">
        <v>15074.28</v>
      </c>
      <c r="D141" s="887">
        <v>16376</v>
      </c>
      <c r="E141" s="797">
        <v>15343.76</v>
      </c>
      <c r="F141" s="887">
        <v>16376</v>
      </c>
      <c r="G141" s="887">
        <v>16647.21</v>
      </c>
      <c r="H141" s="888">
        <v>17785</v>
      </c>
      <c r="I141" s="888">
        <v>16837.75</v>
      </c>
      <c r="J141" s="839">
        <v>18164</v>
      </c>
      <c r="K141" s="817"/>
      <c r="L141" s="876">
        <v>18241.45</v>
      </c>
      <c r="M141" s="840">
        <v>19227</v>
      </c>
      <c r="N141" s="841">
        <v>16397</v>
      </c>
      <c r="O141" s="837">
        <v>18462</v>
      </c>
      <c r="P141" s="889">
        <v>18462</v>
      </c>
      <c r="Q141" s="889">
        <v>18462</v>
      </c>
      <c r="R141" s="843">
        <f>18462+345</f>
        <v>18807</v>
      </c>
      <c r="S141" s="889"/>
      <c r="T141" s="889">
        <v>20243</v>
      </c>
      <c r="U141" s="889">
        <v>20243</v>
      </c>
      <c r="V141" s="843">
        <v>20715</v>
      </c>
      <c r="W141" s="817">
        <f>V141</f>
        <v>20715</v>
      </c>
      <c r="X141" s="843">
        <v>21132</v>
      </c>
      <c r="Y141" s="843">
        <v>26734</v>
      </c>
      <c r="Z141" s="843">
        <v>29326</v>
      </c>
      <c r="AA141" s="843">
        <f>Z141</f>
        <v>29326</v>
      </c>
      <c r="AB141" s="843">
        <v>32142</v>
      </c>
      <c r="AC141" s="843">
        <f>AB141</f>
        <v>32142</v>
      </c>
      <c r="AD141" s="843"/>
      <c r="AE141" s="843">
        <v>33545</v>
      </c>
      <c r="AF141" s="843"/>
      <c r="AG141" s="843">
        <v>34551.35</v>
      </c>
      <c r="AH141" s="843">
        <v>35065</v>
      </c>
      <c r="AI141" s="843">
        <v>36116.950000000004</v>
      </c>
      <c r="AJ141" s="843">
        <v>33355</v>
      </c>
      <c r="AK141" s="843">
        <v>34355.65</v>
      </c>
      <c r="AL141" s="843">
        <v>44800</v>
      </c>
      <c r="AM141" s="843">
        <f>AL141*$AH$3</f>
        <v>45696</v>
      </c>
      <c r="AN141" s="843">
        <v>34947</v>
      </c>
      <c r="AO141" s="843">
        <v>35820.674999999996</v>
      </c>
      <c r="AP141" s="843">
        <v>36897</v>
      </c>
      <c r="AQ141" s="843">
        <f>AP141*$AH$3</f>
        <v>37634.94</v>
      </c>
      <c r="AR141" s="843">
        <f>'[1]BUDGET DETAIL'!$CO$448+ IF(BA141="yes",AZ141,0)</f>
        <v>43880</v>
      </c>
      <c r="AS141" s="843">
        <f t="shared" si="66"/>
        <v>6983</v>
      </c>
      <c r="AT141" s="2239">
        <f t="shared" si="67"/>
        <v>0.18925657912567417</v>
      </c>
      <c r="AU141" s="890"/>
      <c r="AV141" s="819"/>
      <c r="AW141" s="797">
        <f>SUM(AU141-H141)</f>
        <v>-17785</v>
      </c>
      <c r="AX141" s="805">
        <f>IF(H141&gt;0,AW141/H141,"")</f>
        <v>-1</v>
      </c>
      <c r="AY141" s="807"/>
      <c r="AZ141" s="2136">
        <v>7220</v>
      </c>
      <c r="BA141" s="2321" t="s">
        <v>2506</v>
      </c>
      <c r="BB141" s="2942">
        <v>44998</v>
      </c>
    </row>
    <row r="142" spans="1:54" ht="13.9" hidden="1" customHeight="1" outlineLevel="1" x14ac:dyDescent="0.2">
      <c r="A142" s="808" t="s">
        <v>820</v>
      </c>
      <c r="B142" s="799">
        <v>5239</v>
      </c>
      <c r="C142" s="797">
        <v>5061.3500000000004</v>
      </c>
      <c r="D142" s="887">
        <v>4789</v>
      </c>
      <c r="E142" s="797">
        <v>4549.0200000000004</v>
      </c>
      <c r="F142" s="887">
        <v>4789</v>
      </c>
      <c r="G142" s="887">
        <f>4632.38+124.56</f>
        <v>4756.9400000000005</v>
      </c>
      <c r="H142" s="888">
        <v>5114</v>
      </c>
      <c r="I142" s="888">
        <f>5026.52+124.56</f>
        <v>5151.0800000000008</v>
      </c>
      <c r="J142" s="839">
        <v>5504</v>
      </c>
      <c r="K142" s="814" t="s">
        <v>462</v>
      </c>
      <c r="L142" s="845">
        <v>5573.75</v>
      </c>
      <c r="M142" s="845">
        <v>6709</v>
      </c>
      <c r="N142" s="846">
        <v>4267</v>
      </c>
      <c r="O142" s="893">
        <v>5519</v>
      </c>
      <c r="P142" s="817">
        <v>5519</v>
      </c>
      <c r="Q142" s="817">
        <v>5519</v>
      </c>
      <c r="R142" s="817">
        <v>5519</v>
      </c>
      <c r="S142" s="977"/>
      <c r="T142" s="977">
        <v>5631</v>
      </c>
      <c r="U142" s="977">
        <v>5631</v>
      </c>
      <c r="V142" s="842">
        <v>5743</v>
      </c>
      <c r="W142" s="817">
        <f>V142</f>
        <v>5743</v>
      </c>
      <c r="X142" s="843">
        <v>5913</v>
      </c>
      <c r="Y142" s="843">
        <v>5913</v>
      </c>
      <c r="Z142" s="843">
        <v>6089</v>
      </c>
      <c r="AA142" s="843">
        <f>Z142</f>
        <v>6089</v>
      </c>
      <c r="AB142" s="843">
        <v>6289</v>
      </c>
      <c r="AC142" s="843">
        <f>AB142</f>
        <v>6289</v>
      </c>
      <c r="AD142" s="843"/>
      <c r="AE142" s="843">
        <v>6415</v>
      </c>
      <c r="AF142" s="843"/>
      <c r="AG142" s="843">
        <v>6415</v>
      </c>
      <c r="AH142" s="843">
        <v>6415</v>
      </c>
      <c r="AI142" s="843">
        <v>6415</v>
      </c>
      <c r="AJ142" s="843">
        <v>16415</v>
      </c>
      <c r="AK142" s="843">
        <v>16415</v>
      </c>
      <c r="AL142" s="843">
        <v>17165</v>
      </c>
      <c r="AM142" s="843">
        <f>AL142*$AH$4</f>
        <v>17165</v>
      </c>
      <c r="AN142" s="843">
        <v>17165</v>
      </c>
      <c r="AO142" s="843">
        <v>17165</v>
      </c>
      <c r="AP142" s="1529">
        <v>13465</v>
      </c>
      <c r="AQ142" s="843">
        <f>AP142*$AH$4</f>
        <v>13465</v>
      </c>
      <c r="AR142" s="1529">
        <f>'[1]BUDGET DETAIL'!$CO$461+ IF(BA142="yes",AZ142,0)</f>
        <v>13965</v>
      </c>
      <c r="AS142" s="1529">
        <f t="shared" si="66"/>
        <v>500</v>
      </c>
      <c r="AT142" s="2254">
        <f t="shared" si="67"/>
        <v>3.7133308577794281E-2</v>
      </c>
      <c r="AU142" s="890"/>
      <c r="AV142" s="819"/>
      <c r="AW142" s="797">
        <f>SUM(AU142-H142)</f>
        <v>-5114</v>
      </c>
      <c r="AX142" s="805">
        <f>IF(H142&gt;0,AW142/H142,"")</f>
        <v>-1</v>
      </c>
      <c r="AY142" s="1528"/>
      <c r="AZ142" s="2136">
        <v>500</v>
      </c>
      <c r="BA142" s="2321" t="s">
        <v>2506</v>
      </c>
      <c r="BB142" s="2942">
        <v>44998</v>
      </c>
    </row>
    <row r="143" spans="1:54" ht="13.9" hidden="1" customHeight="1" outlineLevel="1" x14ac:dyDescent="0.2">
      <c r="A143" s="878" t="s">
        <v>821</v>
      </c>
      <c r="B143" s="810">
        <f t="shared" ref="B143:P143" si="68">SUM(B140:B142)</f>
        <v>78580</v>
      </c>
      <c r="C143" s="810">
        <f t="shared" si="68"/>
        <v>77281.63</v>
      </c>
      <c r="D143" s="944">
        <f t="shared" si="68"/>
        <v>80685</v>
      </c>
      <c r="E143" s="810">
        <f t="shared" si="68"/>
        <v>78940.62</v>
      </c>
      <c r="F143" s="944">
        <f>SUM(F140:F142)</f>
        <v>80685</v>
      </c>
      <c r="G143" s="944">
        <f>SUM(G140:G142)</f>
        <v>80157.37</v>
      </c>
      <c r="H143" s="906">
        <f>SUM(H140:H142)</f>
        <v>85063</v>
      </c>
      <c r="I143" s="906">
        <f>SUM(I140:I142)</f>
        <v>83709.88</v>
      </c>
      <c r="J143" s="813">
        <f t="shared" si="68"/>
        <v>89936</v>
      </c>
      <c r="K143" s="849">
        <v>38796</v>
      </c>
      <c r="L143" s="879">
        <f t="shared" si="68"/>
        <v>90444.489999999991</v>
      </c>
      <c r="M143" s="879">
        <f t="shared" si="68"/>
        <v>97711</v>
      </c>
      <c r="N143" s="880">
        <f t="shared" si="68"/>
        <v>88813</v>
      </c>
      <c r="O143" s="881">
        <f t="shared" si="68"/>
        <v>95756</v>
      </c>
      <c r="P143" s="881">
        <f t="shared" si="68"/>
        <v>95756</v>
      </c>
      <c r="Q143" s="853">
        <f>IF(SUM(Q140:Q142)=0,P143,SUM(Q140:Q142))</f>
        <v>95756</v>
      </c>
      <c r="R143" s="881">
        <f>SUM(R140:R142)</f>
        <v>98776</v>
      </c>
      <c r="S143" s="852">
        <f>IF(SUM(S140:S142)=0,R143,SUM(S140:S142))</f>
        <v>98776</v>
      </c>
      <c r="T143" s="852">
        <v>102650</v>
      </c>
      <c r="U143" s="852">
        <v>102650</v>
      </c>
      <c r="V143" s="881">
        <f>SUM(V140:V142)</f>
        <v>104758</v>
      </c>
      <c r="W143" s="853">
        <f>IF(SUM(W140:W142)=0,V143,SUM(W140:W142))</f>
        <v>104758</v>
      </c>
      <c r="X143" s="881">
        <f>SUM(X140:X142)</f>
        <v>106899</v>
      </c>
      <c r="Y143" s="852">
        <f>IF(SUM(Y140:Y142)=0,X143,SUM(Y140:Y142))</f>
        <v>120906</v>
      </c>
      <c r="Z143" s="881">
        <f>SUM(Z140:Z142)</f>
        <v>132133</v>
      </c>
      <c r="AA143" s="852">
        <f>IF(SUM(AA140:AA142)=0,Z143,SUM(AA140:AA142))</f>
        <v>132133</v>
      </c>
      <c r="AB143" s="881">
        <f>SUM(AB140:AB142)</f>
        <v>138265</v>
      </c>
      <c r="AC143" s="852">
        <f>IF(SUM(AC140:AC142)=0,AB143,SUM(AC140:AC142))</f>
        <v>138265</v>
      </c>
      <c r="AD143" s="852"/>
      <c r="AE143" s="852">
        <v>143016</v>
      </c>
      <c r="AF143" s="852">
        <v>143016</v>
      </c>
      <c r="AG143" s="852">
        <v>147114.03</v>
      </c>
      <c r="AH143" s="852">
        <v>148332</v>
      </c>
      <c r="AI143" s="814">
        <v>152589.51</v>
      </c>
      <c r="AJ143" s="814">
        <v>159915</v>
      </c>
      <c r="AK143" s="814">
        <v>164220</v>
      </c>
      <c r="AL143" s="814">
        <v>145058</v>
      </c>
      <c r="AM143" s="814">
        <f t="shared" ref="AM143:AR143" si="69">SUM(AM140:AM142)</f>
        <v>147615.85999999999</v>
      </c>
      <c r="AN143" s="814">
        <f t="shared" si="69"/>
        <v>159253</v>
      </c>
      <c r="AO143" s="814">
        <f t="shared" si="69"/>
        <v>162805.19999999998</v>
      </c>
      <c r="AP143" s="814">
        <f t="shared" si="69"/>
        <v>171512</v>
      </c>
      <c r="AQ143" s="814">
        <f t="shared" si="69"/>
        <v>174672.94</v>
      </c>
      <c r="AR143" s="814">
        <f t="shared" si="69"/>
        <v>169813</v>
      </c>
      <c r="AS143" s="814">
        <f t="shared" si="66"/>
        <v>-1699</v>
      </c>
      <c r="AT143" s="2242">
        <f t="shared" si="67"/>
        <v>-9.9060124072951165E-3</v>
      </c>
      <c r="AU143" s="854">
        <f>SUM(AU140:AU142)</f>
        <v>0</v>
      </c>
      <c r="AV143" s="819"/>
      <c r="AW143" s="797">
        <f>SUM(AU143-H143)</f>
        <v>-85063</v>
      </c>
      <c r="AX143" s="805">
        <f>IF(H143&gt;0,AW143/H143,"")</f>
        <v>-1</v>
      </c>
      <c r="AY143" s="807"/>
      <c r="AZ143" s="2136"/>
      <c r="BA143" s="2136"/>
    </row>
    <row r="144" spans="1:54" ht="13.9" hidden="1" customHeight="1" outlineLevel="1" x14ac:dyDescent="0.2">
      <c r="A144" s="978"/>
      <c r="B144" s="979"/>
      <c r="C144" s="979"/>
      <c r="D144" s="980"/>
      <c r="E144" s="979"/>
      <c r="F144" s="980"/>
      <c r="G144" s="980"/>
      <c r="H144" s="981"/>
      <c r="I144" s="981"/>
      <c r="J144" s="982"/>
      <c r="K144" s="983"/>
      <c r="L144" s="984"/>
      <c r="M144" s="985"/>
      <c r="N144" s="986"/>
      <c r="O144" s="987"/>
      <c r="P144" s="987"/>
      <c r="Q144" s="988"/>
      <c r="R144" s="987"/>
      <c r="S144" s="989"/>
      <c r="T144" s="989"/>
      <c r="U144" s="989"/>
      <c r="V144" s="990"/>
      <c r="W144" s="989"/>
      <c r="X144" s="987"/>
      <c r="Y144" s="991"/>
      <c r="Z144" s="987"/>
      <c r="AA144" s="991"/>
      <c r="AB144" s="987"/>
      <c r="AC144" s="991"/>
      <c r="AD144" s="991"/>
      <c r="AE144" s="991"/>
      <c r="AF144" s="991"/>
      <c r="AG144" s="991"/>
      <c r="AH144" s="991"/>
      <c r="AI144" s="991"/>
      <c r="AJ144" s="991"/>
      <c r="AK144" s="991"/>
      <c r="AL144" s="991"/>
      <c r="AM144" s="991"/>
      <c r="AN144" s="991"/>
      <c r="AO144" s="991"/>
      <c r="AP144" s="991"/>
      <c r="AQ144" s="991"/>
      <c r="AR144" s="991"/>
      <c r="AS144" s="991">
        <f t="shared" si="66"/>
        <v>0</v>
      </c>
      <c r="AT144" s="2255" t="str">
        <f t="shared" si="67"/>
        <v/>
      </c>
      <c r="AU144" s="854"/>
      <c r="AV144" s="819"/>
      <c r="AW144" s="797"/>
      <c r="AX144" s="805"/>
      <c r="AY144" s="836"/>
      <c r="AZ144" s="2136"/>
      <c r="BA144" s="2136"/>
    </row>
    <row r="145" spans="1:54" ht="13.9" hidden="1" customHeight="1" outlineLevel="1" collapsed="1" x14ac:dyDescent="0.2">
      <c r="A145" s="808" t="s">
        <v>505</v>
      </c>
      <c r="B145" s="810"/>
      <c r="C145" s="810"/>
      <c r="D145" s="944"/>
      <c r="E145" s="810"/>
      <c r="F145" s="944"/>
      <c r="G145" s="944"/>
      <c r="H145" s="906"/>
      <c r="I145" s="906"/>
      <c r="J145" s="813"/>
      <c r="K145" s="849"/>
      <c r="L145" s="918"/>
      <c r="M145" s="879"/>
      <c r="N145" s="919"/>
      <c r="O145" s="928"/>
      <c r="P145" s="928"/>
      <c r="Q145" s="853"/>
      <c r="R145" s="928"/>
      <c r="S145" s="852"/>
      <c r="T145" s="852"/>
      <c r="U145" s="852"/>
      <c r="V145" s="881"/>
      <c r="W145" s="852"/>
      <c r="X145" s="928"/>
      <c r="Y145" s="814"/>
      <c r="Z145" s="928"/>
      <c r="AA145" s="814"/>
      <c r="AB145" s="928"/>
      <c r="AC145" s="814"/>
      <c r="AD145" s="814"/>
      <c r="AE145" s="814"/>
      <c r="AF145" s="814"/>
      <c r="AG145" s="814"/>
      <c r="AH145" s="814"/>
      <c r="AI145" s="814"/>
      <c r="AJ145" s="814"/>
      <c r="AK145" s="814"/>
      <c r="AL145" s="814"/>
      <c r="AM145" s="814"/>
      <c r="AN145" s="814"/>
      <c r="AO145" s="814"/>
      <c r="AP145" s="814"/>
      <c r="AQ145" s="814"/>
      <c r="AR145" s="814"/>
      <c r="AS145" s="814">
        <f t="shared" si="66"/>
        <v>0</v>
      </c>
      <c r="AT145" s="2242" t="str">
        <f t="shared" si="67"/>
        <v/>
      </c>
      <c r="AU145" s="854"/>
      <c r="AV145" s="819"/>
      <c r="AW145" s="797"/>
      <c r="AX145" s="805"/>
      <c r="AY145" s="807"/>
      <c r="AZ145" s="2136"/>
      <c r="BA145" s="2136"/>
    </row>
    <row r="146" spans="1:54" ht="13.9" hidden="1" customHeight="1" outlineLevel="1" x14ac:dyDescent="0.2">
      <c r="A146" s="808" t="s">
        <v>567</v>
      </c>
      <c r="B146" s="810"/>
      <c r="C146" s="810"/>
      <c r="D146" s="944"/>
      <c r="E146" s="810"/>
      <c r="F146" s="944"/>
      <c r="G146" s="944"/>
      <c r="H146" s="906"/>
      <c r="I146" s="906"/>
      <c r="J146" s="813"/>
      <c r="K146" s="849"/>
      <c r="L146" s="918"/>
      <c r="M146" s="879"/>
      <c r="N146" s="919"/>
      <c r="O146" s="928"/>
      <c r="P146" s="928"/>
      <c r="Q146" s="853"/>
      <c r="R146" s="928"/>
      <c r="S146" s="852"/>
      <c r="T146" s="852"/>
      <c r="U146" s="852"/>
      <c r="V146" s="881"/>
      <c r="W146" s="852"/>
      <c r="X146" s="928"/>
      <c r="Y146" s="814"/>
      <c r="Z146" s="928"/>
      <c r="AA146" s="814"/>
      <c r="AB146" s="928"/>
      <c r="AC146" s="814"/>
      <c r="AD146" s="814"/>
      <c r="AE146" s="814"/>
      <c r="AF146" s="814"/>
      <c r="AG146" s="814">
        <v>3385.61</v>
      </c>
      <c r="AH146" s="817">
        <v>3287</v>
      </c>
      <c r="AI146" s="843">
        <v>3385.61</v>
      </c>
      <c r="AJ146" s="843">
        <v>3352</v>
      </c>
      <c r="AK146" s="843">
        <v>3452.56</v>
      </c>
      <c r="AL146" s="843">
        <v>3352</v>
      </c>
      <c r="AM146" s="843">
        <f>AL146*$AH$3</f>
        <v>3419.04</v>
      </c>
      <c r="AN146" s="843">
        <v>3352</v>
      </c>
      <c r="AO146" s="843">
        <v>3435.7999999999997</v>
      </c>
      <c r="AP146" s="843">
        <v>3352</v>
      </c>
      <c r="AQ146" s="843">
        <f>AP146*$AH$3</f>
        <v>3419.04</v>
      </c>
      <c r="AR146" s="843">
        <f>'[1]BUDGET DETAIL'!$CO$493</f>
        <v>3352</v>
      </c>
      <c r="AS146" s="843">
        <f t="shared" si="66"/>
        <v>0</v>
      </c>
      <c r="AT146" s="2239">
        <f t="shared" si="67"/>
        <v>0</v>
      </c>
      <c r="AU146" s="854"/>
      <c r="AV146" s="819"/>
      <c r="AW146" s="797"/>
      <c r="AX146" s="805"/>
      <c r="AY146" s="807"/>
      <c r="AZ146" s="2136"/>
      <c r="BA146" s="2136"/>
    </row>
    <row r="147" spans="1:54" ht="13.9" hidden="1" customHeight="1" outlineLevel="1" x14ac:dyDescent="0.2">
      <c r="A147" s="808" t="s">
        <v>558</v>
      </c>
      <c r="B147" s="810"/>
      <c r="C147" s="810"/>
      <c r="D147" s="944"/>
      <c r="E147" s="810"/>
      <c r="F147" s="944"/>
      <c r="G147" s="944"/>
      <c r="H147" s="906"/>
      <c r="I147" s="906"/>
      <c r="J147" s="813"/>
      <c r="K147" s="849"/>
      <c r="L147" s="918"/>
      <c r="M147" s="879"/>
      <c r="N147" s="919"/>
      <c r="O147" s="928"/>
      <c r="P147" s="928"/>
      <c r="Q147" s="853"/>
      <c r="R147" s="928"/>
      <c r="S147" s="852"/>
      <c r="T147" s="852"/>
      <c r="U147" s="852"/>
      <c r="V147" s="881"/>
      <c r="W147" s="852"/>
      <c r="X147" s="928"/>
      <c r="Y147" s="814"/>
      <c r="Z147" s="928"/>
      <c r="AA147" s="814"/>
      <c r="AB147" s="928"/>
      <c r="AC147" s="814"/>
      <c r="AD147" s="814"/>
      <c r="AE147" s="814"/>
      <c r="AF147" s="814"/>
      <c r="AG147" s="814">
        <v>3635.9</v>
      </c>
      <c r="AH147" s="817">
        <v>3530</v>
      </c>
      <c r="AI147" s="843">
        <v>3635.9</v>
      </c>
      <c r="AJ147" s="843">
        <v>3530</v>
      </c>
      <c r="AK147" s="843">
        <v>3635.9</v>
      </c>
      <c r="AL147" s="843">
        <v>3530</v>
      </c>
      <c r="AM147" s="843">
        <f>AL147*$AH$3</f>
        <v>3600.6</v>
      </c>
      <c r="AN147" s="843">
        <v>3530</v>
      </c>
      <c r="AO147" s="843">
        <v>3618.2499999999995</v>
      </c>
      <c r="AP147" s="843">
        <v>3530</v>
      </c>
      <c r="AQ147" s="843">
        <f>AP147*$AH$3</f>
        <v>3600.6</v>
      </c>
      <c r="AR147" s="843">
        <f>'[1]BUDGET DETAIL'!$CO$497</f>
        <v>3530</v>
      </c>
      <c r="AS147" s="843">
        <f t="shared" si="66"/>
        <v>0</v>
      </c>
      <c r="AT147" s="2239">
        <f t="shared" si="67"/>
        <v>0</v>
      </c>
      <c r="AU147" s="854"/>
      <c r="AV147" s="819"/>
      <c r="AW147" s="797"/>
      <c r="AX147" s="805"/>
      <c r="AY147" s="807"/>
      <c r="AZ147" s="2136"/>
      <c r="BA147" s="2136"/>
    </row>
    <row r="148" spans="1:54" ht="13.9" hidden="1" customHeight="1" outlineLevel="1" x14ac:dyDescent="0.2">
      <c r="A148" s="808" t="s">
        <v>820</v>
      </c>
      <c r="B148" s="810"/>
      <c r="C148" s="810"/>
      <c r="D148" s="944"/>
      <c r="E148" s="810"/>
      <c r="F148" s="944"/>
      <c r="G148" s="944"/>
      <c r="H148" s="906"/>
      <c r="I148" s="906"/>
      <c r="J148" s="813"/>
      <c r="K148" s="849"/>
      <c r="L148" s="918"/>
      <c r="M148" s="879"/>
      <c r="N148" s="919"/>
      <c r="O148" s="928"/>
      <c r="P148" s="928"/>
      <c r="Q148" s="853"/>
      <c r="R148" s="928"/>
      <c r="S148" s="852"/>
      <c r="T148" s="852"/>
      <c r="U148" s="852"/>
      <c r="V148" s="881"/>
      <c r="W148" s="852"/>
      <c r="X148" s="928"/>
      <c r="Y148" s="814"/>
      <c r="Z148" s="928"/>
      <c r="AA148" s="814"/>
      <c r="AB148" s="928"/>
      <c r="AC148" s="814"/>
      <c r="AD148" s="814"/>
      <c r="AE148" s="814"/>
      <c r="AF148" s="814"/>
      <c r="AG148" s="814">
        <v>8845</v>
      </c>
      <c r="AH148" s="817">
        <v>8845</v>
      </c>
      <c r="AI148" s="843">
        <v>8845</v>
      </c>
      <c r="AJ148" s="843">
        <v>8845</v>
      </c>
      <c r="AK148" s="843">
        <v>8845</v>
      </c>
      <c r="AL148" s="843">
        <v>8880</v>
      </c>
      <c r="AM148" s="843">
        <f>AL148*$AH$4</f>
        <v>8880</v>
      </c>
      <c r="AN148" s="843">
        <v>8880</v>
      </c>
      <c r="AO148" s="843">
        <v>8880</v>
      </c>
      <c r="AP148" s="843">
        <v>8880</v>
      </c>
      <c r="AQ148" s="843">
        <f>AP148*$AH$4</f>
        <v>8880</v>
      </c>
      <c r="AR148" s="843">
        <f>'[1]BUDGET DETAIL'!$CO$505</f>
        <v>8260</v>
      </c>
      <c r="AS148" s="843">
        <f t="shared" si="66"/>
        <v>-620</v>
      </c>
      <c r="AT148" s="2239">
        <f t="shared" si="67"/>
        <v>-6.9819819819819814E-2</v>
      </c>
      <c r="AU148" s="854"/>
      <c r="AV148" s="819"/>
      <c r="AW148" s="797"/>
      <c r="AX148" s="805"/>
      <c r="AY148" s="807"/>
      <c r="AZ148" s="2136"/>
      <c r="BA148" s="2136"/>
    </row>
    <row r="149" spans="1:54" ht="13.9" hidden="1" customHeight="1" outlineLevel="1" x14ac:dyDescent="0.2">
      <c r="A149" s="878" t="s">
        <v>821</v>
      </c>
      <c r="B149" s="810"/>
      <c r="C149" s="810"/>
      <c r="D149" s="944"/>
      <c r="E149" s="810"/>
      <c r="F149" s="944"/>
      <c r="G149" s="944"/>
      <c r="H149" s="906"/>
      <c r="I149" s="906"/>
      <c r="J149" s="813"/>
      <c r="K149" s="849"/>
      <c r="L149" s="918"/>
      <c r="M149" s="879"/>
      <c r="N149" s="919"/>
      <c r="O149" s="928"/>
      <c r="P149" s="928"/>
      <c r="Q149" s="853"/>
      <c r="R149" s="928"/>
      <c r="S149" s="852"/>
      <c r="T149" s="852"/>
      <c r="U149" s="852"/>
      <c r="V149" s="881"/>
      <c r="W149" s="814"/>
      <c r="X149" s="928"/>
      <c r="Y149" s="814"/>
      <c r="Z149" s="928"/>
      <c r="AA149" s="814"/>
      <c r="AB149" s="928"/>
      <c r="AC149" s="814"/>
      <c r="AD149" s="814"/>
      <c r="AE149" s="814"/>
      <c r="AF149" s="814"/>
      <c r="AG149" s="814">
        <v>15866.51</v>
      </c>
      <c r="AH149" s="852">
        <v>15662</v>
      </c>
      <c r="AI149" s="814">
        <v>15866.51</v>
      </c>
      <c r="AJ149" s="814">
        <v>15727</v>
      </c>
      <c r="AK149" s="814">
        <v>15933.46</v>
      </c>
      <c r="AL149" s="814">
        <v>15762</v>
      </c>
      <c r="AM149" s="814">
        <f t="shared" ref="AM149:AR149" si="70">SUM(AM146:AM148)</f>
        <v>15899.64</v>
      </c>
      <c r="AN149" s="814">
        <f t="shared" si="70"/>
        <v>15762</v>
      </c>
      <c r="AO149" s="814">
        <f t="shared" si="70"/>
        <v>15934.05</v>
      </c>
      <c r="AP149" s="814">
        <f t="shared" si="70"/>
        <v>15762</v>
      </c>
      <c r="AQ149" s="814">
        <f t="shared" si="70"/>
        <v>15899.64</v>
      </c>
      <c r="AR149" s="814">
        <f t="shared" si="70"/>
        <v>15142</v>
      </c>
      <c r="AS149" s="814">
        <f t="shared" si="66"/>
        <v>-620</v>
      </c>
      <c r="AT149" s="2242">
        <f t="shared" si="67"/>
        <v>-3.9335109757644968E-2</v>
      </c>
      <c r="AU149" s="854"/>
      <c r="AV149" s="819"/>
      <c r="AW149" s="797"/>
      <c r="AX149" s="805"/>
      <c r="AY149" s="807"/>
      <c r="AZ149" s="2136"/>
      <c r="BA149" s="2136"/>
    </row>
    <row r="150" spans="1:54" ht="13.9" hidden="1" customHeight="1" outlineLevel="1" x14ac:dyDescent="0.2">
      <c r="A150" s="992"/>
      <c r="B150" s="824"/>
      <c r="C150" s="824" t="s">
        <v>164</v>
      </c>
      <c r="D150" s="933" t="s">
        <v>164</v>
      </c>
      <c r="E150" s="824" t="s">
        <v>164</v>
      </c>
      <c r="F150" s="933" t="s">
        <v>164</v>
      </c>
      <c r="G150" s="933" t="s">
        <v>164</v>
      </c>
      <c r="H150" s="934" t="s">
        <v>164</v>
      </c>
      <c r="I150" s="934" t="s">
        <v>164</v>
      </c>
      <c r="J150" s="883" t="s">
        <v>164</v>
      </c>
      <c r="K150" s="856" t="s">
        <v>164</v>
      </c>
      <c r="L150" s="863"/>
      <c r="M150" s="864"/>
      <c r="N150" s="863"/>
      <c r="O150" s="856"/>
      <c r="P150" s="856"/>
      <c r="Q150" s="856"/>
      <c r="R150" s="856"/>
      <c r="S150" s="857"/>
      <c r="T150" s="857"/>
      <c r="U150" s="857"/>
      <c r="V150" s="857"/>
      <c r="W150" s="856"/>
      <c r="X150" s="856"/>
      <c r="Y150" s="856"/>
      <c r="Z150" s="856"/>
      <c r="AA150" s="856"/>
      <c r="AB150" s="856"/>
      <c r="AC150" s="856"/>
      <c r="AD150" s="856"/>
      <c r="AE150" s="856"/>
      <c r="AF150" s="856"/>
      <c r="AG150" s="856"/>
      <c r="AH150" s="856"/>
      <c r="AI150" s="856"/>
      <c r="AJ150" s="856"/>
      <c r="AK150" s="856"/>
      <c r="AL150" s="856"/>
      <c r="AM150" s="856"/>
      <c r="AN150" s="856"/>
      <c r="AO150" s="856"/>
      <c r="AP150" s="856"/>
      <c r="AQ150" s="856"/>
      <c r="AR150" s="856"/>
      <c r="AS150" s="856">
        <f t="shared" si="66"/>
        <v>0</v>
      </c>
      <c r="AT150" s="2243" t="str">
        <f t="shared" si="67"/>
        <v/>
      </c>
      <c r="AU150" s="935" t="s">
        <v>164</v>
      </c>
      <c r="AV150" s="834"/>
      <c r="AW150" s="823"/>
      <c r="AX150" s="835"/>
      <c r="AY150" s="836"/>
      <c r="AZ150" s="2136"/>
      <c r="BA150" s="2136"/>
    </row>
    <row r="151" spans="1:54" ht="13.9" hidden="1" customHeight="1" outlineLevel="1" collapsed="1" x14ac:dyDescent="0.2">
      <c r="A151" s="808" t="s">
        <v>606</v>
      </c>
      <c r="B151" s="837"/>
      <c r="C151" s="837"/>
      <c r="D151" s="837"/>
      <c r="E151" s="837"/>
      <c r="F151" s="837"/>
      <c r="G151" s="837"/>
      <c r="H151" s="889"/>
      <c r="I151" s="889"/>
      <c r="J151" s="884"/>
      <c r="K151" s="859"/>
      <c r="L151" s="865"/>
      <c r="M151" s="865"/>
      <c r="N151" s="865"/>
      <c r="O151" s="859"/>
      <c r="P151" s="859"/>
      <c r="Q151" s="859"/>
      <c r="R151" s="859"/>
      <c r="S151" s="859"/>
      <c r="T151" s="859"/>
      <c r="U151" s="859"/>
      <c r="V151" s="859"/>
      <c r="W151" s="859"/>
      <c r="X151" s="859"/>
      <c r="Y151" s="859"/>
      <c r="Z151" s="859"/>
      <c r="AA151" s="859"/>
      <c r="AB151" s="859"/>
      <c r="AC151" s="859"/>
      <c r="AD151" s="859"/>
      <c r="AE151" s="859"/>
      <c r="AF151" s="859"/>
      <c r="AG151" s="859"/>
      <c r="AH151" s="859"/>
      <c r="AI151" s="859"/>
      <c r="AJ151" s="859"/>
      <c r="AK151" s="859"/>
      <c r="AL151" s="859"/>
      <c r="AM151" s="859"/>
      <c r="AN151" s="859"/>
      <c r="AO151" s="859"/>
      <c r="AP151" s="859"/>
      <c r="AQ151" s="859"/>
      <c r="AR151" s="859"/>
      <c r="AS151" s="859">
        <f t="shared" si="66"/>
        <v>0</v>
      </c>
      <c r="AT151" s="2239" t="str">
        <f t="shared" si="67"/>
        <v/>
      </c>
      <c r="AU151" s="938"/>
      <c r="AV151" s="819"/>
      <c r="AW151" s="797"/>
      <c r="AX151" s="805"/>
      <c r="AY151" s="807"/>
      <c r="AZ151" s="2136"/>
      <c r="BA151" s="2136"/>
    </row>
    <row r="152" spans="1:54" ht="13.9" hidden="1" customHeight="1" outlineLevel="1" x14ac:dyDescent="0.2">
      <c r="A152" s="808" t="s">
        <v>684</v>
      </c>
      <c r="B152" s="799">
        <v>1500</v>
      </c>
      <c r="C152" s="797">
        <v>1500</v>
      </c>
      <c r="D152" s="887">
        <v>1500</v>
      </c>
      <c r="E152" s="797">
        <v>1500</v>
      </c>
      <c r="F152" s="887">
        <v>1500</v>
      </c>
      <c r="G152" s="887">
        <v>1500</v>
      </c>
      <c r="H152" s="888">
        <v>1500</v>
      </c>
      <c r="I152" s="888">
        <v>1500</v>
      </c>
      <c r="J152" s="839">
        <v>1500</v>
      </c>
      <c r="K152" s="817"/>
      <c r="L152" s="993">
        <v>1500</v>
      </c>
      <c r="M152" s="994">
        <v>1500</v>
      </c>
      <c r="N152" s="841">
        <v>1500</v>
      </c>
      <c r="O152" s="817">
        <v>1500</v>
      </c>
      <c r="P152" s="817">
        <v>1500</v>
      </c>
      <c r="Q152" s="817">
        <v>1500</v>
      </c>
      <c r="R152" s="817">
        <v>1500</v>
      </c>
      <c r="S152" s="817"/>
      <c r="T152" s="817">
        <v>1530</v>
      </c>
      <c r="U152" s="817">
        <v>1530</v>
      </c>
      <c r="V152" s="843">
        <v>1561</v>
      </c>
      <c r="W152" s="817">
        <f>V152</f>
        <v>1561</v>
      </c>
      <c r="X152" s="843">
        <v>1593</v>
      </c>
      <c r="Y152" s="843">
        <v>1593</v>
      </c>
      <c r="Z152" s="843">
        <v>1625</v>
      </c>
      <c r="AA152" s="843">
        <f>Z152</f>
        <v>1625</v>
      </c>
      <c r="AB152" s="843">
        <v>1658</v>
      </c>
      <c r="AC152" s="843">
        <f>AB152</f>
        <v>1658</v>
      </c>
      <c r="AD152" s="843"/>
      <c r="AE152" s="995">
        <v>1692</v>
      </c>
      <c r="AF152" s="843"/>
      <c r="AG152" s="843">
        <v>1692</v>
      </c>
      <c r="AH152" s="843">
        <v>1692</v>
      </c>
      <c r="AI152" s="843">
        <v>1692</v>
      </c>
      <c r="AJ152" s="843">
        <v>1726</v>
      </c>
      <c r="AK152" s="843">
        <v>1777.78</v>
      </c>
      <c r="AL152" s="843">
        <v>1726</v>
      </c>
      <c r="AM152" s="843">
        <f>AL152*$AH$3</f>
        <v>1760.52</v>
      </c>
      <c r="AN152" s="843">
        <v>1726</v>
      </c>
      <c r="AO152" s="843">
        <v>1769.1499999999999</v>
      </c>
      <c r="AP152" s="843">
        <v>1726</v>
      </c>
      <c r="AQ152" s="843">
        <f>AP152*$AH$3</f>
        <v>1760.52</v>
      </c>
      <c r="AR152" s="843">
        <f>'[1]BUDGET DETAIL'!$CO$467</f>
        <v>1726</v>
      </c>
      <c r="AS152" s="843">
        <f t="shared" si="66"/>
        <v>0</v>
      </c>
      <c r="AT152" s="2239">
        <f t="shared" si="67"/>
        <v>0</v>
      </c>
      <c r="AU152" s="890"/>
      <c r="AV152" s="819"/>
      <c r="AW152" s="797">
        <f>SUM(AU152-H152)</f>
        <v>-1500</v>
      </c>
      <c r="AX152" s="805">
        <f>IF(H152&gt;0,AW152/H152,"")</f>
        <v>-1</v>
      </c>
      <c r="AY152" s="891"/>
      <c r="AZ152" s="2136"/>
      <c r="BA152" s="2136"/>
      <c r="BB152" s="2145"/>
    </row>
    <row r="153" spans="1:54" ht="13.9" hidden="1" customHeight="1" outlineLevel="1" x14ac:dyDescent="0.2">
      <c r="A153" s="808" t="s">
        <v>820</v>
      </c>
      <c r="B153" s="799">
        <v>200</v>
      </c>
      <c r="C153" s="797">
        <v>44</v>
      </c>
      <c r="D153" s="887">
        <v>100</v>
      </c>
      <c r="E153" s="797">
        <v>100</v>
      </c>
      <c r="F153" s="887">
        <v>100</v>
      </c>
      <c r="G153" s="887">
        <v>0</v>
      </c>
      <c r="H153" s="888">
        <v>100</v>
      </c>
      <c r="I153" s="888">
        <v>92</v>
      </c>
      <c r="J153" s="839">
        <v>100</v>
      </c>
      <c r="K153" s="817"/>
      <c r="L153" s="996">
        <v>0</v>
      </c>
      <c r="M153" s="996">
        <v>100</v>
      </c>
      <c r="N153" s="846">
        <f>L153</f>
        <v>0</v>
      </c>
      <c r="O153" s="817"/>
      <c r="P153" s="817" t="e">
        <f>O153*(1+#REF!)</f>
        <v>#REF!</v>
      </c>
      <c r="Q153" s="817"/>
      <c r="R153" s="817" t="e">
        <f>Q153*(1+#REF!)</f>
        <v>#REF!</v>
      </c>
      <c r="S153" s="817"/>
      <c r="T153" s="817">
        <v>0</v>
      </c>
      <c r="U153" s="817">
        <v>0</v>
      </c>
      <c r="V153" s="817" t="e">
        <f>S153*(1+#REF!)</f>
        <v>#REF!</v>
      </c>
      <c r="W153" s="817">
        <f>U153</f>
        <v>0</v>
      </c>
      <c r="X153" s="817" t="e">
        <f>S153*(1+#REF!)</f>
        <v>#REF!</v>
      </c>
      <c r="Y153" s="817">
        <f>U153</f>
        <v>0</v>
      </c>
      <c r="Z153" s="843">
        <f>Y153*(1+$A$4/100)</f>
        <v>0</v>
      </c>
      <c r="AA153" s="817">
        <f>W153</f>
        <v>0</v>
      </c>
      <c r="AB153" s="843">
        <f>AA153*(1+$A$4/100)</f>
        <v>0</v>
      </c>
      <c r="AC153" s="817">
        <f>Y153</f>
        <v>0</v>
      </c>
      <c r="AD153" s="817"/>
      <c r="AE153" s="817"/>
      <c r="AF153" s="843">
        <v>0</v>
      </c>
      <c r="AG153" s="843"/>
      <c r="AH153" s="843"/>
      <c r="AI153" s="817"/>
      <c r="AJ153" s="817"/>
      <c r="AK153" s="817"/>
      <c r="AL153" s="817"/>
      <c r="AM153" s="817"/>
      <c r="AN153" s="817"/>
      <c r="AO153" s="817"/>
      <c r="AP153" s="817"/>
      <c r="AQ153" s="817"/>
      <c r="AR153" s="817"/>
      <c r="AS153" s="817">
        <f t="shared" si="66"/>
        <v>0</v>
      </c>
      <c r="AT153" s="2240" t="str">
        <f t="shared" si="67"/>
        <v/>
      </c>
      <c r="AU153" s="890"/>
      <c r="AV153" s="819"/>
      <c r="AW153" s="797">
        <f>SUM(AU153-H153)</f>
        <v>-100</v>
      </c>
      <c r="AX153" s="805">
        <f>IF(H153&gt;0,AW153/H153,"")</f>
        <v>-1</v>
      </c>
      <c r="AY153" s="807"/>
      <c r="AZ153" s="2136"/>
      <c r="BA153" s="2136"/>
    </row>
    <row r="154" spans="1:54" ht="13.9" hidden="1" customHeight="1" outlineLevel="1" x14ac:dyDescent="0.2">
      <c r="A154" s="997" t="s">
        <v>892</v>
      </c>
      <c r="B154" s="810">
        <f t="shared" ref="B154:N154" si="71">SUM(B152:B153)</f>
        <v>1700</v>
      </c>
      <c r="C154" s="810">
        <f t="shared" si="71"/>
        <v>1544</v>
      </c>
      <c r="D154" s="810">
        <f t="shared" si="71"/>
        <v>1600</v>
      </c>
      <c r="E154" s="810">
        <f t="shared" si="71"/>
        <v>1600</v>
      </c>
      <c r="F154" s="810">
        <f t="shared" si="71"/>
        <v>1600</v>
      </c>
      <c r="G154" s="810">
        <f t="shared" si="71"/>
        <v>1500</v>
      </c>
      <c r="H154" s="811">
        <f t="shared" si="71"/>
        <v>1600</v>
      </c>
      <c r="I154" s="811">
        <f t="shared" si="71"/>
        <v>1592</v>
      </c>
      <c r="J154" s="813">
        <f t="shared" si="71"/>
        <v>1600</v>
      </c>
      <c r="K154" s="814" t="s">
        <v>463</v>
      </c>
      <c r="L154" s="885">
        <f t="shared" si="71"/>
        <v>1500</v>
      </c>
      <c r="M154" s="885">
        <f t="shared" si="71"/>
        <v>1600</v>
      </c>
      <c r="N154" s="880">
        <f t="shared" si="71"/>
        <v>1500</v>
      </c>
      <c r="O154" s="814">
        <f>O152</f>
        <v>1500</v>
      </c>
      <c r="P154" s="814" t="e">
        <f>P152+P153</f>
        <v>#REF!</v>
      </c>
      <c r="Q154" s="852">
        <f>IF(SUM(Q152:Q153)=0,P154,SUM(Q152:Q153))</f>
        <v>1500</v>
      </c>
      <c r="R154" s="814" t="e">
        <f>R152+R153</f>
        <v>#REF!</v>
      </c>
      <c r="S154" s="852" t="e">
        <f>IF(SUM(S152:S153)=0,R154,SUM(S152:S153))</f>
        <v>#REF!</v>
      </c>
      <c r="T154" s="814">
        <v>1530</v>
      </c>
      <c r="U154" s="814">
        <v>1530</v>
      </c>
      <c r="V154" s="814" t="e">
        <f>V152+V153</f>
        <v>#REF!</v>
      </c>
      <c r="W154" s="852">
        <f>IF(SUM(W152:W153)=0,V154,SUM(W152:W153))</f>
        <v>1561</v>
      </c>
      <c r="X154" s="814" t="e">
        <f>X152+X153</f>
        <v>#REF!</v>
      </c>
      <c r="Y154" s="852">
        <f>IF(SUM(Y152:Y153)=0,X154,SUM(Y152:Y153))</f>
        <v>1593</v>
      </c>
      <c r="Z154" s="814">
        <f>Z152+Z153</f>
        <v>1625</v>
      </c>
      <c r="AA154" s="852">
        <f>IF(SUM(AA152:AA153)=0,Z154,SUM(AA152:AA153))</f>
        <v>1625</v>
      </c>
      <c r="AB154" s="814">
        <f>AB152+AB153</f>
        <v>1658</v>
      </c>
      <c r="AC154" s="852">
        <f>IF(SUM(AC152:AC153)=0,AB154,SUM(AC152:AC153))</f>
        <v>1658</v>
      </c>
      <c r="AD154" s="852"/>
      <c r="AE154" s="852">
        <v>1692</v>
      </c>
      <c r="AF154" s="852">
        <v>1692</v>
      </c>
      <c r="AG154" s="852">
        <v>1692</v>
      </c>
      <c r="AH154" s="852">
        <v>1692</v>
      </c>
      <c r="AI154" s="1166">
        <v>1692</v>
      </c>
      <c r="AJ154" s="1166">
        <v>1726</v>
      </c>
      <c r="AK154" s="1166">
        <v>1777.78</v>
      </c>
      <c r="AL154" s="1166">
        <v>1726</v>
      </c>
      <c r="AM154" s="1166">
        <f t="shared" ref="AM154:AR154" si="72">SUM(AM152:AM153)</f>
        <v>1760.52</v>
      </c>
      <c r="AN154" s="1166">
        <f t="shared" si="72"/>
        <v>1726</v>
      </c>
      <c r="AO154" s="1166">
        <f t="shared" si="72"/>
        <v>1769.1499999999999</v>
      </c>
      <c r="AP154" s="1166">
        <f t="shared" si="72"/>
        <v>1726</v>
      </c>
      <c r="AQ154" s="1166">
        <f t="shared" si="72"/>
        <v>1760.52</v>
      </c>
      <c r="AR154" s="1166">
        <f t="shared" si="72"/>
        <v>1726</v>
      </c>
      <c r="AS154" s="1166">
        <f t="shared" si="66"/>
        <v>0</v>
      </c>
      <c r="AT154" s="2256">
        <f t="shared" si="67"/>
        <v>0</v>
      </c>
      <c r="AU154" s="854">
        <f>SUM(AU152:AU153)</f>
        <v>0</v>
      </c>
      <c r="AV154" s="819"/>
      <c r="AW154" s="797">
        <f>SUM(AU154-H154)</f>
        <v>-1600</v>
      </c>
      <c r="AX154" s="805">
        <f>IF(H154&gt;0,AW154/H154,"")</f>
        <v>-1</v>
      </c>
      <c r="AY154" s="807"/>
      <c r="AZ154" s="2136"/>
      <c r="BA154" s="2136"/>
    </row>
    <row r="155" spans="1:54" ht="13.9" hidden="1" customHeight="1" outlineLevel="1" x14ac:dyDescent="0.2">
      <c r="A155" s="855"/>
      <c r="B155" s="824"/>
      <c r="C155" s="824"/>
      <c r="D155" s="824"/>
      <c r="E155" s="824"/>
      <c r="F155" s="824"/>
      <c r="G155" s="824"/>
      <c r="H155" s="943"/>
      <c r="I155" s="943"/>
      <c r="J155" s="883"/>
      <c r="K155" s="857"/>
      <c r="L155" s="864"/>
      <c r="M155" s="864"/>
      <c r="N155" s="975"/>
      <c r="O155" s="857"/>
      <c r="P155" s="857"/>
      <c r="Q155" s="857"/>
      <c r="R155" s="857"/>
      <c r="S155" s="857"/>
      <c r="T155" s="857"/>
      <c r="U155" s="857"/>
      <c r="V155" s="857"/>
      <c r="W155" s="857"/>
      <c r="X155" s="857"/>
      <c r="Y155" s="857"/>
      <c r="Z155" s="857"/>
      <c r="AA155" s="857"/>
      <c r="AB155" s="857"/>
      <c r="AC155" s="857"/>
      <c r="AD155" s="857"/>
      <c r="AE155" s="857"/>
      <c r="AF155" s="857"/>
      <c r="AG155" s="857"/>
      <c r="AH155" s="857"/>
      <c r="AI155" s="857"/>
      <c r="AJ155" s="857"/>
      <c r="AK155" s="857"/>
      <c r="AL155" s="857"/>
      <c r="AM155" s="857"/>
      <c r="AN155" s="857"/>
      <c r="AO155" s="857"/>
      <c r="AP155" s="857"/>
      <c r="AQ155" s="857"/>
      <c r="AR155" s="857"/>
      <c r="AS155" s="857">
        <f t="shared" si="66"/>
        <v>0</v>
      </c>
      <c r="AT155" s="2253" t="str">
        <f t="shared" si="67"/>
        <v/>
      </c>
      <c r="AU155" s="935"/>
      <c r="AV155" s="834"/>
      <c r="AW155" s="823"/>
      <c r="AX155" s="835"/>
      <c r="AY155" s="836"/>
      <c r="AZ155" s="2136"/>
      <c r="BA155" s="2136"/>
    </row>
    <row r="156" spans="1:54" ht="13.9" hidden="1" customHeight="1" outlineLevel="1" collapsed="1" x14ac:dyDescent="0.2">
      <c r="A156" s="808" t="s">
        <v>607</v>
      </c>
      <c r="B156" s="837"/>
      <c r="C156" s="837"/>
      <c r="D156" s="936"/>
      <c r="E156" s="837"/>
      <c r="F156" s="936"/>
      <c r="G156" s="936"/>
      <c r="H156" s="937"/>
      <c r="I156" s="937"/>
      <c r="J156" s="884"/>
      <c r="K156" s="859"/>
      <c r="L156" s="865"/>
      <c r="M156" s="865"/>
      <c r="N156" s="838"/>
      <c r="O156" s="859"/>
      <c r="P156" s="859"/>
      <c r="Q156" s="859"/>
      <c r="R156" s="859"/>
      <c r="S156" s="859"/>
      <c r="T156" s="859"/>
      <c r="U156" s="859"/>
      <c r="V156" s="859"/>
      <c r="W156" s="859"/>
      <c r="X156" s="859"/>
      <c r="Y156" s="859"/>
      <c r="Z156" s="859"/>
      <c r="AA156" s="859"/>
      <c r="AB156" s="859"/>
      <c r="AC156" s="859"/>
      <c r="AD156" s="859"/>
      <c r="AE156" s="859"/>
      <c r="AF156" s="859"/>
      <c r="AG156" s="859"/>
      <c r="AH156" s="859"/>
      <c r="AI156" s="859"/>
      <c r="AJ156" s="859"/>
      <c r="AK156" s="859"/>
      <c r="AL156" s="859"/>
      <c r="AM156" s="859"/>
      <c r="AN156" s="859"/>
      <c r="AO156" s="859"/>
      <c r="AP156" s="859"/>
      <c r="AQ156" s="859"/>
      <c r="AR156" s="859"/>
      <c r="AS156" s="859">
        <f t="shared" si="66"/>
        <v>0</v>
      </c>
      <c r="AT156" s="2239" t="str">
        <f t="shared" si="67"/>
        <v/>
      </c>
      <c r="AU156" s="938"/>
      <c r="AV156" s="819"/>
      <c r="AW156" s="797"/>
      <c r="AX156" s="805"/>
      <c r="AY156" s="807"/>
      <c r="AZ156" s="2136"/>
      <c r="BA156" s="2136"/>
    </row>
    <row r="157" spans="1:54" ht="13.9" hidden="1" customHeight="1" outlineLevel="1" x14ac:dyDescent="0.2">
      <c r="A157" s="808" t="s">
        <v>684</v>
      </c>
      <c r="B157" s="799">
        <v>8500</v>
      </c>
      <c r="C157" s="797">
        <v>8500</v>
      </c>
      <c r="D157" s="887">
        <v>8500</v>
      </c>
      <c r="E157" s="797">
        <v>8500</v>
      </c>
      <c r="F157" s="887">
        <v>8500</v>
      </c>
      <c r="G157" s="887">
        <v>8500</v>
      </c>
      <c r="H157" s="888">
        <v>8500</v>
      </c>
      <c r="I157" s="888">
        <v>8500</v>
      </c>
      <c r="J157" s="839">
        <v>8500</v>
      </c>
      <c r="K157" s="817"/>
      <c r="L157" s="876">
        <v>8670</v>
      </c>
      <c r="M157" s="840">
        <v>8904</v>
      </c>
      <c r="N157" s="841">
        <v>8904</v>
      </c>
      <c r="O157" s="817">
        <v>8904</v>
      </c>
      <c r="P157" s="817">
        <v>8904</v>
      </c>
      <c r="Q157" s="817">
        <v>8904</v>
      </c>
      <c r="R157" s="817">
        <v>8904</v>
      </c>
      <c r="S157" s="817"/>
      <c r="T157" s="817">
        <v>9082</v>
      </c>
      <c r="U157" s="817">
        <v>9082</v>
      </c>
      <c r="V157" s="843">
        <v>9264</v>
      </c>
      <c r="W157" s="817">
        <f>V157</f>
        <v>9264</v>
      </c>
      <c r="X157" s="843">
        <v>9449</v>
      </c>
      <c r="Y157" s="843">
        <v>9449</v>
      </c>
      <c r="Z157" s="843">
        <v>9638</v>
      </c>
      <c r="AA157" s="843">
        <f>Z157</f>
        <v>9638</v>
      </c>
      <c r="AB157" s="843">
        <v>9831</v>
      </c>
      <c r="AC157" s="843">
        <f>AB157</f>
        <v>9831</v>
      </c>
      <c r="AD157" s="843"/>
      <c r="AE157" s="843">
        <v>10028</v>
      </c>
      <c r="AF157" s="843"/>
      <c r="AG157" s="843">
        <v>10328.84</v>
      </c>
      <c r="AH157" s="843">
        <v>10028</v>
      </c>
      <c r="AI157" s="843">
        <v>10328.84</v>
      </c>
      <c r="AJ157" s="843">
        <v>10229</v>
      </c>
      <c r="AK157" s="843">
        <v>10535.87</v>
      </c>
      <c r="AL157" s="843">
        <v>10229</v>
      </c>
      <c r="AM157" s="843">
        <f>AL157*$AH$3</f>
        <v>10433.58</v>
      </c>
      <c r="AN157" s="843">
        <v>10229</v>
      </c>
      <c r="AO157" s="843">
        <v>10484.724999999999</v>
      </c>
      <c r="AP157" s="843">
        <v>10229</v>
      </c>
      <c r="AQ157" s="843">
        <f>AP157*$AH$3</f>
        <v>10433.58</v>
      </c>
      <c r="AR157" s="843">
        <f>'[1]BUDGET DETAIL'!$CO$473</f>
        <v>7750</v>
      </c>
      <c r="AS157" s="843">
        <f t="shared" si="66"/>
        <v>-2479</v>
      </c>
      <c r="AT157" s="2239">
        <f t="shared" si="67"/>
        <v>-0.24235018085834392</v>
      </c>
      <c r="AU157" s="890"/>
      <c r="AV157" s="819"/>
      <c r="AW157" s="797">
        <f>SUM(AU157-H157)</f>
        <v>-8500</v>
      </c>
      <c r="AX157" s="805">
        <f>IF(H157&gt;0,AW157/H157,"")</f>
        <v>-1</v>
      </c>
      <c r="AY157" s="807"/>
      <c r="AZ157" s="2136"/>
      <c r="BA157" s="2136"/>
    </row>
    <row r="158" spans="1:54" ht="13.9" hidden="1" customHeight="1" outlineLevel="1" x14ac:dyDescent="0.2">
      <c r="A158" s="808" t="s">
        <v>820</v>
      </c>
      <c r="B158" s="799">
        <v>1600</v>
      </c>
      <c r="C158" s="797">
        <v>1062.32</v>
      </c>
      <c r="D158" s="887">
        <v>1600</v>
      </c>
      <c r="E158" s="797">
        <v>789.53</v>
      </c>
      <c r="F158" s="887">
        <v>1600</v>
      </c>
      <c r="G158" s="887">
        <v>707.9</v>
      </c>
      <c r="H158" s="888">
        <v>1600</v>
      </c>
      <c r="I158" s="888">
        <v>522.36</v>
      </c>
      <c r="J158" s="839">
        <v>1600</v>
      </c>
      <c r="K158" s="817"/>
      <c r="L158" s="845">
        <v>300</v>
      </c>
      <c r="M158" s="845">
        <v>1600</v>
      </c>
      <c r="N158" s="846">
        <v>549</v>
      </c>
      <c r="O158" s="817">
        <v>549</v>
      </c>
      <c r="P158" s="817">
        <v>549</v>
      </c>
      <c r="Q158" s="817">
        <v>549</v>
      </c>
      <c r="R158" s="817">
        <v>549</v>
      </c>
      <c r="S158" s="817"/>
      <c r="T158" s="817">
        <v>549</v>
      </c>
      <c r="U158" s="817">
        <v>549</v>
      </c>
      <c r="V158" s="843">
        <v>560</v>
      </c>
      <c r="W158" s="817">
        <f>V158</f>
        <v>560</v>
      </c>
      <c r="X158" s="843">
        <v>560</v>
      </c>
      <c r="Y158" s="843">
        <v>560</v>
      </c>
      <c r="Z158" s="843">
        <v>560</v>
      </c>
      <c r="AA158" s="843">
        <f>Z158</f>
        <v>560</v>
      </c>
      <c r="AB158" s="843">
        <v>571</v>
      </c>
      <c r="AC158" s="843">
        <f>AB158</f>
        <v>571</v>
      </c>
      <c r="AD158" s="843"/>
      <c r="AE158" s="843">
        <v>571</v>
      </c>
      <c r="AF158" s="843"/>
      <c r="AG158" s="843">
        <v>571</v>
      </c>
      <c r="AH158" s="843">
        <v>571</v>
      </c>
      <c r="AI158" s="843">
        <v>571</v>
      </c>
      <c r="AJ158" s="843">
        <v>571</v>
      </c>
      <c r="AK158" s="843">
        <v>571</v>
      </c>
      <c r="AL158" s="843">
        <v>571</v>
      </c>
      <c r="AM158" s="843">
        <f>AL158*$AH$4</f>
        <v>571</v>
      </c>
      <c r="AN158" s="843">
        <v>571</v>
      </c>
      <c r="AO158" s="843">
        <v>571</v>
      </c>
      <c r="AP158" s="843">
        <v>571</v>
      </c>
      <c r="AQ158" s="843">
        <f>AP158*$AH$4</f>
        <v>571</v>
      </c>
      <c r="AR158" s="843">
        <f>'[1]BUDGET DETAIL'!$CO$476</f>
        <v>571</v>
      </c>
      <c r="AS158" s="843">
        <f t="shared" si="66"/>
        <v>0</v>
      </c>
      <c r="AT158" s="2239">
        <f t="shared" si="67"/>
        <v>0</v>
      </c>
      <c r="AU158" s="890"/>
      <c r="AV158" s="819"/>
      <c r="AW158" s="797">
        <f>SUM(AU158-H158)</f>
        <v>-1600</v>
      </c>
      <c r="AX158" s="805">
        <f>IF(H158&gt;0,AW158/H158,"")</f>
        <v>-1</v>
      </c>
      <c r="AY158" s="807"/>
      <c r="AZ158" s="2136"/>
      <c r="BA158" s="2136"/>
    </row>
    <row r="159" spans="1:54" ht="13.9" hidden="1" customHeight="1" outlineLevel="1" x14ac:dyDescent="0.2">
      <c r="A159" s="878" t="s">
        <v>821</v>
      </c>
      <c r="B159" s="810">
        <f>SUM(B157:B158)</f>
        <v>10100</v>
      </c>
      <c r="C159" s="944">
        <f>SUM(C157:C158)</f>
        <v>9562.32</v>
      </c>
      <c r="D159" s="944">
        <f>SUM(D157:D158)</f>
        <v>10100</v>
      </c>
      <c r="E159" s="944">
        <f t="shared" ref="E159:J159" si="73">SUM(E157:E158)</f>
        <v>9289.5300000000007</v>
      </c>
      <c r="F159" s="944">
        <f t="shared" si="73"/>
        <v>10100</v>
      </c>
      <c r="G159" s="944">
        <f t="shared" si="73"/>
        <v>9207.9</v>
      </c>
      <c r="H159" s="944">
        <f t="shared" si="73"/>
        <v>10100</v>
      </c>
      <c r="I159" s="944">
        <f t="shared" si="73"/>
        <v>9022.36</v>
      </c>
      <c r="J159" s="813">
        <f t="shared" si="73"/>
        <v>10100</v>
      </c>
      <c r="K159" s="814" t="s">
        <v>462</v>
      </c>
      <c r="L159" s="879">
        <f>SUM(L157:L158)</f>
        <v>8970</v>
      </c>
      <c r="M159" s="879">
        <f>SUM(M157:M158)</f>
        <v>10504</v>
      </c>
      <c r="N159" s="880">
        <f>SUM(N157:N158)</f>
        <v>9453</v>
      </c>
      <c r="O159" s="814">
        <f>O157+O158</f>
        <v>9453</v>
      </c>
      <c r="P159" s="814">
        <f>P157+P158</f>
        <v>9453</v>
      </c>
      <c r="Q159" s="852">
        <f>IF(SUM(Q157:Q158)=0,P159,SUM(Q157:Q158))</f>
        <v>9453</v>
      </c>
      <c r="R159" s="814">
        <f>R157+R158</f>
        <v>9453</v>
      </c>
      <c r="S159" s="852">
        <f>IF(SUM(S157:S158)=0,R159,SUM(S157:S158))</f>
        <v>9453</v>
      </c>
      <c r="T159" s="814">
        <v>9631</v>
      </c>
      <c r="U159" s="814">
        <v>9631</v>
      </c>
      <c r="V159" s="814">
        <f>V157+V158</f>
        <v>9824</v>
      </c>
      <c r="W159" s="852">
        <f>IF(SUM(W157:W158)=0,V159,SUM(W157:W158))</f>
        <v>9824</v>
      </c>
      <c r="X159" s="814">
        <f>X157+X158</f>
        <v>10009</v>
      </c>
      <c r="Y159" s="852">
        <f>IF(SUM(Y157:Y158)=0,X159,SUM(Y157:Y158))</f>
        <v>10009</v>
      </c>
      <c r="Z159" s="814">
        <f>Z157+Z158</f>
        <v>10198</v>
      </c>
      <c r="AA159" s="852">
        <f>IF(SUM(AA157:AA158)=0,Z159,SUM(AA157:AA158))</f>
        <v>10198</v>
      </c>
      <c r="AB159" s="814">
        <f>AB157+AB158</f>
        <v>10402</v>
      </c>
      <c r="AC159" s="852">
        <f>IF(SUM(AC157:AC158)=0,AB159,SUM(AC157:AC158))</f>
        <v>10402</v>
      </c>
      <c r="AD159" s="852"/>
      <c r="AE159" s="852">
        <v>10599</v>
      </c>
      <c r="AF159" s="852">
        <v>10599</v>
      </c>
      <c r="AG159" s="852">
        <v>10899.84</v>
      </c>
      <c r="AH159" s="852">
        <v>10599</v>
      </c>
      <c r="AI159" s="814">
        <v>10899.84</v>
      </c>
      <c r="AJ159" s="814">
        <v>10800</v>
      </c>
      <c r="AK159" s="814">
        <v>11106.87</v>
      </c>
      <c r="AL159" s="814">
        <v>10800</v>
      </c>
      <c r="AM159" s="814">
        <f t="shared" ref="AM159:AR159" si="74">SUM(AM157:AM158)</f>
        <v>11004.58</v>
      </c>
      <c r="AN159" s="814">
        <f t="shared" si="74"/>
        <v>10800</v>
      </c>
      <c r="AO159" s="814">
        <f t="shared" si="74"/>
        <v>11055.724999999999</v>
      </c>
      <c r="AP159" s="814">
        <f t="shared" si="74"/>
        <v>10800</v>
      </c>
      <c r="AQ159" s="814">
        <f t="shared" si="74"/>
        <v>11004.58</v>
      </c>
      <c r="AR159" s="814">
        <f t="shared" si="74"/>
        <v>8321</v>
      </c>
      <c r="AS159" s="814">
        <f t="shared" si="66"/>
        <v>-2479</v>
      </c>
      <c r="AT159" s="2242">
        <f t="shared" si="67"/>
        <v>-0.22953703703703704</v>
      </c>
      <c r="AU159" s="854">
        <f>SUM(AU157:AU158)</f>
        <v>0</v>
      </c>
      <c r="AV159" s="819"/>
      <c r="AW159" s="797">
        <f>SUM(AU159-H159)</f>
        <v>-10100</v>
      </c>
      <c r="AX159" s="805">
        <f>IF(H159&gt;0,AW159/H159,"")</f>
        <v>-1</v>
      </c>
      <c r="AY159" s="807"/>
      <c r="AZ159" s="2136"/>
      <c r="BA159" s="2136"/>
    </row>
    <row r="160" spans="1:54" ht="13.9" hidden="1" customHeight="1" outlineLevel="1" x14ac:dyDescent="0.2">
      <c r="A160" s="855"/>
      <c r="B160" s="822"/>
      <c r="C160" s="824"/>
      <c r="D160" s="823"/>
      <c r="E160" s="824"/>
      <c r="F160" s="823"/>
      <c r="G160" s="823"/>
      <c r="H160" s="823"/>
      <c r="I160" s="823"/>
      <c r="J160" s="883"/>
      <c r="K160" s="857"/>
      <c r="L160" s="864"/>
      <c r="M160" s="864"/>
      <c r="N160" s="975"/>
      <c r="O160" s="857"/>
      <c r="P160" s="857"/>
      <c r="Q160" s="857"/>
      <c r="R160" s="857"/>
      <c r="S160" s="857"/>
      <c r="T160" s="857"/>
      <c r="U160" s="857"/>
      <c r="V160" s="857"/>
      <c r="W160" s="857"/>
      <c r="X160" s="857"/>
      <c r="Y160" s="857"/>
      <c r="Z160" s="857"/>
      <c r="AA160" s="857"/>
      <c r="AB160" s="857"/>
      <c r="AC160" s="857"/>
      <c r="AD160" s="857"/>
      <c r="AE160" s="857"/>
      <c r="AF160" s="857"/>
      <c r="AG160" s="857"/>
      <c r="AH160" s="857"/>
      <c r="AI160" s="857"/>
      <c r="AJ160" s="857"/>
      <c r="AK160" s="857"/>
      <c r="AL160" s="857"/>
      <c r="AM160" s="857"/>
      <c r="AN160" s="857"/>
      <c r="AO160" s="857"/>
      <c r="AP160" s="857"/>
      <c r="AQ160" s="857"/>
      <c r="AR160" s="857"/>
      <c r="AS160" s="857">
        <f t="shared" si="66"/>
        <v>0</v>
      </c>
      <c r="AT160" s="2253" t="str">
        <f t="shared" si="67"/>
        <v/>
      </c>
      <c r="AU160" s="833"/>
      <c r="AV160" s="834"/>
      <c r="AW160" s="823"/>
      <c r="AX160" s="835"/>
      <c r="AY160" s="836"/>
      <c r="AZ160" s="2136"/>
      <c r="BA160" s="2136"/>
    </row>
    <row r="161" spans="1:54" ht="13.9" hidden="1" customHeight="1" outlineLevel="1" collapsed="1" x14ac:dyDescent="0.2">
      <c r="A161" s="808" t="s">
        <v>608</v>
      </c>
      <c r="B161" s="796"/>
      <c r="C161" s="837"/>
      <c r="D161" s="797"/>
      <c r="E161" s="837"/>
      <c r="F161" s="797"/>
      <c r="G161" s="797"/>
      <c r="H161" s="797"/>
      <c r="I161" s="797"/>
      <c r="J161" s="884"/>
      <c r="K161" s="859"/>
      <c r="L161" s="865"/>
      <c r="M161" s="865"/>
      <c r="N161" s="838"/>
      <c r="O161" s="859"/>
      <c r="P161" s="859"/>
      <c r="Q161" s="859"/>
      <c r="R161" s="859"/>
      <c r="S161" s="859"/>
      <c r="T161" s="859"/>
      <c r="U161" s="859"/>
      <c r="V161" s="859"/>
      <c r="W161" s="859"/>
      <c r="X161" s="859"/>
      <c r="Y161" s="859"/>
      <c r="Z161" s="859"/>
      <c r="AA161" s="859"/>
      <c r="AB161" s="859"/>
      <c r="AC161" s="859"/>
      <c r="AD161" s="859"/>
      <c r="AE161" s="859"/>
      <c r="AF161" s="859"/>
      <c r="AG161" s="859"/>
      <c r="AH161" s="859"/>
      <c r="AI161" s="859"/>
      <c r="AJ161" s="859"/>
      <c r="AK161" s="859"/>
      <c r="AL161" s="859"/>
      <c r="AM161" s="859"/>
      <c r="AN161" s="859"/>
      <c r="AO161" s="859"/>
      <c r="AP161" s="859"/>
      <c r="AQ161" s="859"/>
      <c r="AR161" s="859"/>
      <c r="AS161" s="859">
        <f t="shared" si="66"/>
        <v>0</v>
      </c>
      <c r="AT161" s="2239" t="str">
        <f t="shared" si="67"/>
        <v/>
      </c>
      <c r="AU161" s="803"/>
      <c r="AV161" s="819"/>
      <c r="AW161" s="797"/>
      <c r="AX161" s="805"/>
      <c r="AY161" s="807"/>
      <c r="AZ161" s="2136"/>
      <c r="BA161" s="2136"/>
    </row>
    <row r="162" spans="1:54" ht="13.9" hidden="1" customHeight="1" outlineLevel="1" x14ac:dyDescent="0.2">
      <c r="A162" s="808" t="s">
        <v>684</v>
      </c>
      <c r="B162" s="799">
        <v>6000</v>
      </c>
      <c r="C162" s="797">
        <v>6000</v>
      </c>
      <c r="D162" s="887">
        <v>6180</v>
      </c>
      <c r="E162" s="797">
        <v>6180</v>
      </c>
      <c r="F162" s="887">
        <v>6180</v>
      </c>
      <c r="G162" s="887">
        <v>6180</v>
      </c>
      <c r="H162" s="888">
        <v>6365</v>
      </c>
      <c r="I162" s="888">
        <v>6365</v>
      </c>
      <c r="J162" s="839">
        <v>6525</v>
      </c>
      <c r="K162" s="817"/>
      <c r="L162" s="876">
        <v>6701</v>
      </c>
      <c r="M162" s="840">
        <v>6882</v>
      </c>
      <c r="N162" s="841">
        <v>6882</v>
      </c>
      <c r="O162" s="817">
        <v>6882</v>
      </c>
      <c r="P162" s="817">
        <v>6882</v>
      </c>
      <c r="Q162" s="817">
        <v>6882</v>
      </c>
      <c r="R162" s="817">
        <v>6882</v>
      </c>
      <c r="S162" s="817"/>
      <c r="T162" s="817">
        <v>7020</v>
      </c>
      <c r="U162" s="817">
        <v>7020</v>
      </c>
      <c r="V162" s="843">
        <v>7160</v>
      </c>
      <c r="W162" s="817">
        <f>V162</f>
        <v>7160</v>
      </c>
      <c r="X162" s="843">
        <v>7303</v>
      </c>
      <c r="Y162" s="843">
        <v>7303</v>
      </c>
      <c r="Z162" s="843">
        <v>7303</v>
      </c>
      <c r="AA162" s="843">
        <f>Z162</f>
        <v>7303</v>
      </c>
      <c r="AB162" s="843">
        <v>7449</v>
      </c>
      <c r="AC162" s="843">
        <f>AB162</f>
        <v>7449</v>
      </c>
      <c r="AD162" s="843"/>
      <c r="AE162" s="843">
        <v>7598</v>
      </c>
      <c r="AF162" s="843"/>
      <c r="AG162" s="843">
        <v>7825.9400000000005</v>
      </c>
      <c r="AH162" s="843">
        <v>7598</v>
      </c>
      <c r="AI162" s="843">
        <v>7825.9400000000005</v>
      </c>
      <c r="AJ162" s="843">
        <v>7750</v>
      </c>
      <c r="AK162" s="843">
        <v>7982.5</v>
      </c>
      <c r="AL162" s="843">
        <v>7750</v>
      </c>
      <c r="AM162" s="843">
        <f>AL162*$AH$3</f>
        <v>7905</v>
      </c>
      <c r="AN162" s="843">
        <v>7750</v>
      </c>
      <c r="AO162" s="843">
        <v>7943.7499999999991</v>
      </c>
      <c r="AP162" s="843">
        <v>7750</v>
      </c>
      <c r="AQ162" s="843">
        <f>AP162*$AH$3</f>
        <v>7905</v>
      </c>
      <c r="AR162" s="843">
        <f>'[1]BUDGET DETAIL'!$CO$482</f>
        <v>7750</v>
      </c>
      <c r="AS162" s="843">
        <f t="shared" si="66"/>
        <v>0</v>
      </c>
      <c r="AT162" s="2239">
        <f t="shared" si="67"/>
        <v>0</v>
      </c>
      <c r="AU162" s="890"/>
      <c r="AV162" s="819"/>
      <c r="AW162" s="797">
        <f>SUM(AU162-H162)</f>
        <v>-6365</v>
      </c>
      <c r="AX162" s="805">
        <f>IF(H162&gt;0,AW162/H162,"")</f>
        <v>-1</v>
      </c>
      <c r="AY162" s="807"/>
      <c r="AZ162" s="2136"/>
      <c r="BA162" s="2136"/>
    </row>
    <row r="163" spans="1:54" ht="13.9" hidden="1" customHeight="1" outlineLevel="1" x14ac:dyDescent="0.2">
      <c r="A163" s="808" t="s">
        <v>820</v>
      </c>
      <c r="B163" s="799">
        <v>1395</v>
      </c>
      <c r="C163" s="797">
        <v>840</v>
      </c>
      <c r="D163" s="887">
        <v>1340</v>
      </c>
      <c r="E163" s="797">
        <v>840</v>
      </c>
      <c r="F163" s="887">
        <v>1340</v>
      </c>
      <c r="G163" s="887">
        <v>1224.05</v>
      </c>
      <c r="H163" s="888">
        <v>1840</v>
      </c>
      <c r="I163" s="888">
        <v>1662.44</v>
      </c>
      <c r="J163" s="839">
        <v>1840</v>
      </c>
      <c r="K163" s="817"/>
      <c r="L163" s="845">
        <v>897.4</v>
      </c>
      <c r="M163" s="845">
        <v>1840</v>
      </c>
      <c r="N163" s="846">
        <v>967</v>
      </c>
      <c r="O163" s="817">
        <v>1840</v>
      </c>
      <c r="P163" s="817">
        <v>1840</v>
      </c>
      <c r="Q163" s="817">
        <v>1840</v>
      </c>
      <c r="R163" s="817">
        <v>1840</v>
      </c>
      <c r="S163" s="817"/>
      <c r="T163" s="817">
        <v>1840</v>
      </c>
      <c r="U163" s="817">
        <v>1840</v>
      </c>
      <c r="V163" s="843">
        <v>1840</v>
      </c>
      <c r="W163" s="817">
        <f>V163</f>
        <v>1840</v>
      </c>
      <c r="X163" s="843">
        <v>1840</v>
      </c>
      <c r="Y163" s="843">
        <v>1840</v>
      </c>
      <c r="Z163" s="843">
        <v>1840</v>
      </c>
      <c r="AA163" s="843">
        <f>Z163</f>
        <v>1840</v>
      </c>
      <c r="AB163" s="843">
        <v>1840</v>
      </c>
      <c r="AC163" s="843">
        <f>AB163</f>
        <v>1840</v>
      </c>
      <c r="AD163" s="843"/>
      <c r="AE163" s="843">
        <v>1840</v>
      </c>
      <c r="AF163" s="843"/>
      <c r="AG163" s="843">
        <v>1840</v>
      </c>
      <c r="AH163" s="843">
        <v>1840</v>
      </c>
      <c r="AI163" s="843">
        <v>1840</v>
      </c>
      <c r="AJ163" s="843">
        <v>1840</v>
      </c>
      <c r="AK163" s="843">
        <v>1840</v>
      </c>
      <c r="AL163" s="843">
        <v>1840</v>
      </c>
      <c r="AM163" s="843">
        <f>AL163*$AH$4</f>
        <v>1840</v>
      </c>
      <c r="AN163" s="843">
        <v>1840</v>
      </c>
      <c r="AO163" s="843">
        <v>1840</v>
      </c>
      <c r="AP163" s="843">
        <v>1840</v>
      </c>
      <c r="AQ163" s="843">
        <f>AP163*$AH$4</f>
        <v>1840</v>
      </c>
      <c r="AR163" s="843">
        <f>'[1]BUDGET DETAIL'!$CO$487</f>
        <v>1840</v>
      </c>
      <c r="AS163" s="843">
        <f t="shared" si="66"/>
        <v>0</v>
      </c>
      <c r="AT163" s="2239">
        <f t="shared" si="67"/>
        <v>0</v>
      </c>
      <c r="AU163" s="890"/>
      <c r="AV163" s="819"/>
      <c r="AW163" s="797">
        <f>SUM(AU163-H163)</f>
        <v>-1840</v>
      </c>
      <c r="AX163" s="805">
        <f>IF(H163&gt;0,AW163/H163,"")</f>
        <v>-1</v>
      </c>
      <c r="AY163" s="807"/>
      <c r="AZ163" s="2136"/>
      <c r="BA163" s="2136"/>
    </row>
    <row r="164" spans="1:54" ht="13.9" hidden="1" customHeight="1" outlineLevel="1" x14ac:dyDescent="0.2">
      <c r="A164" s="795" t="s">
        <v>821</v>
      </c>
      <c r="B164" s="847">
        <f>SUM(B162:B163)</f>
        <v>7395</v>
      </c>
      <c r="C164" s="972">
        <f>SUM(C162:C163)</f>
        <v>6840</v>
      </c>
      <c r="D164" s="972">
        <f>SUM(D162:D163)</f>
        <v>7520</v>
      </c>
      <c r="E164" s="972">
        <f t="shared" ref="E164:O164" si="75">SUM(E162:E163)</f>
        <v>7020</v>
      </c>
      <c r="F164" s="972">
        <f t="shared" si="75"/>
        <v>7520</v>
      </c>
      <c r="G164" s="972">
        <f t="shared" si="75"/>
        <v>7404.05</v>
      </c>
      <c r="H164" s="972">
        <f t="shared" si="75"/>
        <v>8205</v>
      </c>
      <c r="I164" s="972">
        <f t="shared" si="75"/>
        <v>8027.4400000000005</v>
      </c>
      <c r="J164" s="848">
        <f t="shared" si="75"/>
        <v>8365</v>
      </c>
      <c r="K164" s="861" t="s">
        <v>462</v>
      </c>
      <c r="L164" s="850">
        <f t="shared" si="75"/>
        <v>7598.4</v>
      </c>
      <c r="M164" s="850">
        <f t="shared" si="75"/>
        <v>8722</v>
      </c>
      <c r="N164" s="851">
        <f t="shared" si="75"/>
        <v>7849</v>
      </c>
      <c r="O164" s="998">
        <f t="shared" si="75"/>
        <v>8722</v>
      </c>
      <c r="P164" s="998">
        <f>SUM(P162:P163)</f>
        <v>8722</v>
      </c>
      <c r="Q164" s="852">
        <f>IF(SUM(Q162:Q163)=0,P164,SUM(Q162:Q163))</f>
        <v>8722</v>
      </c>
      <c r="R164" s="998">
        <f>SUM(R162:R163)</f>
        <v>8722</v>
      </c>
      <c r="S164" s="852">
        <f>IF(SUM(S162:S163)=0,R164,SUM(S162:S163))</f>
        <v>8722</v>
      </c>
      <c r="T164" s="852">
        <v>8860</v>
      </c>
      <c r="U164" s="852">
        <v>8860</v>
      </c>
      <c r="V164" s="998">
        <f>SUM(V162:V163)</f>
        <v>9000</v>
      </c>
      <c r="W164" s="852">
        <f>IF(SUM(W162:W163)=0,V164,SUM(W162:W163))</f>
        <v>9000</v>
      </c>
      <c r="X164" s="998">
        <f>SUM(X162:X163)</f>
        <v>9143</v>
      </c>
      <c r="Y164" s="852">
        <f>IF(SUM(Y162:Y163)=0,X164,SUM(Y162:Y163))</f>
        <v>9143</v>
      </c>
      <c r="Z164" s="998">
        <f>SUM(Z162:Z163)</f>
        <v>9143</v>
      </c>
      <c r="AA164" s="852">
        <f>IF(SUM(AA162:AA163)=0,Z164,SUM(AA162:AA163))</f>
        <v>9143</v>
      </c>
      <c r="AB164" s="998">
        <f>SUM(AB162:AB163)</f>
        <v>9289</v>
      </c>
      <c r="AC164" s="852">
        <f>IF(SUM(AC162:AC163)=0,AB164,SUM(AC162:AC163))</f>
        <v>9289</v>
      </c>
      <c r="AD164" s="852"/>
      <c r="AE164" s="852">
        <v>9438</v>
      </c>
      <c r="AF164" s="852">
        <v>9438</v>
      </c>
      <c r="AG164" s="852">
        <v>9665.94</v>
      </c>
      <c r="AH164" s="852">
        <v>9438</v>
      </c>
      <c r="AI164" s="814">
        <v>9665.94</v>
      </c>
      <c r="AJ164" s="814">
        <v>9590</v>
      </c>
      <c r="AK164" s="814">
        <v>9822.5</v>
      </c>
      <c r="AL164" s="814">
        <v>9590</v>
      </c>
      <c r="AM164" s="814">
        <f t="shared" ref="AM164:AR164" si="76">SUM(AM162:AM163)</f>
        <v>9745</v>
      </c>
      <c r="AN164" s="814">
        <f t="shared" si="76"/>
        <v>9590</v>
      </c>
      <c r="AO164" s="814">
        <f t="shared" si="76"/>
        <v>9783.75</v>
      </c>
      <c r="AP164" s="814">
        <f t="shared" si="76"/>
        <v>9590</v>
      </c>
      <c r="AQ164" s="814">
        <f t="shared" si="76"/>
        <v>9745</v>
      </c>
      <c r="AR164" s="814">
        <f t="shared" si="76"/>
        <v>9590</v>
      </c>
      <c r="AS164" s="814">
        <f t="shared" si="66"/>
        <v>0</v>
      </c>
      <c r="AT164" s="2242">
        <f t="shared" si="67"/>
        <v>0</v>
      </c>
      <c r="AU164" s="854">
        <f>SUM(AU162:AU163)</f>
        <v>0</v>
      </c>
      <c r="AV164" s="819"/>
      <c r="AW164" s="797">
        <f>SUM(AU164-H164)</f>
        <v>-8205</v>
      </c>
      <c r="AX164" s="805">
        <f>IF(H164&gt;0,AW164/H164,"")</f>
        <v>-1</v>
      </c>
      <c r="AY164" s="807"/>
      <c r="AZ164" s="2136"/>
      <c r="BA164" s="2136"/>
    </row>
    <row r="165" spans="1:54" ht="13.9" hidden="1" customHeight="1" outlineLevel="1" collapsed="1" x14ac:dyDescent="0.2">
      <c r="A165" s="855"/>
      <c r="B165" s="822"/>
      <c r="C165" s="824"/>
      <c r="D165" s="823"/>
      <c r="E165" s="824"/>
      <c r="F165" s="823"/>
      <c r="G165" s="823"/>
      <c r="H165" s="823"/>
      <c r="I165" s="823"/>
      <c r="J165" s="883"/>
      <c r="K165" s="856"/>
      <c r="L165" s="863"/>
      <c r="M165" s="864"/>
      <c r="N165" s="858"/>
      <c r="O165" s="856"/>
      <c r="P165" s="856"/>
      <c r="Q165" s="856"/>
      <c r="R165" s="856"/>
      <c r="S165" s="856"/>
      <c r="T165" s="856"/>
      <c r="U165" s="856"/>
      <c r="V165" s="856"/>
      <c r="W165" s="856"/>
      <c r="X165" s="856"/>
      <c r="Y165" s="856"/>
      <c r="Z165" s="856"/>
      <c r="AA165" s="856"/>
      <c r="AB165" s="856"/>
      <c r="AC165" s="856"/>
      <c r="AD165" s="856"/>
      <c r="AE165" s="856"/>
      <c r="AF165" s="856"/>
      <c r="AG165" s="856"/>
      <c r="AH165" s="856"/>
      <c r="AI165" s="856"/>
      <c r="AJ165" s="856"/>
      <c r="AK165" s="856"/>
      <c r="AL165" s="856"/>
      <c r="AM165" s="856"/>
      <c r="AN165" s="856"/>
      <c r="AO165" s="856"/>
      <c r="AP165" s="856"/>
      <c r="AQ165" s="856"/>
      <c r="AR165" s="856"/>
      <c r="AS165" s="856">
        <f t="shared" si="66"/>
        <v>0</v>
      </c>
      <c r="AT165" s="2243" t="str">
        <f t="shared" si="67"/>
        <v/>
      </c>
      <c r="AU165" s="833"/>
      <c r="AV165" s="834"/>
      <c r="AW165" s="823"/>
      <c r="AX165" s="835"/>
      <c r="AY165" s="836"/>
      <c r="AZ165" s="2136"/>
      <c r="BA165" s="2136"/>
    </row>
    <row r="166" spans="1:54" ht="13.9" hidden="1" customHeight="1" outlineLevel="1" x14ac:dyDescent="0.2">
      <c r="A166" s="795" t="s">
        <v>692</v>
      </c>
      <c r="B166" s="796"/>
      <c r="C166" s="798"/>
      <c r="D166" s="797"/>
      <c r="E166" s="870"/>
      <c r="F166" s="870"/>
      <c r="G166" s="870"/>
      <c r="H166" s="871"/>
      <c r="I166" s="871"/>
      <c r="J166" s="884"/>
      <c r="K166" s="859"/>
      <c r="L166" s="865"/>
      <c r="M166" s="865"/>
      <c r="N166" s="838"/>
      <c r="O166" s="859"/>
      <c r="P166" s="859"/>
      <c r="Q166" s="859"/>
      <c r="R166" s="859"/>
      <c r="S166" s="859"/>
      <c r="T166" s="859"/>
      <c r="U166" s="859"/>
      <c r="V166" s="859"/>
      <c r="W166" s="859"/>
      <c r="X166" s="859"/>
      <c r="Y166" s="859"/>
      <c r="Z166" s="859"/>
      <c r="AA166" s="859"/>
      <c r="AB166" s="859"/>
      <c r="AC166" s="859"/>
      <c r="AD166" s="859"/>
      <c r="AE166" s="859"/>
      <c r="AF166" s="859"/>
      <c r="AG166" s="859"/>
      <c r="AH166" s="859"/>
      <c r="AI166" s="859"/>
      <c r="AJ166" s="859"/>
      <c r="AK166" s="859"/>
      <c r="AL166" s="859"/>
      <c r="AM166" s="859"/>
      <c r="AN166" s="859"/>
      <c r="AO166" s="859"/>
      <c r="AP166" s="859"/>
      <c r="AQ166" s="859"/>
      <c r="AR166" s="859"/>
      <c r="AS166" s="859">
        <f t="shared" si="66"/>
        <v>0</v>
      </c>
      <c r="AT166" s="2239" t="str">
        <f t="shared" si="67"/>
        <v/>
      </c>
      <c r="AU166" s="803"/>
      <c r="AV166" s="819"/>
      <c r="AW166" s="797"/>
      <c r="AX166" s="805"/>
      <c r="AY166" s="903"/>
      <c r="AZ166" s="2136"/>
      <c r="BA166" s="2136"/>
      <c r="BB166" s="2146"/>
    </row>
    <row r="167" spans="1:54" ht="13.9" hidden="1" customHeight="1" outlineLevel="1" x14ac:dyDescent="0.2">
      <c r="A167" s="878" t="s">
        <v>567</v>
      </c>
      <c r="B167" s="810">
        <f>SUM($B$123+$B$130+$B$140+$B$152+$B$157+$B$162)</f>
        <v>271098</v>
      </c>
      <c r="C167" s="810">
        <f>SUM($C$123+$C$130+$C140+$C$152+$C$157+$C$162)</f>
        <v>271098</v>
      </c>
      <c r="D167" s="810">
        <f>SUM($D$123+$D$130+$D$140+$D$152+$D$157+$D$162)</f>
        <v>291461</v>
      </c>
      <c r="E167" s="810">
        <f>SUM($E$123+$E$130+$E140+$E$152+$E$157+$E$162)</f>
        <v>290988.83999999997</v>
      </c>
      <c r="F167" s="810">
        <f>SUM($F$123+$F$130+$F$140+$F$152+$F$157+$F$162)</f>
        <v>298926</v>
      </c>
      <c r="G167" s="810">
        <f>SUM($G$123+$G$130+$G$140+$G$152+$G$157+$G$162)</f>
        <v>298159.21999999997</v>
      </c>
      <c r="H167" s="811">
        <f>SUM($H$123+$H$130+$H$140+$H$152+$H$157+$H$162)</f>
        <v>309647</v>
      </c>
      <c r="I167" s="811">
        <f>SUM($I$123+$I$130+$I$140+$I$152+$I$157+$I$162)</f>
        <v>308527.49</v>
      </c>
      <c r="J167" s="813">
        <f>SUM(J$123+J$130+J$140+J$152+J$157+J$162)</f>
        <v>323520</v>
      </c>
      <c r="K167" s="813"/>
      <c r="L167" s="999">
        <f t="shared" ref="L167:S167" si="77">SUM(L$123+L$130+L$140+L$152+L$157+L$162)</f>
        <v>320612.28999999998</v>
      </c>
      <c r="M167" s="999">
        <f t="shared" si="77"/>
        <v>331357</v>
      </c>
      <c r="N167" s="880">
        <f t="shared" si="77"/>
        <v>332687</v>
      </c>
      <c r="O167" s="880">
        <f t="shared" si="77"/>
        <v>329646</v>
      </c>
      <c r="P167" s="880">
        <f t="shared" si="77"/>
        <v>330579</v>
      </c>
      <c r="Q167" s="880">
        <f t="shared" si="77"/>
        <v>330579</v>
      </c>
      <c r="R167" s="880">
        <f t="shared" si="77"/>
        <v>338165</v>
      </c>
      <c r="S167" s="880">
        <f t="shared" si="77"/>
        <v>0</v>
      </c>
      <c r="T167" s="880">
        <v>344395</v>
      </c>
      <c r="U167" s="880">
        <v>344395</v>
      </c>
      <c r="V167" s="880">
        <f t="shared" ref="V167:AC167" si="78">SUM(V$123+V$130+V$140+V$152+V$157+V$162)</f>
        <v>347131</v>
      </c>
      <c r="W167" s="880">
        <f t="shared" si="78"/>
        <v>347131</v>
      </c>
      <c r="X167" s="880">
        <f t="shared" si="78"/>
        <v>358523</v>
      </c>
      <c r="Y167" s="880">
        <f t="shared" si="78"/>
        <v>366928</v>
      </c>
      <c r="Z167" s="880">
        <f t="shared" si="78"/>
        <v>380335</v>
      </c>
      <c r="AA167" s="880">
        <f t="shared" si="78"/>
        <v>380335</v>
      </c>
      <c r="AB167" s="880">
        <f t="shared" si="78"/>
        <v>351779</v>
      </c>
      <c r="AC167" s="880">
        <f t="shared" si="78"/>
        <v>351779</v>
      </c>
      <c r="AD167" s="880"/>
      <c r="AE167" s="880">
        <v>356031</v>
      </c>
      <c r="AF167" s="880">
        <v>0</v>
      </c>
      <c r="AG167" s="880">
        <v>370046.78</v>
      </c>
      <c r="AH167" s="880">
        <v>377659</v>
      </c>
      <c r="AI167" s="919">
        <v>388938.01</v>
      </c>
      <c r="AJ167" s="919">
        <v>386670</v>
      </c>
      <c r="AK167" s="919">
        <v>398270.10000000003</v>
      </c>
      <c r="AL167" s="919">
        <v>475674</v>
      </c>
      <c r="AM167" s="919">
        <f t="shared" ref="AM167:AR167" si="79">SUM(AM$123+AM$130+AM$140+AM$146+AM$152+AM$157+AM$162)</f>
        <v>485187.48</v>
      </c>
      <c r="AN167" s="919">
        <f t="shared" si="79"/>
        <v>507103</v>
      </c>
      <c r="AO167" s="919">
        <f t="shared" si="79"/>
        <v>519780.5749999999</v>
      </c>
      <c r="AP167" s="919">
        <f t="shared" si="79"/>
        <v>521662</v>
      </c>
      <c r="AQ167" s="919">
        <f t="shared" si="79"/>
        <v>532095.24</v>
      </c>
      <c r="AR167" s="919">
        <f t="shared" si="79"/>
        <v>512283</v>
      </c>
      <c r="AS167" s="919">
        <f t="shared" si="66"/>
        <v>-9379</v>
      </c>
      <c r="AT167" s="2242">
        <f t="shared" si="67"/>
        <v>-1.7979074573191069E-2</v>
      </c>
      <c r="AU167" s="854">
        <f>SUM($AU$123+$AU$130+$AU$140+$AU$152+$AU$157+$AU$162)</f>
        <v>0</v>
      </c>
      <c r="AV167" s="819"/>
      <c r="AW167" s="797">
        <f>SUM(AU167-H167)</f>
        <v>-309647</v>
      </c>
      <c r="AX167" s="805">
        <f>IF(H167&gt;0,AW167/H167,"")</f>
        <v>-1</v>
      </c>
      <c r="AY167" s="903"/>
      <c r="AZ167" s="2136"/>
      <c r="BA167" s="2136"/>
      <c r="BB167" s="2146"/>
    </row>
    <row r="168" spans="1:54" ht="13.9" hidden="1" customHeight="1" outlineLevel="1" x14ac:dyDescent="0.2">
      <c r="A168" s="878" t="s">
        <v>558</v>
      </c>
      <c r="B168" s="810">
        <f>SUM($B$124+$B$131+$B$141)</f>
        <v>1096296</v>
      </c>
      <c r="C168" s="810">
        <f>SUM($C$124+$C$131+$C$141)</f>
        <v>1120918.56</v>
      </c>
      <c r="D168" s="810">
        <f>SUM($D$124+$D$131+$D$141)</f>
        <v>1113051</v>
      </c>
      <c r="E168" s="810">
        <f>SUM($E$124+$E$131+$E$141)</f>
        <v>1154480.3700000001</v>
      </c>
      <c r="F168" s="810">
        <f>SUM($F$124+$F$131+$F$141)</f>
        <v>1144033</v>
      </c>
      <c r="G168" s="810">
        <f>SUM($G$124+$G$131+$G$141)</f>
        <v>1191566.1099999999</v>
      </c>
      <c r="H168" s="811">
        <f>SUM($H$124+$H$131+$H$141)</f>
        <v>1280029</v>
      </c>
      <c r="I168" s="811">
        <f>SUM($I$124+$I$131+$I$141)</f>
        <v>1228708.94</v>
      </c>
      <c r="J168" s="813">
        <f t="shared" ref="J168:AC168" si="80">SUM(J$124+J$131+J$141)</f>
        <v>1400949</v>
      </c>
      <c r="K168" s="813"/>
      <c r="L168" s="999">
        <f t="shared" si="80"/>
        <v>1409513.1300000001</v>
      </c>
      <c r="M168" s="999">
        <f t="shared" si="80"/>
        <v>1486714</v>
      </c>
      <c r="N168" s="880">
        <f t="shared" si="80"/>
        <v>1282129</v>
      </c>
      <c r="O168" s="880">
        <f t="shared" si="80"/>
        <v>1472304</v>
      </c>
      <c r="P168" s="880">
        <f t="shared" si="80"/>
        <v>1542621</v>
      </c>
      <c r="Q168" s="880">
        <f t="shared" si="80"/>
        <v>1542621</v>
      </c>
      <c r="R168" s="880">
        <f t="shared" si="80"/>
        <v>1519114</v>
      </c>
      <c r="S168" s="880">
        <f t="shared" si="80"/>
        <v>0</v>
      </c>
      <c r="T168" s="880">
        <v>1532304</v>
      </c>
      <c r="U168" s="880">
        <v>1532304</v>
      </c>
      <c r="V168" s="880">
        <f t="shared" si="80"/>
        <v>1400651</v>
      </c>
      <c r="W168" s="880">
        <f t="shared" si="80"/>
        <v>1424622</v>
      </c>
      <c r="X168" s="880">
        <f t="shared" si="80"/>
        <v>1488922</v>
      </c>
      <c r="Y168" s="880">
        <f t="shared" si="80"/>
        <v>1500864</v>
      </c>
      <c r="Z168" s="880">
        <f t="shared" si="80"/>
        <v>1695641</v>
      </c>
      <c r="AA168" s="880">
        <f t="shared" si="80"/>
        <v>1705001</v>
      </c>
      <c r="AB168" s="880">
        <f t="shared" si="80"/>
        <v>1831774</v>
      </c>
      <c r="AC168" s="880">
        <f t="shared" si="80"/>
        <v>1839280</v>
      </c>
      <c r="AD168" s="880"/>
      <c r="AE168" s="880">
        <v>1846419</v>
      </c>
      <c r="AF168" s="880">
        <v>0</v>
      </c>
      <c r="AG168" s="880">
        <v>1905447.4700000002</v>
      </c>
      <c r="AH168" s="880">
        <v>1972588</v>
      </c>
      <c r="AI168" s="919">
        <v>2031765.64</v>
      </c>
      <c r="AJ168" s="919">
        <v>2024903.46</v>
      </c>
      <c r="AK168" s="919">
        <v>2085650.5637999999</v>
      </c>
      <c r="AL168" s="919">
        <v>2101612</v>
      </c>
      <c r="AM168" s="919">
        <f t="shared" ref="AM168:AR168" si="81">SUM(AM$124+AM$131+AM$141+AM$147)</f>
        <v>2143644.2400000002</v>
      </c>
      <c r="AN168" s="919">
        <f t="shared" si="81"/>
        <v>2123176</v>
      </c>
      <c r="AO168" s="919">
        <f t="shared" si="81"/>
        <v>2165831.9049999998</v>
      </c>
      <c r="AP168" s="919">
        <f t="shared" si="81"/>
        <v>2257908</v>
      </c>
      <c r="AQ168" s="919">
        <f t="shared" si="81"/>
        <v>2303066.16</v>
      </c>
      <c r="AR168" s="919">
        <f t="shared" si="81"/>
        <v>2269076</v>
      </c>
      <c r="AS168" s="919">
        <f t="shared" si="66"/>
        <v>11168</v>
      </c>
      <c r="AT168" s="2242">
        <f t="shared" si="67"/>
        <v>4.9461714117669982E-3</v>
      </c>
      <c r="AU168" s="854">
        <f>SUM($AU$124+$AU$131+$AU$141)</f>
        <v>0</v>
      </c>
      <c r="AV168" s="819"/>
      <c r="AW168" s="797">
        <f>SUM(AU168-H168)</f>
        <v>-1280029</v>
      </c>
      <c r="AX168" s="805">
        <f>IF(H168&gt;0,AW168/H168,"")</f>
        <v>-1</v>
      </c>
      <c r="AY168" s="903"/>
      <c r="AZ168" s="2136"/>
      <c r="BA168" s="2136"/>
      <c r="BB168" s="2146"/>
    </row>
    <row r="169" spans="1:54" ht="13.9" hidden="1" customHeight="1" outlineLevel="1" x14ac:dyDescent="0.2">
      <c r="A169" s="878" t="s">
        <v>820</v>
      </c>
      <c r="B169" s="810">
        <f>SUM($B$126+$B$132+$B$136+$B$142+$B$153+$B$158+$B$163)</f>
        <v>212656</v>
      </c>
      <c r="C169" s="810">
        <f>SUM($C$126+$C$132+$C$136+$C$142+$C$153+$C$158+$C$163)</f>
        <v>218200.37000000002</v>
      </c>
      <c r="D169" s="810">
        <f>SUM($D$126+$D$132+$D$136+$D$142+$D$153+$D$158+$D$163)</f>
        <v>213924</v>
      </c>
      <c r="E169" s="810">
        <f>SUM($E$126+$E$132+$E$136+$E$142+$E$153+$E$158+$E$163)</f>
        <v>211029.19999999998</v>
      </c>
      <c r="F169" s="810">
        <f>SUM($F$126+$F$132+$F$136+$F$142+$F$153+$F$158+$F$163)</f>
        <v>230637</v>
      </c>
      <c r="G169" s="810">
        <f>SUM($G$126+$G$132+$G$136+$G$142+$G$153+$G$158+$G$163)</f>
        <v>237402.87999999998</v>
      </c>
      <c r="H169" s="1000">
        <f>SUM($H$126+$H$132+$H$136+$H$142+$H$153+$H$158+$H$163)</f>
        <v>240894</v>
      </c>
      <c r="I169" s="1000">
        <f>SUM($I$126+$I$132+$I$136+$I$142+$I$153+$I$158+$I$163)</f>
        <v>257856.50999999998</v>
      </c>
      <c r="J169" s="813">
        <f>SUM(J$126+J$132+J$136+J$142+J$153+J$158+J$163)</f>
        <v>273774</v>
      </c>
      <c r="K169" s="813"/>
      <c r="L169" s="999">
        <f>SUM(L$126+L$132+L$136+L$142+L$153+L$158+L$163)</f>
        <v>292801.85000000003</v>
      </c>
      <c r="M169" s="999">
        <f t="shared" ref="M169:S169" si="82">SUM(M125+M$126+M$132+M$136+M$142+M$153+M$158+M$163)</f>
        <v>282260</v>
      </c>
      <c r="N169" s="880">
        <f t="shared" si="82"/>
        <v>280994</v>
      </c>
      <c r="O169" s="880">
        <f t="shared" si="82"/>
        <v>255044</v>
      </c>
      <c r="P169" s="880" t="e">
        <f t="shared" si="82"/>
        <v>#REF!</v>
      </c>
      <c r="Q169" s="880">
        <f t="shared" si="82"/>
        <v>204427</v>
      </c>
      <c r="R169" s="880" t="e">
        <f t="shared" si="82"/>
        <v>#REF!</v>
      </c>
      <c r="S169" s="880">
        <f t="shared" si="82"/>
        <v>0</v>
      </c>
      <c r="T169" s="880">
        <v>211173</v>
      </c>
      <c r="U169" s="880">
        <v>211173</v>
      </c>
      <c r="V169" s="880" t="e">
        <f t="shared" ref="V169:AC169" si="83">SUM(V125+V$126+V$132+V$136+V$142+V$153+V$158+V$163)</f>
        <v>#REF!</v>
      </c>
      <c r="W169" s="880">
        <f t="shared" si="83"/>
        <v>233702</v>
      </c>
      <c r="X169" s="880" t="e">
        <f t="shared" si="83"/>
        <v>#REF!</v>
      </c>
      <c r="Y169" s="880">
        <f t="shared" si="83"/>
        <v>251497</v>
      </c>
      <c r="Z169" s="880">
        <f t="shared" si="83"/>
        <v>259486</v>
      </c>
      <c r="AA169" s="880">
        <f t="shared" si="83"/>
        <v>259486</v>
      </c>
      <c r="AB169" s="880">
        <f t="shared" si="83"/>
        <v>265180</v>
      </c>
      <c r="AC169" s="880">
        <f t="shared" si="83"/>
        <v>265180</v>
      </c>
      <c r="AD169" s="880"/>
      <c r="AE169" s="880">
        <v>271089</v>
      </c>
      <c r="AF169" s="880">
        <v>0</v>
      </c>
      <c r="AG169" s="880">
        <v>279934</v>
      </c>
      <c r="AH169" s="880">
        <v>263429</v>
      </c>
      <c r="AI169" s="919">
        <v>263429</v>
      </c>
      <c r="AJ169" s="919">
        <v>285379</v>
      </c>
      <c r="AK169" s="919">
        <v>285379</v>
      </c>
      <c r="AL169" s="919">
        <v>293902</v>
      </c>
      <c r="AM169" s="919">
        <f t="shared" ref="AM169:AR169" si="84">SUM(AM125+AM$126+AM$132+AM$136+AM$142+AM$148+AM$153+AM$158+AM$163)</f>
        <v>293902</v>
      </c>
      <c r="AN169" s="919">
        <f t="shared" si="84"/>
        <v>296127</v>
      </c>
      <c r="AO169" s="919">
        <f t="shared" si="84"/>
        <v>296127</v>
      </c>
      <c r="AP169" s="919">
        <f t="shared" si="84"/>
        <v>303227</v>
      </c>
      <c r="AQ169" s="919">
        <f t="shared" si="84"/>
        <v>303227</v>
      </c>
      <c r="AR169" s="919">
        <f t="shared" si="84"/>
        <v>314583</v>
      </c>
      <c r="AS169" s="919">
        <f t="shared" si="66"/>
        <v>11356</v>
      </c>
      <c r="AT169" s="2242">
        <f t="shared" si="67"/>
        <v>3.7450490886365657E-2</v>
      </c>
      <c r="AU169" s="854">
        <f>SUM($AU$126+$AU$132+$AU$136+$AU$142+$AU$153+$AU$158+$AU$163)</f>
        <v>0</v>
      </c>
      <c r="AV169" s="819"/>
      <c r="AW169" s="797">
        <f>SUM(AU169-H169)</f>
        <v>-240894</v>
      </c>
      <c r="AX169" s="805">
        <f>IF(H169&gt;0,AW169/H169,"")</f>
        <v>-1</v>
      </c>
      <c r="AY169" s="903"/>
      <c r="AZ169" s="2136"/>
      <c r="BA169" s="2136"/>
      <c r="BB169" s="2146"/>
    </row>
    <row r="170" spans="1:54" ht="13.9" hidden="1" customHeight="1" outlineLevel="1" thickBot="1" x14ac:dyDescent="0.25">
      <c r="A170" s="946" t="s">
        <v>692</v>
      </c>
      <c r="B170" s="947">
        <f>SUM(B166:B169)</f>
        <v>1580050</v>
      </c>
      <c r="C170" s="1001">
        <f t="shared" ref="C170:J170" si="85">SUM(C167:C169)</f>
        <v>1610216.9300000002</v>
      </c>
      <c r="D170" s="1001">
        <f t="shared" si="85"/>
        <v>1618436</v>
      </c>
      <c r="E170" s="1001">
        <f t="shared" si="85"/>
        <v>1656498.41</v>
      </c>
      <c r="F170" s="1001">
        <f t="shared" si="85"/>
        <v>1673596</v>
      </c>
      <c r="G170" s="1001">
        <f t="shared" si="85"/>
        <v>1727128.2099999997</v>
      </c>
      <c r="H170" s="1001">
        <f t="shared" si="85"/>
        <v>1830570</v>
      </c>
      <c r="I170" s="1002">
        <f t="shared" si="85"/>
        <v>1795092.94</v>
      </c>
      <c r="J170" s="950">
        <f t="shared" si="85"/>
        <v>1998243</v>
      </c>
      <c r="K170" s="1003"/>
      <c r="L170" s="1004">
        <f>SUM(L167:L169)</f>
        <v>2022927.2700000003</v>
      </c>
      <c r="M170" s="1004">
        <f>SUM(M167:M169)</f>
        <v>2100331</v>
      </c>
      <c r="N170" s="1004">
        <f>SUM(N167:N169)</f>
        <v>1895810</v>
      </c>
      <c r="O170" s="1004">
        <f>SUM(O167:O169)</f>
        <v>2056994</v>
      </c>
      <c r="P170" s="1004" t="e">
        <f>SUM(P167:P169)</f>
        <v>#REF!</v>
      </c>
      <c r="Q170" s="1004">
        <f>IF(SUM(Q167:Q169)=0,P170,SUM(Q167:Q169))</f>
        <v>2077627</v>
      </c>
      <c r="R170" s="1004" t="e">
        <f>SUM(R167:R169)</f>
        <v>#REF!</v>
      </c>
      <c r="S170" s="1004" t="e">
        <f>IF(SUM(S167:S169)=0,R170,SUM(S167:S169))</f>
        <v>#REF!</v>
      </c>
      <c r="T170" s="1004">
        <v>2087872</v>
      </c>
      <c r="U170" s="1004">
        <v>2087872</v>
      </c>
      <c r="V170" s="1004" t="e">
        <f>SUM(V167:V169)</f>
        <v>#REF!</v>
      </c>
      <c r="W170" s="1004">
        <f>IF(SUM(W167:W169)=0,V170,SUM(W167:W169))</f>
        <v>2005455</v>
      </c>
      <c r="X170" s="1004" t="e">
        <f>SUM(X167:X169)</f>
        <v>#REF!</v>
      </c>
      <c r="Y170" s="1004">
        <f>IF(SUM(Y167:Y169)=0,X170,SUM(Y167:Y169))</f>
        <v>2119289</v>
      </c>
      <c r="Z170" s="1004">
        <f>SUM(Z167:Z169)</f>
        <v>2335462</v>
      </c>
      <c r="AA170" s="1004">
        <f>IF(SUM(AA167:AA169)=0,Z170,SUM(AA167:AA169))</f>
        <v>2344822</v>
      </c>
      <c r="AB170" s="1004">
        <f>SUM(AB167:AB169)</f>
        <v>2448733</v>
      </c>
      <c r="AC170" s="1004">
        <f>IF(SUM(AC167:AC169)=0,AB170,SUM(AC167:AC169))</f>
        <v>2456239</v>
      </c>
      <c r="AD170" s="1004"/>
      <c r="AE170" s="1004">
        <v>2473539</v>
      </c>
      <c r="AF170" s="1004">
        <v>2473539</v>
      </c>
      <c r="AG170" s="1004">
        <v>2555428.25</v>
      </c>
      <c r="AH170" s="1004">
        <v>2613676</v>
      </c>
      <c r="AI170" s="1004">
        <v>2684132.65</v>
      </c>
      <c r="AJ170" s="1004">
        <v>2696952.46</v>
      </c>
      <c r="AK170" s="1004">
        <v>2769299.6637999997</v>
      </c>
      <c r="AL170" s="1004">
        <v>2871188</v>
      </c>
      <c r="AM170" s="1004">
        <f t="shared" ref="AM170:AR170" si="86">SUM(AM167:AM169)</f>
        <v>2922733.72</v>
      </c>
      <c r="AN170" s="1004">
        <f t="shared" si="86"/>
        <v>2926406</v>
      </c>
      <c r="AO170" s="1004">
        <f t="shared" si="86"/>
        <v>2981739.4799999995</v>
      </c>
      <c r="AP170" s="1004">
        <f t="shared" si="86"/>
        <v>3082797</v>
      </c>
      <c r="AQ170" s="1004">
        <f t="shared" si="86"/>
        <v>3138388.4000000004</v>
      </c>
      <c r="AR170" s="1004">
        <f t="shared" si="86"/>
        <v>3095942</v>
      </c>
      <c r="AS170" s="1004">
        <f t="shared" si="66"/>
        <v>13145</v>
      </c>
      <c r="AT170" s="2257">
        <f t="shared" si="67"/>
        <v>4.2639849461381983E-3</v>
      </c>
      <c r="AU170" s="954">
        <f>SUM(AU167:AU169)</f>
        <v>0</v>
      </c>
      <c r="AV170" s="955"/>
      <c r="AW170" s="956">
        <f>SUM(AU170-H170)</f>
        <v>-1830570</v>
      </c>
      <c r="AX170" s="957">
        <f>IF(H170&gt;0,AW170/H170,"")</f>
        <v>-1</v>
      </c>
      <c r="AY170" s="958" t="s">
        <v>732</v>
      </c>
      <c r="AZ170" s="2136"/>
      <c r="BA170" s="2136"/>
    </row>
    <row r="171" spans="1:54" ht="13.9" hidden="1" customHeight="1" thickTop="1" x14ac:dyDescent="0.2">
      <c r="A171" s="808"/>
      <c r="B171" s="796"/>
      <c r="C171" s="797"/>
      <c r="D171" s="797"/>
      <c r="E171" s="798"/>
      <c r="F171" s="797"/>
      <c r="G171" s="1005"/>
      <c r="H171" s="1005"/>
      <c r="J171" s="884"/>
      <c r="K171" s="859"/>
      <c r="L171" s="865"/>
      <c r="M171" s="865"/>
      <c r="N171" s="865"/>
      <c r="O171" s="859"/>
      <c r="P171" s="859"/>
      <c r="Q171" s="859"/>
      <c r="R171" s="859"/>
      <c r="S171" s="859"/>
      <c r="T171" s="859"/>
      <c r="U171" s="859"/>
      <c r="V171" s="859"/>
      <c r="W171" s="859"/>
      <c r="X171" s="859"/>
      <c r="Y171" s="859"/>
      <c r="Z171" s="859"/>
      <c r="AA171" s="859"/>
      <c r="AB171" s="859"/>
      <c r="AC171" s="859"/>
      <c r="AD171" s="859"/>
      <c r="AE171" s="859"/>
      <c r="AF171" s="859"/>
      <c r="AG171" s="859"/>
      <c r="AH171" s="859"/>
      <c r="AI171" s="859"/>
      <c r="AJ171" s="859"/>
      <c r="AK171" s="859"/>
      <c r="AL171" s="859"/>
      <c r="AM171" s="859"/>
      <c r="AN171" s="859"/>
      <c r="AO171" s="859"/>
      <c r="AP171" s="859"/>
      <c r="AQ171" s="859"/>
      <c r="AR171" s="859"/>
      <c r="AS171" s="859">
        <f t="shared" si="66"/>
        <v>0</v>
      </c>
      <c r="AT171" s="2239" t="str">
        <f t="shared" si="67"/>
        <v/>
      </c>
      <c r="AU171" s="803"/>
      <c r="AV171" s="819"/>
      <c r="AW171" s="797"/>
      <c r="AX171" s="805"/>
      <c r="AY171" s="807"/>
      <c r="AZ171" s="2136"/>
      <c r="BA171" s="2136"/>
    </row>
    <row r="172" spans="1:54" ht="13.9" hidden="1" customHeight="1" x14ac:dyDescent="0.2">
      <c r="A172" s="795" t="s">
        <v>693</v>
      </c>
      <c r="B172" s="796"/>
      <c r="C172" s="797"/>
      <c r="D172" s="797"/>
      <c r="E172" s="797"/>
      <c r="F172" s="797"/>
      <c r="G172" s="798"/>
      <c r="H172" s="797"/>
      <c r="I172" s="798"/>
      <c r="J172" s="839"/>
      <c r="K172" s="817"/>
      <c r="L172" s="893"/>
      <c r="M172" s="893"/>
      <c r="N172" s="893"/>
      <c r="O172" s="817"/>
      <c r="P172" s="817"/>
      <c r="Q172" s="817"/>
      <c r="R172" s="817"/>
      <c r="S172" s="817"/>
      <c r="T172" s="817"/>
      <c r="U172" s="817"/>
      <c r="V172" s="817"/>
      <c r="W172" s="817"/>
      <c r="X172" s="817"/>
      <c r="Y172" s="817"/>
      <c r="Z172" s="817"/>
      <c r="AA172" s="817"/>
      <c r="AB172" s="817"/>
      <c r="AC172" s="817"/>
      <c r="AD172" s="817"/>
      <c r="AE172" s="817"/>
      <c r="AF172" s="817"/>
      <c r="AG172" s="817"/>
      <c r="AH172" s="817"/>
      <c r="AI172" s="817"/>
      <c r="AJ172" s="817"/>
      <c r="AK172" s="817"/>
      <c r="AL172" s="817"/>
      <c r="AM172" s="817"/>
      <c r="AN172" s="817"/>
      <c r="AO172" s="817"/>
      <c r="AP172" s="817"/>
      <c r="AQ172" s="817"/>
      <c r="AR172" s="817"/>
      <c r="AS172" s="817">
        <f t="shared" si="66"/>
        <v>0</v>
      </c>
      <c r="AT172" s="2240" t="str">
        <f t="shared" si="67"/>
        <v/>
      </c>
      <c r="AU172" s="803"/>
      <c r="AV172" s="819"/>
      <c r="AW172" s="797"/>
      <c r="AX172" s="805"/>
      <c r="AY172" s="807"/>
      <c r="AZ172" s="2136"/>
      <c r="BA172" s="2136"/>
    </row>
    <row r="173" spans="1:54" ht="13.9" hidden="1" customHeight="1" x14ac:dyDescent="0.2">
      <c r="A173" s="808" t="s">
        <v>695</v>
      </c>
      <c r="B173" s="797">
        <v>392098</v>
      </c>
      <c r="C173" s="797"/>
      <c r="D173" s="797">
        <v>410904</v>
      </c>
      <c r="E173" s="798"/>
      <c r="F173" s="797">
        <v>408576</v>
      </c>
      <c r="G173" s="797">
        <v>572338.43000000005</v>
      </c>
      <c r="H173" s="797">
        <v>462153</v>
      </c>
      <c r="I173" s="798">
        <f>60775.99+60605.02</f>
        <v>121381.01</v>
      </c>
      <c r="J173" s="1006">
        <v>433830</v>
      </c>
      <c r="K173" s="817"/>
      <c r="L173" s="893"/>
      <c r="M173" s="893"/>
      <c r="N173" s="893"/>
      <c r="O173" s="817"/>
      <c r="P173" s="817"/>
      <c r="Q173" s="817"/>
      <c r="R173" s="817"/>
      <c r="S173" s="817"/>
      <c r="T173" s="817"/>
      <c r="U173" s="817"/>
      <c r="V173" s="817"/>
      <c r="W173" s="817"/>
      <c r="X173" s="817"/>
      <c r="Y173" s="817"/>
      <c r="Z173" s="817"/>
      <c r="AA173" s="817"/>
      <c r="AB173" s="817"/>
      <c r="AC173" s="817"/>
      <c r="AD173" s="817"/>
      <c r="AE173" s="817"/>
      <c r="AF173" s="817"/>
      <c r="AG173" s="817"/>
      <c r="AH173" s="817"/>
      <c r="AI173" s="817"/>
      <c r="AJ173" s="817"/>
      <c r="AK173" s="817"/>
      <c r="AL173" s="817"/>
      <c r="AM173" s="817"/>
      <c r="AN173" s="817"/>
      <c r="AO173" s="817"/>
      <c r="AP173" s="817"/>
      <c r="AQ173" s="817"/>
      <c r="AR173" s="817"/>
      <c r="AS173" s="817">
        <f t="shared" si="66"/>
        <v>0</v>
      </c>
      <c r="AT173" s="2240" t="str">
        <f t="shared" si="67"/>
        <v/>
      </c>
      <c r="AU173" s="844"/>
      <c r="AV173" s="819"/>
      <c r="AW173" s="797">
        <f t="shared" ref="AW173:AW183" si="87">SUM(AU173-H173)</f>
        <v>-462153</v>
      </c>
      <c r="AX173" s="805">
        <f t="shared" ref="AX173:AX183" si="88">IF(H173&gt;0,AW173/H173,"")</f>
        <v>-1</v>
      </c>
      <c r="AY173" s="807"/>
      <c r="AZ173" s="2136"/>
      <c r="BA173" s="2136"/>
    </row>
    <row r="174" spans="1:54" ht="13.9" hidden="1" customHeight="1" x14ac:dyDescent="0.2">
      <c r="A174" s="808" t="s">
        <v>696</v>
      </c>
      <c r="B174" s="797">
        <v>2542479</v>
      </c>
      <c r="C174" s="797"/>
      <c r="D174" s="797">
        <v>2692959</v>
      </c>
      <c r="E174" s="798"/>
      <c r="F174" s="797">
        <v>2555198</v>
      </c>
      <c r="G174" s="797">
        <v>3254529.83</v>
      </c>
      <c r="H174" s="798">
        <v>2683422</v>
      </c>
      <c r="I174" s="798">
        <f>1548927.77+1737098.3</f>
        <v>3286026.0700000003</v>
      </c>
      <c r="J174" s="1006">
        <v>2676573</v>
      </c>
      <c r="K174" s="817"/>
      <c r="L174" s="893"/>
      <c r="M174" s="893"/>
      <c r="N174" s="893"/>
      <c r="O174" s="817"/>
      <c r="P174" s="817"/>
      <c r="Q174" s="817"/>
      <c r="R174" s="817"/>
      <c r="S174" s="817"/>
      <c r="T174" s="817"/>
      <c r="U174" s="817"/>
      <c r="V174" s="817"/>
      <c r="W174" s="817"/>
      <c r="X174" s="817"/>
      <c r="Y174" s="817"/>
      <c r="Z174" s="817"/>
      <c r="AA174" s="817"/>
      <c r="AB174" s="817"/>
      <c r="AC174" s="817"/>
      <c r="AD174" s="817"/>
      <c r="AE174" s="817"/>
      <c r="AF174" s="817"/>
      <c r="AG174" s="817"/>
      <c r="AH174" s="817"/>
      <c r="AI174" s="817"/>
      <c r="AJ174" s="817"/>
      <c r="AK174" s="817"/>
      <c r="AL174" s="817"/>
      <c r="AM174" s="817"/>
      <c r="AN174" s="817"/>
      <c r="AO174" s="817"/>
      <c r="AP174" s="817"/>
      <c r="AQ174" s="817"/>
      <c r="AR174" s="817"/>
      <c r="AS174" s="817">
        <f t="shared" si="66"/>
        <v>0</v>
      </c>
      <c r="AT174" s="2240" t="str">
        <f t="shared" si="67"/>
        <v/>
      </c>
      <c r="AU174" s="844"/>
      <c r="AV174" s="819"/>
      <c r="AW174" s="797">
        <f t="shared" si="87"/>
        <v>-2683422</v>
      </c>
      <c r="AX174" s="805">
        <f t="shared" si="88"/>
        <v>-1</v>
      </c>
      <c r="AY174" s="807"/>
      <c r="AZ174" s="2136"/>
      <c r="BA174" s="2136"/>
    </row>
    <row r="175" spans="1:54" ht="13.9" hidden="1" customHeight="1" x14ac:dyDescent="0.2">
      <c r="A175" s="808" t="s">
        <v>716</v>
      </c>
      <c r="B175" s="797">
        <v>204174</v>
      </c>
      <c r="C175" s="797"/>
      <c r="D175" s="797">
        <v>123192</v>
      </c>
      <c r="E175" s="798"/>
      <c r="F175" s="797">
        <v>90974</v>
      </c>
      <c r="G175" s="797">
        <v>77300.649999999994</v>
      </c>
      <c r="H175" s="798">
        <v>163559</v>
      </c>
      <c r="I175" s="798">
        <f>8373.13+7375+44209.32+36072.47+38566.79+59691.29+578.28+898.47</f>
        <v>195764.75</v>
      </c>
      <c r="J175" s="1006">
        <v>190015</v>
      </c>
      <c r="K175" s="817"/>
      <c r="L175" s="893"/>
      <c r="M175" s="893"/>
      <c r="N175" s="893"/>
      <c r="O175" s="817"/>
      <c r="P175" s="817"/>
      <c r="Q175" s="817"/>
      <c r="R175" s="817"/>
      <c r="S175" s="817"/>
      <c r="T175" s="817"/>
      <c r="U175" s="817"/>
      <c r="V175" s="817"/>
      <c r="W175" s="817"/>
      <c r="X175" s="817"/>
      <c r="Y175" s="817"/>
      <c r="Z175" s="817"/>
      <c r="AA175" s="817"/>
      <c r="AB175" s="817"/>
      <c r="AC175" s="817"/>
      <c r="AD175" s="817"/>
      <c r="AE175" s="817"/>
      <c r="AF175" s="817"/>
      <c r="AG175" s="817"/>
      <c r="AH175" s="817"/>
      <c r="AI175" s="817"/>
      <c r="AJ175" s="817"/>
      <c r="AK175" s="817"/>
      <c r="AL175" s="817"/>
      <c r="AM175" s="817"/>
      <c r="AN175" s="817"/>
      <c r="AO175" s="817"/>
      <c r="AP175" s="817"/>
      <c r="AQ175" s="817"/>
      <c r="AR175" s="817"/>
      <c r="AS175" s="817">
        <f t="shared" si="66"/>
        <v>0</v>
      </c>
      <c r="AT175" s="2240" t="str">
        <f t="shared" si="67"/>
        <v/>
      </c>
      <c r="AU175" s="844"/>
      <c r="AV175" s="819"/>
      <c r="AW175" s="797">
        <f t="shared" si="87"/>
        <v>-163559</v>
      </c>
      <c r="AX175" s="805">
        <f t="shared" si="88"/>
        <v>-1</v>
      </c>
      <c r="AY175" s="807"/>
      <c r="AZ175" s="2136"/>
      <c r="BA175" s="2136"/>
    </row>
    <row r="176" spans="1:54" ht="13.9" hidden="1" customHeight="1" x14ac:dyDescent="0.2">
      <c r="A176" s="808" t="s">
        <v>251</v>
      </c>
      <c r="B176" s="797">
        <v>74892</v>
      </c>
      <c r="C176" s="797"/>
      <c r="D176" s="797">
        <v>81710</v>
      </c>
      <c r="E176" s="798"/>
      <c r="F176" s="797">
        <v>116459</v>
      </c>
      <c r="G176" s="797">
        <v>218792.86</v>
      </c>
      <c r="H176" s="798">
        <v>125367</v>
      </c>
      <c r="I176" s="798">
        <f>7937.47+8433.32+35081.82+127284.7+127789.73</f>
        <v>306527.03999999998</v>
      </c>
      <c r="J176" s="1006">
        <v>127710</v>
      </c>
      <c r="K176" s="814"/>
      <c r="L176" s="939"/>
      <c r="M176" s="939"/>
      <c r="N176" s="939"/>
      <c r="O176" s="814"/>
      <c r="P176" s="814"/>
      <c r="Q176" s="814"/>
      <c r="R176" s="814"/>
      <c r="S176" s="814"/>
      <c r="T176" s="814"/>
      <c r="U176" s="814"/>
      <c r="V176" s="814"/>
      <c r="W176" s="814"/>
      <c r="X176" s="814"/>
      <c r="Y176" s="814"/>
      <c r="Z176" s="814"/>
      <c r="AA176" s="814"/>
      <c r="AB176" s="814"/>
      <c r="AC176" s="814"/>
      <c r="AD176" s="814"/>
      <c r="AE176" s="814"/>
      <c r="AF176" s="814"/>
      <c r="AG176" s="814"/>
      <c r="AH176" s="814"/>
      <c r="AI176" s="814"/>
      <c r="AJ176" s="814"/>
      <c r="AK176" s="814"/>
      <c r="AL176" s="814"/>
      <c r="AM176" s="814"/>
      <c r="AN176" s="814"/>
      <c r="AO176" s="814"/>
      <c r="AP176" s="814"/>
      <c r="AQ176" s="814"/>
      <c r="AR176" s="814"/>
      <c r="AS176" s="814">
        <f t="shared" si="66"/>
        <v>0</v>
      </c>
      <c r="AT176" s="2242" t="str">
        <f t="shared" si="67"/>
        <v/>
      </c>
      <c r="AU176" s="844"/>
      <c r="AV176" s="819"/>
      <c r="AW176" s="797">
        <f t="shared" si="87"/>
        <v>-125367</v>
      </c>
      <c r="AX176" s="805">
        <f t="shared" si="88"/>
        <v>-1</v>
      </c>
      <c r="AY176" s="807"/>
      <c r="AZ176" s="2136"/>
      <c r="BA176" s="2136"/>
    </row>
    <row r="177" spans="1:54" ht="13.9" hidden="1" customHeight="1" x14ac:dyDescent="0.2">
      <c r="A177" s="1501" t="s">
        <v>932</v>
      </c>
      <c r="B177" s="797">
        <v>199779</v>
      </c>
      <c r="C177" s="797"/>
      <c r="D177" s="797">
        <v>156270</v>
      </c>
      <c r="E177" s="798"/>
      <c r="F177" s="797">
        <v>161505</v>
      </c>
      <c r="G177" s="797">
        <v>248330.25</v>
      </c>
      <c r="H177" s="798">
        <v>186203</v>
      </c>
      <c r="I177" s="798">
        <f>247358.97+12707.86</f>
        <v>260066.83000000002</v>
      </c>
      <c r="J177" s="1006">
        <v>191892</v>
      </c>
      <c r="K177" s="814" t="s">
        <v>464</v>
      </c>
      <c r="L177" s="939"/>
      <c r="M177" s="939"/>
      <c r="N177" s="939"/>
      <c r="O177" s="814"/>
      <c r="P177" s="814"/>
      <c r="Q177" s="814"/>
      <c r="R177" s="814"/>
      <c r="S177" s="814"/>
      <c r="T177" s="814"/>
      <c r="U177" s="814"/>
      <c r="V177" s="814"/>
      <c r="W177" s="814"/>
      <c r="X177" s="814"/>
      <c r="Y177" s="814"/>
      <c r="Z177" s="814"/>
      <c r="AA177" s="814"/>
      <c r="AB177" s="814"/>
      <c r="AC177" s="814"/>
      <c r="AD177" s="814"/>
      <c r="AE177" s="814"/>
      <c r="AF177" s="814"/>
      <c r="AG177" s="814"/>
      <c r="AH177" s="814"/>
      <c r="AI177" s="814"/>
      <c r="AJ177" s="814"/>
      <c r="AK177" s="814"/>
      <c r="AL177" s="814"/>
      <c r="AM177" s="814"/>
      <c r="AN177" s="814"/>
      <c r="AO177" s="814"/>
      <c r="AP177" s="814"/>
      <c r="AQ177" s="814"/>
      <c r="AR177" s="814"/>
      <c r="AS177" s="814">
        <f t="shared" si="66"/>
        <v>0</v>
      </c>
      <c r="AT177" s="2242" t="str">
        <f t="shared" si="67"/>
        <v/>
      </c>
      <c r="AU177" s="844"/>
      <c r="AV177" s="819"/>
      <c r="AW177" s="797">
        <f t="shared" si="87"/>
        <v>-186203</v>
      </c>
      <c r="AX177" s="805">
        <f t="shared" si="88"/>
        <v>-1</v>
      </c>
      <c r="AY177" s="807"/>
      <c r="AZ177" s="2136"/>
      <c r="BA177" s="2136"/>
    </row>
    <row r="178" spans="1:54" ht="13.9" hidden="1" customHeight="1" x14ac:dyDescent="0.2">
      <c r="A178" s="808" t="s">
        <v>723</v>
      </c>
      <c r="B178" s="797">
        <v>137187</v>
      </c>
      <c r="C178" s="797"/>
      <c r="D178" s="797">
        <v>137187</v>
      </c>
      <c r="E178" s="798"/>
      <c r="F178" s="797">
        <v>156815</v>
      </c>
      <c r="G178" s="797">
        <v>173989.09</v>
      </c>
      <c r="H178" s="798">
        <v>200195</v>
      </c>
      <c r="I178" s="798">
        <f>57708.99+49942.55+57914.04+39987.88</f>
        <v>205553.46000000002</v>
      </c>
      <c r="J178" s="722">
        <v>230675</v>
      </c>
      <c r="K178" s="814" t="s">
        <v>465</v>
      </c>
      <c r="L178" s="939"/>
      <c r="M178" s="939"/>
      <c r="N178" s="939"/>
      <c r="O178" s="814"/>
      <c r="P178" s="814"/>
      <c r="Q178" s="814"/>
      <c r="R178" s="814"/>
      <c r="S178" s="814"/>
      <c r="T178" s="814"/>
      <c r="U178" s="814"/>
      <c r="V178" s="814"/>
      <c r="W178" s="814"/>
      <c r="X178" s="814"/>
      <c r="Y178" s="814"/>
      <c r="Z178" s="814"/>
      <c r="AA178" s="814"/>
      <c r="AB178" s="814"/>
      <c r="AC178" s="814"/>
      <c r="AD178" s="814"/>
      <c r="AE178" s="814"/>
      <c r="AF178" s="814"/>
      <c r="AG178" s="814"/>
      <c r="AH178" s="814"/>
      <c r="AI178" s="814"/>
      <c r="AJ178" s="814"/>
      <c r="AK178" s="814"/>
      <c r="AL178" s="814"/>
      <c r="AM178" s="814"/>
      <c r="AN178" s="814"/>
      <c r="AO178" s="814"/>
      <c r="AP178" s="814"/>
      <c r="AQ178" s="814"/>
      <c r="AR178" s="814"/>
      <c r="AS178" s="814">
        <f t="shared" si="66"/>
        <v>0</v>
      </c>
      <c r="AT178" s="2242" t="str">
        <f t="shared" si="67"/>
        <v/>
      </c>
      <c r="AU178" s="844"/>
      <c r="AV178" s="819"/>
      <c r="AW178" s="797">
        <f t="shared" si="87"/>
        <v>-200195</v>
      </c>
      <c r="AX178" s="805">
        <f t="shared" si="88"/>
        <v>-1</v>
      </c>
      <c r="AY178" s="807"/>
      <c r="AZ178" s="2136"/>
      <c r="BA178" s="2136"/>
    </row>
    <row r="179" spans="1:54" ht="13.9" hidden="1" customHeight="1" x14ac:dyDescent="0.2">
      <c r="A179" s="808" t="s">
        <v>783</v>
      </c>
      <c r="B179" s="797">
        <v>357034</v>
      </c>
      <c r="C179" s="797"/>
      <c r="D179" s="797">
        <v>344359</v>
      </c>
      <c r="E179" s="798"/>
      <c r="F179" s="797">
        <v>397920</v>
      </c>
      <c r="G179" s="797">
        <v>342522.82</v>
      </c>
      <c r="H179" s="798">
        <v>373926</v>
      </c>
      <c r="I179" s="798">
        <f>24211.41+115127.89+107096.15+42442.81+24544.1+13669.56+15349.43</f>
        <v>342441.35</v>
      </c>
      <c r="J179" s="1006">
        <v>416687</v>
      </c>
      <c r="K179" s="849">
        <v>38775</v>
      </c>
      <c r="L179" s="1007"/>
      <c r="M179" s="1007"/>
      <c r="N179" s="1007"/>
      <c r="O179" s="814"/>
      <c r="P179" s="814"/>
      <c r="Q179" s="814"/>
      <c r="R179" s="814"/>
      <c r="S179" s="814"/>
      <c r="T179" s="814"/>
      <c r="U179" s="814"/>
      <c r="V179" s="814"/>
      <c r="W179" s="814"/>
      <c r="X179" s="814"/>
      <c r="Y179" s="814"/>
      <c r="Z179" s="814"/>
      <c r="AA179" s="814"/>
      <c r="AB179" s="814"/>
      <c r="AC179" s="814"/>
      <c r="AD179" s="814"/>
      <c r="AE179" s="814"/>
      <c r="AF179" s="814"/>
      <c r="AG179" s="814"/>
      <c r="AH179" s="814"/>
      <c r="AI179" s="814"/>
      <c r="AJ179" s="814"/>
      <c r="AK179" s="814"/>
      <c r="AL179" s="814"/>
      <c r="AM179" s="814"/>
      <c r="AN179" s="814"/>
      <c r="AO179" s="814"/>
      <c r="AP179" s="814"/>
      <c r="AQ179" s="814"/>
      <c r="AR179" s="814"/>
      <c r="AS179" s="814">
        <f t="shared" si="66"/>
        <v>0</v>
      </c>
      <c r="AT179" s="2242" t="str">
        <f t="shared" si="67"/>
        <v/>
      </c>
      <c r="AU179" s="844"/>
      <c r="AV179" s="819"/>
      <c r="AW179" s="797">
        <f t="shared" si="87"/>
        <v>-373926</v>
      </c>
      <c r="AX179" s="805">
        <f t="shared" si="88"/>
        <v>-1</v>
      </c>
      <c r="AY179" s="807"/>
      <c r="AZ179" s="2136"/>
      <c r="BA179" s="2136"/>
    </row>
    <row r="180" spans="1:54" ht="13.9" hidden="1" customHeight="1" x14ac:dyDescent="0.2">
      <c r="A180" s="808" t="s">
        <v>757</v>
      </c>
      <c r="B180" s="797">
        <v>1090668</v>
      </c>
      <c r="C180" s="797"/>
      <c r="D180" s="797">
        <v>1176731</v>
      </c>
      <c r="E180" s="798"/>
      <c r="F180" s="797">
        <v>1404716</v>
      </c>
      <c r="G180" s="797">
        <v>217855.31</v>
      </c>
      <c r="H180" s="798">
        <v>1251953</v>
      </c>
      <c r="I180" s="798">
        <v>25251.07</v>
      </c>
      <c r="J180" s="1006">
        <v>1489841</v>
      </c>
      <c r="K180" s="814" t="s">
        <v>462</v>
      </c>
      <c r="L180" s="939"/>
      <c r="M180" s="939"/>
      <c r="N180" s="939"/>
      <c r="O180" s="814"/>
      <c r="P180" s="814"/>
      <c r="Q180" s="814"/>
      <c r="R180" s="814"/>
      <c r="S180" s="814"/>
      <c r="T180" s="814"/>
      <c r="U180" s="814"/>
      <c r="V180" s="814"/>
      <c r="W180" s="814"/>
      <c r="X180" s="814"/>
      <c r="Y180" s="814"/>
      <c r="Z180" s="814"/>
      <c r="AA180" s="814"/>
      <c r="AB180" s="814"/>
      <c r="AC180" s="814"/>
      <c r="AD180" s="814"/>
      <c r="AE180" s="814"/>
      <c r="AF180" s="814"/>
      <c r="AG180" s="814"/>
      <c r="AH180" s="814"/>
      <c r="AI180" s="814"/>
      <c r="AJ180" s="814"/>
      <c r="AK180" s="814"/>
      <c r="AL180" s="814"/>
      <c r="AM180" s="814"/>
      <c r="AN180" s="814"/>
      <c r="AO180" s="814"/>
      <c r="AP180" s="814"/>
      <c r="AQ180" s="814"/>
      <c r="AR180" s="814"/>
      <c r="AS180" s="814">
        <f t="shared" si="66"/>
        <v>0</v>
      </c>
      <c r="AT180" s="2242" t="str">
        <f t="shared" si="67"/>
        <v/>
      </c>
      <c r="AU180" s="844"/>
      <c r="AV180" s="819"/>
      <c r="AW180" s="797">
        <f t="shared" si="87"/>
        <v>-1251953</v>
      </c>
      <c r="AX180" s="805">
        <f t="shared" si="88"/>
        <v>-1</v>
      </c>
      <c r="AY180" s="820"/>
      <c r="AZ180" s="2136"/>
      <c r="BA180" s="2136"/>
      <c r="BB180" s="2143"/>
    </row>
    <row r="181" spans="1:54" ht="13.9" hidden="1" customHeight="1" x14ac:dyDescent="0.2">
      <c r="A181" s="808" t="s">
        <v>84</v>
      </c>
      <c r="B181" s="837"/>
      <c r="C181" s="837"/>
      <c r="D181" s="799">
        <v>0</v>
      </c>
      <c r="E181" s="889"/>
      <c r="F181" s="799"/>
      <c r="G181" s="799"/>
      <c r="H181" s="801"/>
      <c r="I181" s="801">
        <f>293112.51+26116.66+17831.04+7964.28+41502+36640.01+15573.39+19020.23+9606.82+6316.97</f>
        <v>473683.91</v>
      </c>
      <c r="J181" s="1008"/>
      <c r="K181" s="1009">
        <v>38789</v>
      </c>
      <c r="L181" s="1007"/>
      <c r="M181" s="1007"/>
      <c r="N181" s="1007"/>
      <c r="O181" s="852"/>
      <c r="P181" s="814"/>
      <c r="Q181" s="814"/>
      <c r="R181" s="814"/>
      <c r="S181" s="814"/>
      <c r="T181" s="814"/>
      <c r="U181" s="814"/>
      <c r="V181" s="814"/>
      <c r="W181" s="814"/>
      <c r="X181" s="814"/>
      <c r="Y181" s="814"/>
      <c r="Z181" s="814"/>
      <c r="AA181" s="814"/>
      <c r="AB181" s="814"/>
      <c r="AC181" s="814"/>
      <c r="AD181" s="814"/>
      <c r="AE181" s="814"/>
      <c r="AF181" s="814"/>
      <c r="AG181" s="814"/>
      <c r="AH181" s="814"/>
      <c r="AI181" s="814"/>
      <c r="AJ181" s="814"/>
      <c r="AK181" s="814"/>
      <c r="AL181" s="814"/>
      <c r="AM181" s="814"/>
      <c r="AN181" s="814"/>
      <c r="AO181" s="814"/>
      <c r="AP181" s="814"/>
      <c r="AQ181" s="814"/>
      <c r="AR181" s="814"/>
      <c r="AS181" s="814">
        <f t="shared" si="66"/>
        <v>0</v>
      </c>
      <c r="AT181" s="2242" t="str">
        <f t="shared" si="67"/>
        <v/>
      </c>
      <c r="AU181" s="890"/>
      <c r="AV181" s="819"/>
      <c r="AW181" s="797">
        <f t="shared" si="87"/>
        <v>0</v>
      </c>
      <c r="AX181" s="805" t="str">
        <f t="shared" si="88"/>
        <v/>
      </c>
      <c r="AY181" s="807"/>
      <c r="AZ181" s="2136"/>
      <c r="BA181" s="2136"/>
    </row>
    <row r="182" spans="1:54" ht="13.9" hidden="1" customHeight="1" x14ac:dyDescent="0.2">
      <c r="A182" s="1010"/>
      <c r="B182" s="1011"/>
      <c r="C182" s="1011"/>
      <c r="D182" s="1012"/>
      <c r="E182" s="865"/>
      <c r="F182" s="1012"/>
      <c r="G182" s="1012"/>
      <c r="H182" s="1013"/>
      <c r="I182" s="800">
        <v>71764.2</v>
      </c>
      <c r="J182" s="1014"/>
      <c r="K182" s="859"/>
      <c r="L182" s="865"/>
      <c r="M182" s="865"/>
      <c r="N182" s="865"/>
      <c r="O182" s="859"/>
      <c r="P182" s="859"/>
      <c r="Q182" s="859"/>
      <c r="R182" s="859"/>
      <c r="S182" s="859"/>
      <c r="T182" s="859"/>
      <c r="U182" s="859"/>
      <c r="V182" s="859"/>
      <c r="W182" s="859"/>
      <c r="X182" s="859"/>
      <c r="Y182" s="859"/>
      <c r="Z182" s="859"/>
      <c r="AA182" s="859"/>
      <c r="AB182" s="859"/>
      <c r="AC182" s="859"/>
      <c r="AD182" s="859"/>
      <c r="AE182" s="859"/>
      <c r="AF182" s="859"/>
      <c r="AG182" s="859"/>
      <c r="AH182" s="859"/>
      <c r="AI182" s="859"/>
      <c r="AJ182" s="859"/>
      <c r="AK182" s="859"/>
      <c r="AL182" s="859"/>
      <c r="AM182" s="859"/>
      <c r="AN182" s="859"/>
      <c r="AO182" s="859"/>
      <c r="AP182" s="859"/>
      <c r="AQ182" s="859"/>
      <c r="AR182" s="859"/>
      <c r="AS182" s="859">
        <f t="shared" si="66"/>
        <v>0</v>
      </c>
      <c r="AT182" s="2239" t="str">
        <f t="shared" si="67"/>
        <v/>
      </c>
      <c r="AU182" s="1015"/>
      <c r="AV182" s="1016"/>
      <c r="AW182" s="797">
        <f t="shared" si="87"/>
        <v>0</v>
      </c>
      <c r="AX182" s="805" t="str">
        <f t="shared" si="88"/>
        <v/>
      </c>
      <c r="AY182" s="1017"/>
      <c r="AZ182" s="2136"/>
      <c r="BA182" s="2136"/>
      <c r="BB182" s="2150"/>
    </row>
    <row r="183" spans="1:54" ht="13.9" hidden="1" customHeight="1" thickBot="1" x14ac:dyDescent="0.25">
      <c r="A183" s="1018" t="s">
        <v>777</v>
      </c>
      <c r="B183" s="1019">
        <f>SUM(B173:B182)</f>
        <v>4998311</v>
      </c>
      <c r="C183" s="1019">
        <f>SUM(4900258.91+98052.09)</f>
        <v>4998311</v>
      </c>
      <c r="D183" s="1020">
        <v>5123312</v>
      </c>
      <c r="E183" s="1019">
        <v>5123212.2</v>
      </c>
      <c r="F183" s="1020">
        <v>5292163</v>
      </c>
      <c r="G183" s="1020">
        <f>SUM(G173:G180)</f>
        <v>5105659.2399999993</v>
      </c>
      <c r="H183" s="1021">
        <f>SUM(H173:H180)</f>
        <v>5446778</v>
      </c>
      <c r="I183" s="1022">
        <f>SUM(I173:I182)</f>
        <v>5288459.6900000004</v>
      </c>
      <c r="J183" s="1023">
        <f>SUM(J173:J180)</f>
        <v>5757223</v>
      </c>
      <c r="K183" s="1024"/>
      <c r="L183" s="1025">
        <f>5739282.23+166724.75</f>
        <v>5906006.9800000004</v>
      </c>
      <c r="M183" s="1023">
        <v>6107838</v>
      </c>
      <c r="N183" s="1026">
        <f>M183*(1+0.07)</f>
        <v>6535386.6600000001</v>
      </c>
      <c r="O183" s="1027">
        <f>5701166+83775</f>
        <v>5784941</v>
      </c>
      <c r="P183" s="1027">
        <v>5781593</v>
      </c>
      <c r="Q183" s="1028">
        <f>P183</f>
        <v>5781593</v>
      </c>
      <c r="R183" s="1028">
        <f>5974481</f>
        <v>5974481</v>
      </c>
      <c r="S183" s="1029">
        <f>IF(SUM(S173:S182)=0,R183,SUM(S173:S182))</f>
        <v>5974481</v>
      </c>
      <c r="T183" s="1029">
        <v>6093970.6200000001</v>
      </c>
      <c r="U183" s="1029">
        <v>6093970.6200000001</v>
      </c>
      <c r="V183" s="1028">
        <f>U183*1.02</f>
        <v>6215850.0323999999</v>
      </c>
      <c r="W183" s="1029">
        <f>V183+123215</f>
        <v>6339065.0323999999</v>
      </c>
      <c r="X183" s="1028">
        <f>T183*1.04+125000</f>
        <v>6462729.4448000006</v>
      </c>
      <c r="Y183" s="1028">
        <f>6667419+199500</f>
        <v>6866919</v>
      </c>
      <c r="Z183" s="1028">
        <f>(Y183-162793)*(1+5/100)+131355</f>
        <v>7170687.3000000007</v>
      </c>
      <c r="AA183" s="1028">
        <v>7172203</v>
      </c>
      <c r="AB183" s="1028">
        <f>(AA183-131355)*(1+3/100)+176803</f>
        <v>7428876.4400000004</v>
      </c>
      <c r="AC183" s="1028">
        <v>7602224</v>
      </c>
      <c r="AD183" s="1028"/>
      <c r="AE183" s="1028">
        <v>7827171</v>
      </c>
      <c r="AF183" s="1028">
        <v>7830290.7199999997</v>
      </c>
      <c r="AG183" s="1028">
        <v>8108071</v>
      </c>
      <c r="AH183" s="1028">
        <v>8108071</v>
      </c>
      <c r="AI183" s="1028">
        <v>8913230.1999999993</v>
      </c>
      <c r="AJ183" s="1028">
        <v>8913230</v>
      </c>
      <c r="AK183" s="1028">
        <v>9117902</v>
      </c>
      <c r="AL183" s="1028">
        <v>9117902</v>
      </c>
      <c r="AM183" s="1028">
        <f>AL183*1.0275</f>
        <v>9368644.3050000016</v>
      </c>
      <c r="AN183" s="1028">
        <f>AM183</f>
        <v>9368644.3050000016</v>
      </c>
      <c r="AO183" s="1028">
        <v>9649703.6341500022</v>
      </c>
      <c r="AP183" s="1028">
        <f>AO183+86000-181</f>
        <v>9735522.6341500022</v>
      </c>
      <c r="AQ183" s="1028">
        <f>AP183*$AK$2</f>
        <v>10027588.313174503</v>
      </c>
      <c r="AR183" s="1028">
        <f>'[1]BUDGET DETAIL'!$CO$515 + IF(BA183="yes",AZ183,0)</f>
        <v>9979342</v>
      </c>
      <c r="AS183" s="1028">
        <f t="shared" si="66"/>
        <v>243819.36584999785</v>
      </c>
      <c r="AT183" s="2258">
        <f t="shared" si="67"/>
        <v>2.5044301678754759E-2</v>
      </c>
      <c r="AU183" s="1030"/>
      <c r="AV183" s="955"/>
      <c r="AW183" s="956">
        <f t="shared" si="87"/>
        <v>-5446778</v>
      </c>
      <c r="AX183" s="957">
        <f t="shared" si="88"/>
        <v>-1</v>
      </c>
      <c r="AY183" s="958" t="s">
        <v>47</v>
      </c>
      <c r="AZ183" s="2136">
        <v>1170896</v>
      </c>
      <c r="BA183" s="2321" t="s">
        <v>1176</v>
      </c>
      <c r="BB183" s="2942">
        <v>44998</v>
      </c>
    </row>
    <row r="184" spans="1:54" ht="13.9" hidden="1" customHeight="1" thickTop="1" x14ac:dyDescent="0.2">
      <c r="A184" s="795" t="s">
        <v>370</v>
      </c>
      <c r="B184" s="796"/>
      <c r="C184" s="797"/>
      <c r="D184" s="797"/>
      <c r="E184" s="797"/>
      <c r="F184" s="797"/>
      <c r="G184" s="797"/>
      <c r="H184" s="797"/>
      <c r="J184" s="884"/>
      <c r="K184" s="1031"/>
      <c r="L184" s="1032"/>
      <c r="M184" s="865"/>
      <c r="N184" s="865"/>
      <c r="O184" s="1033"/>
      <c r="P184" s="800"/>
      <c r="Q184" s="800"/>
      <c r="R184" s="800"/>
      <c r="S184" s="800"/>
      <c r="T184" s="800"/>
      <c r="U184" s="800"/>
      <c r="V184" s="800"/>
      <c r="W184" s="800"/>
      <c r="X184" s="800"/>
      <c r="Y184" s="800"/>
      <c r="Z184" s="800"/>
      <c r="AA184" s="800"/>
      <c r="AB184" s="800"/>
      <c r="AC184" s="800"/>
      <c r="AD184" s="800"/>
      <c r="AE184" s="800"/>
      <c r="AF184" s="800"/>
      <c r="AG184" s="800"/>
      <c r="AH184" s="800"/>
      <c r="AI184" s="800"/>
      <c r="AJ184" s="800"/>
      <c r="AK184" s="800"/>
      <c r="AL184" s="800"/>
      <c r="AM184" s="800"/>
      <c r="AN184" s="800"/>
      <c r="AO184" s="800"/>
      <c r="AP184" s="1730"/>
      <c r="AQ184" s="1730"/>
      <c r="AR184" s="1730"/>
      <c r="AS184" s="1730">
        <f t="shared" si="66"/>
        <v>0</v>
      </c>
      <c r="AT184" s="2239" t="str">
        <f t="shared" si="67"/>
        <v/>
      </c>
      <c r="AU184" s="803"/>
      <c r="AV184" s="819"/>
      <c r="AW184" s="797"/>
      <c r="AX184" s="805" t="str">
        <f>IF(F184&gt;0,AW184/F184,"")</f>
        <v/>
      </c>
      <c r="AY184" s="807"/>
      <c r="AZ184" s="2136"/>
      <c r="BA184" s="2136"/>
    </row>
    <row r="185" spans="1:54" ht="13.9" hidden="1" customHeight="1" x14ac:dyDescent="0.2">
      <c r="A185" s="808" t="s">
        <v>371</v>
      </c>
      <c r="B185" s="796"/>
      <c r="C185" s="797"/>
      <c r="D185" s="797"/>
      <c r="E185" s="797"/>
      <c r="F185" s="797"/>
      <c r="G185" s="797"/>
      <c r="H185" s="797"/>
      <c r="J185" s="884"/>
      <c r="K185" s="859"/>
      <c r="L185" s="865"/>
      <c r="M185" s="865"/>
      <c r="N185" s="865"/>
      <c r="O185" s="859"/>
      <c r="P185" s="859"/>
      <c r="Q185" s="859"/>
      <c r="R185" s="859"/>
      <c r="S185" s="859"/>
      <c r="T185" s="859"/>
      <c r="U185" s="859"/>
      <c r="V185" s="859"/>
      <c r="W185" s="859"/>
      <c r="X185" s="859"/>
      <c r="Y185" s="859"/>
      <c r="Z185" s="859"/>
      <c r="AA185" s="859"/>
      <c r="AB185" s="859"/>
      <c r="AC185" s="859"/>
      <c r="AD185" s="859"/>
      <c r="AE185" s="859"/>
      <c r="AF185" s="859"/>
      <c r="AG185" s="859"/>
      <c r="AH185" s="859"/>
      <c r="AI185" s="859"/>
      <c r="AJ185" s="859"/>
      <c r="AK185" s="859"/>
      <c r="AL185" s="859"/>
      <c r="AM185" s="859"/>
      <c r="AN185" s="859"/>
      <c r="AO185" s="859"/>
      <c r="AP185" s="859"/>
      <c r="AQ185" s="859"/>
      <c r="AR185" s="859"/>
      <c r="AS185" s="859" t="str">
        <f t="shared" ref="AS185:AS190" si="89">IF(AL185&gt;0,AN185-AL185,"")</f>
        <v/>
      </c>
      <c r="AT185" s="2239" t="str">
        <f t="shared" ref="AT185:AT190" si="90">IF(AL185&gt;0,AS185/AL185,"")</f>
        <v/>
      </c>
      <c r="AU185" s="803"/>
      <c r="AV185" s="819"/>
      <c r="AW185" s="797">
        <f>SUM(AU185-H185)</f>
        <v>0</v>
      </c>
      <c r="AX185" s="805" t="str">
        <f>IF(H185&gt;0,AW185/H185,"")</f>
        <v/>
      </c>
      <c r="AY185" s="807"/>
      <c r="AZ185" s="2136"/>
      <c r="BA185" s="2136"/>
      <c r="BB185" s="2129" t="s">
        <v>1099</v>
      </c>
    </row>
    <row r="186" spans="1:54" ht="13.9" hidden="1" customHeight="1" x14ac:dyDescent="0.2">
      <c r="A186" s="808" t="s">
        <v>684</v>
      </c>
      <c r="B186" s="799">
        <v>64520</v>
      </c>
      <c r="C186" s="797">
        <v>61305.599999999999</v>
      </c>
      <c r="D186" s="887"/>
      <c r="E186" s="801">
        <v>0</v>
      </c>
      <c r="F186" s="887"/>
      <c r="G186" s="887">
        <v>0</v>
      </c>
      <c r="H186" s="888"/>
      <c r="I186" s="801">
        <v>0</v>
      </c>
      <c r="J186" s="839">
        <v>0</v>
      </c>
      <c r="K186" s="817"/>
      <c r="L186" s="893"/>
      <c r="M186" s="893"/>
      <c r="N186" s="893"/>
      <c r="O186" s="817"/>
      <c r="P186" s="817"/>
      <c r="Q186" s="817"/>
      <c r="R186" s="817"/>
      <c r="S186" s="817"/>
      <c r="T186" s="817"/>
      <c r="U186" s="817"/>
      <c r="V186" s="817"/>
      <c r="W186" s="817"/>
      <c r="X186" s="817"/>
      <c r="Y186" s="817"/>
      <c r="Z186" s="817"/>
      <c r="AA186" s="817"/>
      <c r="AB186" s="817"/>
      <c r="AC186" s="817"/>
      <c r="AD186" s="817"/>
      <c r="AE186" s="817"/>
      <c r="AF186" s="817"/>
      <c r="AG186" s="817"/>
      <c r="AH186" s="817"/>
      <c r="AI186" s="817"/>
      <c r="AJ186" s="817"/>
      <c r="AK186" s="817"/>
      <c r="AL186" s="817"/>
      <c r="AM186" s="817"/>
      <c r="AN186" s="817"/>
      <c r="AO186" s="817"/>
      <c r="AP186" s="817"/>
      <c r="AQ186" s="817"/>
      <c r="AR186" s="817"/>
      <c r="AS186" s="817" t="str">
        <f t="shared" si="89"/>
        <v/>
      </c>
      <c r="AT186" s="2240" t="str">
        <f t="shared" si="90"/>
        <v/>
      </c>
      <c r="AU186" s="854"/>
      <c r="AV186" s="819"/>
      <c r="AW186" s="797">
        <f>SUM(AU186-H186)</f>
        <v>0</v>
      </c>
      <c r="AX186" s="805" t="str">
        <f>IF(H186&gt;0,AW186/H186,"")</f>
        <v/>
      </c>
      <c r="AY186" s="807"/>
      <c r="AZ186" s="2136"/>
      <c r="BA186" s="2136"/>
      <c r="BB186" s="2129" t="s">
        <v>1099</v>
      </c>
    </row>
    <row r="187" spans="1:54" ht="13.9" hidden="1" customHeight="1" x14ac:dyDescent="0.2">
      <c r="A187" s="808" t="s">
        <v>558</v>
      </c>
      <c r="B187" s="799">
        <v>17722</v>
      </c>
      <c r="C187" s="797">
        <v>19003.07</v>
      </c>
      <c r="D187" s="887"/>
      <c r="E187" s="801">
        <v>0</v>
      </c>
      <c r="F187" s="887"/>
      <c r="G187" s="887">
        <v>0</v>
      </c>
      <c r="H187" s="888"/>
      <c r="I187" s="801">
        <v>0</v>
      </c>
      <c r="J187" s="839">
        <v>0</v>
      </c>
      <c r="K187" s="817">
        <v>0</v>
      </c>
      <c r="L187" s="893"/>
      <c r="M187" s="893"/>
      <c r="N187" s="893"/>
      <c r="O187" s="817"/>
      <c r="P187" s="817"/>
      <c r="Q187" s="817"/>
      <c r="R187" s="817"/>
      <c r="S187" s="817"/>
      <c r="T187" s="817"/>
      <c r="U187" s="817"/>
      <c r="V187" s="817"/>
      <c r="W187" s="817"/>
      <c r="X187" s="817"/>
      <c r="Y187" s="817"/>
      <c r="Z187" s="817"/>
      <c r="AA187" s="817"/>
      <c r="AB187" s="817"/>
      <c r="AC187" s="817"/>
      <c r="AD187" s="817"/>
      <c r="AE187" s="817"/>
      <c r="AF187" s="817"/>
      <c r="AG187" s="817"/>
      <c r="AH187" s="817"/>
      <c r="AI187" s="817"/>
      <c r="AJ187" s="817"/>
      <c r="AK187" s="817"/>
      <c r="AL187" s="817"/>
      <c r="AM187" s="817"/>
      <c r="AN187" s="817"/>
      <c r="AO187" s="817"/>
      <c r="AP187" s="817"/>
      <c r="AQ187" s="817"/>
      <c r="AR187" s="817"/>
      <c r="AS187" s="817" t="str">
        <f t="shared" si="89"/>
        <v/>
      </c>
      <c r="AT187" s="2240" t="str">
        <f t="shared" si="90"/>
        <v/>
      </c>
      <c r="AU187" s="854"/>
      <c r="AV187" s="819"/>
      <c r="AW187" s="797">
        <f>SUM(AU187-H187)</f>
        <v>0</v>
      </c>
      <c r="AX187" s="805" t="str">
        <f>IF(H187&gt;0,AW187/H187,"")</f>
        <v/>
      </c>
      <c r="AY187" s="807"/>
      <c r="AZ187" s="2136"/>
      <c r="BA187" s="2136"/>
      <c r="BB187" s="2129" t="s">
        <v>1099</v>
      </c>
    </row>
    <row r="188" spans="1:54" ht="13.9" hidden="1" customHeight="1" x14ac:dyDescent="0.2">
      <c r="A188" s="808" t="s">
        <v>820</v>
      </c>
      <c r="B188" s="799">
        <v>6872</v>
      </c>
      <c r="C188" s="797">
        <v>5719.36</v>
      </c>
      <c r="D188" s="887"/>
      <c r="E188" s="801">
        <v>0</v>
      </c>
      <c r="F188" s="887"/>
      <c r="G188" s="887">
        <v>0</v>
      </c>
      <c r="H188" s="888"/>
      <c r="I188" s="801">
        <v>0</v>
      </c>
      <c r="J188" s="839">
        <v>0</v>
      </c>
      <c r="K188" s="817">
        <v>0</v>
      </c>
      <c r="L188" s="893"/>
      <c r="M188" s="893"/>
      <c r="N188" s="893"/>
      <c r="O188" s="817"/>
      <c r="P188" s="817"/>
      <c r="Q188" s="817"/>
      <c r="R188" s="817"/>
      <c r="S188" s="817"/>
      <c r="T188" s="817"/>
      <c r="U188" s="817"/>
      <c r="V188" s="817"/>
      <c r="W188" s="817"/>
      <c r="X188" s="817"/>
      <c r="Y188" s="817"/>
      <c r="Z188" s="817"/>
      <c r="AA188" s="817"/>
      <c r="AB188" s="817"/>
      <c r="AC188" s="817"/>
      <c r="AD188" s="817"/>
      <c r="AE188" s="817"/>
      <c r="AF188" s="817"/>
      <c r="AG188" s="817"/>
      <c r="AH188" s="817"/>
      <c r="AI188" s="817"/>
      <c r="AJ188" s="817"/>
      <c r="AK188" s="817"/>
      <c r="AL188" s="817"/>
      <c r="AM188" s="817"/>
      <c r="AN188" s="817"/>
      <c r="AO188" s="817"/>
      <c r="AP188" s="817"/>
      <c r="AQ188" s="817"/>
      <c r="AR188" s="817"/>
      <c r="AS188" s="817" t="str">
        <f t="shared" si="89"/>
        <v/>
      </c>
      <c r="AT188" s="2240" t="str">
        <f t="shared" si="90"/>
        <v/>
      </c>
      <c r="AU188" s="854"/>
      <c r="AV188" s="819"/>
      <c r="AW188" s="797">
        <f>SUM(AU188-H188)</f>
        <v>0</v>
      </c>
      <c r="AX188" s="805" t="str">
        <f>IF(H188&gt;0,AW188/H188,"")</f>
        <v/>
      </c>
      <c r="AY188" s="807"/>
      <c r="AZ188" s="2136"/>
      <c r="BA188" s="2136"/>
      <c r="BB188" s="2129" t="s">
        <v>1099</v>
      </c>
    </row>
    <row r="189" spans="1:54" ht="13.9" hidden="1" customHeight="1" x14ac:dyDescent="0.2">
      <c r="A189" s="878" t="s">
        <v>821</v>
      </c>
      <c r="B189" s="810">
        <f t="shared" ref="B189:I189" si="91">SUM(B186:B188)</f>
        <v>89114</v>
      </c>
      <c r="C189" s="810">
        <f t="shared" si="91"/>
        <v>86028.03</v>
      </c>
      <c r="D189" s="810">
        <f t="shared" si="91"/>
        <v>0</v>
      </c>
      <c r="E189" s="810">
        <f t="shared" si="91"/>
        <v>0</v>
      </c>
      <c r="F189" s="810">
        <f t="shared" si="91"/>
        <v>0</v>
      </c>
      <c r="G189" s="810">
        <f t="shared" si="91"/>
        <v>0</v>
      </c>
      <c r="H189" s="810">
        <f t="shared" si="91"/>
        <v>0</v>
      </c>
      <c r="I189" s="810">
        <f t="shared" si="91"/>
        <v>0</v>
      </c>
      <c r="J189" s="813">
        <v>0</v>
      </c>
      <c r="K189" s="814">
        <v>0</v>
      </c>
      <c r="L189" s="939"/>
      <c r="M189" s="939"/>
      <c r="N189" s="939"/>
      <c r="O189" s="814"/>
      <c r="P189" s="814"/>
      <c r="Q189" s="814"/>
      <c r="R189" s="814"/>
      <c r="S189" s="814"/>
      <c r="T189" s="814"/>
      <c r="U189" s="814"/>
      <c r="V189" s="814"/>
      <c r="W189" s="814"/>
      <c r="X189" s="814"/>
      <c r="Y189" s="814"/>
      <c r="Z189" s="814"/>
      <c r="AA189" s="814"/>
      <c r="AB189" s="814"/>
      <c r="AC189" s="814"/>
      <c r="AD189" s="814"/>
      <c r="AE189" s="814">
        <v>0</v>
      </c>
      <c r="AF189" s="814"/>
      <c r="AG189" s="814">
        <v>0</v>
      </c>
      <c r="AH189" s="814"/>
      <c r="AI189" s="814">
        <v>0</v>
      </c>
      <c r="AJ189" s="814"/>
      <c r="AK189" s="814"/>
      <c r="AL189" s="814"/>
      <c r="AM189" s="814"/>
      <c r="AN189" s="814"/>
      <c r="AO189" s="814"/>
      <c r="AP189" s="814"/>
      <c r="AQ189" s="814"/>
      <c r="AR189" s="814"/>
      <c r="AS189" s="814" t="str">
        <f t="shared" si="89"/>
        <v/>
      </c>
      <c r="AT189" s="2242" t="str">
        <f t="shared" si="90"/>
        <v/>
      </c>
      <c r="AU189" s="854">
        <f>SUM(AU186:AU188)</f>
        <v>0</v>
      </c>
      <c r="AV189" s="819"/>
      <c r="AW189" s="797">
        <f>SUM(AU189-H189)</f>
        <v>0</v>
      </c>
      <c r="AX189" s="805" t="str">
        <f>IF(H189&gt;0,AW189/H189,"")</f>
        <v/>
      </c>
      <c r="AY189" s="820"/>
      <c r="AZ189" s="2136"/>
      <c r="BA189" s="2136"/>
      <c r="BB189" s="2139" t="s">
        <v>1099</v>
      </c>
    </row>
    <row r="190" spans="1:54" s="1038" customFormat="1" ht="13.9" hidden="1" customHeight="1" x14ac:dyDescent="0.2">
      <c r="A190" s="978"/>
      <c r="B190" s="979"/>
      <c r="C190" s="979"/>
      <c r="D190" s="979"/>
      <c r="E190" s="1000"/>
      <c r="F190" s="979"/>
      <c r="G190" s="979"/>
      <c r="H190" s="1000"/>
      <c r="I190" s="1000"/>
      <c r="J190" s="982"/>
      <c r="K190" s="991"/>
      <c r="L190" s="1034"/>
      <c r="M190" s="1035"/>
      <c r="N190" s="1035"/>
      <c r="O190" s="991"/>
      <c r="P190" s="991"/>
      <c r="Q190" s="991"/>
      <c r="R190" s="991"/>
      <c r="S190" s="991"/>
      <c r="T190" s="991"/>
      <c r="U190" s="991"/>
      <c r="V190" s="991"/>
      <c r="W190" s="991"/>
      <c r="X190" s="991"/>
      <c r="Y190" s="991"/>
      <c r="Z190" s="991"/>
      <c r="AA190" s="991"/>
      <c r="AB190" s="991"/>
      <c r="AC190" s="991"/>
      <c r="AD190" s="991"/>
      <c r="AE190" s="991"/>
      <c r="AF190" s="991"/>
      <c r="AG190" s="991"/>
      <c r="AH190" s="991"/>
      <c r="AI190" s="991"/>
      <c r="AJ190" s="991"/>
      <c r="AK190" s="991"/>
      <c r="AL190" s="991"/>
      <c r="AM190" s="991"/>
      <c r="AN190" s="991"/>
      <c r="AO190" s="991"/>
      <c r="AP190" s="991"/>
      <c r="AQ190" s="991"/>
      <c r="AR190" s="991"/>
      <c r="AS190" s="991" t="str">
        <f t="shared" si="89"/>
        <v/>
      </c>
      <c r="AT190" s="2255" t="str">
        <f t="shared" si="90"/>
        <v/>
      </c>
      <c r="AU190" s="1036"/>
      <c r="AV190" s="834"/>
      <c r="AW190" s="823"/>
      <c r="AX190" s="835"/>
      <c r="AY190" s="1037"/>
      <c r="AZ190" s="2136"/>
      <c r="BA190" s="2136"/>
      <c r="BB190" s="2139" t="s">
        <v>1099</v>
      </c>
    </row>
    <row r="191" spans="1:54" ht="13.9" hidden="1" customHeight="1" x14ac:dyDescent="0.2">
      <c r="A191" s="997" t="s">
        <v>883</v>
      </c>
      <c r="B191" s="810"/>
      <c r="C191" s="810"/>
      <c r="D191" s="810"/>
      <c r="E191" s="811"/>
      <c r="F191" s="810"/>
      <c r="G191" s="810"/>
      <c r="H191" s="811"/>
      <c r="I191" s="811"/>
      <c r="J191" s="813"/>
      <c r="K191" s="814"/>
      <c r="L191" s="1039"/>
      <c r="M191" s="939"/>
      <c r="N191" s="939"/>
      <c r="O191" s="814"/>
      <c r="P191" s="814"/>
      <c r="Q191" s="814"/>
      <c r="R191" s="814"/>
      <c r="S191" s="814"/>
      <c r="T191" s="814"/>
      <c r="U191" s="814"/>
      <c r="V191" s="814"/>
      <c r="W191" s="814"/>
      <c r="X191" s="814"/>
      <c r="Y191" s="814"/>
      <c r="Z191" s="814"/>
      <c r="AA191" s="814"/>
      <c r="AB191" s="814"/>
      <c r="AC191" s="814"/>
      <c r="AD191" s="814"/>
      <c r="AE191" s="814"/>
      <c r="AF191" s="814"/>
      <c r="AG191" s="814"/>
      <c r="AH191" s="814"/>
      <c r="AI191" s="814"/>
      <c r="AJ191" s="814"/>
      <c r="AK191" s="814"/>
      <c r="AL191" s="814"/>
      <c r="AM191" s="814"/>
      <c r="AN191" s="814"/>
      <c r="AO191" s="814"/>
      <c r="AP191" s="814"/>
      <c r="AQ191" s="814"/>
      <c r="AR191" s="814"/>
      <c r="AS191" s="814">
        <f t="shared" ref="AS191:AS205" si="92">AR191-AP191</f>
        <v>0</v>
      </c>
      <c r="AT191" s="2242" t="str">
        <f t="shared" ref="AT191:AT205" si="93">IF(AP191&gt;0,AS191/AP191,"")</f>
        <v/>
      </c>
      <c r="AU191" s="854"/>
      <c r="AV191" s="819"/>
      <c r="AW191" s="797"/>
      <c r="AX191" s="805"/>
      <c r="AY191" s="820"/>
      <c r="AZ191" s="2136"/>
      <c r="BA191" s="2136"/>
      <c r="BB191" s="2143"/>
    </row>
    <row r="192" spans="1:54" ht="13.9" hidden="1" customHeight="1" x14ac:dyDescent="0.2">
      <c r="A192" s="808" t="s">
        <v>684</v>
      </c>
      <c r="B192" s="810"/>
      <c r="C192" s="810"/>
      <c r="D192" s="810"/>
      <c r="E192" s="811"/>
      <c r="F192" s="810"/>
      <c r="G192" s="810"/>
      <c r="H192" s="811"/>
      <c r="I192" s="811"/>
      <c r="J192" s="813"/>
      <c r="K192" s="814"/>
      <c r="L192" s="1039"/>
      <c r="M192" s="939"/>
      <c r="N192" s="939"/>
      <c r="O192" s="814"/>
      <c r="P192" s="814"/>
      <c r="Q192" s="814"/>
      <c r="R192" s="814"/>
      <c r="S192" s="814"/>
      <c r="T192" s="814"/>
      <c r="U192" s="814"/>
      <c r="V192" s="814"/>
      <c r="W192" s="814"/>
      <c r="X192" s="814"/>
      <c r="Y192" s="814"/>
      <c r="Z192" s="814"/>
      <c r="AA192" s="814"/>
      <c r="AB192" s="814"/>
      <c r="AC192" s="814"/>
      <c r="AD192" s="814"/>
      <c r="AE192" s="814"/>
      <c r="AF192" s="814"/>
      <c r="AG192" s="814"/>
      <c r="AH192" s="814"/>
      <c r="AI192" s="814"/>
      <c r="AJ192" s="814"/>
      <c r="AK192" s="814"/>
      <c r="AL192" s="814"/>
      <c r="AM192" s="814"/>
      <c r="AN192" s="814"/>
      <c r="AO192" s="814"/>
      <c r="AP192" s="814"/>
      <c r="AQ192" s="814"/>
      <c r="AR192" s="814"/>
      <c r="AS192" s="814">
        <f t="shared" si="92"/>
        <v>0</v>
      </c>
      <c r="AT192" s="2242" t="str">
        <f t="shared" si="93"/>
        <v/>
      </c>
      <c r="AU192" s="854"/>
      <c r="AV192" s="819"/>
      <c r="AW192" s="797"/>
      <c r="AX192" s="805"/>
      <c r="AY192" s="820"/>
      <c r="AZ192" s="2136"/>
      <c r="BA192" s="2136"/>
      <c r="BB192" s="2143"/>
    </row>
    <row r="193" spans="1:55" ht="13.9" hidden="1" customHeight="1" x14ac:dyDescent="0.2">
      <c r="A193" s="808" t="s">
        <v>558</v>
      </c>
      <c r="B193" s="810"/>
      <c r="C193" s="810"/>
      <c r="D193" s="810"/>
      <c r="E193" s="811"/>
      <c r="F193" s="810"/>
      <c r="G193" s="810"/>
      <c r="H193" s="811"/>
      <c r="I193" s="811"/>
      <c r="J193" s="813"/>
      <c r="K193" s="814"/>
      <c r="L193" s="1039"/>
      <c r="M193" s="939"/>
      <c r="N193" s="939"/>
      <c r="O193" s="814"/>
      <c r="P193" s="814"/>
      <c r="Q193" s="814"/>
      <c r="R193" s="814"/>
      <c r="S193" s="814"/>
      <c r="T193" s="814"/>
      <c r="U193" s="814"/>
      <c r="V193" s="814"/>
      <c r="W193" s="814"/>
      <c r="X193" s="814"/>
      <c r="Y193" s="814"/>
      <c r="Z193" s="814"/>
      <c r="AA193" s="814"/>
      <c r="AB193" s="814"/>
      <c r="AC193" s="814"/>
      <c r="AD193" s="814"/>
      <c r="AE193" s="817">
        <v>5306</v>
      </c>
      <c r="AF193" s="814"/>
      <c r="AG193" s="814">
        <v>5465.18</v>
      </c>
      <c r="AH193" s="817">
        <v>5306</v>
      </c>
      <c r="AI193" s="843">
        <v>5465.18</v>
      </c>
      <c r="AJ193" s="843">
        <v>5413</v>
      </c>
      <c r="AK193" s="843">
        <v>5575.39</v>
      </c>
      <c r="AL193" s="843">
        <v>5413</v>
      </c>
      <c r="AM193" s="843">
        <f>AL193*$AK$5</f>
        <v>5521.26</v>
      </c>
      <c r="AN193" s="843">
        <v>5413</v>
      </c>
      <c r="AO193" s="843">
        <v>5521.26</v>
      </c>
      <c r="AP193" s="843">
        <v>5413</v>
      </c>
      <c r="AQ193" s="843">
        <f>AP193*$AK$5</f>
        <v>5521.26</v>
      </c>
      <c r="AR193" s="843">
        <f>'[1]BUDGET DETAIL'!$CO$531</f>
        <v>5413</v>
      </c>
      <c r="AS193" s="843">
        <f t="shared" si="92"/>
        <v>0</v>
      </c>
      <c r="AT193" s="2239">
        <f t="shared" si="93"/>
        <v>0</v>
      </c>
      <c r="AU193" s="854"/>
      <c r="AV193" s="819"/>
      <c r="AW193" s="797"/>
      <c r="AX193" s="805"/>
      <c r="AY193" s="820"/>
      <c r="AZ193" s="2136"/>
      <c r="BA193" s="2136"/>
      <c r="BB193" s="2143"/>
    </row>
    <row r="194" spans="1:55" ht="13.9" hidden="1" customHeight="1" x14ac:dyDescent="0.2">
      <c r="A194" s="808" t="s">
        <v>820</v>
      </c>
      <c r="B194" s="810"/>
      <c r="C194" s="810"/>
      <c r="D194" s="810"/>
      <c r="E194" s="811"/>
      <c r="F194" s="810"/>
      <c r="G194" s="810"/>
      <c r="H194" s="811"/>
      <c r="I194" s="811"/>
      <c r="J194" s="813"/>
      <c r="K194" s="814"/>
      <c r="L194" s="1039"/>
      <c r="M194" s="939"/>
      <c r="N194" s="939"/>
      <c r="O194" s="814"/>
      <c r="P194" s="814"/>
      <c r="Q194" s="814"/>
      <c r="R194" s="814"/>
      <c r="S194" s="814"/>
      <c r="T194" s="814"/>
      <c r="U194" s="814"/>
      <c r="V194" s="814"/>
      <c r="W194" s="814"/>
      <c r="X194" s="814"/>
      <c r="Y194" s="814"/>
      <c r="Z194" s="814"/>
      <c r="AA194" s="814"/>
      <c r="AB194" s="814"/>
      <c r="AC194" s="814"/>
      <c r="AD194" s="814"/>
      <c r="AE194" s="817">
        <v>10000</v>
      </c>
      <c r="AF194" s="814"/>
      <c r="AG194" s="814">
        <v>10000</v>
      </c>
      <c r="AH194" s="817">
        <v>10000</v>
      </c>
      <c r="AI194" s="843">
        <v>10000</v>
      </c>
      <c r="AJ194" s="843">
        <v>10000</v>
      </c>
      <c r="AK194" s="843">
        <v>10000</v>
      </c>
      <c r="AL194" s="843">
        <v>10000</v>
      </c>
      <c r="AM194" s="843">
        <f>AL194*$AH$4</f>
        <v>10000</v>
      </c>
      <c r="AN194" s="843">
        <v>10000</v>
      </c>
      <c r="AO194" s="843">
        <v>10000</v>
      </c>
      <c r="AP194" s="843">
        <v>10000</v>
      </c>
      <c r="AQ194" s="843">
        <f>AP194*$AH$4</f>
        <v>10000</v>
      </c>
      <c r="AR194" s="843">
        <f>'[1]BUDGET DETAIL'!$CO$534+ IF(BA194="yes",AZ194,0)</f>
        <v>25000</v>
      </c>
      <c r="AS194" s="843">
        <f t="shared" si="92"/>
        <v>15000</v>
      </c>
      <c r="AT194" s="2239">
        <f t="shared" si="93"/>
        <v>1.5</v>
      </c>
      <c r="AU194" s="854"/>
      <c r="AV194" s="819"/>
      <c r="AW194" s="797"/>
      <c r="AX194" s="805"/>
      <c r="AY194" s="820"/>
      <c r="AZ194" s="2136">
        <f>'[1]ABOVE GUIDELINES'!$J$30</f>
        <v>15000</v>
      </c>
      <c r="BA194" s="2321" t="s">
        <v>2506</v>
      </c>
      <c r="BB194" s="2942">
        <v>44998</v>
      </c>
    </row>
    <row r="195" spans="1:55" ht="13.9" hidden="1" customHeight="1" x14ac:dyDescent="0.2">
      <c r="A195" s="878" t="s">
        <v>821</v>
      </c>
      <c r="B195" s="810"/>
      <c r="C195" s="810"/>
      <c r="D195" s="810"/>
      <c r="E195" s="811"/>
      <c r="F195" s="810"/>
      <c r="G195" s="810"/>
      <c r="H195" s="811"/>
      <c r="I195" s="811"/>
      <c r="J195" s="813"/>
      <c r="K195" s="814"/>
      <c r="L195" s="1039"/>
      <c r="M195" s="939"/>
      <c r="N195" s="939"/>
      <c r="O195" s="814"/>
      <c r="P195" s="814"/>
      <c r="Q195" s="814"/>
      <c r="R195" s="814"/>
      <c r="S195" s="814"/>
      <c r="T195" s="814"/>
      <c r="U195" s="814"/>
      <c r="V195" s="814"/>
      <c r="W195" s="814"/>
      <c r="X195" s="814"/>
      <c r="Y195" s="814"/>
      <c r="Z195" s="814"/>
      <c r="AA195" s="814"/>
      <c r="AB195" s="814"/>
      <c r="AC195" s="814"/>
      <c r="AD195" s="814"/>
      <c r="AE195" s="814">
        <v>15306</v>
      </c>
      <c r="AF195" s="814"/>
      <c r="AG195" s="814">
        <v>15465.18</v>
      </c>
      <c r="AH195" s="852">
        <v>15306</v>
      </c>
      <c r="AI195" s="814">
        <v>15465.18</v>
      </c>
      <c r="AJ195" s="814">
        <v>15413</v>
      </c>
      <c r="AK195" s="814">
        <v>15575.39</v>
      </c>
      <c r="AL195" s="814">
        <v>15413</v>
      </c>
      <c r="AM195" s="814">
        <f t="shared" ref="AM195:AQ195" si="94">SUM(AM193:AM194)</f>
        <v>15521.26</v>
      </c>
      <c r="AN195" s="814">
        <f t="shared" si="94"/>
        <v>15413</v>
      </c>
      <c r="AO195" s="814">
        <f t="shared" si="94"/>
        <v>15521.26</v>
      </c>
      <c r="AP195" s="814">
        <f t="shared" si="94"/>
        <v>15413</v>
      </c>
      <c r="AQ195" s="814">
        <f t="shared" si="94"/>
        <v>15521.26</v>
      </c>
      <c r="AR195" s="814">
        <f>SUM(AR193:AR194)</f>
        <v>30413</v>
      </c>
      <c r="AS195" s="814">
        <f t="shared" si="92"/>
        <v>15000</v>
      </c>
      <c r="AT195" s="2242">
        <f t="shared" si="93"/>
        <v>0.97320443781223642</v>
      </c>
      <c r="AU195" s="854"/>
      <c r="AV195" s="819"/>
      <c r="AW195" s="797"/>
      <c r="AX195" s="805"/>
      <c r="AY195" s="820"/>
      <c r="AZ195" s="2136"/>
      <c r="BA195" s="2136"/>
      <c r="BB195" s="2129" t="s">
        <v>2539</v>
      </c>
    </row>
    <row r="196" spans="1:55" ht="13.9" hidden="1" customHeight="1" x14ac:dyDescent="0.2">
      <c r="A196" s="978"/>
      <c r="B196" s="979"/>
      <c r="C196" s="979"/>
      <c r="D196" s="979"/>
      <c r="E196" s="1000"/>
      <c r="F196" s="979"/>
      <c r="G196" s="979"/>
      <c r="H196" s="1000"/>
      <c r="I196" s="1000"/>
      <c r="J196" s="982"/>
      <c r="K196" s="991"/>
      <c r="L196" s="1034"/>
      <c r="M196" s="1035"/>
      <c r="N196" s="1035"/>
      <c r="O196" s="991"/>
      <c r="P196" s="991"/>
      <c r="Q196" s="991"/>
      <c r="R196" s="991"/>
      <c r="S196" s="991"/>
      <c r="T196" s="991"/>
      <c r="U196" s="991"/>
      <c r="V196" s="991"/>
      <c r="W196" s="991"/>
      <c r="X196" s="991"/>
      <c r="Y196" s="991"/>
      <c r="Z196" s="991"/>
      <c r="AA196" s="991"/>
      <c r="AB196" s="991"/>
      <c r="AC196" s="991"/>
      <c r="AD196" s="991"/>
      <c r="AE196" s="991"/>
      <c r="AF196" s="991"/>
      <c r="AG196" s="991"/>
      <c r="AH196" s="991"/>
      <c r="AI196" s="991"/>
      <c r="AJ196" s="991"/>
      <c r="AK196" s="991"/>
      <c r="AL196" s="991"/>
      <c r="AM196" s="991"/>
      <c r="AN196" s="991"/>
      <c r="AO196" s="991"/>
      <c r="AP196" s="991"/>
      <c r="AQ196" s="991"/>
      <c r="AR196" s="991"/>
      <c r="AS196" s="991">
        <f t="shared" si="92"/>
        <v>0</v>
      </c>
      <c r="AT196" s="2255" t="str">
        <f t="shared" si="93"/>
        <v/>
      </c>
      <c r="AU196" s="1036"/>
      <c r="AV196" s="834"/>
      <c r="AW196" s="823"/>
      <c r="AX196" s="835"/>
      <c r="AY196" s="1037"/>
      <c r="AZ196" s="2136"/>
      <c r="BA196" s="2136"/>
      <c r="BB196" s="2143"/>
      <c r="BC196" s="722">
        <v>574500</v>
      </c>
    </row>
    <row r="197" spans="1:55" ht="13.9" hidden="1" customHeight="1" x14ac:dyDescent="0.2">
      <c r="A197" s="808" t="s">
        <v>498</v>
      </c>
      <c r="B197" s="810"/>
      <c r="C197" s="810"/>
      <c r="D197" s="810"/>
      <c r="E197" s="811"/>
      <c r="F197" s="810"/>
      <c r="G197" s="810"/>
      <c r="H197" s="811"/>
      <c r="I197" s="811"/>
      <c r="J197" s="813"/>
      <c r="K197" s="814"/>
      <c r="L197" s="1039"/>
      <c r="M197" s="939"/>
      <c r="N197" s="939"/>
      <c r="O197" s="814"/>
      <c r="P197" s="814"/>
      <c r="Q197" s="814"/>
      <c r="R197" s="814"/>
      <c r="S197" s="814"/>
      <c r="T197" s="814"/>
      <c r="U197" s="814"/>
      <c r="V197" s="814"/>
      <c r="W197" s="814"/>
      <c r="X197" s="814"/>
      <c r="Y197" s="814"/>
      <c r="Z197" s="814"/>
      <c r="AA197" s="814"/>
      <c r="AB197" s="814"/>
      <c r="AC197" s="814"/>
      <c r="AD197" s="814"/>
      <c r="AE197" s="814"/>
      <c r="AF197" s="814"/>
      <c r="AG197" s="814"/>
      <c r="AH197" s="814"/>
      <c r="AI197" s="814"/>
      <c r="AJ197" s="814"/>
      <c r="AK197" s="814"/>
      <c r="AL197" s="814"/>
      <c r="AM197" s="814"/>
      <c r="AN197" s="814"/>
      <c r="AO197" s="814"/>
      <c r="AP197" s="814"/>
      <c r="AQ197" s="814"/>
      <c r="AR197" s="814"/>
      <c r="AS197" s="814">
        <f t="shared" si="92"/>
        <v>0</v>
      </c>
      <c r="AT197" s="2242" t="str">
        <f t="shared" si="93"/>
        <v/>
      </c>
      <c r="AU197" s="854"/>
      <c r="AV197" s="819"/>
      <c r="AW197" s="797"/>
      <c r="AX197" s="805"/>
      <c r="AY197" s="820"/>
      <c r="AZ197" s="2136"/>
      <c r="BA197" s="2136"/>
      <c r="BB197" s="2143"/>
      <c r="BC197" s="722">
        <v>1650</v>
      </c>
    </row>
    <row r="198" spans="1:55" ht="13.9" hidden="1" customHeight="1" x14ac:dyDescent="0.2">
      <c r="A198" s="808" t="s">
        <v>819</v>
      </c>
      <c r="B198" s="810"/>
      <c r="C198" s="810"/>
      <c r="D198" s="810"/>
      <c r="E198" s="811"/>
      <c r="F198" s="810"/>
      <c r="G198" s="810"/>
      <c r="H198" s="811"/>
      <c r="I198" s="811"/>
      <c r="J198" s="813"/>
      <c r="K198" s="814"/>
      <c r="L198" s="1039"/>
      <c r="M198" s="939"/>
      <c r="N198" s="939"/>
      <c r="O198" s="814"/>
      <c r="P198" s="814"/>
      <c r="Q198" s="814"/>
      <c r="R198" s="814"/>
      <c r="S198" s="814"/>
      <c r="T198" s="814"/>
      <c r="U198" s="814"/>
      <c r="V198" s="814"/>
      <c r="W198" s="814"/>
      <c r="X198" s="814"/>
      <c r="Y198" s="814"/>
      <c r="Z198" s="814"/>
      <c r="AA198" s="814"/>
      <c r="AB198" s="814"/>
      <c r="AC198" s="814"/>
      <c r="AD198" s="814"/>
      <c r="AE198" s="814"/>
      <c r="AF198" s="814"/>
      <c r="AG198" s="814">
        <v>429915</v>
      </c>
      <c r="AH198" s="817">
        <v>429915</v>
      </c>
      <c r="AI198" s="843">
        <v>429915</v>
      </c>
      <c r="AJ198" s="843">
        <v>429915</v>
      </c>
      <c r="AK198" s="843">
        <v>429915</v>
      </c>
      <c r="AL198" s="843">
        <v>429915</v>
      </c>
      <c r="AM198" s="843">
        <v>429915</v>
      </c>
      <c r="AN198" s="843">
        <v>429915</v>
      </c>
      <c r="AO198" s="843">
        <v>429915</v>
      </c>
      <c r="AP198" s="843">
        <v>428915</v>
      </c>
      <c r="AQ198" s="843">
        <f>AP198*$AN$6</f>
        <v>600481</v>
      </c>
      <c r="AR198" s="843">
        <f>'[1]BUDGET DETAIL'!$CO$627+IF(BA198="yes",AZ198,0)</f>
        <v>574500</v>
      </c>
      <c r="AS198" s="843">
        <f t="shared" si="92"/>
        <v>145585</v>
      </c>
      <c r="AT198" s="2239">
        <f t="shared" si="93"/>
        <v>0.33942622664164229</v>
      </c>
      <c r="AU198" s="854"/>
      <c r="AV198" s="819"/>
      <c r="AW198" s="797"/>
      <c r="AX198" s="805"/>
      <c r="AY198" s="820"/>
      <c r="AZ198" s="2136">
        <v>910</v>
      </c>
      <c r="BA198" s="2321" t="s">
        <v>2506</v>
      </c>
      <c r="BB198" s="2942">
        <v>44998</v>
      </c>
      <c r="BC198" s="722">
        <v>65000</v>
      </c>
    </row>
    <row r="199" spans="1:55" ht="13.9" hidden="1" customHeight="1" x14ac:dyDescent="0.2">
      <c r="A199" s="878" t="s">
        <v>821</v>
      </c>
      <c r="B199" s="810"/>
      <c r="C199" s="810"/>
      <c r="D199" s="810"/>
      <c r="E199" s="811"/>
      <c r="F199" s="810"/>
      <c r="G199" s="810"/>
      <c r="H199" s="811"/>
      <c r="I199" s="811"/>
      <c r="J199" s="813"/>
      <c r="K199" s="814"/>
      <c r="L199" s="1039"/>
      <c r="M199" s="939"/>
      <c r="N199" s="939"/>
      <c r="O199" s="814"/>
      <c r="P199" s="814"/>
      <c r="Q199" s="814"/>
      <c r="R199" s="814"/>
      <c r="S199" s="814"/>
      <c r="T199" s="814"/>
      <c r="U199" s="814"/>
      <c r="V199" s="814"/>
      <c r="W199" s="814"/>
      <c r="X199" s="814"/>
      <c r="Y199" s="814"/>
      <c r="Z199" s="814"/>
      <c r="AA199" s="814"/>
      <c r="AB199" s="814"/>
      <c r="AC199" s="814"/>
      <c r="AD199" s="814"/>
      <c r="AE199" s="814"/>
      <c r="AF199" s="814"/>
      <c r="AG199" s="814">
        <v>429915</v>
      </c>
      <c r="AH199" s="852">
        <v>429915</v>
      </c>
      <c r="AI199" s="814">
        <v>429915</v>
      </c>
      <c r="AJ199" s="814">
        <v>429915</v>
      </c>
      <c r="AK199" s="814">
        <v>429915</v>
      </c>
      <c r="AL199" s="814">
        <v>429915</v>
      </c>
      <c r="AM199" s="814">
        <f t="shared" ref="AM199:AR199" si="95">SUM(AM198)</f>
        <v>429915</v>
      </c>
      <c r="AN199" s="814">
        <f t="shared" si="95"/>
        <v>429915</v>
      </c>
      <c r="AO199" s="814">
        <f t="shared" si="95"/>
        <v>429915</v>
      </c>
      <c r="AP199" s="814">
        <f t="shared" si="95"/>
        <v>428915</v>
      </c>
      <c r="AQ199" s="814">
        <f t="shared" si="95"/>
        <v>600481</v>
      </c>
      <c r="AR199" s="814">
        <f t="shared" si="95"/>
        <v>574500</v>
      </c>
      <c r="AS199" s="814">
        <f t="shared" si="92"/>
        <v>145585</v>
      </c>
      <c r="AT199" s="2242">
        <f t="shared" si="93"/>
        <v>0.33942622664164229</v>
      </c>
      <c r="AU199" s="854"/>
      <c r="AV199" s="819"/>
      <c r="AW199" s="797"/>
      <c r="AX199" s="805"/>
      <c r="AY199" s="820"/>
      <c r="AZ199" s="2136"/>
      <c r="BA199" s="2136"/>
      <c r="BB199" s="2129" t="s">
        <v>2539</v>
      </c>
    </row>
    <row r="200" spans="1:55" ht="13.9" hidden="1" customHeight="1" x14ac:dyDescent="0.2">
      <c r="A200" s="978"/>
      <c r="B200" s="979"/>
      <c r="C200" s="979"/>
      <c r="D200" s="979"/>
      <c r="E200" s="1000"/>
      <c r="F200" s="979"/>
      <c r="G200" s="979"/>
      <c r="H200" s="1000"/>
      <c r="I200" s="1000"/>
      <c r="J200" s="982"/>
      <c r="K200" s="991"/>
      <c r="L200" s="1034"/>
      <c r="M200" s="1035"/>
      <c r="N200" s="1035"/>
      <c r="O200" s="991"/>
      <c r="P200" s="991"/>
      <c r="Q200" s="991"/>
      <c r="R200" s="991"/>
      <c r="S200" s="991"/>
      <c r="T200" s="991"/>
      <c r="U200" s="991"/>
      <c r="V200" s="991"/>
      <c r="W200" s="991"/>
      <c r="X200" s="991"/>
      <c r="Y200" s="991"/>
      <c r="Z200" s="991"/>
      <c r="AA200" s="991"/>
      <c r="AB200" s="991"/>
      <c r="AC200" s="991"/>
      <c r="AD200" s="991"/>
      <c r="AE200" s="991"/>
      <c r="AF200" s="991"/>
      <c r="AG200" s="991"/>
      <c r="AH200" s="991"/>
      <c r="AI200" s="991"/>
      <c r="AJ200" s="991"/>
      <c r="AK200" s="991"/>
      <c r="AL200" s="991"/>
      <c r="AM200" s="991"/>
      <c r="AN200" s="991"/>
      <c r="AO200" s="991"/>
      <c r="AP200" s="991"/>
      <c r="AQ200" s="991"/>
      <c r="AR200" s="991"/>
      <c r="AS200" s="991">
        <f t="shared" si="92"/>
        <v>0</v>
      </c>
      <c r="AT200" s="2255" t="str">
        <f t="shared" si="93"/>
        <v/>
      </c>
      <c r="AU200" s="1036"/>
      <c r="AV200" s="834"/>
      <c r="AW200" s="823"/>
      <c r="AX200" s="835"/>
      <c r="AY200" s="1037"/>
      <c r="AZ200" s="2136"/>
      <c r="BA200" s="2136"/>
      <c r="BB200" s="2143"/>
      <c r="BC200" s="722">
        <v>337494</v>
      </c>
    </row>
    <row r="201" spans="1:55" ht="13.9" hidden="1" customHeight="1" x14ac:dyDescent="0.2">
      <c r="A201" s="1040" t="s">
        <v>499</v>
      </c>
      <c r="B201" s="810"/>
      <c r="C201" s="810"/>
      <c r="D201" s="810"/>
      <c r="E201" s="811"/>
      <c r="F201" s="810"/>
      <c r="G201" s="810"/>
      <c r="H201" s="811"/>
      <c r="I201" s="811"/>
      <c r="J201" s="813"/>
      <c r="K201" s="814"/>
      <c r="L201" s="1039"/>
      <c r="M201" s="939"/>
      <c r="N201" s="939"/>
      <c r="O201" s="814"/>
      <c r="P201" s="814"/>
      <c r="Q201" s="814"/>
      <c r="R201" s="814"/>
      <c r="S201" s="814"/>
      <c r="T201" s="814"/>
      <c r="U201" s="814"/>
      <c r="V201" s="814"/>
      <c r="W201" s="814"/>
      <c r="X201" s="814"/>
      <c r="Y201" s="814"/>
      <c r="Z201" s="814"/>
      <c r="AA201" s="814"/>
      <c r="AB201" s="814"/>
      <c r="AC201" s="814"/>
      <c r="AD201" s="814"/>
      <c r="AE201" s="814"/>
      <c r="AF201" s="814"/>
      <c r="AG201" s="814"/>
      <c r="AH201" s="814"/>
      <c r="AI201" s="814"/>
      <c r="AJ201" s="814"/>
      <c r="AK201" s="814"/>
      <c r="AL201" s="814"/>
      <c r="AM201" s="814"/>
      <c r="AN201" s="814"/>
      <c r="AO201" s="814"/>
      <c r="AP201" s="814"/>
      <c r="AQ201" s="814"/>
      <c r="AR201" s="814"/>
      <c r="AS201" s="814">
        <f t="shared" si="92"/>
        <v>0</v>
      </c>
      <c r="AT201" s="2242" t="str">
        <f t="shared" si="93"/>
        <v/>
      </c>
      <c r="AU201" s="854"/>
      <c r="AV201" s="819"/>
      <c r="AW201" s="797"/>
      <c r="AX201" s="805"/>
      <c r="AY201" s="820"/>
      <c r="AZ201" s="2136"/>
      <c r="BA201" s="2136"/>
      <c r="BB201" s="2143"/>
      <c r="BC201" s="722">
        <v>32600</v>
      </c>
    </row>
    <row r="202" spans="1:55" ht="13.9" hidden="1" customHeight="1" x14ac:dyDescent="0.2">
      <c r="A202" s="808" t="s">
        <v>558</v>
      </c>
      <c r="B202" s="810"/>
      <c r="C202" s="810"/>
      <c r="D202" s="810"/>
      <c r="E202" s="811"/>
      <c r="F202" s="810"/>
      <c r="G202" s="810"/>
      <c r="H202" s="811"/>
      <c r="I202" s="811"/>
      <c r="J202" s="813"/>
      <c r="K202" s="814"/>
      <c r="L202" s="1039"/>
      <c r="M202" s="939"/>
      <c r="N202" s="939"/>
      <c r="O202" s="814"/>
      <c r="P202" s="814"/>
      <c r="Q202" s="814"/>
      <c r="R202" s="814"/>
      <c r="S202" s="814"/>
      <c r="T202" s="814"/>
      <c r="U202" s="814"/>
      <c r="V202" s="814"/>
      <c r="W202" s="814"/>
      <c r="X202" s="814"/>
      <c r="Y202" s="814"/>
      <c r="Z202" s="814"/>
      <c r="AA202" s="814"/>
      <c r="AB202" s="814"/>
      <c r="AC202" s="814"/>
      <c r="AD202" s="814"/>
      <c r="AE202" s="814"/>
      <c r="AF202" s="814"/>
      <c r="AG202" s="814"/>
      <c r="AH202" s="814"/>
      <c r="AI202" s="817"/>
      <c r="AJ202" s="817"/>
      <c r="AK202" s="817"/>
      <c r="AL202" s="817"/>
      <c r="AM202" s="817"/>
      <c r="AN202" s="817"/>
      <c r="AO202" s="817"/>
      <c r="AP202" s="817"/>
      <c r="AQ202" s="817"/>
      <c r="AR202" s="817"/>
      <c r="AS202" s="817">
        <f t="shared" si="92"/>
        <v>0</v>
      </c>
      <c r="AT202" s="2240" t="str">
        <f t="shared" si="93"/>
        <v/>
      </c>
      <c r="AU202" s="854"/>
      <c r="AV202" s="819"/>
      <c r="AW202" s="797"/>
      <c r="AX202" s="805"/>
      <c r="AY202" s="820"/>
      <c r="AZ202" s="2136"/>
      <c r="BA202" s="2136"/>
      <c r="BB202" s="2143"/>
      <c r="BC202" s="722">
        <v>604841</v>
      </c>
    </row>
    <row r="203" spans="1:55" ht="13.9" hidden="1" customHeight="1" x14ac:dyDescent="0.2">
      <c r="A203" s="808" t="s">
        <v>820</v>
      </c>
      <c r="B203" s="810"/>
      <c r="C203" s="810"/>
      <c r="D203" s="810"/>
      <c r="E203" s="811"/>
      <c r="F203" s="810"/>
      <c r="G203" s="810"/>
      <c r="H203" s="811"/>
      <c r="I203" s="811"/>
      <c r="J203" s="813"/>
      <c r="K203" s="814"/>
      <c r="L203" s="1039"/>
      <c r="M203" s="939"/>
      <c r="N203" s="939"/>
      <c r="O203" s="814"/>
      <c r="P203" s="814"/>
      <c r="Q203" s="814"/>
      <c r="R203" s="814"/>
      <c r="S203" s="814"/>
      <c r="T203" s="814"/>
      <c r="U203" s="814"/>
      <c r="V203" s="814"/>
      <c r="W203" s="814"/>
      <c r="X203" s="814"/>
      <c r="Y203" s="814"/>
      <c r="Z203" s="814"/>
      <c r="AA203" s="814"/>
      <c r="AB203" s="814"/>
      <c r="AC203" s="814"/>
      <c r="AD203" s="814"/>
      <c r="AE203" s="814"/>
      <c r="AF203" s="814"/>
      <c r="AG203" s="814">
        <v>1699.5</v>
      </c>
      <c r="AH203" s="817">
        <v>1650</v>
      </c>
      <c r="AI203" s="843">
        <v>1650</v>
      </c>
      <c r="AJ203" s="843">
        <v>1650</v>
      </c>
      <c r="AK203" s="843">
        <v>1650</v>
      </c>
      <c r="AL203" s="843">
        <v>1650</v>
      </c>
      <c r="AM203" s="843">
        <v>1650</v>
      </c>
      <c r="AN203" s="843">
        <v>1650</v>
      </c>
      <c r="AO203" s="843">
        <v>1650</v>
      </c>
      <c r="AP203" s="843">
        <v>1650</v>
      </c>
      <c r="AQ203" s="843">
        <v>1650</v>
      </c>
      <c r="AR203" s="843">
        <f>'[1]BUDGET DETAIL'!$CO$634</f>
        <v>1650</v>
      </c>
      <c r="AS203" s="843">
        <f t="shared" si="92"/>
        <v>0</v>
      </c>
      <c r="AT203" s="2239">
        <f t="shared" si="93"/>
        <v>0</v>
      </c>
      <c r="AU203" s="854"/>
      <c r="AV203" s="819"/>
      <c r="AW203" s="797"/>
      <c r="AX203" s="805"/>
      <c r="AY203" s="820"/>
      <c r="AZ203" s="2136"/>
      <c r="BA203" s="2136"/>
      <c r="BB203" s="2143"/>
      <c r="BC203" s="722">
        <v>215715</v>
      </c>
    </row>
    <row r="204" spans="1:55" ht="13.9" hidden="1" customHeight="1" x14ac:dyDescent="0.2">
      <c r="A204" s="878" t="s">
        <v>821</v>
      </c>
      <c r="B204" s="810"/>
      <c r="C204" s="810"/>
      <c r="D204" s="810"/>
      <c r="E204" s="811"/>
      <c r="F204" s="810"/>
      <c r="G204" s="810"/>
      <c r="H204" s="811"/>
      <c r="I204" s="811"/>
      <c r="J204" s="813"/>
      <c r="K204" s="814"/>
      <c r="L204" s="1039"/>
      <c r="M204" s="939"/>
      <c r="N204" s="939"/>
      <c r="O204" s="814"/>
      <c r="P204" s="814"/>
      <c r="Q204" s="814"/>
      <c r="R204" s="814"/>
      <c r="S204" s="814"/>
      <c r="T204" s="814"/>
      <c r="U204" s="814"/>
      <c r="V204" s="814"/>
      <c r="W204" s="814"/>
      <c r="X204" s="814"/>
      <c r="Y204" s="814"/>
      <c r="Z204" s="814"/>
      <c r="AA204" s="814"/>
      <c r="AB204" s="814"/>
      <c r="AC204" s="814"/>
      <c r="AD204" s="814"/>
      <c r="AE204" s="814"/>
      <c r="AF204" s="814"/>
      <c r="AG204" s="814">
        <v>1699.5</v>
      </c>
      <c r="AH204" s="852">
        <v>1650</v>
      </c>
      <c r="AI204" s="814">
        <v>1650</v>
      </c>
      <c r="AJ204" s="814">
        <v>1650</v>
      </c>
      <c r="AK204" s="814">
        <v>1650</v>
      </c>
      <c r="AL204" s="814">
        <v>1650</v>
      </c>
      <c r="AM204" s="814">
        <f>SUM(AM203)</f>
        <v>1650</v>
      </c>
      <c r="AN204" s="814"/>
      <c r="AO204" s="814">
        <f>SUM(AO203)</f>
        <v>1650</v>
      </c>
      <c r="AP204" s="814">
        <f>SUM(AP203)</f>
        <v>1650</v>
      </c>
      <c r="AQ204" s="814">
        <f>SUM(AQ203)</f>
        <v>1650</v>
      </c>
      <c r="AR204" s="814">
        <f>SUM(AR203)</f>
        <v>1650</v>
      </c>
      <c r="AS204" s="814">
        <f t="shared" si="92"/>
        <v>0</v>
      </c>
      <c r="AT204" s="2242">
        <f t="shared" si="93"/>
        <v>0</v>
      </c>
      <c r="AU204" s="854"/>
      <c r="AV204" s="819"/>
      <c r="AW204" s="797"/>
      <c r="AX204" s="805"/>
      <c r="AY204" s="820"/>
      <c r="AZ204" s="2136"/>
      <c r="BA204" s="2136"/>
      <c r="BB204" s="2129" t="s">
        <v>2539</v>
      </c>
    </row>
    <row r="205" spans="1:55" ht="13.9" hidden="1" customHeight="1" x14ac:dyDescent="0.2">
      <c r="A205" s="855"/>
      <c r="B205" s="979"/>
      <c r="C205" s="979"/>
      <c r="D205" s="979"/>
      <c r="E205" s="1000"/>
      <c r="F205" s="979"/>
      <c r="G205" s="979"/>
      <c r="H205" s="1000"/>
      <c r="I205" s="1000"/>
      <c r="J205" s="982"/>
      <c r="K205" s="991"/>
      <c r="L205" s="1034"/>
      <c r="M205" s="1035"/>
      <c r="N205" s="1035"/>
      <c r="O205" s="991"/>
      <c r="P205" s="991"/>
      <c r="Q205" s="991"/>
      <c r="R205" s="991"/>
      <c r="S205" s="991"/>
      <c r="T205" s="991"/>
      <c r="U205" s="991"/>
      <c r="V205" s="991"/>
      <c r="W205" s="991"/>
      <c r="X205" s="991"/>
      <c r="Y205" s="991"/>
      <c r="Z205" s="991"/>
      <c r="AA205" s="991"/>
      <c r="AB205" s="991"/>
      <c r="AC205" s="991"/>
      <c r="AD205" s="991"/>
      <c r="AE205" s="991"/>
      <c r="AF205" s="991"/>
      <c r="AG205" s="991"/>
      <c r="AH205" s="991"/>
      <c r="AI205" s="991"/>
      <c r="AJ205" s="991"/>
      <c r="AK205" s="991"/>
      <c r="AL205" s="991"/>
      <c r="AM205" s="991"/>
      <c r="AN205" s="991"/>
      <c r="AO205" s="991"/>
      <c r="AP205" s="991"/>
      <c r="AQ205" s="991"/>
      <c r="AR205" s="991"/>
      <c r="AS205" s="991">
        <f t="shared" si="92"/>
        <v>0</v>
      </c>
      <c r="AT205" s="2255" t="str">
        <f t="shared" si="93"/>
        <v/>
      </c>
      <c r="AU205" s="1036"/>
      <c r="AV205" s="834"/>
      <c r="AW205" s="823"/>
      <c r="AX205" s="835"/>
      <c r="AY205" s="1037"/>
      <c r="AZ205" s="2136"/>
      <c r="BA205" s="2136"/>
      <c r="BB205" s="2143"/>
      <c r="BC205" s="722">
        <v>1895213</v>
      </c>
    </row>
    <row r="206" spans="1:55" ht="13.9" hidden="1" customHeight="1" x14ac:dyDescent="0.2">
      <c r="A206" s="1542" t="s">
        <v>1118</v>
      </c>
      <c r="B206" s="810"/>
      <c r="C206" s="810"/>
      <c r="D206" s="810"/>
      <c r="E206" s="811"/>
      <c r="F206" s="810"/>
      <c r="G206" s="810"/>
      <c r="H206" s="811"/>
      <c r="I206" s="811"/>
      <c r="J206" s="813"/>
      <c r="K206" s="814"/>
      <c r="L206" s="1039"/>
      <c r="M206" s="939"/>
      <c r="N206" s="939"/>
      <c r="O206" s="814"/>
      <c r="P206" s="814"/>
      <c r="Q206" s="814"/>
      <c r="R206" s="814"/>
      <c r="S206" s="814"/>
      <c r="T206" s="814"/>
      <c r="U206" s="814"/>
      <c r="V206" s="814"/>
      <c r="W206" s="814"/>
      <c r="X206" s="814"/>
      <c r="Y206" s="814"/>
      <c r="Z206" s="814"/>
      <c r="AA206" s="814"/>
      <c r="AB206" s="814"/>
      <c r="AC206" s="814"/>
      <c r="AD206" s="814"/>
      <c r="AE206" s="814"/>
      <c r="AF206" s="814"/>
      <c r="AG206" s="814"/>
      <c r="AH206" s="814"/>
      <c r="AI206" s="814"/>
      <c r="AJ206" s="814"/>
      <c r="AK206" s="814"/>
      <c r="AL206" s="814"/>
      <c r="AM206" s="814"/>
      <c r="AN206" s="814"/>
      <c r="AO206" s="814"/>
      <c r="AP206" s="814"/>
      <c r="AQ206" s="814"/>
      <c r="AR206" s="814"/>
      <c r="AS206" s="814"/>
      <c r="AT206" s="2242"/>
      <c r="AU206" s="854"/>
      <c r="AV206" s="819"/>
      <c r="AW206" s="797"/>
      <c r="AX206" s="805"/>
      <c r="AY206" s="820"/>
      <c r="AZ206" s="2136"/>
      <c r="BA206" s="2136"/>
      <c r="BB206" s="2143"/>
    </row>
    <row r="207" spans="1:55" ht="13.9" hidden="1" customHeight="1" x14ac:dyDescent="0.2">
      <c r="A207" s="808"/>
      <c r="B207" s="810"/>
      <c r="C207" s="810"/>
      <c r="D207" s="810"/>
      <c r="E207" s="811"/>
      <c r="F207" s="810"/>
      <c r="G207" s="810"/>
      <c r="H207" s="811"/>
      <c r="I207" s="811"/>
      <c r="J207" s="813"/>
      <c r="K207" s="814"/>
      <c r="L207" s="1039"/>
      <c r="M207" s="939"/>
      <c r="N207" s="939"/>
      <c r="O207" s="814"/>
      <c r="P207" s="814"/>
      <c r="Q207" s="814"/>
      <c r="R207" s="814"/>
      <c r="S207" s="814"/>
      <c r="T207" s="814"/>
      <c r="U207" s="814"/>
      <c r="V207" s="814"/>
      <c r="W207" s="814"/>
      <c r="X207" s="814"/>
      <c r="Y207" s="814"/>
      <c r="Z207" s="814"/>
      <c r="AA207" s="814"/>
      <c r="AB207" s="814"/>
      <c r="AC207" s="814"/>
      <c r="AD207" s="814"/>
      <c r="AE207" s="814"/>
      <c r="AF207" s="814"/>
      <c r="AG207" s="814"/>
      <c r="AH207" s="814"/>
      <c r="AI207" s="814"/>
      <c r="AJ207" s="814"/>
      <c r="AK207" s="814"/>
      <c r="AL207" s="814"/>
      <c r="AM207" s="814"/>
      <c r="AN207" s="814"/>
      <c r="AO207" s="814"/>
      <c r="AP207" s="814"/>
      <c r="AQ207" s="814"/>
      <c r="AR207" s="814"/>
      <c r="AS207" s="814"/>
      <c r="AT207" s="2242"/>
      <c r="AU207" s="854"/>
      <c r="AV207" s="819"/>
      <c r="AW207" s="797"/>
      <c r="AX207" s="805"/>
      <c r="AY207" s="820"/>
      <c r="AZ207" s="2136"/>
      <c r="BA207" s="2136"/>
      <c r="BB207" s="2143"/>
    </row>
    <row r="208" spans="1:55" ht="13.9" hidden="1" customHeight="1" x14ac:dyDescent="0.2">
      <c r="A208" s="1542" t="s">
        <v>1119</v>
      </c>
      <c r="B208" s="810"/>
      <c r="C208" s="810"/>
      <c r="D208" s="810"/>
      <c r="E208" s="811"/>
      <c r="F208" s="810"/>
      <c r="G208" s="810"/>
      <c r="H208" s="811"/>
      <c r="I208" s="811"/>
      <c r="J208" s="813"/>
      <c r="K208" s="814"/>
      <c r="L208" s="1039"/>
      <c r="M208" s="939"/>
      <c r="N208" s="939"/>
      <c r="O208" s="814"/>
      <c r="P208" s="814"/>
      <c r="Q208" s="814"/>
      <c r="R208" s="814"/>
      <c r="S208" s="814"/>
      <c r="T208" s="814"/>
      <c r="U208" s="814"/>
      <c r="V208" s="814"/>
      <c r="W208" s="814"/>
      <c r="X208" s="814"/>
      <c r="Y208" s="814"/>
      <c r="Z208" s="814"/>
      <c r="AA208" s="814"/>
      <c r="AB208" s="814"/>
      <c r="AC208" s="814"/>
      <c r="AD208" s="814"/>
      <c r="AE208" s="814"/>
      <c r="AF208" s="814"/>
      <c r="AG208" s="814"/>
      <c r="AH208" s="814"/>
      <c r="AI208" s="814"/>
      <c r="AJ208" s="814"/>
      <c r="AK208" s="814"/>
      <c r="AL208" s="814"/>
      <c r="AM208" s="814"/>
      <c r="AN208" s="814"/>
      <c r="AO208" s="814"/>
      <c r="AP208" s="814"/>
      <c r="AQ208" s="814"/>
      <c r="AR208" s="817">
        <f>'[1]BUDGET DETAIL'!$CO$641 + IF(BA208="yes",AZ208,0)</f>
        <v>65000</v>
      </c>
      <c r="AS208" s="817"/>
      <c r="AT208" s="2240"/>
      <c r="AU208" s="854"/>
      <c r="AV208" s="819"/>
      <c r="AW208" s="797"/>
      <c r="AX208" s="805"/>
      <c r="AY208" s="820"/>
      <c r="AZ208" s="2136">
        <f>'[1]ABOVE GUIDELINES'!$K$34</f>
        <v>5600</v>
      </c>
      <c r="BA208" s="2321" t="s">
        <v>2506</v>
      </c>
      <c r="BB208" s="2942">
        <v>44998</v>
      </c>
    </row>
    <row r="209" spans="1:54" ht="13.9" hidden="1" customHeight="1" x14ac:dyDescent="0.2">
      <c r="A209" s="878" t="s">
        <v>821</v>
      </c>
      <c r="B209" s="810"/>
      <c r="C209" s="810"/>
      <c r="D209" s="810"/>
      <c r="E209" s="811"/>
      <c r="F209" s="810"/>
      <c r="G209" s="810"/>
      <c r="H209" s="811"/>
      <c r="I209" s="811"/>
      <c r="J209" s="813"/>
      <c r="K209" s="814"/>
      <c r="L209" s="1039"/>
      <c r="M209" s="939"/>
      <c r="N209" s="939"/>
      <c r="O209" s="814"/>
      <c r="P209" s="814"/>
      <c r="Q209" s="814"/>
      <c r="R209" s="814"/>
      <c r="S209" s="814"/>
      <c r="T209" s="814"/>
      <c r="U209" s="814"/>
      <c r="V209" s="814"/>
      <c r="W209" s="814"/>
      <c r="X209" s="814"/>
      <c r="Y209" s="814"/>
      <c r="Z209" s="814"/>
      <c r="AA209" s="814"/>
      <c r="AB209" s="814"/>
      <c r="AC209" s="814"/>
      <c r="AD209" s="814"/>
      <c r="AE209" s="814"/>
      <c r="AF209" s="814"/>
      <c r="AG209" s="814"/>
      <c r="AH209" s="814"/>
      <c r="AI209" s="814"/>
      <c r="AJ209" s="814"/>
      <c r="AK209" s="814"/>
      <c r="AL209" s="814"/>
      <c r="AM209" s="814"/>
      <c r="AN209" s="814"/>
      <c r="AO209" s="814"/>
      <c r="AP209" s="814"/>
      <c r="AQ209" s="814"/>
      <c r="AR209" s="814">
        <f>SUM(AR208)</f>
        <v>65000</v>
      </c>
      <c r="AS209" s="814"/>
      <c r="AT209" s="2242"/>
      <c r="AU209" s="854"/>
      <c r="AV209" s="819"/>
      <c r="AW209" s="797"/>
      <c r="AX209" s="805"/>
      <c r="AY209" s="820"/>
      <c r="AZ209" s="2136"/>
      <c r="BA209" s="2136"/>
      <c r="BB209" s="2129" t="s">
        <v>2539</v>
      </c>
    </row>
    <row r="210" spans="1:54" ht="13.9" hidden="1" customHeight="1" x14ac:dyDescent="0.2">
      <c r="A210" s="808"/>
      <c r="B210" s="810"/>
      <c r="C210" s="810"/>
      <c r="D210" s="810"/>
      <c r="E210" s="811"/>
      <c r="F210" s="810"/>
      <c r="G210" s="810"/>
      <c r="H210" s="811"/>
      <c r="I210" s="811"/>
      <c r="J210" s="813"/>
      <c r="K210" s="814"/>
      <c r="L210" s="1039"/>
      <c r="M210" s="939"/>
      <c r="N210" s="939"/>
      <c r="O210" s="814"/>
      <c r="P210" s="814"/>
      <c r="Q210" s="814"/>
      <c r="R210" s="814"/>
      <c r="S210" s="814"/>
      <c r="T210" s="814"/>
      <c r="U210" s="814"/>
      <c r="V210" s="814"/>
      <c r="W210" s="814"/>
      <c r="X210" s="814"/>
      <c r="Y210" s="814"/>
      <c r="Z210" s="814"/>
      <c r="AA210" s="814"/>
      <c r="AB210" s="814"/>
      <c r="AC210" s="814"/>
      <c r="AD210" s="814"/>
      <c r="AE210" s="814"/>
      <c r="AF210" s="814"/>
      <c r="AG210" s="814"/>
      <c r="AH210" s="814"/>
      <c r="AI210" s="814"/>
      <c r="AJ210" s="814"/>
      <c r="AK210" s="814"/>
      <c r="AL210" s="814"/>
      <c r="AM210" s="814"/>
      <c r="AN210" s="814"/>
      <c r="AO210" s="814"/>
      <c r="AP210" s="814"/>
      <c r="AQ210" s="814"/>
      <c r="AR210" s="814"/>
      <c r="AS210" s="814"/>
      <c r="AT210" s="2242"/>
      <c r="AU210" s="854"/>
      <c r="AV210" s="819"/>
      <c r="AW210" s="797"/>
      <c r="AX210" s="805"/>
      <c r="AY210" s="820"/>
      <c r="AZ210" s="2136"/>
      <c r="BA210" s="2136"/>
      <c r="BB210" s="2139"/>
    </row>
    <row r="211" spans="1:54" ht="13.9" hidden="1" customHeight="1" x14ac:dyDescent="0.2">
      <c r="A211" s="1040" t="s">
        <v>151</v>
      </c>
      <c r="B211" s="1168"/>
      <c r="C211" s="1168"/>
      <c r="D211" s="1168"/>
      <c r="E211" s="1534"/>
      <c r="F211" s="1168"/>
      <c r="G211" s="1168"/>
      <c r="H211" s="1534"/>
      <c r="I211" s="1534"/>
      <c r="J211" s="1535"/>
      <c r="K211" s="1536"/>
      <c r="L211" s="1537"/>
      <c r="M211" s="1538"/>
      <c r="N211" s="1538"/>
      <c r="O211" s="1536"/>
      <c r="P211" s="1536"/>
      <c r="Q211" s="1536"/>
      <c r="R211" s="1536"/>
      <c r="S211" s="1536"/>
      <c r="T211" s="1536"/>
      <c r="U211" s="1536"/>
      <c r="V211" s="1536"/>
      <c r="W211" s="1536"/>
      <c r="X211" s="1536"/>
      <c r="Y211" s="1536"/>
      <c r="Z211" s="1536"/>
      <c r="AA211" s="1536"/>
      <c r="AB211" s="1536"/>
      <c r="AC211" s="1536"/>
      <c r="AD211" s="1536"/>
      <c r="AE211" s="1536"/>
      <c r="AF211" s="1536"/>
      <c r="AG211" s="1536"/>
      <c r="AH211" s="1536"/>
      <c r="AI211" s="1536"/>
      <c r="AJ211" s="1536"/>
      <c r="AK211" s="1536"/>
      <c r="AL211" s="1536"/>
      <c r="AM211" s="1536"/>
      <c r="AN211" s="1536"/>
      <c r="AO211" s="1536"/>
      <c r="AP211" s="1536"/>
      <c r="AQ211" s="1536"/>
      <c r="AR211" s="1536"/>
      <c r="AS211" s="1536">
        <f t="shared" ref="AS211:AS226" si="96">AR211-AP211</f>
        <v>0</v>
      </c>
      <c r="AT211" s="2259" t="str">
        <f t="shared" ref="AT211:AT226" si="97">IF(AP211&gt;0,AS211/AP211,"")</f>
        <v/>
      </c>
      <c r="AU211" s="1539"/>
      <c r="AV211" s="1172"/>
      <c r="AW211" s="870"/>
      <c r="AX211" s="1173"/>
      <c r="AY211" s="1540"/>
      <c r="AZ211" s="2136"/>
      <c r="BA211" s="2136"/>
      <c r="BB211" s="2143"/>
    </row>
    <row r="212" spans="1:54" ht="13.9" hidden="1" customHeight="1" x14ac:dyDescent="0.2">
      <c r="A212" s="808" t="s">
        <v>684</v>
      </c>
      <c r="B212" s="810"/>
      <c r="C212" s="810"/>
      <c r="D212" s="810"/>
      <c r="E212" s="811"/>
      <c r="F212" s="810"/>
      <c r="G212" s="810"/>
      <c r="H212" s="811"/>
      <c r="I212" s="811"/>
      <c r="J212" s="813"/>
      <c r="K212" s="814"/>
      <c r="L212" s="1039"/>
      <c r="M212" s="939"/>
      <c r="N212" s="939"/>
      <c r="O212" s="814"/>
      <c r="P212" s="814"/>
      <c r="Q212" s="814"/>
      <c r="R212" s="814"/>
      <c r="S212" s="814"/>
      <c r="T212" s="814"/>
      <c r="U212" s="814"/>
      <c r="V212" s="814"/>
      <c r="W212" s="814"/>
      <c r="X212" s="814"/>
      <c r="Y212" s="814"/>
      <c r="Z212" s="814"/>
      <c r="AA212" s="814"/>
      <c r="AB212" s="814"/>
      <c r="AC212" s="814"/>
      <c r="AD212" s="814"/>
      <c r="AE212" s="814"/>
      <c r="AF212" s="814"/>
      <c r="AG212" s="814">
        <v>88858.1</v>
      </c>
      <c r="AH212" s="817">
        <v>88050</v>
      </c>
      <c r="AI212" s="843">
        <v>90691.5</v>
      </c>
      <c r="AJ212" s="843">
        <v>92885</v>
      </c>
      <c r="AK212" s="843">
        <v>95671.55</v>
      </c>
      <c r="AL212" s="843">
        <v>95042</v>
      </c>
      <c r="AM212" s="843">
        <f>AL212*$AH$3</f>
        <v>96942.84</v>
      </c>
      <c r="AN212" s="843">
        <v>43439</v>
      </c>
      <c r="AO212" s="843">
        <v>44524.974999999999</v>
      </c>
      <c r="AP212" s="843">
        <v>44708</v>
      </c>
      <c r="AQ212" s="843">
        <f>AP212*$AH$3</f>
        <v>45602.16</v>
      </c>
      <c r="AR212" s="843">
        <f>'[1]BUDGET DETAIL'!$CO$648</f>
        <v>46618</v>
      </c>
      <c r="AS212" s="843">
        <f t="shared" si="96"/>
        <v>1910</v>
      </c>
      <c r="AT212" s="2239">
        <f t="shared" si="97"/>
        <v>4.2721660552921176E-2</v>
      </c>
      <c r="AU212" s="854"/>
      <c r="AV212" s="819"/>
      <c r="AW212" s="797"/>
      <c r="AX212" s="805"/>
      <c r="AY212" s="820"/>
      <c r="AZ212" s="2136"/>
      <c r="BA212" s="2136"/>
      <c r="BB212" s="2143"/>
    </row>
    <row r="213" spans="1:54" ht="13.9" customHeight="1" x14ac:dyDescent="0.2">
      <c r="A213" s="1542" t="s">
        <v>558</v>
      </c>
      <c r="B213" s="810"/>
      <c r="C213" s="810"/>
      <c r="D213" s="810"/>
      <c r="E213" s="811"/>
      <c r="F213" s="810"/>
      <c r="G213" s="810"/>
      <c r="H213" s="811"/>
      <c r="I213" s="811"/>
      <c r="J213" s="813"/>
      <c r="K213" s="814"/>
      <c r="L213" s="1039"/>
      <c r="M213" s="939"/>
      <c r="N213" s="939"/>
      <c r="O213" s="814"/>
      <c r="P213" s="814"/>
      <c r="Q213" s="814"/>
      <c r="R213" s="814"/>
      <c r="S213" s="814"/>
      <c r="T213" s="814"/>
      <c r="U213" s="814"/>
      <c r="V213" s="814"/>
      <c r="W213" s="814"/>
      <c r="X213" s="814"/>
      <c r="Y213" s="814"/>
      <c r="Z213" s="814"/>
      <c r="AA213" s="814"/>
      <c r="AB213" s="814"/>
      <c r="AC213" s="814"/>
      <c r="AD213" s="814"/>
      <c r="AE213" s="814"/>
      <c r="AF213" s="814"/>
      <c r="AG213" s="814">
        <v>153227.95000000001</v>
      </c>
      <c r="AH213" s="817">
        <v>150389</v>
      </c>
      <c r="AI213" s="843">
        <v>154900.67000000001</v>
      </c>
      <c r="AJ213" s="843">
        <v>162184</v>
      </c>
      <c r="AK213" s="843">
        <v>167049.52000000002</v>
      </c>
      <c r="AL213" s="843">
        <v>168862</v>
      </c>
      <c r="AM213" s="843">
        <f>AL213*$AK$5</f>
        <v>172239.24</v>
      </c>
      <c r="AN213" s="843">
        <v>182602</v>
      </c>
      <c r="AO213" s="843">
        <v>186254.04</v>
      </c>
      <c r="AP213" s="843">
        <v>190277</v>
      </c>
      <c r="AQ213" s="843">
        <f>AP213*$AK$5</f>
        <v>194082.54</v>
      </c>
      <c r="AR213" s="843">
        <f>'[1]BUDGET DETAIL'!$CO$658+ IF(BA213="yes",AZ213,0)</f>
        <v>192906</v>
      </c>
      <c r="AS213" s="843">
        <f t="shared" si="96"/>
        <v>2629</v>
      </c>
      <c r="AT213" s="2239">
        <f t="shared" si="97"/>
        <v>1.3816698812783468E-2</v>
      </c>
      <c r="AU213" s="854"/>
      <c r="AV213" s="819"/>
      <c r="AW213" s="797"/>
      <c r="AX213" s="805"/>
      <c r="AY213" s="820"/>
      <c r="AZ213" s="2136">
        <v>4000</v>
      </c>
      <c r="BA213" s="2321" t="s">
        <v>2506</v>
      </c>
      <c r="BB213" s="2942">
        <v>45012</v>
      </c>
    </row>
    <row r="214" spans="1:54" ht="13.9" hidden="1" customHeight="1" x14ac:dyDescent="0.2">
      <c r="A214" s="808" t="s">
        <v>820</v>
      </c>
      <c r="B214" s="810"/>
      <c r="C214" s="810"/>
      <c r="D214" s="810"/>
      <c r="E214" s="811"/>
      <c r="F214" s="810"/>
      <c r="G214" s="810"/>
      <c r="H214" s="811"/>
      <c r="I214" s="811"/>
      <c r="J214" s="813"/>
      <c r="K214" s="814"/>
      <c r="L214" s="1039"/>
      <c r="M214" s="939"/>
      <c r="N214" s="939"/>
      <c r="O214" s="814"/>
      <c r="P214" s="814"/>
      <c r="Q214" s="814"/>
      <c r="R214" s="814"/>
      <c r="S214" s="814"/>
      <c r="T214" s="814"/>
      <c r="U214" s="814"/>
      <c r="V214" s="814"/>
      <c r="W214" s="814"/>
      <c r="X214" s="814"/>
      <c r="Y214" s="814"/>
      <c r="Z214" s="814"/>
      <c r="AA214" s="814"/>
      <c r="AB214" s="814"/>
      <c r="AC214" s="814"/>
      <c r="AD214" s="814"/>
      <c r="AE214" s="814"/>
      <c r="AF214" s="814"/>
      <c r="AG214" s="814">
        <v>55700</v>
      </c>
      <c r="AH214" s="817">
        <v>57700</v>
      </c>
      <c r="AI214" s="843">
        <v>57700</v>
      </c>
      <c r="AJ214" s="843">
        <v>54770</v>
      </c>
      <c r="AK214" s="843">
        <v>54770</v>
      </c>
      <c r="AL214" s="843">
        <v>54770</v>
      </c>
      <c r="AM214" s="843">
        <f>AL214*$AH$4</f>
        <v>54770</v>
      </c>
      <c r="AN214" s="843">
        <v>54170</v>
      </c>
      <c r="AO214" s="843">
        <v>54170</v>
      </c>
      <c r="AP214" s="843">
        <v>103670</v>
      </c>
      <c r="AQ214" s="843">
        <f>AP214*$AH$4</f>
        <v>103670</v>
      </c>
      <c r="AR214" s="843">
        <f>'[1]BUDGET DETAIL'!$CO$690</f>
        <v>101970</v>
      </c>
      <c r="AS214" s="843">
        <f t="shared" si="96"/>
        <v>-1700</v>
      </c>
      <c r="AT214" s="2239">
        <f t="shared" si="97"/>
        <v>-1.6398186553487026E-2</v>
      </c>
      <c r="AU214" s="854"/>
      <c r="AV214" s="819"/>
      <c r="AW214" s="797"/>
      <c r="AX214" s="805"/>
      <c r="AY214" s="820"/>
      <c r="AZ214" s="2136"/>
      <c r="BA214" s="2136"/>
      <c r="BB214" s="2143"/>
    </row>
    <row r="215" spans="1:54" ht="13.9" hidden="1" customHeight="1" x14ac:dyDescent="0.2">
      <c r="A215" s="808" t="s">
        <v>93</v>
      </c>
      <c r="B215" s="810"/>
      <c r="C215" s="810"/>
      <c r="D215" s="810"/>
      <c r="E215" s="811"/>
      <c r="F215" s="810"/>
      <c r="G215" s="810"/>
      <c r="H215" s="811"/>
      <c r="I215" s="811"/>
      <c r="J215" s="813"/>
      <c r="K215" s="814"/>
      <c r="L215" s="1039"/>
      <c r="M215" s="939"/>
      <c r="N215" s="939"/>
      <c r="O215" s="814"/>
      <c r="P215" s="814"/>
      <c r="Q215" s="814"/>
      <c r="R215" s="814"/>
      <c r="S215" s="814"/>
      <c r="T215" s="814"/>
      <c r="U215" s="814"/>
      <c r="V215" s="814"/>
      <c r="W215" s="814"/>
      <c r="X215" s="814"/>
      <c r="Y215" s="814"/>
      <c r="Z215" s="814"/>
      <c r="AA215" s="814"/>
      <c r="AB215" s="814"/>
      <c r="AC215" s="814"/>
      <c r="AD215" s="814"/>
      <c r="AE215" s="814"/>
      <c r="AF215" s="814"/>
      <c r="AG215" s="814"/>
      <c r="AH215" s="814"/>
      <c r="AI215" s="817"/>
      <c r="AJ215" s="817"/>
      <c r="AK215" s="817"/>
      <c r="AL215" s="817"/>
      <c r="AM215" s="817"/>
      <c r="AN215" s="817"/>
      <c r="AO215" s="817"/>
      <c r="AP215" s="817"/>
      <c r="AQ215" s="817"/>
      <c r="AR215" s="817"/>
      <c r="AS215" s="817">
        <f t="shared" si="96"/>
        <v>0</v>
      </c>
      <c r="AT215" s="2240" t="str">
        <f t="shared" si="97"/>
        <v/>
      </c>
      <c r="AU215" s="854"/>
      <c r="AV215" s="819"/>
      <c r="AW215" s="797"/>
      <c r="AX215" s="805"/>
      <c r="AY215" s="820"/>
      <c r="AZ215" s="2136"/>
      <c r="BA215" s="2136"/>
      <c r="BB215" s="2143"/>
    </row>
    <row r="216" spans="1:54" ht="13.9" hidden="1" customHeight="1" x14ac:dyDescent="0.2">
      <c r="A216" s="808" t="s">
        <v>629</v>
      </c>
      <c r="B216" s="810"/>
      <c r="C216" s="810"/>
      <c r="D216" s="810"/>
      <c r="E216" s="811"/>
      <c r="F216" s="810"/>
      <c r="G216" s="810"/>
      <c r="H216" s="811"/>
      <c r="I216" s="811"/>
      <c r="J216" s="813"/>
      <c r="K216" s="814"/>
      <c r="L216" s="1039"/>
      <c r="M216" s="939"/>
      <c r="N216" s="939"/>
      <c r="O216" s="814"/>
      <c r="P216" s="814"/>
      <c r="Q216" s="814"/>
      <c r="R216" s="814"/>
      <c r="S216" s="814"/>
      <c r="T216" s="814"/>
      <c r="U216" s="814"/>
      <c r="V216" s="814"/>
      <c r="W216" s="814"/>
      <c r="X216" s="814"/>
      <c r="Y216" s="814"/>
      <c r="Z216" s="814"/>
      <c r="AA216" s="814"/>
      <c r="AB216" s="814"/>
      <c r="AC216" s="814"/>
      <c r="AD216" s="814"/>
      <c r="AE216" s="814"/>
      <c r="AF216" s="814"/>
      <c r="AG216" s="814"/>
      <c r="AH216" s="814"/>
      <c r="AI216" s="861"/>
      <c r="AJ216" s="861"/>
      <c r="AK216" s="861"/>
      <c r="AL216" s="861"/>
      <c r="AM216" s="861"/>
      <c r="AN216" s="861"/>
      <c r="AO216" s="861"/>
      <c r="AP216" s="861"/>
      <c r="AQ216" s="861"/>
      <c r="AR216" s="861"/>
      <c r="AS216" s="861">
        <f t="shared" si="96"/>
        <v>0</v>
      </c>
      <c r="AT216" s="2248" t="str">
        <f t="shared" si="97"/>
        <v/>
      </c>
      <c r="AU216" s="854"/>
      <c r="AV216" s="819"/>
      <c r="AW216" s="797"/>
      <c r="AX216" s="805"/>
      <c r="AY216" s="801"/>
      <c r="AZ216" s="2136"/>
      <c r="BA216" s="2136"/>
      <c r="BB216" s="1031"/>
    </row>
    <row r="217" spans="1:54" ht="13.9" hidden="1" customHeight="1" x14ac:dyDescent="0.2">
      <c r="A217" s="878" t="s">
        <v>821</v>
      </c>
      <c r="B217" s="810"/>
      <c r="C217" s="810"/>
      <c r="D217" s="810"/>
      <c r="E217" s="811"/>
      <c r="F217" s="810"/>
      <c r="G217" s="810"/>
      <c r="H217" s="811"/>
      <c r="I217" s="811"/>
      <c r="J217" s="813"/>
      <c r="K217" s="814"/>
      <c r="L217" s="1039"/>
      <c r="M217" s="939"/>
      <c r="N217" s="939"/>
      <c r="O217" s="814"/>
      <c r="P217" s="814"/>
      <c r="Q217" s="814"/>
      <c r="R217" s="814"/>
      <c r="S217" s="814"/>
      <c r="T217" s="814"/>
      <c r="U217" s="814"/>
      <c r="V217" s="814"/>
      <c r="W217" s="814"/>
      <c r="X217" s="814"/>
      <c r="Y217" s="814"/>
      <c r="Z217" s="814"/>
      <c r="AA217" s="814"/>
      <c r="AB217" s="814"/>
      <c r="AC217" s="814"/>
      <c r="AD217" s="814"/>
      <c r="AE217" s="814"/>
      <c r="AF217" s="814"/>
      <c r="AG217" s="814">
        <v>297786.05000000005</v>
      </c>
      <c r="AH217" s="852">
        <v>296139</v>
      </c>
      <c r="AI217" s="814">
        <v>303292.17000000004</v>
      </c>
      <c r="AJ217" s="814">
        <v>309839</v>
      </c>
      <c r="AK217" s="814">
        <v>317491.07</v>
      </c>
      <c r="AL217" s="814">
        <v>318674</v>
      </c>
      <c r="AM217" s="814">
        <f t="shared" ref="AM217:AR217" si="98">SUM(AM212:AM214)</f>
        <v>323952.07999999996</v>
      </c>
      <c r="AN217" s="814">
        <f t="shared" si="98"/>
        <v>280211</v>
      </c>
      <c r="AO217" s="814">
        <f t="shared" si="98"/>
        <v>284949.01500000001</v>
      </c>
      <c r="AP217" s="814">
        <f t="shared" si="98"/>
        <v>338655</v>
      </c>
      <c r="AQ217" s="814">
        <f t="shared" si="98"/>
        <v>343354.7</v>
      </c>
      <c r="AR217" s="814">
        <f t="shared" si="98"/>
        <v>341494</v>
      </c>
      <c r="AS217" s="814">
        <f t="shared" si="96"/>
        <v>2839</v>
      </c>
      <c r="AT217" s="2242">
        <f t="shared" si="97"/>
        <v>8.3831628058053179E-3</v>
      </c>
      <c r="AU217" s="854"/>
      <c r="AV217" s="819"/>
      <c r="AW217" s="797"/>
      <c r="AX217" s="805"/>
      <c r="AY217" s="820"/>
      <c r="AZ217" s="2136"/>
      <c r="BA217" s="2136"/>
      <c r="BB217" s="2129" t="s">
        <v>2539</v>
      </c>
    </row>
    <row r="218" spans="1:54" ht="13.9" hidden="1" customHeight="1" x14ac:dyDescent="0.2">
      <c r="A218" s="878"/>
      <c r="B218" s="810"/>
      <c r="C218" s="810"/>
      <c r="D218" s="810"/>
      <c r="E218" s="811"/>
      <c r="F218" s="810"/>
      <c r="G218" s="810"/>
      <c r="H218" s="811"/>
      <c r="I218" s="811"/>
      <c r="J218" s="813"/>
      <c r="K218" s="814"/>
      <c r="L218" s="1039"/>
      <c r="M218" s="939"/>
      <c r="N218" s="939"/>
      <c r="O218" s="814"/>
      <c r="P218" s="814"/>
      <c r="Q218" s="814"/>
      <c r="R218" s="814"/>
      <c r="S218" s="814"/>
      <c r="T218" s="814"/>
      <c r="U218" s="814"/>
      <c r="V218" s="814"/>
      <c r="W218" s="814"/>
      <c r="X218" s="814"/>
      <c r="Y218" s="814"/>
      <c r="Z218" s="814"/>
      <c r="AA218" s="814"/>
      <c r="AB218" s="814"/>
      <c r="AC218" s="814"/>
      <c r="AD218" s="814"/>
      <c r="AE218" s="814"/>
      <c r="AF218" s="814"/>
      <c r="AG218" s="814"/>
      <c r="AH218" s="814"/>
      <c r="AI218" s="814"/>
      <c r="AJ218" s="814"/>
      <c r="AK218" s="814"/>
      <c r="AL218" s="814"/>
      <c r="AM218" s="814"/>
      <c r="AN218" s="814"/>
      <c r="AO218" s="814"/>
      <c r="AP218" s="814"/>
      <c r="AQ218" s="814"/>
      <c r="AR218" s="814"/>
      <c r="AS218" s="814">
        <f t="shared" si="96"/>
        <v>0</v>
      </c>
      <c r="AT218" s="2242" t="str">
        <f t="shared" si="97"/>
        <v/>
      </c>
      <c r="AU218" s="854"/>
      <c r="AV218" s="819"/>
      <c r="AW218" s="797"/>
      <c r="AX218" s="805"/>
      <c r="AY218" s="820"/>
      <c r="AZ218" s="2136"/>
      <c r="BA218" s="2136"/>
      <c r="BB218" s="2143"/>
    </row>
    <row r="219" spans="1:54" ht="13.9" hidden="1" customHeight="1" x14ac:dyDescent="0.2">
      <c r="A219" s="1541" t="s">
        <v>948</v>
      </c>
      <c r="B219" s="1168"/>
      <c r="C219" s="1168"/>
      <c r="D219" s="1168"/>
      <c r="E219" s="1534"/>
      <c r="F219" s="1168"/>
      <c r="G219" s="1168"/>
      <c r="H219" s="1534"/>
      <c r="I219" s="1534"/>
      <c r="J219" s="1535"/>
      <c r="K219" s="1536"/>
      <c r="L219" s="1537"/>
      <c r="M219" s="1538"/>
      <c r="N219" s="1538"/>
      <c r="O219" s="1536"/>
      <c r="P219" s="1536"/>
      <c r="Q219" s="1536"/>
      <c r="R219" s="1536"/>
      <c r="S219" s="1536"/>
      <c r="T219" s="1536"/>
      <c r="U219" s="1536"/>
      <c r="V219" s="1536"/>
      <c r="W219" s="1536"/>
      <c r="X219" s="1536"/>
      <c r="Y219" s="1536"/>
      <c r="Z219" s="1536"/>
      <c r="AA219" s="1536"/>
      <c r="AB219" s="1536"/>
      <c r="AC219" s="1536"/>
      <c r="AD219" s="1536"/>
      <c r="AE219" s="1536"/>
      <c r="AF219" s="1536"/>
      <c r="AG219" s="1536"/>
      <c r="AH219" s="1536"/>
      <c r="AI219" s="1536"/>
      <c r="AJ219" s="1536"/>
      <c r="AK219" s="1536"/>
      <c r="AL219" s="1536"/>
      <c r="AM219" s="1536"/>
      <c r="AN219" s="1536"/>
      <c r="AO219" s="1536"/>
      <c r="AP219" s="1536"/>
      <c r="AQ219" s="1536"/>
      <c r="AR219" s="1536"/>
      <c r="AS219" s="1536">
        <f t="shared" si="96"/>
        <v>0</v>
      </c>
      <c r="AT219" s="2259" t="str">
        <f t="shared" si="97"/>
        <v/>
      </c>
      <c r="AU219" s="1539"/>
      <c r="AV219" s="1172"/>
      <c r="AW219" s="870"/>
      <c r="AX219" s="1173"/>
      <c r="AY219" s="1540"/>
      <c r="AZ219" s="2136"/>
      <c r="BA219" s="2136"/>
      <c r="BB219" s="2143"/>
    </row>
    <row r="220" spans="1:54" ht="13.9" hidden="1" customHeight="1" x14ac:dyDescent="0.2">
      <c r="A220" s="1542" t="s">
        <v>820</v>
      </c>
      <c r="B220" s="810"/>
      <c r="C220" s="810"/>
      <c r="D220" s="810"/>
      <c r="E220" s="811"/>
      <c r="F220" s="810"/>
      <c r="G220" s="810"/>
      <c r="H220" s="811"/>
      <c r="I220" s="811"/>
      <c r="J220" s="813"/>
      <c r="K220" s="814"/>
      <c r="L220" s="1039"/>
      <c r="M220" s="939"/>
      <c r="N220" s="939"/>
      <c r="O220" s="814"/>
      <c r="P220" s="814"/>
      <c r="Q220" s="814"/>
      <c r="R220" s="814"/>
      <c r="S220" s="814"/>
      <c r="T220" s="814"/>
      <c r="U220" s="814"/>
      <c r="V220" s="814"/>
      <c r="W220" s="814"/>
      <c r="X220" s="814"/>
      <c r="Y220" s="814"/>
      <c r="Z220" s="814"/>
      <c r="AA220" s="814"/>
      <c r="AB220" s="814"/>
      <c r="AC220" s="814"/>
      <c r="AD220" s="814"/>
      <c r="AE220" s="814"/>
      <c r="AF220" s="814"/>
      <c r="AG220" s="814"/>
      <c r="AH220" s="817">
        <v>40000</v>
      </c>
      <c r="AI220" s="817">
        <v>40000</v>
      </c>
      <c r="AJ220" s="817">
        <v>40000</v>
      </c>
      <c r="AK220" s="817">
        <v>40000</v>
      </c>
      <c r="AL220" s="817">
        <v>47000</v>
      </c>
      <c r="AM220" s="817">
        <f>AL220*$AH$4</f>
        <v>47000</v>
      </c>
      <c r="AN220" s="817">
        <v>42300</v>
      </c>
      <c r="AO220" s="817">
        <v>42300</v>
      </c>
      <c r="AP220" s="817">
        <v>29600</v>
      </c>
      <c r="AQ220" s="817">
        <f>AP220*$AH$4</f>
        <v>29600</v>
      </c>
      <c r="AR220" s="817">
        <f>'[1]BUDGET DETAIL'!$CO$699 +IF(BA220="yes",AZ220,0)</f>
        <v>32600</v>
      </c>
      <c r="AS220" s="817">
        <f t="shared" si="96"/>
        <v>3000</v>
      </c>
      <c r="AT220" s="2240">
        <f t="shared" si="97"/>
        <v>0.10135135135135136</v>
      </c>
      <c r="AU220" s="854"/>
      <c r="AV220" s="819"/>
      <c r="AW220" s="797"/>
      <c r="AX220" s="805"/>
      <c r="AY220" s="820"/>
      <c r="AZ220" s="2136">
        <f>'[1]ABOVE GUIDELINES'!$J$35</f>
        <v>3000</v>
      </c>
      <c r="BA220" s="2321" t="s">
        <v>2506</v>
      </c>
      <c r="BB220" s="2942">
        <v>44998</v>
      </c>
    </row>
    <row r="221" spans="1:54" ht="13.9" hidden="1" customHeight="1" x14ac:dyDescent="0.2">
      <c r="A221" s="878" t="s">
        <v>821</v>
      </c>
      <c r="B221" s="810"/>
      <c r="C221" s="810"/>
      <c r="D221" s="810"/>
      <c r="E221" s="811"/>
      <c r="F221" s="810"/>
      <c r="G221" s="810"/>
      <c r="H221" s="811"/>
      <c r="I221" s="811"/>
      <c r="J221" s="813"/>
      <c r="K221" s="814"/>
      <c r="L221" s="1039"/>
      <c r="M221" s="939"/>
      <c r="N221" s="939"/>
      <c r="O221" s="814"/>
      <c r="P221" s="814"/>
      <c r="Q221" s="814"/>
      <c r="R221" s="814"/>
      <c r="S221" s="814"/>
      <c r="T221" s="814"/>
      <c r="U221" s="814"/>
      <c r="V221" s="814"/>
      <c r="W221" s="814"/>
      <c r="X221" s="814"/>
      <c r="Y221" s="814"/>
      <c r="Z221" s="814"/>
      <c r="AA221" s="814"/>
      <c r="AB221" s="814"/>
      <c r="AC221" s="814"/>
      <c r="AD221" s="814"/>
      <c r="AE221" s="814"/>
      <c r="AF221" s="814"/>
      <c r="AG221" s="814"/>
      <c r="AH221" s="814">
        <v>40000</v>
      </c>
      <c r="AI221" s="814">
        <v>40000</v>
      </c>
      <c r="AJ221" s="814">
        <v>40000</v>
      </c>
      <c r="AK221" s="814">
        <v>40000</v>
      </c>
      <c r="AL221" s="814">
        <v>47000</v>
      </c>
      <c r="AM221" s="814">
        <f t="shared" ref="AM221:AR221" si="99">SUM(AM220:AM220)</f>
        <v>47000</v>
      </c>
      <c r="AN221" s="814">
        <f t="shared" si="99"/>
        <v>42300</v>
      </c>
      <c r="AO221" s="814">
        <f t="shared" si="99"/>
        <v>42300</v>
      </c>
      <c r="AP221" s="814">
        <f t="shared" si="99"/>
        <v>29600</v>
      </c>
      <c r="AQ221" s="814">
        <f t="shared" si="99"/>
        <v>29600</v>
      </c>
      <c r="AR221" s="814">
        <f t="shared" si="99"/>
        <v>32600</v>
      </c>
      <c r="AS221" s="814">
        <f t="shared" si="96"/>
        <v>3000</v>
      </c>
      <c r="AT221" s="2242">
        <f t="shared" si="97"/>
        <v>0.10135135135135136</v>
      </c>
      <c r="AU221" s="854"/>
      <c r="AV221" s="819"/>
      <c r="AW221" s="797"/>
      <c r="AX221" s="805"/>
      <c r="AY221" s="820"/>
      <c r="AZ221" s="2136"/>
      <c r="BA221" s="2136"/>
      <c r="BB221" s="2129" t="s">
        <v>2539</v>
      </c>
    </row>
    <row r="222" spans="1:54" ht="13.9" hidden="1" customHeight="1" x14ac:dyDescent="0.2">
      <c r="A222" s="821"/>
      <c r="B222" s="824"/>
      <c r="C222" s="824"/>
      <c r="D222" s="933"/>
      <c r="E222" s="943"/>
      <c r="F222" s="933"/>
      <c r="G222" s="933"/>
      <c r="H222" s="934"/>
      <c r="I222" s="943"/>
      <c r="J222" s="883"/>
      <c r="K222" s="856">
        <v>0</v>
      </c>
      <c r="L222" s="1041"/>
      <c r="M222" s="864"/>
      <c r="N222" s="863"/>
      <c r="O222" s="856"/>
      <c r="P222" s="856"/>
      <c r="Q222" s="856"/>
      <c r="R222" s="856"/>
      <c r="S222" s="856"/>
      <c r="T222" s="856"/>
      <c r="U222" s="856"/>
      <c r="V222" s="856"/>
      <c r="W222" s="856"/>
      <c r="X222" s="856"/>
      <c r="Y222" s="856"/>
      <c r="Z222" s="856"/>
      <c r="AA222" s="856"/>
      <c r="AB222" s="856"/>
      <c r="AC222" s="856"/>
      <c r="AD222" s="856"/>
      <c r="AE222" s="856"/>
      <c r="AF222" s="856"/>
      <c r="AG222" s="856"/>
      <c r="AH222" s="856"/>
      <c r="AI222" s="856"/>
      <c r="AJ222" s="856"/>
      <c r="AK222" s="856"/>
      <c r="AL222" s="856"/>
      <c r="AM222" s="856"/>
      <c r="AN222" s="856"/>
      <c r="AO222" s="856"/>
      <c r="AP222" s="856"/>
      <c r="AQ222" s="856"/>
      <c r="AR222" s="856"/>
      <c r="AS222" s="856">
        <f t="shared" si="96"/>
        <v>0</v>
      </c>
      <c r="AT222" s="2243" t="str">
        <f t="shared" si="97"/>
        <v/>
      </c>
      <c r="AU222" s="935"/>
      <c r="AV222" s="834"/>
      <c r="AW222" s="823"/>
      <c r="AX222" s="835"/>
      <c r="AY222" s="900"/>
      <c r="AZ222" s="2136"/>
      <c r="BA222" s="2136"/>
      <c r="BB222" s="2146"/>
    </row>
    <row r="223" spans="1:54" ht="13.9" hidden="1" customHeight="1" x14ac:dyDescent="0.2">
      <c r="A223" s="808" t="s">
        <v>372</v>
      </c>
      <c r="B223" s="837"/>
      <c r="C223" s="837"/>
      <c r="D223" s="936"/>
      <c r="E223" s="889"/>
      <c r="F223" s="936"/>
      <c r="G223" s="936"/>
      <c r="H223" s="937"/>
      <c r="I223" s="889"/>
      <c r="J223" s="884"/>
      <c r="K223" s="859"/>
      <c r="L223" s="865"/>
      <c r="M223" s="865"/>
      <c r="N223" s="865"/>
      <c r="O223" s="859"/>
      <c r="P223" s="859"/>
      <c r="Q223" s="859"/>
      <c r="R223" s="859"/>
      <c r="S223" s="859"/>
      <c r="T223" s="859"/>
      <c r="U223" s="859"/>
      <c r="V223" s="859"/>
      <c r="W223" s="859"/>
      <c r="X223" s="859"/>
      <c r="Y223" s="859"/>
      <c r="Z223" s="859"/>
      <c r="AA223" s="859"/>
      <c r="AB223" s="859"/>
      <c r="AC223" s="859"/>
      <c r="AD223" s="859"/>
      <c r="AE223" s="859"/>
      <c r="AF223" s="859"/>
      <c r="AG223" s="859"/>
      <c r="AH223" s="859"/>
      <c r="AI223" s="859"/>
      <c r="AJ223" s="859"/>
      <c r="AK223" s="859"/>
      <c r="AL223" s="859"/>
      <c r="AM223" s="859"/>
      <c r="AN223" s="859"/>
      <c r="AO223" s="859"/>
      <c r="AP223" s="859"/>
      <c r="AQ223" s="859"/>
      <c r="AR223" s="859"/>
      <c r="AS223" s="859">
        <f t="shared" si="96"/>
        <v>0</v>
      </c>
      <c r="AT223" s="2239" t="str">
        <f t="shared" si="97"/>
        <v/>
      </c>
      <c r="AU223" s="938"/>
      <c r="AV223" s="819"/>
      <c r="AW223" s="797"/>
      <c r="AX223" s="805"/>
      <c r="AY223" s="807"/>
      <c r="AZ223" s="2136"/>
      <c r="BA223" s="2136"/>
    </row>
    <row r="224" spans="1:54" ht="13.9" hidden="1" customHeight="1" x14ac:dyDescent="0.2">
      <c r="A224" s="808" t="s">
        <v>684</v>
      </c>
      <c r="B224" s="799">
        <v>63644</v>
      </c>
      <c r="C224" s="797">
        <v>63644</v>
      </c>
      <c r="D224" s="887">
        <v>65554</v>
      </c>
      <c r="E224" s="801">
        <v>65554</v>
      </c>
      <c r="F224" s="887">
        <v>65554</v>
      </c>
      <c r="G224" s="887">
        <v>65554</v>
      </c>
      <c r="H224" s="888">
        <v>67792</v>
      </c>
      <c r="I224" s="801">
        <v>67792</v>
      </c>
      <c r="J224" s="839">
        <v>69973</v>
      </c>
      <c r="K224" s="817"/>
      <c r="L224" s="876">
        <v>72093</v>
      </c>
      <c r="M224" s="840">
        <v>74012</v>
      </c>
      <c r="N224" s="841">
        <v>75983</v>
      </c>
      <c r="O224" s="817">
        <v>75983</v>
      </c>
      <c r="P224" s="817">
        <v>75983</v>
      </c>
      <c r="Q224" s="817">
        <v>75983</v>
      </c>
      <c r="R224" s="817">
        <v>75983</v>
      </c>
      <c r="S224" s="817"/>
      <c r="T224" s="817">
        <v>77983</v>
      </c>
      <c r="U224" s="817">
        <v>77983</v>
      </c>
      <c r="V224" s="843">
        <v>79763</v>
      </c>
      <c r="W224" s="817">
        <f t="shared" ref="W224:W229" si="100">V224</f>
        <v>79763</v>
      </c>
      <c r="X224" s="843">
        <v>81323</v>
      </c>
      <c r="Y224" s="843">
        <v>81323</v>
      </c>
      <c r="Z224" s="843">
        <v>90244</v>
      </c>
      <c r="AA224" s="843">
        <f t="shared" ref="AA224:AC229" si="101">Z224</f>
        <v>90244</v>
      </c>
      <c r="AB224" s="843">
        <v>96900</v>
      </c>
      <c r="AC224" s="843">
        <f t="shared" si="101"/>
        <v>96900</v>
      </c>
      <c r="AD224" s="843"/>
      <c r="AE224" s="843">
        <v>100883</v>
      </c>
      <c r="AF224" s="843"/>
      <c r="AG224" s="843">
        <v>103909.49</v>
      </c>
      <c r="AH224" s="843">
        <v>105646</v>
      </c>
      <c r="AI224" s="843">
        <v>108815.38</v>
      </c>
      <c r="AJ224" s="843">
        <v>111497</v>
      </c>
      <c r="AK224" s="843">
        <v>114841.91</v>
      </c>
      <c r="AL224" s="843">
        <v>94625</v>
      </c>
      <c r="AM224" s="843">
        <f>AL224*$AH$3</f>
        <v>96517.5</v>
      </c>
      <c r="AN224" s="843">
        <v>66846</v>
      </c>
      <c r="AO224" s="843">
        <v>68517.149999999994</v>
      </c>
      <c r="AP224" s="843">
        <v>66956</v>
      </c>
      <c r="AQ224" s="843">
        <f>AP224*$AH$3</f>
        <v>68295.12</v>
      </c>
      <c r="AR224" s="843">
        <f>'[1]BUDGET DETAIL'!$CO$541</f>
        <v>69927</v>
      </c>
      <c r="AS224" s="843">
        <f t="shared" si="96"/>
        <v>2971</v>
      </c>
      <c r="AT224" s="2239">
        <f t="shared" si="97"/>
        <v>4.4372423681223488E-2</v>
      </c>
      <c r="AU224" s="890"/>
      <c r="AV224" s="819"/>
      <c r="AW224" s="797">
        <f>SUM(AU224-H224)</f>
        <v>-67792</v>
      </c>
      <c r="AX224" s="805">
        <f>IF(H224&gt;0,AW224/H224,"")</f>
        <v>-1</v>
      </c>
      <c r="AY224" s="807"/>
      <c r="AZ224" s="2136"/>
      <c r="BA224" s="2136"/>
    </row>
    <row r="225" spans="1:54" ht="13.9" hidden="1" customHeight="1" x14ac:dyDescent="0.2">
      <c r="A225" s="808" t="s">
        <v>558</v>
      </c>
      <c r="B225" s="799">
        <v>163174</v>
      </c>
      <c r="C225" s="797">
        <v>163064.95000000001</v>
      </c>
      <c r="D225" s="887">
        <v>173186</v>
      </c>
      <c r="E225" s="801">
        <v>147541.67000000001</v>
      </c>
      <c r="F225" s="887">
        <v>168818</v>
      </c>
      <c r="G225" s="887">
        <v>154476.65</v>
      </c>
      <c r="H225" s="888">
        <v>174100</v>
      </c>
      <c r="I225" s="801">
        <v>160592.57</v>
      </c>
      <c r="J225" s="839">
        <v>177920</v>
      </c>
      <c r="K225" s="817"/>
      <c r="L225" s="876">
        <v>173284</v>
      </c>
      <c r="M225" s="840">
        <v>189060</v>
      </c>
      <c r="N225" s="841">
        <v>185169</v>
      </c>
      <c r="O225" s="817">
        <v>185169</v>
      </c>
      <c r="P225" s="817">
        <f>185419+5000</f>
        <v>190419</v>
      </c>
      <c r="Q225" s="817">
        <f>185419+5000</f>
        <v>190419</v>
      </c>
      <c r="R225" s="817">
        <v>191069</v>
      </c>
      <c r="S225" s="817"/>
      <c r="T225" s="817">
        <v>191410</v>
      </c>
      <c r="U225" s="817">
        <v>191410</v>
      </c>
      <c r="V225" s="843">
        <v>195542</v>
      </c>
      <c r="W225" s="817">
        <v>249092</v>
      </c>
      <c r="X225" s="843">
        <v>263989</v>
      </c>
      <c r="Y225" s="843">
        <v>263989</v>
      </c>
      <c r="Z225" s="843">
        <v>284892</v>
      </c>
      <c r="AA225" s="843">
        <f t="shared" si="101"/>
        <v>284892</v>
      </c>
      <c r="AB225" s="843">
        <v>297184</v>
      </c>
      <c r="AC225" s="843">
        <f t="shared" si="101"/>
        <v>297184</v>
      </c>
      <c r="AD225" s="843"/>
      <c r="AE225" s="843">
        <v>299234</v>
      </c>
      <c r="AF225" s="843"/>
      <c r="AG225" s="843">
        <v>308211.02</v>
      </c>
      <c r="AH225" s="843">
        <v>300123</v>
      </c>
      <c r="AI225" s="843">
        <v>309126.69</v>
      </c>
      <c r="AJ225" s="843">
        <v>323512</v>
      </c>
      <c r="AK225" s="843">
        <v>333217.36</v>
      </c>
      <c r="AL225" s="843">
        <v>328766</v>
      </c>
      <c r="AM225" s="843">
        <f>AL225*$AK$5</f>
        <v>335341.32</v>
      </c>
      <c r="AN225" s="843">
        <v>331042</v>
      </c>
      <c r="AO225" s="843">
        <v>337662.84</v>
      </c>
      <c r="AP225" s="843">
        <v>344790</v>
      </c>
      <c r="AQ225" s="843">
        <f>AP225*$AK$5</f>
        <v>351685.8</v>
      </c>
      <c r="AR225" s="843">
        <f>'[1]BUDGET DETAIL'!$CO$551</f>
        <v>341338</v>
      </c>
      <c r="AS225" s="843">
        <f t="shared" si="96"/>
        <v>-3452</v>
      </c>
      <c r="AT225" s="2239">
        <f t="shared" si="97"/>
        <v>-1.0011891296151281E-2</v>
      </c>
      <c r="AU225" s="890"/>
      <c r="AV225" s="819"/>
      <c r="AW225" s="797">
        <f>SUM(AU225-H225)</f>
        <v>-174100</v>
      </c>
      <c r="AX225" s="805">
        <f>IF(H225&gt;0,AW225/H225,"")</f>
        <v>-1</v>
      </c>
      <c r="AY225" s="807"/>
      <c r="AZ225" s="2136"/>
      <c r="BA225" s="2136"/>
    </row>
    <row r="226" spans="1:54" ht="13.9" hidden="1" customHeight="1" x14ac:dyDescent="0.2">
      <c r="A226" s="808" t="s">
        <v>176</v>
      </c>
      <c r="B226" s="799"/>
      <c r="C226" s="797"/>
      <c r="D226" s="887"/>
      <c r="E226" s="801"/>
      <c r="F226" s="887"/>
      <c r="G226" s="887"/>
      <c r="H226" s="888"/>
      <c r="I226" s="801"/>
      <c r="J226" s="839"/>
      <c r="K226" s="817"/>
      <c r="L226" s="876">
        <v>23837</v>
      </c>
      <c r="M226" s="840">
        <v>49577</v>
      </c>
      <c r="N226" s="841">
        <v>49577</v>
      </c>
      <c r="O226" s="817">
        <f>49577-23837</f>
        <v>25740</v>
      </c>
      <c r="P226" s="817">
        <f>O226</f>
        <v>25740</v>
      </c>
      <c r="Q226" s="817">
        <f>P226</f>
        <v>25740</v>
      </c>
      <c r="R226" s="817"/>
      <c r="S226" s="817"/>
      <c r="T226" s="817"/>
      <c r="U226" s="817">
        <v>0</v>
      </c>
      <c r="V226" s="817">
        <v>29257</v>
      </c>
      <c r="W226" s="817">
        <f t="shared" si="100"/>
        <v>29257</v>
      </c>
      <c r="X226" s="843">
        <v>29257</v>
      </c>
      <c r="Y226" s="843">
        <v>29257</v>
      </c>
      <c r="Z226" s="843">
        <v>29257</v>
      </c>
      <c r="AA226" s="843">
        <f t="shared" si="101"/>
        <v>29257</v>
      </c>
      <c r="AB226" s="843">
        <v>29527</v>
      </c>
      <c r="AC226" s="843">
        <f t="shared" si="101"/>
        <v>29527</v>
      </c>
      <c r="AD226" s="843"/>
      <c r="AE226" s="843">
        <v>29527</v>
      </c>
      <c r="AF226" s="843"/>
      <c r="AG226" s="843">
        <v>29527</v>
      </c>
      <c r="AH226" s="843">
        <v>0</v>
      </c>
      <c r="AI226" s="843">
        <v>0</v>
      </c>
      <c r="AJ226" s="843"/>
      <c r="AK226" s="843"/>
      <c r="AL226" s="843"/>
      <c r="AM226" s="843"/>
      <c r="AN226" s="843"/>
      <c r="AO226" s="843"/>
      <c r="AP226" s="843"/>
      <c r="AQ226" s="843"/>
      <c r="AR226" s="843"/>
      <c r="AS226" s="843">
        <f t="shared" si="96"/>
        <v>0</v>
      </c>
      <c r="AT226" s="2239" t="str">
        <f t="shared" si="97"/>
        <v/>
      </c>
      <c r="AU226" s="890"/>
      <c r="AV226" s="819"/>
      <c r="AW226" s="797"/>
      <c r="AX226" s="805"/>
      <c r="AZ226" s="2136"/>
      <c r="BA226" s="2136"/>
    </row>
    <row r="227" spans="1:54" ht="13.9" hidden="1" customHeight="1" x14ac:dyDescent="0.2">
      <c r="A227" s="808" t="s">
        <v>177</v>
      </c>
      <c r="B227" s="799"/>
      <c r="C227" s="797"/>
      <c r="D227" s="887"/>
      <c r="E227" s="801"/>
      <c r="F227" s="887"/>
      <c r="G227" s="887"/>
      <c r="H227" s="888"/>
      <c r="I227" s="801"/>
      <c r="J227" s="839"/>
      <c r="K227" s="817"/>
      <c r="L227" s="876">
        <v>94676.4</v>
      </c>
      <c r="M227" s="840">
        <v>102000</v>
      </c>
      <c r="N227" s="841">
        <f>76000-25915</f>
        <v>50085</v>
      </c>
      <c r="O227" s="817">
        <f>50085+25000</f>
        <v>75085</v>
      </c>
      <c r="P227" s="817">
        <f>O227</f>
        <v>75085</v>
      </c>
      <c r="Q227" s="817">
        <f>P227-25000+25000</f>
        <v>75085</v>
      </c>
      <c r="R227" s="817">
        <v>65085</v>
      </c>
      <c r="S227" s="817"/>
      <c r="T227" s="817">
        <v>65085</v>
      </c>
      <c r="U227" s="817">
        <v>65085</v>
      </c>
      <c r="V227" s="843">
        <v>66500</v>
      </c>
      <c r="W227" s="817">
        <f t="shared" si="100"/>
        <v>66500</v>
      </c>
      <c r="X227" s="843">
        <v>68500</v>
      </c>
      <c r="Y227" s="843">
        <v>68500</v>
      </c>
      <c r="Z227" s="843">
        <v>70500</v>
      </c>
      <c r="AA227" s="843">
        <f t="shared" si="101"/>
        <v>70500</v>
      </c>
      <c r="AB227" s="843">
        <v>72615</v>
      </c>
      <c r="AC227" s="843">
        <f t="shared" si="101"/>
        <v>72615</v>
      </c>
      <c r="AD227" s="843"/>
      <c r="AE227" s="843">
        <v>74067</v>
      </c>
      <c r="AF227" s="843"/>
      <c r="AG227" s="843">
        <v>74067</v>
      </c>
      <c r="AH227" s="843">
        <v>74067</v>
      </c>
      <c r="AI227" s="843">
        <v>74067</v>
      </c>
      <c r="AJ227" s="843">
        <v>74067</v>
      </c>
      <c r="AK227" s="843">
        <v>74067</v>
      </c>
      <c r="AL227" s="843">
        <v>74067</v>
      </c>
      <c r="AM227" s="843">
        <f>AL227*$AH$4</f>
        <v>74067</v>
      </c>
      <c r="AN227" s="843">
        <v>74067</v>
      </c>
      <c r="AO227" s="843">
        <v>74067</v>
      </c>
      <c r="AP227" s="843">
        <v>74067</v>
      </c>
      <c r="AQ227" s="843">
        <f>AP227*$AH$4</f>
        <v>74067</v>
      </c>
      <c r="AR227" s="843">
        <f>'[1]BUDGET DETAIL'!$CO$592</f>
        <v>74067</v>
      </c>
      <c r="AS227" s="843"/>
      <c r="AT227" s="2239">
        <f t="shared" ref="AT227" si="102">IF(AN227&gt;0,AS227/AN227,"")</f>
        <v>0</v>
      </c>
      <c r="AU227" s="890"/>
      <c r="AV227" s="819"/>
      <c r="AW227" s="797"/>
      <c r="AX227" s="805"/>
      <c r="AY227" s="807"/>
      <c r="AZ227" s="2136"/>
      <c r="BA227" s="2136"/>
    </row>
    <row r="228" spans="1:54" ht="13.9" hidden="1" customHeight="1" x14ac:dyDescent="0.2">
      <c r="A228" s="808" t="s">
        <v>178</v>
      </c>
      <c r="B228" s="799">
        <v>127882</v>
      </c>
      <c r="C228" s="797">
        <v>126224.96000000001</v>
      </c>
      <c r="D228" s="887">
        <v>107942</v>
      </c>
      <c r="E228" s="801">
        <v>134947.19</v>
      </c>
      <c r="F228" s="887">
        <v>126647</v>
      </c>
      <c r="G228" s="887">
        <v>126423.9</v>
      </c>
      <c r="H228" s="888">
        <v>178695</v>
      </c>
      <c r="I228" s="801">
        <v>248421</v>
      </c>
      <c r="J228" s="839">
        <v>240258</v>
      </c>
      <c r="K228" s="861" t="s">
        <v>462</v>
      </c>
      <c r="L228" s="1043">
        <f>194023.99-94676.4</f>
        <v>99347.59</v>
      </c>
      <c r="M228" s="845">
        <v>127775</v>
      </c>
      <c r="N228" s="846">
        <v>74810</v>
      </c>
      <c r="O228" s="859">
        <v>74810</v>
      </c>
      <c r="P228" s="859">
        <v>73720</v>
      </c>
      <c r="Q228" s="859">
        <v>73720</v>
      </c>
      <c r="R228" s="859">
        <v>83720</v>
      </c>
      <c r="S228" s="859"/>
      <c r="T228" s="859">
        <v>86480</v>
      </c>
      <c r="U228" s="859">
        <v>86480</v>
      </c>
      <c r="V228" s="843">
        <f>214094-V227-V229</f>
        <v>87594</v>
      </c>
      <c r="W228" s="817">
        <v>88594</v>
      </c>
      <c r="X228" s="843">
        <f>221520-X227-X229</f>
        <v>91020</v>
      </c>
      <c r="Y228" s="843">
        <v>91020</v>
      </c>
      <c r="Z228" s="843">
        <f>242170-Z227-Z229</f>
        <v>109670</v>
      </c>
      <c r="AA228" s="843">
        <f t="shared" si="101"/>
        <v>109670</v>
      </c>
      <c r="AB228" s="843">
        <f>248845-AB227-AB229</f>
        <v>114230</v>
      </c>
      <c r="AC228" s="843">
        <f t="shared" si="101"/>
        <v>114230</v>
      </c>
      <c r="AD228" s="843"/>
      <c r="AE228" s="843">
        <v>119762</v>
      </c>
      <c r="AF228" s="843"/>
      <c r="AG228" s="843">
        <v>119762</v>
      </c>
      <c r="AH228" s="843">
        <v>124451</v>
      </c>
      <c r="AI228" s="843">
        <v>124451</v>
      </c>
      <c r="AJ228" s="843">
        <v>124451</v>
      </c>
      <c r="AK228" s="843">
        <v>124451</v>
      </c>
      <c r="AL228" s="843">
        <v>118491</v>
      </c>
      <c r="AM228" s="843">
        <f>AL228*$AH$4</f>
        <v>118491</v>
      </c>
      <c r="AN228" s="843">
        <v>118491</v>
      </c>
      <c r="AO228" s="843">
        <v>118491</v>
      </c>
      <c r="AP228" s="843">
        <v>118491</v>
      </c>
      <c r="AQ228" s="843">
        <f>AP228*$AH$4</f>
        <v>118491</v>
      </c>
      <c r="AR228" s="843">
        <f>SUM('[1]BUDGET DETAIL'!$CO$555:$CO$591)</f>
        <v>119509</v>
      </c>
      <c r="AS228" s="843">
        <f t="shared" ref="AS228:AS254" si="103">AR228-AP228</f>
        <v>1018</v>
      </c>
      <c r="AT228" s="2239">
        <f t="shared" ref="AT228:AT254" si="104">IF(AP228&gt;0,AS228/AP228,"")</f>
        <v>8.5913698086774529E-3</v>
      </c>
      <c r="AU228" s="890"/>
      <c r="AV228" s="819"/>
      <c r="AW228" s="797">
        <f>SUM(AU228-H228)</f>
        <v>-178695</v>
      </c>
      <c r="AX228" s="805">
        <f>IF(H228&gt;0,AW228/H228,"")</f>
        <v>-1</v>
      </c>
      <c r="AY228" s="1044"/>
      <c r="AZ228" s="2136"/>
      <c r="BA228" s="2136"/>
      <c r="BB228" s="1031"/>
    </row>
    <row r="229" spans="1:54" ht="13.9" hidden="1" customHeight="1" x14ac:dyDescent="0.2">
      <c r="A229" s="808" t="s">
        <v>44</v>
      </c>
      <c r="B229" s="799"/>
      <c r="C229" s="797"/>
      <c r="D229" s="887"/>
      <c r="E229" s="801"/>
      <c r="F229" s="887"/>
      <c r="G229" s="887"/>
      <c r="H229" s="888"/>
      <c r="I229" s="801"/>
      <c r="J229" s="1045"/>
      <c r="K229" s="861"/>
      <c r="L229" s="1043">
        <v>54754</v>
      </c>
      <c r="M229" s="845">
        <v>12795</v>
      </c>
      <c r="N229" s="846">
        <v>38300</v>
      </c>
      <c r="O229" s="859">
        <v>38300</v>
      </c>
      <c r="P229" s="859">
        <v>50000</v>
      </c>
      <c r="Q229" s="859">
        <v>50000</v>
      </c>
      <c r="R229" s="859">
        <v>50000</v>
      </c>
      <c r="S229" s="859"/>
      <c r="T229" s="859">
        <v>51000</v>
      </c>
      <c r="U229" s="859">
        <v>51000</v>
      </c>
      <c r="V229" s="843">
        <v>60000</v>
      </c>
      <c r="W229" s="817">
        <f t="shared" si="100"/>
        <v>60000</v>
      </c>
      <c r="X229" s="843">
        <v>62000</v>
      </c>
      <c r="Y229" s="843">
        <v>62000</v>
      </c>
      <c r="Z229" s="843">
        <v>62000</v>
      </c>
      <c r="AA229" s="843">
        <f t="shared" si="101"/>
        <v>62000</v>
      </c>
      <c r="AB229" s="843">
        <v>62000</v>
      </c>
      <c r="AC229" s="843">
        <f t="shared" si="101"/>
        <v>62000</v>
      </c>
      <c r="AD229" s="843"/>
      <c r="AE229" s="843">
        <v>60000</v>
      </c>
      <c r="AF229" s="843"/>
      <c r="AG229" s="843">
        <v>60000</v>
      </c>
      <c r="AH229" s="843">
        <v>54000</v>
      </c>
      <c r="AI229" s="843">
        <v>54000</v>
      </c>
      <c r="AJ229" s="843">
        <v>54000</v>
      </c>
      <c r="AK229" s="843">
        <v>54000</v>
      </c>
      <c r="AL229" s="843">
        <v>54000</v>
      </c>
      <c r="AM229" s="843">
        <f>AL229*$AH$4</f>
        <v>54000</v>
      </c>
      <c r="AN229" s="843">
        <v>54000</v>
      </c>
      <c r="AO229" s="843">
        <v>54000</v>
      </c>
      <c r="AP229" s="843">
        <v>54000</v>
      </c>
      <c r="AQ229" s="843">
        <f>AP229*$AH$4</f>
        <v>54000</v>
      </c>
      <c r="AR229" s="843"/>
      <c r="AS229" s="843">
        <f t="shared" si="103"/>
        <v>-54000</v>
      </c>
      <c r="AT229" s="2239">
        <f t="shared" si="104"/>
        <v>-1</v>
      </c>
      <c r="AU229" s="890"/>
      <c r="AV229" s="819"/>
      <c r="AW229" s="797"/>
      <c r="AX229" s="805"/>
      <c r="AY229" s="1046"/>
      <c r="AZ229" s="2136"/>
      <c r="BA229" s="2136"/>
      <c r="BB229" s="2151"/>
    </row>
    <row r="230" spans="1:54" ht="13.9" hidden="1" customHeight="1" x14ac:dyDescent="0.2">
      <c r="A230" s="878" t="s">
        <v>821</v>
      </c>
      <c r="B230" s="810">
        <f t="shared" ref="B230:I230" si="105">SUM(B224:B228)</f>
        <v>354700</v>
      </c>
      <c r="C230" s="810">
        <f t="shared" si="105"/>
        <v>352933.91000000003</v>
      </c>
      <c r="D230" s="944">
        <f t="shared" si="105"/>
        <v>346682</v>
      </c>
      <c r="E230" s="811">
        <f t="shared" si="105"/>
        <v>348042.86</v>
      </c>
      <c r="F230" s="944">
        <f t="shared" si="105"/>
        <v>361019</v>
      </c>
      <c r="G230" s="944">
        <f t="shared" si="105"/>
        <v>346454.55</v>
      </c>
      <c r="H230" s="906">
        <f t="shared" si="105"/>
        <v>420587</v>
      </c>
      <c r="I230" s="906">
        <f t="shared" si="105"/>
        <v>476805.57</v>
      </c>
      <c r="J230" s="1047">
        <f>SUM(J224:J228)</f>
        <v>488151</v>
      </c>
      <c r="K230" s="1048">
        <v>38796</v>
      </c>
      <c r="L230" s="879">
        <f>SUM(L224:L229)</f>
        <v>517991.99</v>
      </c>
      <c r="M230" s="879">
        <f>SUM(M224:M229)</f>
        <v>555219</v>
      </c>
      <c r="N230" s="880">
        <f>SUM(N224:N229)</f>
        <v>473924</v>
      </c>
      <c r="O230" s="881">
        <f>SUM(O224:O229)</f>
        <v>475087</v>
      </c>
      <c r="P230" s="881">
        <f>SUM(P224:P229)</f>
        <v>490947</v>
      </c>
      <c r="Q230" s="852">
        <f>IF(SUM(Q228:Q229)=0,P230,SUM(Q224:Q229))</f>
        <v>490947</v>
      </c>
      <c r="R230" s="881">
        <f>SUM(R224:R229)</f>
        <v>465857</v>
      </c>
      <c r="S230" s="852">
        <f>IF(SUM(S228:S229)=0,R230,SUM(S224:S229))</f>
        <v>465857</v>
      </c>
      <c r="T230" s="852">
        <v>471958</v>
      </c>
      <c r="U230" s="852">
        <v>471958</v>
      </c>
      <c r="V230" s="881">
        <f>SUM(V224:V229)</f>
        <v>518656</v>
      </c>
      <c r="W230" s="852">
        <f>IF(SUM(W228:W229)=0,V230,SUM(W224:W229))</f>
        <v>573206</v>
      </c>
      <c r="X230" s="881">
        <f>SUM(X224:X229)</f>
        <v>596089</v>
      </c>
      <c r="Y230" s="852">
        <f>IF(SUM(Y228:Y229)=0,X230,SUM(Y224:Y229))</f>
        <v>596089</v>
      </c>
      <c r="Z230" s="881">
        <f>SUM(Z224:Z229)</f>
        <v>646563</v>
      </c>
      <c r="AA230" s="852">
        <f>IF(SUM(AA228:AA229)=0,Z230,SUM(AA224:AA229))</f>
        <v>646563</v>
      </c>
      <c r="AB230" s="881">
        <f>SUM(AB224:AB229)</f>
        <v>672456</v>
      </c>
      <c r="AC230" s="852">
        <f>IF(SUM(AC228:AC229)=0,AB230,SUM(AC224:AC229))</f>
        <v>672456</v>
      </c>
      <c r="AD230" s="852"/>
      <c r="AE230" s="852">
        <v>683473</v>
      </c>
      <c r="AF230" s="852">
        <v>683473</v>
      </c>
      <c r="AG230" s="852">
        <v>695476.51</v>
      </c>
      <c r="AH230" s="852">
        <v>658287</v>
      </c>
      <c r="AI230" s="814">
        <v>670460.07000000007</v>
      </c>
      <c r="AJ230" s="814">
        <v>687527</v>
      </c>
      <c r="AK230" s="814">
        <v>700577.27</v>
      </c>
      <c r="AL230" s="814">
        <v>669949</v>
      </c>
      <c r="AM230" s="814">
        <f t="shared" ref="AM230:AR230" si="106">SUM(AM224:AM229)</f>
        <v>678416.82000000007</v>
      </c>
      <c r="AN230" s="814">
        <f t="shared" si="106"/>
        <v>644446</v>
      </c>
      <c r="AO230" s="814">
        <f t="shared" si="106"/>
        <v>652737.99</v>
      </c>
      <c r="AP230" s="814">
        <f t="shared" si="106"/>
        <v>658304</v>
      </c>
      <c r="AQ230" s="814">
        <f t="shared" si="106"/>
        <v>666538.91999999993</v>
      </c>
      <c r="AR230" s="814">
        <f t="shared" si="106"/>
        <v>604841</v>
      </c>
      <c r="AS230" s="814">
        <f t="shared" si="103"/>
        <v>-53463</v>
      </c>
      <c r="AT230" s="2242">
        <f t="shared" si="104"/>
        <v>-8.1213238868364762E-2</v>
      </c>
      <c r="AU230" s="854">
        <f>SUM(AU224:AU228)</f>
        <v>0</v>
      </c>
      <c r="AV230" s="819"/>
      <c r="AW230" s="797">
        <f>SUM(AU230-H230)</f>
        <v>-420587</v>
      </c>
      <c r="AX230" s="805">
        <f>IF(H230&gt;0,AW230/H230,"")</f>
        <v>-1</v>
      </c>
      <c r="AY230" s="1728"/>
      <c r="AZ230" s="2136"/>
      <c r="BA230" s="2136"/>
      <c r="BB230" s="2129" t="s">
        <v>2539</v>
      </c>
    </row>
    <row r="231" spans="1:54" ht="13.9" hidden="1" customHeight="1" x14ac:dyDescent="0.2">
      <c r="A231" s="855" t="s">
        <v>164</v>
      </c>
      <c r="B231" s="824"/>
      <c r="C231" s="824"/>
      <c r="D231" s="933"/>
      <c r="E231" s="943"/>
      <c r="F231" s="933"/>
      <c r="G231" s="933"/>
      <c r="H231" s="934"/>
      <c r="I231" s="943"/>
      <c r="J231" s="1049"/>
      <c r="K231" s="1050"/>
      <c r="L231" s="863"/>
      <c r="M231" s="864"/>
      <c r="N231" s="858"/>
      <c r="O231" s="828"/>
      <c r="P231" s="828"/>
      <c r="Q231" s="828"/>
      <c r="R231" s="828"/>
      <c r="S231" s="828"/>
      <c r="T231" s="828"/>
      <c r="U231" s="828"/>
      <c r="V231" s="828"/>
      <c r="W231" s="828"/>
      <c r="X231" s="828"/>
      <c r="Y231" s="828"/>
      <c r="Z231" s="828"/>
      <c r="AA231" s="828"/>
      <c r="AB231" s="828"/>
      <c r="AC231" s="828"/>
      <c r="AD231" s="828"/>
      <c r="AE231" s="828"/>
      <c r="AF231" s="828"/>
      <c r="AG231" s="828"/>
      <c r="AH231" s="828"/>
      <c r="AI231" s="828"/>
      <c r="AJ231" s="828"/>
      <c r="AK231" s="828"/>
      <c r="AL231" s="828"/>
      <c r="AM231" s="828"/>
      <c r="AN231" s="828"/>
      <c r="AO231" s="828"/>
      <c r="AP231" s="828"/>
      <c r="AQ231" s="828"/>
      <c r="AR231" s="828"/>
      <c r="AS231" s="828">
        <f t="shared" si="103"/>
        <v>0</v>
      </c>
      <c r="AT231" s="2243" t="str">
        <f t="shared" si="104"/>
        <v/>
      </c>
      <c r="AU231" s="935"/>
      <c r="AV231" s="834"/>
      <c r="AW231" s="823"/>
      <c r="AX231" s="835" t="str">
        <f>IF(F231&gt;0,AW231/F231,"")</f>
        <v/>
      </c>
      <c r="AY231" s="836"/>
      <c r="AZ231" s="2136"/>
      <c r="BA231" s="2136"/>
    </row>
    <row r="232" spans="1:54" ht="13.9" hidden="1" customHeight="1" x14ac:dyDescent="0.2">
      <c r="A232" s="808" t="s">
        <v>223</v>
      </c>
      <c r="B232" s="837"/>
      <c r="C232" s="837"/>
      <c r="D232" s="936"/>
      <c r="E232" s="889"/>
      <c r="F232" s="936"/>
      <c r="G232" s="936"/>
      <c r="H232" s="937"/>
      <c r="I232" s="889"/>
      <c r="J232" s="884"/>
      <c r="K232" s="859"/>
      <c r="L232" s="865"/>
      <c r="M232" s="865"/>
      <c r="N232" s="838"/>
      <c r="O232" s="859"/>
      <c r="P232" s="859"/>
      <c r="Q232" s="859"/>
      <c r="R232" s="859"/>
      <c r="S232" s="859"/>
      <c r="T232" s="859"/>
      <c r="U232" s="859"/>
      <c r="V232" s="859"/>
      <c r="W232" s="859"/>
      <c r="X232" s="859"/>
      <c r="Y232" s="859"/>
      <c r="Z232" s="859"/>
      <c r="AA232" s="859"/>
      <c r="AB232" s="859"/>
      <c r="AC232" s="859"/>
      <c r="AD232" s="859"/>
      <c r="AE232" s="859"/>
      <c r="AF232" s="859"/>
      <c r="AG232" s="859"/>
      <c r="AH232" s="859"/>
      <c r="AI232" s="859"/>
      <c r="AJ232" s="859"/>
      <c r="AK232" s="859"/>
      <c r="AL232" s="859"/>
      <c r="AM232" s="859"/>
      <c r="AN232" s="859"/>
      <c r="AO232" s="859"/>
      <c r="AP232" s="859"/>
      <c r="AQ232" s="859"/>
      <c r="AR232" s="859"/>
      <c r="AS232" s="859">
        <f t="shared" si="103"/>
        <v>0</v>
      </c>
      <c r="AT232" s="2239" t="str">
        <f t="shared" si="104"/>
        <v/>
      </c>
      <c r="AU232" s="938"/>
      <c r="AV232" s="819"/>
      <c r="AW232" s="797"/>
      <c r="AX232" s="805" t="str">
        <f>IF(F232&gt;0,AW232/F232,"")</f>
        <v/>
      </c>
      <c r="AY232" s="807"/>
      <c r="AZ232" s="2136"/>
      <c r="BA232" s="2136"/>
    </row>
    <row r="233" spans="1:54" ht="13.9" hidden="1" customHeight="1" x14ac:dyDescent="0.2">
      <c r="A233" s="1051" t="s">
        <v>558</v>
      </c>
      <c r="B233" s="799">
        <v>62078</v>
      </c>
      <c r="C233" s="797">
        <v>85323.6</v>
      </c>
      <c r="D233" s="887">
        <v>64331</v>
      </c>
      <c r="E233" s="801">
        <v>64331</v>
      </c>
      <c r="F233" s="887">
        <v>64382</v>
      </c>
      <c r="G233" s="887">
        <v>96115.54</v>
      </c>
      <c r="H233" s="888">
        <v>65718</v>
      </c>
      <c r="I233" s="801">
        <v>63879.63</v>
      </c>
      <c r="J233" s="839">
        <v>67033</v>
      </c>
      <c r="K233" s="817"/>
      <c r="L233" s="876">
        <v>84989.57</v>
      </c>
      <c r="M233" s="1052">
        <v>92251</v>
      </c>
      <c r="N233" s="841">
        <v>78581</v>
      </c>
      <c r="O233" s="817">
        <v>78581</v>
      </c>
      <c r="P233" s="817">
        <v>78581</v>
      </c>
      <c r="Q233" s="817">
        <v>78581</v>
      </c>
      <c r="R233" s="817">
        <v>78581</v>
      </c>
      <c r="S233" s="817"/>
      <c r="T233" s="817">
        <v>78581</v>
      </c>
      <c r="U233" s="817">
        <v>78581</v>
      </c>
      <c r="V233" s="817">
        <v>80152</v>
      </c>
      <c r="W233" s="817">
        <v>26600</v>
      </c>
      <c r="X233" s="843">
        <v>28000</v>
      </c>
      <c r="Y233" s="843">
        <v>28000</v>
      </c>
      <c r="Z233" s="843">
        <v>29720</v>
      </c>
      <c r="AA233" s="843">
        <f>Z233</f>
        <v>29720</v>
      </c>
      <c r="AB233" s="843">
        <v>30828</v>
      </c>
      <c r="AC233" s="843">
        <f>AB233</f>
        <v>30828</v>
      </c>
      <c r="AD233" s="843"/>
      <c r="AE233" s="843">
        <v>30828</v>
      </c>
      <c r="AF233" s="843"/>
      <c r="AG233" s="843">
        <v>31752.84</v>
      </c>
      <c r="AH233" s="843">
        <v>30828</v>
      </c>
      <c r="AI233" s="843">
        <v>31752.84</v>
      </c>
      <c r="AJ233" s="843">
        <v>32370</v>
      </c>
      <c r="AK233" s="843">
        <v>33341.1</v>
      </c>
      <c r="AL233" s="843">
        <v>33870</v>
      </c>
      <c r="AM233" s="843">
        <f>AL233*$AK$5</f>
        <v>34547.4</v>
      </c>
      <c r="AN233" s="843">
        <v>33870</v>
      </c>
      <c r="AO233" s="843">
        <v>34547.4</v>
      </c>
      <c r="AP233" s="843">
        <v>38870</v>
      </c>
      <c r="AQ233" s="843">
        <f>AP233*$AK$5</f>
        <v>39647.4</v>
      </c>
      <c r="AR233" s="843">
        <f>'[1]BUDGET DETAIL'!$CO$605</f>
        <v>38870</v>
      </c>
      <c r="AS233" s="843">
        <f t="shared" si="103"/>
        <v>0</v>
      </c>
      <c r="AT233" s="2239">
        <f t="shared" si="104"/>
        <v>0</v>
      </c>
      <c r="AU233" s="890"/>
      <c r="AV233" s="819"/>
      <c r="AW233" s="797">
        <f>SUM(AU233-H233)</f>
        <v>-65718</v>
      </c>
      <c r="AX233" s="805">
        <f>IF(H233&gt;0,AW233/H233,"")</f>
        <v>-1</v>
      </c>
      <c r="AY233" s="807"/>
      <c r="AZ233" s="2136"/>
      <c r="BA233" s="2136"/>
    </row>
    <row r="234" spans="1:54" ht="13.9" hidden="1" customHeight="1" x14ac:dyDescent="0.2">
      <c r="A234" s="808" t="s">
        <v>820</v>
      </c>
      <c r="B234" s="799">
        <v>103950</v>
      </c>
      <c r="C234" s="797">
        <v>162773.01999999999</v>
      </c>
      <c r="D234" s="887">
        <v>101825</v>
      </c>
      <c r="E234" s="801">
        <v>101565.63</v>
      </c>
      <c r="F234" s="887">
        <v>102605</v>
      </c>
      <c r="G234" s="887">
        <v>278462.90000000002</v>
      </c>
      <c r="H234" s="888">
        <v>105105</v>
      </c>
      <c r="I234" s="801">
        <v>126882.74</v>
      </c>
      <c r="J234" s="839">
        <v>107615</v>
      </c>
      <c r="K234" s="861" t="s">
        <v>462</v>
      </c>
      <c r="L234" s="845">
        <v>235829.54</v>
      </c>
      <c r="M234" s="1053">
        <v>290227</v>
      </c>
      <c r="N234" s="846">
        <v>160080</v>
      </c>
      <c r="O234" s="859">
        <v>160080</v>
      </c>
      <c r="P234" s="817">
        <v>164285</v>
      </c>
      <c r="Q234" s="817">
        <v>164285</v>
      </c>
      <c r="R234" s="817">
        <v>164285</v>
      </c>
      <c r="S234" s="859"/>
      <c r="T234" s="859">
        <v>167565</v>
      </c>
      <c r="U234" s="859">
        <v>167565</v>
      </c>
      <c r="V234" s="817">
        <v>170565</v>
      </c>
      <c r="W234" s="817">
        <v>169565</v>
      </c>
      <c r="X234" s="843">
        <v>174400</v>
      </c>
      <c r="Y234" s="843">
        <v>174400</v>
      </c>
      <c r="Z234" s="843">
        <v>176445</v>
      </c>
      <c r="AA234" s="843">
        <f>Z234</f>
        <v>176445</v>
      </c>
      <c r="AB234" s="843">
        <v>180155</v>
      </c>
      <c r="AC234" s="843">
        <f>AB234</f>
        <v>180155</v>
      </c>
      <c r="AD234" s="843"/>
      <c r="AE234" s="843">
        <v>183345</v>
      </c>
      <c r="AF234" s="843"/>
      <c r="AG234" s="843">
        <v>183345</v>
      </c>
      <c r="AH234" s="843">
        <v>183345</v>
      </c>
      <c r="AI234" s="843">
        <v>183345</v>
      </c>
      <c r="AJ234" s="843">
        <v>183345</v>
      </c>
      <c r="AK234" s="843">
        <v>183345</v>
      </c>
      <c r="AL234" s="843">
        <v>181845</v>
      </c>
      <c r="AM234" s="843">
        <f>AL234*$AH$4</f>
        <v>181845</v>
      </c>
      <c r="AN234" s="843">
        <v>181845</v>
      </c>
      <c r="AO234" s="843">
        <v>181845</v>
      </c>
      <c r="AP234" s="843">
        <v>176845</v>
      </c>
      <c r="AQ234" s="843">
        <f>AP234*$AH$4</f>
        <v>176845</v>
      </c>
      <c r="AR234" s="843">
        <f>'[1]BUDGET DETAIL'!$CO$614</f>
        <v>176845</v>
      </c>
      <c r="AS234" s="843">
        <f t="shared" si="103"/>
        <v>0</v>
      </c>
      <c r="AT234" s="2239">
        <f t="shared" si="104"/>
        <v>0</v>
      </c>
      <c r="AU234" s="890"/>
      <c r="AV234" s="819"/>
      <c r="AW234" s="797">
        <f>SUM(AU234-H234)</f>
        <v>-105105</v>
      </c>
      <c r="AX234" s="805">
        <f>IF(H234&gt;0,AW234/H234,"")</f>
        <v>-1</v>
      </c>
      <c r="AY234" s="1528" t="s">
        <v>1078</v>
      </c>
      <c r="AZ234" s="2136"/>
      <c r="BA234" s="2136"/>
      <c r="BB234" s="2129"/>
    </row>
    <row r="235" spans="1:54" ht="13.9" hidden="1" customHeight="1" x14ac:dyDescent="0.2">
      <c r="A235" s="878" t="s">
        <v>821</v>
      </c>
      <c r="B235" s="810">
        <f t="shared" ref="B235:I235" si="107">SUM(B233:B234)</f>
        <v>166028</v>
      </c>
      <c r="C235" s="810">
        <f t="shared" si="107"/>
        <v>248096.62</v>
      </c>
      <c r="D235" s="944">
        <f t="shared" si="107"/>
        <v>166156</v>
      </c>
      <c r="E235" s="811">
        <f t="shared" si="107"/>
        <v>165896.63</v>
      </c>
      <c r="F235" s="944">
        <f t="shared" si="107"/>
        <v>166987</v>
      </c>
      <c r="G235" s="944">
        <f t="shared" si="107"/>
        <v>374578.44</v>
      </c>
      <c r="H235" s="906">
        <f t="shared" si="107"/>
        <v>170823</v>
      </c>
      <c r="I235" s="906">
        <f t="shared" si="107"/>
        <v>190762.37</v>
      </c>
      <c r="J235" s="813">
        <f>SUM(J233:J234)</f>
        <v>174648</v>
      </c>
      <c r="K235" s="1048">
        <v>38796</v>
      </c>
      <c r="L235" s="999">
        <f>SUM(L232:L234)</f>
        <v>320819.11</v>
      </c>
      <c r="M235" s="999">
        <f>SUM(M232:M234)</f>
        <v>382478</v>
      </c>
      <c r="N235" s="880">
        <f>SUM(N233:N234)</f>
        <v>238661</v>
      </c>
      <c r="O235" s="977">
        <f>O233+O234</f>
        <v>238661</v>
      </c>
      <c r="P235" s="977">
        <f>P233+P234</f>
        <v>242866</v>
      </c>
      <c r="Q235" s="852">
        <f>IF(SUM(Q233:Q234)=0,P235,SUM(Q233:Q234))</f>
        <v>242866</v>
      </c>
      <c r="R235" s="977">
        <f>R233+R234</f>
        <v>242866</v>
      </c>
      <c r="S235" s="852">
        <f>IF(SUM(S233:S234)=0,R235,SUM(S233:S234))</f>
        <v>242866</v>
      </c>
      <c r="T235" s="852">
        <v>246146</v>
      </c>
      <c r="U235" s="852">
        <v>246146</v>
      </c>
      <c r="V235" s="977">
        <f>V233+V234</f>
        <v>250717</v>
      </c>
      <c r="W235" s="852">
        <f>IF(SUM(W233:W234)=0,V235,SUM(W233:W234))</f>
        <v>196165</v>
      </c>
      <c r="X235" s="977">
        <f>X233+X234</f>
        <v>202400</v>
      </c>
      <c r="Y235" s="852">
        <f>IF(SUM(Y233:Y234)=0,X235,SUM(Y233:Y234))</f>
        <v>202400</v>
      </c>
      <c r="Z235" s="977">
        <f>Z233+Z234</f>
        <v>206165</v>
      </c>
      <c r="AA235" s="852">
        <f>IF(SUM(AA233:AA234)=0,Z235,SUM(AA233:AA234))</f>
        <v>206165</v>
      </c>
      <c r="AB235" s="977">
        <f>AB233+AB234</f>
        <v>210983</v>
      </c>
      <c r="AC235" s="852">
        <f>IF(SUM(AC233:AC234)=0,AB235,SUM(AC233:AC234))</f>
        <v>210983</v>
      </c>
      <c r="AD235" s="852"/>
      <c r="AE235" s="852">
        <v>214173</v>
      </c>
      <c r="AF235" s="852">
        <v>214173</v>
      </c>
      <c r="AG235" s="852">
        <v>215097.84</v>
      </c>
      <c r="AH235" s="852">
        <v>214173</v>
      </c>
      <c r="AI235" s="814">
        <v>215097.84</v>
      </c>
      <c r="AJ235" s="814">
        <v>215715</v>
      </c>
      <c r="AK235" s="814">
        <v>216686.1</v>
      </c>
      <c r="AL235" s="814">
        <v>215715</v>
      </c>
      <c r="AM235" s="814">
        <f t="shared" ref="AM235:AR235" si="108">SUM(AM233:AM234)</f>
        <v>216392.4</v>
      </c>
      <c r="AN235" s="814">
        <f t="shared" si="108"/>
        <v>215715</v>
      </c>
      <c r="AO235" s="814">
        <f t="shared" si="108"/>
        <v>216392.4</v>
      </c>
      <c r="AP235" s="814">
        <f t="shared" si="108"/>
        <v>215715</v>
      </c>
      <c r="AQ235" s="814">
        <f t="shared" si="108"/>
        <v>216492.4</v>
      </c>
      <c r="AR235" s="814">
        <f t="shared" si="108"/>
        <v>215715</v>
      </c>
      <c r="AS235" s="814">
        <f t="shared" si="103"/>
        <v>0</v>
      </c>
      <c r="AT235" s="2242">
        <f t="shared" si="104"/>
        <v>0</v>
      </c>
      <c r="AU235" s="854">
        <f>SUM(AU233:AU234)</f>
        <v>0</v>
      </c>
      <c r="AV235" s="819"/>
      <c r="AW235" s="797">
        <f>SUM(AU235-H235)</f>
        <v>-170823</v>
      </c>
      <c r="AX235" s="805">
        <f>IF(H235&gt;0,AW235/H235,"")</f>
        <v>-1</v>
      </c>
      <c r="AY235" s="807"/>
      <c r="AZ235" s="2136"/>
      <c r="BA235" s="2136"/>
      <c r="BB235" s="2129" t="s">
        <v>2539</v>
      </c>
    </row>
    <row r="236" spans="1:54" ht="13.9" hidden="1" customHeight="1" x14ac:dyDescent="0.2">
      <c r="A236" s="821" t="s">
        <v>62</v>
      </c>
      <c r="B236" s="822"/>
      <c r="C236" s="824"/>
      <c r="D236" s="823"/>
      <c r="E236" s="825"/>
      <c r="F236" s="823"/>
      <c r="G236" s="823"/>
      <c r="H236" s="825"/>
      <c r="I236" s="826"/>
      <c r="J236" s="1049"/>
      <c r="K236" s="1050"/>
      <c r="L236" s="863"/>
      <c r="M236" s="864"/>
      <c r="N236" s="858"/>
      <c r="O236" s="828"/>
      <c r="P236" s="828"/>
      <c r="Q236" s="828"/>
      <c r="R236" s="828"/>
      <c r="S236" s="828"/>
      <c r="T236" s="828"/>
      <c r="U236" s="828"/>
      <c r="V236" s="828"/>
      <c r="W236" s="828"/>
      <c r="X236" s="828"/>
      <c r="Y236" s="828"/>
      <c r="Z236" s="828"/>
      <c r="AA236" s="828"/>
      <c r="AB236" s="828"/>
      <c r="AC236" s="828"/>
      <c r="AD236" s="828"/>
      <c r="AE236" s="828"/>
      <c r="AF236" s="828"/>
      <c r="AG236" s="828"/>
      <c r="AH236" s="828"/>
      <c r="AI236" s="828"/>
      <c r="AJ236" s="828"/>
      <c r="AK236" s="828"/>
      <c r="AL236" s="828"/>
      <c r="AM236" s="828"/>
      <c r="AN236" s="828"/>
      <c r="AO236" s="828"/>
      <c r="AP236" s="828"/>
      <c r="AQ236" s="828"/>
      <c r="AR236" s="828"/>
      <c r="AS236" s="828">
        <f t="shared" si="103"/>
        <v>0</v>
      </c>
      <c r="AT236" s="2243" t="str">
        <f t="shared" si="104"/>
        <v/>
      </c>
      <c r="AU236" s="833"/>
      <c r="AV236" s="834"/>
      <c r="AW236" s="823"/>
      <c r="AX236" s="835"/>
      <c r="AY236" s="836"/>
      <c r="AZ236" s="2136"/>
      <c r="BA236" s="2136"/>
    </row>
    <row r="237" spans="1:54" ht="13.9" hidden="1" customHeight="1" x14ac:dyDescent="0.2">
      <c r="A237" s="808" t="s">
        <v>224</v>
      </c>
      <c r="B237" s="796"/>
      <c r="C237" s="837"/>
      <c r="D237" s="797"/>
      <c r="E237" s="870"/>
      <c r="F237" s="870"/>
      <c r="G237" s="870"/>
      <c r="H237" s="798"/>
      <c r="J237" s="884"/>
      <c r="K237" s="859"/>
      <c r="L237" s="865"/>
      <c r="M237" s="865"/>
      <c r="N237" s="838"/>
      <c r="O237" s="859"/>
      <c r="P237" s="859"/>
      <c r="Q237" s="859"/>
      <c r="R237" s="859"/>
      <c r="S237" s="859"/>
      <c r="T237" s="859"/>
      <c r="U237" s="859"/>
      <c r="V237" s="859"/>
      <c r="W237" s="859"/>
      <c r="X237" s="859"/>
      <c r="Y237" s="859"/>
      <c r="Z237" s="859"/>
      <c r="AA237" s="859"/>
      <c r="AB237" s="859"/>
      <c r="AC237" s="859"/>
      <c r="AD237" s="859"/>
      <c r="AE237" s="859"/>
      <c r="AF237" s="859"/>
      <c r="AG237" s="859"/>
      <c r="AH237" s="859"/>
      <c r="AI237" s="859"/>
      <c r="AJ237" s="859"/>
      <c r="AK237" s="859"/>
      <c r="AL237" s="859"/>
      <c r="AM237" s="859"/>
      <c r="AN237" s="859"/>
      <c r="AO237" s="859"/>
      <c r="AP237" s="859"/>
      <c r="AQ237" s="859"/>
      <c r="AR237" s="859"/>
      <c r="AS237" s="859">
        <f t="shared" si="103"/>
        <v>0</v>
      </c>
      <c r="AT237" s="2239" t="str">
        <f t="shared" si="104"/>
        <v/>
      </c>
      <c r="AU237" s="803"/>
      <c r="AV237" s="819"/>
      <c r="AW237" s="797"/>
      <c r="AX237" s="805"/>
      <c r="AY237" s="807"/>
      <c r="AZ237" s="2136"/>
      <c r="BA237" s="2136"/>
    </row>
    <row r="238" spans="1:54" ht="13.9" hidden="1" customHeight="1" x14ac:dyDescent="0.2">
      <c r="A238" s="808" t="s">
        <v>819</v>
      </c>
      <c r="B238" s="796">
        <v>0</v>
      </c>
      <c r="C238" s="797"/>
      <c r="D238" s="797"/>
      <c r="E238" s="797"/>
      <c r="F238" s="797"/>
      <c r="G238" s="797"/>
      <c r="H238" s="798"/>
      <c r="J238" s="839"/>
      <c r="K238" s="817"/>
      <c r="L238" s="893"/>
      <c r="M238" s="893"/>
      <c r="N238" s="846"/>
      <c r="O238" s="817"/>
      <c r="P238" s="817"/>
      <c r="Q238" s="817"/>
      <c r="R238" s="817"/>
      <c r="S238" s="817"/>
      <c r="T238" s="817"/>
      <c r="U238" s="817"/>
      <c r="V238" s="817"/>
      <c r="W238" s="817"/>
      <c r="X238" s="817"/>
      <c r="Y238" s="817"/>
      <c r="Z238" s="817"/>
      <c r="AA238" s="817"/>
      <c r="AB238" s="817"/>
      <c r="AC238" s="817"/>
      <c r="AD238" s="817"/>
      <c r="AE238" s="817"/>
      <c r="AF238" s="817"/>
      <c r="AG238" s="817"/>
      <c r="AH238" s="817"/>
      <c r="AI238" s="817"/>
      <c r="AJ238" s="817"/>
      <c r="AK238" s="817"/>
      <c r="AL238" s="817"/>
      <c r="AM238" s="817"/>
      <c r="AN238" s="817"/>
      <c r="AO238" s="817"/>
      <c r="AP238" s="817"/>
      <c r="AQ238" s="817"/>
      <c r="AR238" s="817"/>
      <c r="AS238" s="817">
        <f t="shared" si="103"/>
        <v>0</v>
      </c>
      <c r="AT238" s="2240" t="str">
        <f t="shared" si="104"/>
        <v/>
      </c>
      <c r="AU238" s="803"/>
      <c r="AV238" s="819"/>
      <c r="AW238" s="797"/>
      <c r="AX238" s="805" t="str">
        <f>IF(F238&gt;0,AW238/F238,"")</f>
        <v/>
      </c>
      <c r="AY238" s="807"/>
      <c r="AZ238" s="2136"/>
      <c r="BA238" s="2136"/>
    </row>
    <row r="239" spans="1:54" ht="13.9" hidden="1" customHeight="1" x14ac:dyDescent="0.2">
      <c r="A239" s="808" t="s">
        <v>820</v>
      </c>
      <c r="B239" s="796">
        <v>16000</v>
      </c>
      <c r="C239" s="797">
        <v>14308.5</v>
      </c>
      <c r="D239" s="797">
        <v>16000</v>
      </c>
      <c r="E239" s="797">
        <v>15950.93</v>
      </c>
      <c r="F239" s="797">
        <v>16000</v>
      </c>
      <c r="G239" s="797">
        <v>15958.93</v>
      </c>
      <c r="H239" s="798">
        <v>16800</v>
      </c>
      <c r="I239" s="715">
        <v>17364.93</v>
      </c>
      <c r="J239" s="839">
        <v>20160</v>
      </c>
      <c r="K239" s="859"/>
      <c r="L239" s="942">
        <v>19937.560000000001</v>
      </c>
      <c r="M239" s="942">
        <v>21065</v>
      </c>
      <c r="N239" s="838">
        <v>18900</v>
      </c>
      <c r="O239" s="859">
        <v>18900</v>
      </c>
      <c r="P239" s="817">
        <v>18900</v>
      </c>
      <c r="Q239" s="817">
        <v>18900</v>
      </c>
      <c r="R239" s="817">
        <v>18900</v>
      </c>
      <c r="S239" s="859"/>
      <c r="T239" s="859">
        <v>19275</v>
      </c>
      <c r="U239" s="859">
        <v>19275</v>
      </c>
      <c r="V239" s="843">
        <v>19660</v>
      </c>
      <c r="W239" s="817">
        <f>V239</f>
        <v>19660</v>
      </c>
      <c r="X239" s="843">
        <v>20250</v>
      </c>
      <c r="Y239" s="843">
        <v>20250</v>
      </c>
      <c r="Z239" s="843">
        <v>20858</v>
      </c>
      <c r="AA239" s="843">
        <f>Z239</f>
        <v>20858</v>
      </c>
      <c r="AB239" s="843">
        <v>21200</v>
      </c>
      <c r="AC239" s="843">
        <f>AB239</f>
        <v>21200</v>
      </c>
      <c r="AD239" s="843"/>
      <c r="AE239" s="843">
        <v>22685</v>
      </c>
      <c r="AF239" s="843"/>
      <c r="AG239" s="843">
        <v>22685</v>
      </c>
      <c r="AH239" s="843">
        <v>24860</v>
      </c>
      <c r="AI239" s="843">
        <v>24860</v>
      </c>
      <c r="AJ239" s="843">
        <v>26104</v>
      </c>
      <c r="AK239" s="843">
        <v>26104</v>
      </c>
      <c r="AL239" s="843">
        <v>26104</v>
      </c>
      <c r="AM239" s="843">
        <f>AL239*$AH$4</f>
        <v>26104</v>
      </c>
      <c r="AN239" s="843">
        <v>30000</v>
      </c>
      <c r="AO239" s="843">
        <v>30000</v>
      </c>
      <c r="AP239" s="843">
        <v>30000</v>
      </c>
      <c r="AQ239" s="843">
        <f>AP239*$AH$4</f>
        <v>30000</v>
      </c>
      <c r="AR239" s="843">
        <f>'[1]BUDGET DETAIL'!$CO$620</f>
        <v>33000</v>
      </c>
      <c r="AS239" s="843">
        <f t="shared" si="103"/>
        <v>3000</v>
      </c>
      <c r="AT239" s="2239">
        <f t="shared" si="104"/>
        <v>0.1</v>
      </c>
      <c r="AU239" s="803"/>
      <c r="AV239" s="819"/>
      <c r="AW239" s="797">
        <f>SUM(AU239-H239)</f>
        <v>-16800</v>
      </c>
      <c r="AX239" s="805">
        <f>IF(H239&gt;0,AW239/H239,"")</f>
        <v>-1</v>
      </c>
      <c r="AY239" s="1528"/>
      <c r="AZ239" s="2136">
        <f>'[1]ABOVE GUIDELINES'!$K$31</f>
        <v>5000</v>
      </c>
      <c r="BA239" s="2321" t="s">
        <v>1176</v>
      </c>
      <c r="BB239" s="2942">
        <v>44998</v>
      </c>
    </row>
    <row r="240" spans="1:54" ht="13.9" hidden="1" customHeight="1" x14ac:dyDescent="0.2">
      <c r="A240" s="894" t="s">
        <v>821</v>
      </c>
      <c r="B240" s="810">
        <f>SUM(B238:B239)</f>
        <v>16000</v>
      </c>
      <c r="C240" s="811">
        <f>SUM(C238:C239)</f>
        <v>14308.5</v>
      </c>
      <c r="D240" s="906">
        <f>SUM(D238:D239)</f>
        <v>16000</v>
      </c>
      <c r="E240" s="811">
        <f>SUM(E239)</f>
        <v>15950.93</v>
      </c>
      <c r="F240" s="906">
        <f>SUM(F238:F239)</f>
        <v>16000</v>
      </c>
      <c r="G240" s="906">
        <f>SUM(G238:G239)</f>
        <v>15958.93</v>
      </c>
      <c r="H240" s="906">
        <f>SUM(H238:H239)</f>
        <v>16800</v>
      </c>
      <c r="I240" s="906">
        <f>SUM(I238:I239)</f>
        <v>17364.93</v>
      </c>
      <c r="J240" s="907">
        <f>SUM(J238:J239)</f>
        <v>20160</v>
      </c>
      <c r="K240" s="814" t="s">
        <v>462</v>
      </c>
      <c r="L240" s="918">
        <f>SUM(L238:L239)</f>
        <v>19937.560000000001</v>
      </c>
      <c r="M240" s="918">
        <f>SUM(M238:M239)</f>
        <v>21065</v>
      </c>
      <c r="N240" s="919">
        <f>SUM(N238:N239)</f>
        <v>18900</v>
      </c>
      <c r="O240" s="814">
        <f>O239</f>
        <v>18900</v>
      </c>
      <c r="P240" s="853">
        <f>P239</f>
        <v>18900</v>
      </c>
      <c r="Q240" s="852">
        <f>IF(SUM(Q238:Q239)=0,P240,SUM(Q238:Q239))</f>
        <v>18900</v>
      </c>
      <c r="R240" s="853">
        <f>R239</f>
        <v>18900</v>
      </c>
      <c r="S240" s="852">
        <f>IF(SUM(S238:S239)=0,R240,SUM(S238:S239))</f>
        <v>18900</v>
      </c>
      <c r="T240" s="853">
        <v>19275</v>
      </c>
      <c r="U240" s="853">
        <v>19275</v>
      </c>
      <c r="V240" s="853">
        <f>V239</f>
        <v>19660</v>
      </c>
      <c r="W240" s="852">
        <f>IF(SUM(W238:W239)=0,V240,SUM(W238:W239))</f>
        <v>19660</v>
      </c>
      <c r="X240" s="853">
        <f>X239</f>
        <v>20250</v>
      </c>
      <c r="Y240" s="852">
        <f>IF(SUM(Y238:Y239)=0,X240,SUM(Y238:Y239))</f>
        <v>20250</v>
      </c>
      <c r="Z240" s="853">
        <f>Z239</f>
        <v>20858</v>
      </c>
      <c r="AA240" s="852">
        <f>IF(SUM(AA238:AA239)=0,Z240,SUM(AA238:AA239))</f>
        <v>20858</v>
      </c>
      <c r="AB240" s="853">
        <f>AB239</f>
        <v>21200</v>
      </c>
      <c r="AC240" s="852">
        <f>IF(SUM(AC238:AC239)=0,AB240,SUM(AC238:AC239))</f>
        <v>21200</v>
      </c>
      <c r="AD240" s="852"/>
      <c r="AE240" s="852">
        <v>22685</v>
      </c>
      <c r="AF240" s="852">
        <v>22685</v>
      </c>
      <c r="AG240" s="852">
        <v>22685</v>
      </c>
      <c r="AH240" s="852">
        <v>24860</v>
      </c>
      <c r="AI240" s="814">
        <v>24860</v>
      </c>
      <c r="AJ240" s="814">
        <v>26104</v>
      </c>
      <c r="AK240" s="814">
        <v>26104</v>
      </c>
      <c r="AL240" s="814">
        <v>26104</v>
      </c>
      <c r="AM240" s="814">
        <f t="shared" ref="AM240:AR240" si="109">SUM(AM239)</f>
        <v>26104</v>
      </c>
      <c r="AN240" s="814">
        <f t="shared" si="109"/>
        <v>30000</v>
      </c>
      <c r="AO240" s="814">
        <f t="shared" si="109"/>
        <v>30000</v>
      </c>
      <c r="AP240" s="814">
        <f t="shared" si="109"/>
        <v>30000</v>
      </c>
      <c r="AQ240" s="814">
        <f t="shared" si="109"/>
        <v>30000</v>
      </c>
      <c r="AR240" s="814">
        <f t="shared" si="109"/>
        <v>33000</v>
      </c>
      <c r="AS240" s="814">
        <f t="shared" si="103"/>
        <v>3000</v>
      </c>
      <c r="AT240" s="2242">
        <f t="shared" si="104"/>
        <v>0.1</v>
      </c>
      <c r="AU240" s="854">
        <f>SUM(AU238:AU239)</f>
        <v>0</v>
      </c>
      <c r="AV240" s="1054"/>
      <c r="AW240" s="798">
        <f>SUM(AU240-H240)</f>
        <v>-16800</v>
      </c>
      <c r="AX240" s="802">
        <f>IF(H240&gt;0,AW240/H240,"")</f>
        <v>-1</v>
      </c>
      <c r="AZ240" s="2136"/>
      <c r="BA240" s="2136"/>
      <c r="BB240" s="2129" t="s">
        <v>2539</v>
      </c>
    </row>
    <row r="241" spans="1:54" ht="13.9" hidden="1" customHeight="1" x14ac:dyDescent="0.2">
      <c r="A241" s="821"/>
      <c r="B241" s="909"/>
      <c r="C241" s="910"/>
      <c r="D241" s="1055"/>
      <c r="E241" s="910"/>
      <c r="F241" s="1055"/>
      <c r="G241" s="1055"/>
      <c r="H241" s="1056"/>
      <c r="I241" s="912"/>
      <c r="J241" s="1057"/>
      <c r="K241" s="1050"/>
      <c r="L241" s="863"/>
      <c r="M241" s="864"/>
      <c r="N241" s="858"/>
      <c r="O241" s="828"/>
      <c r="P241" s="828"/>
      <c r="Q241" s="828"/>
      <c r="R241" s="828"/>
      <c r="S241" s="828"/>
      <c r="T241" s="828"/>
      <c r="U241" s="828"/>
      <c r="V241" s="828"/>
      <c r="W241" s="828"/>
      <c r="X241" s="828"/>
      <c r="Y241" s="828"/>
      <c r="Z241" s="828"/>
      <c r="AA241" s="828"/>
      <c r="AB241" s="828"/>
      <c r="AC241" s="828"/>
      <c r="AD241" s="828"/>
      <c r="AE241" s="828"/>
      <c r="AF241" s="828"/>
      <c r="AG241" s="828"/>
      <c r="AH241" s="828"/>
      <c r="AI241" s="828"/>
      <c r="AJ241" s="828"/>
      <c r="AK241" s="828"/>
      <c r="AL241" s="828"/>
      <c r="AM241" s="828"/>
      <c r="AN241" s="828"/>
      <c r="AO241" s="828"/>
      <c r="AP241" s="828"/>
      <c r="AQ241" s="828"/>
      <c r="AR241" s="828"/>
      <c r="AS241" s="828">
        <f t="shared" si="103"/>
        <v>0</v>
      </c>
      <c r="AT241" s="2243" t="str">
        <f t="shared" si="104"/>
        <v/>
      </c>
      <c r="AU241" s="913"/>
      <c r="AV241" s="834"/>
      <c r="AW241" s="823"/>
      <c r="AX241" s="835"/>
      <c r="AY241" s="836"/>
      <c r="AZ241" s="2136"/>
      <c r="BA241" s="2136"/>
    </row>
    <row r="242" spans="1:54" ht="13.9" hidden="1" customHeight="1" x14ac:dyDescent="0.2">
      <c r="A242" s="795" t="s">
        <v>589</v>
      </c>
      <c r="B242" s="796"/>
      <c r="C242" s="797"/>
      <c r="D242" s="797"/>
      <c r="E242" s="797"/>
      <c r="F242" s="797"/>
      <c r="G242" s="870"/>
      <c r="H242" s="798"/>
      <c r="J242" s="884"/>
      <c r="K242" s="859"/>
      <c r="L242" s="865"/>
      <c r="M242" s="865"/>
      <c r="N242" s="838"/>
      <c r="O242" s="859"/>
      <c r="P242" s="859"/>
      <c r="Q242" s="859"/>
      <c r="R242" s="859"/>
      <c r="S242" s="859"/>
      <c r="T242" s="859"/>
      <c r="U242" s="859"/>
      <c r="V242" s="859"/>
      <c r="W242" s="859"/>
      <c r="X242" s="859"/>
      <c r="Y242" s="859"/>
      <c r="Z242" s="859"/>
      <c r="AA242" s="859"/>
      <c r="AB242" s="859"/>
      <c r="AC242" s="859"/>
      <c r="AD242" s="859"/>
      <c r="AE242" s="859"/>
      <c r="AF242" s="859"/>
      <c r="AG242" s="859"/>
      <c r="AH242" s="859"/>
      <c r="AI242" s="859"/>
      <c r="AJ242" s="859"/>
      <c r="AK242" s="859"/>
      <c r="AL242" s="859"/>
      <c r="AM242" s="859"/>
      <c r="AN242" s="859"/>
      <c r="AO242" s="859"/>
      <c r="AP242" s="859"/>
      <c r="AQ242" s="859"/>
      <c r="AR242" s="859"/>
      <c r="AS242" s="859">
        <f t="shared" si="103"/>
        <v>0</v>
      </c>
      <c r="AT242" s="2239" t="str">
        <f t="shared" si="104"/>
        <v/>
      </c>
      <c r="AU242" s="803"/>
      <c r="AV242" s="819"/>
      <c r="AW242" s="797"/>
      <c r="AX242" s="805" t="str">
        <f>IF(F242&gt;0,AW242/F242,"")</f>
        <v/>
      </c>
      <c r="AY242" s="903"/>
      <c r="AZ242" s="2136"/>
      <c r="BA242" s="2136"/>
      <c r="BB242" s="2146"/>
    </row>
    <row r="243" spans="1:54" ht="13.9" hidden="1" customHeight="1" x14ac:dyDescent="0.2">
      <c r="A243" s="795" t="s">
        <v>567</v>
      </c>
      <c r="B243" s="847">
        <f>SUM($B$186+$B$224)</f>
        <v>128164</v>
      </c>
      <c r="C243" s="847">
        <f>SUM($C$186+$C$224)</f>
        <v>124949.6</v>
      </c>
      <c r="D243" s="847">
        <f>SUM($D$186+$D$224)</f>
        <v>65554</v>
      </c>
      <c r="E243" s="847">
        <f>SUM($E$186+$E$224)</f>
        <v>65554</v>
      </c>
      <c r="F243" s="847">
        <f>SUM($F$186+$F$224)</f>
        <v>65554</v>
      </c>
      <c r="G243" s="914">
        <f>SUM($G$186+$G$224)</f>
        <v>65554</v>
      </c>
      <c r="H243" s="914">
        <f>SUM($H$186+$H$224)</f>
        <v>67792</v>
      </c>
      <c r="I243" s="914">
        <f>SUM($I$186+$I$224)</f>
        <v>67792</v>
      </c>
      <c r="J243" s="884">
        <f t="shared" ref="J243:R243" si="110">SUM(J$186+J$224)</f>
        <v>69973</v>
      </c>
      <c r="K243" s="884">
        <f t="shared" si="110"/>
        <v>0</v>
      </c>
      <c r="L243" s="993">
        <f t="shared" si="110"/>
        <v>72093</v>
      </c>
      <c r="M243" s="993">
        <f t="shared" si="110"/>
        <v>74012</v>
      </c>
      <c r="N243" s="1058">
        <f t="shared" si="110"/>
        <v>75983</v>
      </c>
      <c r="O243" s="842">
        <f t="shared" si="110"/>
        <v>75983</v>
      </c>
      <c r="P243" s="842">
        <f t="shared" si="110"/>
        <v>75983</v>
      </c>
      <c r="Q243" s="842">
        <f t="shared" si="110"/>
        <v>75983</v>
      </c>
      <c r="R243" s="842">
        <f t="shared" si="110"/>
        <v>75983</v>
      </c>
      <c r="S243" s="842"/>
      <c r="T243" s="842">
        <v>77983</v>
      </c>
      <c r="U243" s="842">
        <v>77983</v>
      </c>
      <c r="V243" s="842">
        <f t="shared" ref="V243:AC243" si="111">SUM(V$186+V$224)</f>
        <v>79763</v>
      </c>
      <c r="W243" s="842">
        <f t="shared" si="111"/>
        <v>79763</v>
      </c>
      <c r="X243" s="842">
        <f t="shared" si="111"/>
        <v>81323</v>
      </c>
      <c r="Y243" s="842">
        <f t="shared" si="111"/>
        <v>81323</v>
      </c>
      <c r="Z243" s="1059">
        <f t="shared" si="111"/>
        <v>90244</v>
      </c>
      <c r="AA243" s="1059">
        <f t="shared" si="111"/>
        <v>90244</v>
      </c>
      <c r="AB243" s="1059">
        <f t="shared" si="111"/>
        <v>96900</v>
      </c>
      <c r="AC243" s="1059">
        <f t="shared" si="111"/>
        <v>96900</v>
      </c>
      <c r="AD243" s="1059"/>
      <c r="AE243" s="1059">
        <v>100883</v>
      </c>
      <c r="AF243" s="1059" t="s">
        <v>164</v>
      </c>
      <c r="AG243" s="1059">
        <v>192767.59000000003</v>
      </c>
      <c r="AH243" s="1059">
        <v>193696</v>
      </c>
      <c r="AI243" s="1559">
        <v>199506.88</v>
      </c>
      <c r="AJ243" s="928">
        <v>204382</v>
      </c>
      <c r="AK243" s="928">
        <v>210513.46000000002</v>
      </c>
      <c r="AL243" s="928">
        <v>189667</v>
      </c>
      <c r="AM243" s="928">
        <f t="shared" ref="AM243:AQ243" si="112">SUM(AM$186+AM$110+ AM$212+AM$224)</f>
        <v>193460.34</v>
      </c>
      <c r="AN243" s="928">
        <f t="shared" si="112"/>
        <v>110285</v>
      </c>
      <c r="AO243" s="928">
        <f t="shared" si="112"/>
        <v>113042.125</v>
      </c>
      <c r="AP243" s="928">
        <f t="shared" si="112"/>
        <v>111664</v>
      </c>
      <c r="AQ243" s="928">
        <f t="shared" si="112"/>
        <v>113897.28</v>
      </c>
      <c r="AR243" s="928">
        <f>SUM(AR$186+ AR$212+AR$224)</f>
        <v>116545</v>
      </c>
      <c r="AS243" s="928">
        <f t="shared" si="103"/>
        <v>4881</v>
      </c>
      <c r="AT243" s="2242">
        <f t="shared" si="104"/>
        <v>4.3711491617710277E-2</v>
      </c>
      <c r="AU243" s="854">
        <f>SUM($AU$186+$AU$224)</f>
        <v>0</v>
      </c>
      <c r="AV243" s="819"/>
      <c r="AW243" s="797">
        <f>SUM(AU243-H243)</f>
        <v>-67792</v>
      </c>
      <c r="AX243" s="805">
        <f>IF(H243&gt;0,AW243/H243,"")</f>
        <v>-1</v>
      </c>
      <c r="AY243" s="903"/>
      <c r="AZ243" s="2136"/>
      <c r="BA243" s="2136"/>
      <c r="BB243" s="2146"/>
    </row>
    <row r="244" spans="1:54" ht="13.9" hidden="1" customHeight="1" x14ac:dyDescent="0.2">
      <c r="A244" s="795" t="s">
        <v>558</v>
      </c>
      <c r="B244" s="847">
        <f>SUM($B$187+$B225+$B$233)</f>
        <v>242974</v>
      </c>
      <c r="C244" s="847">
        <f>SUM($C$187+$C$225+$C$233)</f>
        <v>267391.62</v>
      </c>
      <c r="D244" s="847">
        <f>SUM($D$187+$D$225+$D$233)</f>
        <v>237517</v>
      </c>
      <c r="E244" s="847">
        <f>SUM($E$187+$E$225+$E$233)</f>
        <v>211872.67</v>
      </c>
      <c r="F244" s="847">
        <f>SUM($F$187+$F$225+$F$233)</f>
        <v>233200</v>
      </c>
      <c r="G244" s="914">
        <f>SUM($G$187+$G$225+$G$233)</f>
        <v>250592.19</v>
      </c>
      <c r="H244" s="914">
        <f>SUM($H$187+$H$225+$H$233)</f>
        <v>239818</v>
      </c>
      <c r="I244" s="914">
        <f>SUM($I$187+$I$225+$I$233)</f>
        <v>224472.2</v>
      </c>
      <c r="J244" s="884">
        <f t="shared" ref="J244:R244" si="113">SUM(J$187+J$225+J$233)</f>
        <v>244953</v>
      </c>
      <c r="K244" s="884">
        <f t="shared" si="113"/>
        <v>0</v>
      </c>
      <c r="L244" s="993">
        <f t="shared" si="113"/>
        <v>258273.57</v>
      </c>
      <c r="M244" s="993">
        <f t="shared" si="113"/>
        <v>281311</v>
      </c>
      <c r="N244" s="1058">
        <f t="shared" si="113"/>
        <v>263750</v>
      </c>
      <c r="O244" s="842">
        <f t="shared" si="113"/>
        <v>263750</v>
      </c>
      <c r="P244" s="842">
        <f t="shared" si="113"/>
        <v>269000</v>
      </c>
      <c r="Q244" s="842">
        <f t="shared" si="113"/>
        <v>269000</v>
      </c>
      <c r="R244" s="842">
        <f t="shared" si="113"/>
        <v>269650</v>
      </c>
      <c r="S244" s="842"/>
      <c r="T244" s="842">
        <v>269991</v>
      </c>
      <c r="U244" s="842">
        <v>269991</v>
      </c>
      <c r="V244" s="842">
        <f t="shared" ref="V244:AC244" si="114">SUM(V$187+V$225+V$233)</f>
        <v>275694</v>
      </c>
      <c r="W244" s="842">
        <f t="shared" si="114"/>
        <v>275692</v>
      </c>
      <c r="X244" s="842">
        <f t="shared" si="114"/>
        <v>291989</v>
      </c>
      <c r="Y244" s="842">
        <f t="shared" si="114"/>
        <v>291989</v>
      </c>
      <c r="Z244" s="1059">
        <f t="shared" si="114"/>
        <v>314612</v>
      </c>
      <c r="AA244" s="1059">
        <f t="shared" si="114"/>
        <v>314612</v>
      </c>
      <c r="AB244" s="1059">
        <f t="shared" si="114"/>
        <v>328012</v>
      </c>
      <c r="AC244" s="1059">
        <f t="shared" si="114"/>
        <v>328012</v>
      </c>
      <c r="AD244" s="1059"/>
      <c r="AE244" s="1059">
        <v>335368</v>
      </c>
      <c r="AF244" s="1059">
        <v>0</v>
      </c>
      <c r="AG244" s="1059">
        <v>498656.99000000005</v>
      </c>
      <c r="AH244" s="1059">
        <v>486646</v>
      </c>
      <c r="AI244" s="1559">
        <v>501245.38000000006</v>
      </c>
      <c r="AJ244" s="928">
        <v>523479</v>
      </c>
      <c r="AK244" s="928">
        <v>539183.37</v>
      </c>
      <c r="AL244" s="928">
        <v>536911</v>
      </c>
      <c r="AM244" s="928">
        <f t="shared" ref="AM244:AR244" si="115">SUM(AM$187+AM$193+AM$213+AM$225+AM$233)</f>
        <v>547649.22</v>
      </c>
      <c r="AN244" s="928">
        <f t="shared" si="115"/>
        <v>552927</v>
      </c>
      <c r="AO244" s="928">
        <f t="shared" si="115"/>
        <v>563985.54</v>
      </c>
      <c r="AP244" s="928">
        <f t="shared" si="115"/>
        <v>579350</v>
      </c>
      <c r="AQ244" s="928">
        <f t="shared" si="115"/>
        <v>590937</v>
      </c>
      <c r="AR244" s="928">
        <f t="shared" si="115"/>
        <v>578527</v>
      </c>
      <c r="AS244" s="928">
        <f t="shared" si="103"/>
        <v>-823</v>
      </c>
      <c r="AT244" s="2242">
        <f t="shared" si="104"/>
        <v>-1.420557521360145E-3</v>
      </c>
      <c r="AU244" s="854">
        <f>SUM($AU$187+$AU$225+$AU$233)</f>
        <v>0</v>
      </c>
      <c r="AV244" s="819"/>
      <c r="AW244" s="797">
        <f>SUM(AU244-H244)</f>
        <v>-239818</v>
      </c>
      <c r="AX244" s="805">
        <f>IF(H244&gt;0,AW244/H244,"")</f>
        <v>-1</v>
      </c>
      <c r="AY244" s="903"/>
      <c r="AZ244" s="2136"/>
      <c r="BA244" s="2136"/>
      <c r="BB244" s="2146"/>
    </row>
    <row r="245" spans="1:54" ht="13.9" hidden="1" customHeight="1" x14ac:dyDescent="0.2">
      <c r="A245" s="795" t="s">
        <v>820</v>
      </c>
      <c r="B245" s="847">
        <f>SUM($B$188+$B$228+$B$234+$B$239)</f>
        <v>254704</v>
      </c>
      <c r="C245" s="847">
        <f>SUM($C$188+$C$228+$C$234+$C$239)</f>
        <v>309025.83999999997</v>
      </c>
      <c r="D245" s="847">
        <f>SUM($D$188+$D$228+$D$234+$D$239)</f>
        <v>225767</v>
      </c>
      <c r="E245" s="847">
        <f>SUM($E$188+$E$228+$E$234+$E$239)</f>
        <v>252463.75</v>
      </c>
      <c r="F245" s="847">
        <f>SUM($F$188+$F$228+$F$234+$F$239)</f>
        <v>245252</v>
      </c>
      <c r="G245" s="914">
        <f>SUM($G$188+$G$228+$G$234+$G$239)</f>
        <v>420845.73000000004</v>
      </c>
      <c r="H245" s="914">
        <f>SUM($H$188+$H$228+$H$234+$H$239)</f>
        <v>300600</v>
      </c>
      <c r="I245" s="914">
        <f>SUM($I$188+$I$228+$I$234+$I$239)</f>
        <v>392668.67</v>
      </c>
      <c r="J245" s="1060">
        <f>SUM(J$188+J$228+J$234+J$239)</f>
        <v>368033</v>
      </c>
      <c r="K245" s="1060"/>
      <c r="L245" s="993">
        <f t="shared" ref="L245:R245" si="116">SUM(L$188+L227+L$228+L229+L$234+L$239)</f>
        <v>504545.09</v>
      </c>
      <c r="M245" s="993">
        <f t="shared" si="116"/>
        <v>553862</v>
      </c>
      <c r="N245" s="1058">
        <f t="shared" si="116"/>
        <v>342175</v>
      </c>
      <c r="O245" s="842">
        <f t="shared" si="116"/>
        <v>367175</v>
      </c>
      <c r="P245" s="842">
        <f t="shared" si="116"/>
        <v>381990</v>
      </c>
      <c r="Q245" s="842">
        <f t="shared" si="116"/>
        <v>381990</v>
      </c>
      <c r="R245" s="842">
        <f t="shared" si="116"/>
        <v>381990</v>
      </c>
      <c r="S245" s="842"/>
      <c r="T245" s="842">
        <v>389405</v>
      </c>
      <c r="U245" s="842">
        <v>389405</v>
      </c>
      <c r="V245" s="842">
        <f>SUM(V$188+V227+V$228+V229+V$234+V$239)</f>
        <v>404319</v>
      </c>
      <c r="W245" s="842">
        <f>SUM(W$188+W$227+W$228+W$229+W$234+W$239)</f>
        <v>404319</v>
      </c>
      <c r="X245" s="842">
        <f>SUM(X$188+X227+X$228+X229+X$234+X$239)</f>
        <v>416170</v>
      </c>
      <c r="Y245" s="842">
        <f>SUM(Y$188+Y$227+Y$228+Y$229+Y$234+Y$239)</f>
        <v>416170</v>
      </c>
      <c r="Z245" s="1059">
        <f>SUM(Z$188+Z227+Z$228+Z229+Z$234+Z$239)</f>
        <v>439473</v>
      </c>
      <c r="AA245" s="1059">
        <f>SUM(AA$188+AA$227+AA$228+AA$229+AA$234+AA$239)</f>
        <v>439473</v>
      </c>
      <c r="AB245" s="1059">
        <f>SUM(AB$188+AB227+AB$228+AB229+AB$234+AB$239)</f>
        <v>450200</v>
      </c>
      <c r="AC245" s="1059">
        <f>SUM(AC$188+AC$227+AC$228+AC$229+AC$234+AC$239)</f>
        <v>450200</v>
      </c>
      <c r="AD245" s="1059"/>
      <c r="AE245" s="1059">
        <v>469859</v>
      </c>
      <c r="AF245" s="1059">
        <v>0</v>
      </c>
      <c r="AG245" s="1059">
        <v>957173.5</v>
      </c>
      <c r="AH245" s="1059">
        <v>999988</v>
      </c>
      <c r="AI245" s="1059">
        <v>999988</v>
      </c>
      <c r="AJ245" s="881">
        <v>998302</v>
      </c>
      <c r="AK245" s="881">
        <v>998302</v>
      </c>
      <c r="AL245" s="881">
        <v>997842</v>
      </c>
      <c r="AM245" s="881">
        <f>SUM(AM$188+AM$194+AM$198+AM$203+AM$214+ AM$227+AM$228+AM$229+AM$234+AM$239+AM220)</f>
        <v>997842</v>
      </c>
      <c r="AN245" s="881">
        <f>SUM(AN$188+AN$194+AN$198+AN$203+AN$214+ AN$227+AN$228+AN$229+AN$234+AN$239+AN220)</f>
        <v>996438</v>
      </c>
      <c r="AO245" s="881">
        <f>SUM(AO$188+AO$194+AO$198+AO$203+AO$214+ AO$227+AO$228+AO$229+AO$234+AO$239+AO220)</f>
        <v>996438</v>
      </c>
      <c r="AP245" s="881">
        <f>SUM(AP$188+AP$194+AP$198+AP$203+AP$214+ AP$227+AP$228+AP$229+AP$234+AP$239+AP220)</f>
        <v>1027238</v>
      </c>
      <c r="AQ245" s="881">
        <f>SUM(AQ$188+AQ$194+AQ$198+AQ$203+AQ$214+ AQ$227+AQ$228+AQ$229+AQ$234+AQ$239+AQ220)</f>
        <v>1198804</v>
      </c>
      <c r="AR245" s="881">
        <f>SUM(AR$188+AR$194+AR$198+AR$203+AR$214+ AR$227+AR$228+AR$229+AR$234+AR$239+AR220+AR209)</f>
        <v>1204141</v>
      </c>
      <c r="AS245" s="881">
        <f t="shared" si="103"/>
        <v>176903</v>
      </c>
      <c r="AT245" s="2249">
        <f t="shared" si="104"/>
        <v>0.17221228186651974</v>
      </c>
      <c r="AU245" s="854">
        <f>SUM($AU$188+$AU$228+$AU$234+$AU$239)</f>
        <v>0</v>
      </c>
      <c r="AV245" s="819"/>
      <c r="AW245" s="797">
        <f>SUM(AU245-H245)</f>
        <v>-300600</v>
      </c>
      <c r="AX245" s="805">
        <f>IF(H245&gt;0,AW245/H245,"")</f>
        <v>-1</v>
      </c>
      <c r="AY245" s="903"/>
      <c r="AZ245" s="2136"/>
      <c r="BA245" s="2136"/>
      <c r="BB245" s="2146"/>
    </row>
    <row r="246" spans="1:54" ht="13.9" hidden="1" customHeight="1" x14ac:dyDescent="0.2">
      <c r="A246" s="795" t="s">
        <v>43</v>
      </c>
      <c r="B246" s="847"/>
      <c r="C246" s="847"/>
      <c r="D246" s="847"/>
      <c r="E246" s="847"/>
      <c r="F246" s="847"/>
      <c r="G246" s="914"/>
      <c r="H246" s="914"/>
      <c r="I246" s="914"/>
      <c r="J246" s="1060"/>
      <c r="K246" s="1060"/>
      <c r="L246" s="1061">
        <f t="shared" ref="L246:R246" si="117">L226</f>
        <v>23837</v>
      </c>
      <c r="M246" s="1061">
        <f t="shared" si="117"/>
        <v>49577</v>
      </c>
      <c r="N246" s="1062">
        <f t="shared" si="117"/>
        <v>49577</v>
      </c>
      <c r="O246" s="1063">
        <f t="shared" si="117"/>
        <v>25740</v>
      </c>
      <c r="P246" s="1063">
        <f t="shared" si="117"/>
        <v>25740</v>
      </c>
      <c r="Q246" s="1063">
        <f t="shared" si="117"/>
        <v>25740</v>
      </c>
      <c r="R246" s="1063">
        <f t="shared" si="117"/>
        <v>0</v>
      </c>
      <c r="S246" s="842"/>
      <c r="T246" s="842">
        <v>0</v>
      </c>
      <c r="U246" s="842">
        <v>0</v>
      </c>
      <c r="V246" s="1063">
        <f t="shared" ref="V246:AC246" si="118">V226</f>
        <v>29257</v>
      </c>
      <c r="W246" s="1063">
        <f t="shared" si="118"/>
        <v>29257</v>
      </c>
      <c r="X246" s="1063">
        <f t="shared" si="118"/>
        <v>29257</v>
      </c>
      <c r="Y246" s="1063">
        <f t="shared" si="118"/>
        <v>29257</v>
      </c>
      <c r="Z246" s="1064">
        <f t="shared" si="118"/>
        <v>29257</v>
      </c>
      <c r="AA246" s="1064">
        <f t="shared" si="118"/>
        <v>29257</v>
      </c>
      <c r="AB246" s="1064">
        <f t="shared" si="118"/>
        <v>29527</v>
      </c>
      <c r="AC246" s="1064">
        <f t="shared" si="118"/>
        <v>29527</v>
      </c>
      <c r="AD246" s="1064"/>
      <c r="AE246" s="1064">
        <v>29527</v>
      </c>
      <c r="AF246" s="1064">
        <v>0</v>
      </c>
      <c r="AG246" s="1064">
        <v>29527</v>
      </c>
      <c r="AH246" s="1064">
        <v>0</v>
      </c>
      <c r="AI246" s="1559">
        <v>0</v>
      </c>
      <c r="AJ246" s="1559"/>
      <c r="AK246" s="1559"/>
      <c r="AL246" s="1559"/>
      <c r="AM246" s="1559"/>
      <c r="AN246" s="1559"/>
      <c r="AO246" s="1559"/>
      <c r="AP246" s="1559"/>
      <c r="AQ246" s="1559"/>
      <c r="AR246" s="1559"/>
      <c r="AS246" s="1559">
        <f t="shared" si="103"/>
        <v>0</v>
      </c>
      <c r="AT246" s="2240" t="str">
        <f t="shared" si="104"/>
        <v/>
      </c>
      <c r="AU246" s="854"/>
      <c r="AV246" s="819"/>
      <c r="AW246" s="797"/>
      <c r="AX246" s="805"/>
      <c r="AY246" s="903"/>
      <c r="AZ246" s="2136"/>
      <c r="BA246" s="2136"/>
      <c r="BB246" s="2146"/>
    </row>
    <row r="247" spans="1:54" ht="13.9" hidden="1" customHeight="1" thickBot="1" x14ac:dyDescent="0.25">
      <c r="A247" s="1018" t="s">
        <v>225</v>
      </c>
      <c r="B247" s="1019">
        <f>SUM(B243:B245)</f>
        <v>625842</v>
      </c>
      <c r="C247" s="1019">
        <f>SUM($C$243:$C$245)</f>
        <v>701367.05999999994</v>
      </c>
      <c r="D247" s="1019">
        <f>SUM($D$243:$D$245)</f>
        <v>528838</v>
      </c>
      <c r="E247" s="1019">
        <f>SUM($E$243:$E$245)</f>
        <v>529890.42000000004</v>
      </c>
      <c r="F247" s="1019">
        <f>SUM($F$243:$F$245)</f>
        <v>544006</v>
      </c>
      <c r="G247" s="1065">
        <f>SUM($G$243:$G$245)</f>
        <v>736991.92</v>
      </c>
      <c r="H247" s="1065">
        <f>SUM($H$243:$H$245)</f>
        <v>608210</v>
      </c>
      <c r="I247" s="1066">
        <f>SUM($I$243:$I$245)</f>
        <v>684932.87</v>
      </c>
      <c r="J247" s="1023">
        <f>SUM(J$243:J$245)</f>
        <v>682959</v>
      </c>
      <c r="K247" s="1067">
        <f>SUM(K$243:K$245)</f>
        <v>0</v>
      </c>
      <c r="L247" s="1068">
        <f>SUM(L$243:L$246)</f>
        <v>858748.66</v>
      </c>
      <c r="M247" s="1068">
        <f>SUM(M$243:M$246)</f>
        <v>958762</v>
      </c>
      <c r="N247" s="1069">
        <f>SUM(N$243:N$246)</f>
        <v>731485</v>
      </c>
      <c r="O247" s="905">
        <f>SUM(O$243:O$246)</f>
        <v>732648</v>
      </c>
      <c r="P247" s="905">
        <f>SUM(P$243:P$246)</f>
        <v>752713</v>
      </c>
      <c r="Q247" s="1070">
        <f>IF(SUM(Q244:Q246)=0,P247,SUM(Q243:Q246))</f>
        <v>752713</v>
      </c>
      <c r="R247" s="905">
        <f>SUM(R$243:R$246)</f>
        <v>727623</v>
      </c>
      <c r="S247" s="1070">
        <f>IF(SUM(S244:S246)=0,R247,SUM(S243:S246))</f>
        <v>727623</v>
      </c>
      <c r="T247" s="1070">
        <v>737379</v>
      </c>
      <c r="U247" s="1070">
        <v>737379</v>
      </c>
      <c r="V247" s="1070">
        <f>IF(SUM(V244:V246)=0,R65,SUM(V243:V246))</f>
        <v>789033</v>
      </c>
      <c r="W247" s="1070">
        <f>IF(SUM(W244:W246)=0,S65,SUM(W243:W246))</f>
        <v>789031</v>
      </c>
      <c r="X247" s="1070">
        <f t="shared" ref="X247:AC247" si="119">IF(SUM(X244:X246)=0,R65,SUM(X243:X246))</f>
        <v>818739</v>
      </c>
      <c r="Y247" s="1070">
        <f t="shared" si="119"/>
        <v>818739</v>
      </c>
      <c r="Z247" s="1071">
        <f t="shared" si="119"/>
        <v>873586</v>
      </c>
      <c r="AA247" s="1071">
        <f t="shared" si="119"/>
        <v>873586</v>
      </c>
      <c r="AB247" s="1071">
        <f t="shared" si="119"/>
        <v>904639</v>
      </c>
      <c r="AC247" s="1071">
        <f t="shared" si="119"/>
        <v>904639</v>
      </c>
      <c r="AD247" s="1071"/>
      <c r="AE247" s="1071">
        <v>935637</v>
      </c>
      <c r="AF247" s="1071">
        <v>0</v>
      </c>
      <c r="AG247" s="1071">
        <v>1678125.08</v>
      </c>
      <c r="AH247" s="1071">
        <v>1680330</v>
      </c>
      <c r="AI247" s="1071">
        <v>1700740.26</v>
      </c>
      <c r="AJ247" s="1071">
        <v>1726163</v>
      </c>
      <c r="AK247" s="1071">
        <v>1747998.83</v>
      </c>
      <c r="AL247" s="1071">
        <v>1724420</v>
      </c>
      <c r="AM247" s="1071">
        <f t="shared" ref="AM247:AR247" si="120">SUM(AM243:AM245)</f>
        <v>1738951.56</v>
      </c>
      <c r="AN247" s="1071">
        <f t="shared" si="120"/>
        <v>1659650</v>
      </c>
      <c r="AO247" s="1071">
        <f t="shared" si="120"/>
        <v>1673465.665</v>
      </c>
      <c r="AP247" s="1071">
        <f t="shared" si="120"/>
        <v>1718252</v>
      </c>
      <c r="AQ247" s="1071">
        <f t="shared" si="120"/>
        <v>1903638.28</v>
      </c>
      <c r="AR247" s="1071">
        <f t="shared" si="120"/>
        <v>1899213</v>
      </c>
      <c r="AS247" s="1071">
        <f t="shared" si="103"/>
        <v>180961</v>
      </c>
      <c r="AT247" s="2257">
        <f t="shared" si="104"/>
        <v>0.10531691509743624</v>
      </c>
      <c r="AU247" s="1030">
        <f>SUM($AU$243:$AU$245)</f>
        <v>0</v>
      </c>
      <c r="AV247" s="955"/>
      <c r="AW247" s="956">
        <f>SUM(AU247-H247)</f>
        <v>-608210</v>
      </c>
      <c r="AX247" s="957">
        <f>IF(H247&gt;0,AW247/H247,"")</f>
        <v>-1</v>
      </c>
      <c r="AY247" s="958" t="s">
        <v>732</v>
      </c>
      <c r="AZ247" s="2136"/>
      <c r="BA247" s="2321"/>
      <c r="BB247" s="2129" t="s">
        <v>2539</v>
      </c>
    </row>
    <row r="248" spans="1:54" ht="13.9" hidden="1" customHeight="1" thickTop="1" x14ac:dyDescent="0.2">
      <c r="A248" s="795" t="s">
        <v>226</v>
      </c>
      <c r="B248" s="796"/>
      <c r="C248" s="797"/>
      <c r="D248" s="797"/>
      <c r="E248" s="797"/>
      <c r="F248" s="797"/>
      <c r="G248" s="797"/>
      <c r="H248" s="798"/>
      <c r="I248" s="798"/>
      <c r="J248" s="884"/>
      <c r="K248" s="859"/>
      <c r="L248" s="865"/>
      <c r="M248" s="865"/>
      <c r="N248" s="865"/>
      <c r="O248" s="859"/>
      <c r="P248" s="859"/>
      <c r="Q248" s="859"/>
      <c r="R248" s="859"/>
      <c r="S248" s="859"/>
      <c r="T248" s="859"/>
      <c r="U248" s="859"/>
      <c r="V248" s="859"/>
      <c r="W248" s="859"/>
      <c r="X248" s="859"/>
      <c r="Y248" s="859"/>
      <c r="Z248" s="859"/>
      <c r="AA248" s="859"/>
      <c r="AB248" s="859"/>
      <c r="AC248" s="859"/>
      <c r="AD248" s="859"/>
      <c r="AE248" s="859"/>
      <c r="AF248" s="859"/>
      <c r="AG248" s="859"/>
      <c r="AH248" s="859"/>
      <c r="AI248" s="859"/>
      <c r="AJ248" s="859"/>
      <c r="AK248" s="859"/>
      <c r="AL248" s="859"/>
      <c r="AM248" s="859"/>
      <c r="AN248" s="859"/>
      <c r="AO248" s="859"/>
      <c r="AP248" s="859"/>
      <c r="AQ248" s="859"/>
      <c r="AR248" s="859"/>
      <c r="AS248" s="859">
        <f t="shared" si="103"/>
        <v>0</v>
      </c>
      <c r="AT248" s="2239" t="str">
        <f t="shared" si="104"/>
        <v/>
      </c>
      <c r="AU248" s="803"/>
      <c r="AV248" s="819"/>
      <c r="AW248" s="797"/>
      <c r="AX248" s="805"/>
      <c r="AY248" s="807"/>
      <c r="AZ248" s="2136"/>
      <c r="BA248" s="2136"/>
    </row>
    <row r="249" spans="1:54" ht="13.9" hidden="1" customHeight="1" outlineLevel="1" x14ac:dyDescent="0.2">
      <c r="A249" s="808" t="s">
        <v>367</v>
      </c>
      <c r="B249" s="796"/>
      <c r="C249" s="797"/>
      <c r="D249" s="797"/>
      <c r="E249" s="797"/>
      <c r="F249" s="797"/>
      <c r="G249" s="797"/>
      <c r="H249" s="798"/>
      <c r="I249" s="798"/>
      <c r="J249" s="884"/>
      <c r="K249" s="817"/>
      <c r="L249" s="893"/>
      <c r="M249" s="893"/>
      <c r="N249" s="893"/>
      <c r="O249" s="817"/>
      <c r="P249" s="817"/>
      <c r="Q249" s="817"/>
      <c r="R249" s="817"/>
      <c r="S249" s="817"/>
      <c r="T249" s="817"/>
      <c r="U249" s="817"/>
      <c r="V249" s="817"/>
      <c r="W249" s="817"/>
      <c r="X249" s="817"/>
      <c r="Y249" s="817"/>
      <c r="Z249" s="817"/>
      <c r="AA249" s="817"/>
      <c r="AB249" s="817"/>
      <c r="AC249" s="817"/>
      <c r="AD249" s="817"/>
      <c r="AE249" s="817"/>
      <c r="AF249" s="817" t="s">
        <v>164</v>
      </c>
      <c r="AG249" s="817"/>
      <c r="AH249" s="817"/>
      <c r="AI249" s="817"/>
      <c r="AJ249" s="817"/>
      <c r="AK249" s="817"/>
      <c r="AL249" s="817"/>
      <c r="AM249" s="817"/>
      <c r="AN249" s="817"/>
      <c r="AO249" s="817"/>
      <c r="AP249" s="817"/>
      <c r="AQ249" s="817"/>
      <c r="AR249" s="817"/>
      <c r="AS249" s="817">
        <f t="shared" si="103"/>
        <v>0</v>
      </c>
      <c r="AT249" s="2240" t="str">
        <f t="shared" si="104"/>
        <v/>
      </c>
      <c r="AU249" s="803"/>
      <c r="AV249" s="819"/>
      <c r="AW249" s="797"/>
      <c r="AX249" s="805"/>
      <c r="AY249" s="807"/>
      <c r="AZ249" s="2136"/>
      <c r="BA249" s="2136"/>
    </row>
    <row r="250" spans="1:54" ht="13.9" hidden="1" customHeight="1" outlineLevel="1" x14ac:dyDescent="0.2">
      <c r="A250" s="808" t="s">
        <v>567</v>
      </c>
      <c r="B250" s="796">
        <v>0</v>
      </c>
      <c r="C250" s="797">
        <v>0</v>
      </c>
      <c r="D250" s="797"/>
      <c r="E250" s="797">
        <v>12811</v>
      </c>
      <c r="F250" s="797">
        <v>51280</v>
      </c>
      <c r="G250" s="797">
        <v>51280</v>
      </c>
      <c r="H250" s="798">
        <v>54414</v>
      </c>
      <c r="I250" s="798">
        <v>54092</v>
      </c>
      <c r="J250" s="839">
        <v>55627</v>
      </c>
      <c r="K250" s="814" t="s">
        <v>201</v>
      </c>
      <c r="L250" s="876">
        <v>59163</v>
      </c>
      <c r="M250" s="840">
        <v>62583</v>
      </c>
      <c r="N250" s="841">
        <v>61714</v>
      </c>
      <c r="O250" s="817">
        <f>61862+2410</f>
        <v>64272</v>
      </c>
      <c r="P250" s="817">
        <v>64272</v>
      </c>
      <c r="Q250" s="817">
        <v>64272</v>
      </c>
      <c r="R250" s="817">
        <v>64272</v>
      </c>
      <c r="S250" s="817"/>
      <c r="T250" s="817">
        <v>65557</v>
      </c>
      <c r="U250" s="817">
        <v>65557</v>
      </c>
      <c r="V250" s="843">
        <v>66868</v>
      </c>
      <c r="W250" s="817">
        <f>V250</f>
        <v>66868</v>
      </c>
      <c r="X250" s="843">
        <v>68205</v>
      </c>
      <c r="Y250" s="843">
        <v>68205</v>
      </c>
      <c r="Z250" s="843">
        <v>72229</v>
      </c>
      <c r="AA250" s="843">
        <f>Z250</f>
        <v>72229</v>
      </c>
      <c r="AB250" s="843">
        <v>73393</v>
      </c>
      <c r="AC250" s="843">
        <f>AB250</f>
        <v>73393</v>
      </c>
      <c r="AD250" s="843"/>
      <c r="AE250" s="843">
        <v>75318</v>
      </c>
      <c r="AF250" s="843"/>
      <c r="AG250" s="843">
        <v>77577.540000000008</v>
      </c>
      <c r="AH250" s="843">
        <v>76816</v>
      </c>
      <c r="AI250" s="843">
        <v>79120.479999999996</v>
      </c>
      <c r="AJ250" s="843">
        <v>78931</v>
      </c>
      <c r="AK250" s="843">
        <v>81298.930000000008</v>
      </c>
      <c r="AL250" s="843">
        <v>68028</v>
      </c>
      <c r="AM250" s="843">
        <f>AL250*$AH$3</f>
        <v>69388.56</v>
      </c>
      <c r="AN250" s="843">
        <v>69385</v>
      </c>
      <c r="AO250" s="843">
        <v>71119.625</v>
      </c>
      <c r="AP250" s="843">
        <v>70763</v>
      </c>
      <c r="AQ250" s="843">
        <f>AP250*$AH$3</f>
        <v>72178.259999999995</v>
      </c>
      <c r="AR250" s="843">
        <f>'[1]BUDGET DETAIL'!$CO$709</f>
        <v>74187</v>
      </c>
      <c r="AS250" s="843">
        <f t="shared" si="103"/>
        <v>3424</v>
      </c>
      <c r="AT250" s="2239">
        <f t="shared" si="104"/>
        <v>4.8386868843887341E-2</v>
      </c>
      <c r="AU250" s="803"/>
      <c r="AV250" s="819"/>
      <c r="AW250" s="797">
        <f>SUM(AU250-H250)</f>
        <v>-54414</v>
      </c>
      <c r="AX250" s="805">
        <f>IF(H250&gt;0,AW250/H250,"")</f>
        <v>-1</v>
      </c>
      <c r="AY250" s="807"/>
      <c r="AZ250" s="2136"/>
      <c r="BA250" s="2136"/>
    </row>
    <row r="251" spans="1:54" ht="13.9" hidden="1" customHeight="1" outlineLevel="1" x14ac:dyDescent="0.2">
      <c r="A251" s="808" t="s">
        <v>558</v>
      </c>
      <c r="B251" s="799">
        <v>9239</v>
      </c>
      <c r="C251" s="887">
        <v>7842.53</v>
      </c>
      <c r="D251" s="887">
        <v>27800</v>
      </c>
      <c r="E251" s="887">
        <v>27597.5</v>
      </c>
      <c r="F251" s="887">
        <v>2800</v>
      </c>
      <c r="G251" s="887">
        <v>2786.1</v>
      </c>
      <c r="H251" s="888">
        <v>4500</v>
      </c>
      <c r="I251" s="888">
        <v>4635.8500000000004</v>
      </c>
      <c r="J251" s="839">
        <v>4976</v>
      </c>
      <c r="K251" s="817"/>
      <c r="L251" s="876">
        <v>12287.84</v>
      </c>
      <c r="M251" s="840">
        <v>17882</v>
      </c>
      <c r="N251" s="841">
        <v>12003</v>
      </c>
      <c r="O251" s="817">
        <f>12003+1199</f>
        <v>13202</v>
      </c>
      <c r="P251" s="814">
        <v>12182</v>
      </c>
      <c r="Q251" s="814">
        <v>12182</v>
      </c>
      <c r="R251" s="814">
        <v>12182</v>
      </c>
      <c r="S251" s="817"/>
      <c r="T251" s="817">
        <v>13518</v>
      </c>
      <c r="U251" s="817">
        <v>13518</v>
      </c>
      <c r="V251" s="843">
        <v>14633</v>
      </c>
      <c r="W251" s="817">
        <f>V251</f>
        <v>14633</v>
      </c>
      <c r="X251" s="843">
        <v>15383</v>
      </c>
      <c r="Y251" s="843">
        <v>15383</v>
      </c>
      <c r="Z251" s="843">
        <v>16358</v>
      </c>
      <c r="AA251" s="843">
        <f>Z251+4906</f>
        <v>21264</v>
      </c>
      <c r="AB251" s="843">
        <v>21732</v>
      </c>
      <c r="AC251" s="843">
        <f>AB251</f>
        <v>21732</v>
      </c>
      <c r="AD251" s="843"/>
      <c r="AE251" s="843">
        <v>20406</v>
      </c>
      <c r="AF251" s="843"/>
      <c r="AG251" s="843">
        <v>21018.18</v>
      </c>
      <c r="AH251" s="843">
        <v>22330</v>
      </c>
      <c r="AI251" s="843">
        <v>22999.9</v>
      </c>
      <c r="AJ251" s="843">
        <v>24240</v>
      </c>
      <c r="AK251" s="843">
        <v>24967.200000000001</v>
      </c>
      <c r="AL251" s="843">
        <v>24786</v>
      </c>
      <c r="AM251" s="843">
        <f>AL251*$AH$3</f>
        <v>25281.72</v>
      </c>
      <c r="AN251" s="843">
        <v>28268</v>
      </c>
      <c r="AO251" s="843">
        <v>28974.699999999997</v>
      </c>
      <c r="AP251" s="843">
        <v>29743</v>
      </c>
      <c r="AQ251" s="843">
        <f>AP251*$AH$3</f>
        <v>30337.86</v>
      </c>
      <c r="AR251" s="843">
        <f>'[1]BUDGET DETAIL'!$CO$715</f>
        <v>30532</v>
      </c>
      <c r="AS251" s="843">
        <f t="shared" si="103"/>
        <v>789</v>
      </c>
      <c r="AT251" s="2239">
        <f t="shared" si="104"/>
        <v>2.6527250109269408E-2</v>
      </c>
      <c r="AU251" s="890"/>
      <c r="AV251" s="819"/>
      <c r="AW251" s="797">
        <f>SUM(AU251-H251)</f>
        <v>-4500</v>
      </c>
      <c r="AX251" s="805">
        <f>IF(H251&gt;0,AW251/H251,"")</f>
        <v>-1</v>
      </c>
      <c r="AY251" s="807"/>
      <c r="AZ251" s="2136"/>
      <c r="BA251" s="2136"/>
    </row>
    <row r="252" spans="1:54" ht="13.9" hidden="1" customHeight="1" outlineLevel="1" x14ac:dyDescent="0.2">
      <c r="A252" s="808" t="s">
        <v>820</v>
      </c>
      <c r="B252" s="799">
        <v>11720</v>
      </c>
      <c r="C252" s="887">
        <v>10808.2</v>
      </c>
      <c r="D252" s="887">
        <v>14970</v>
      </c>
      <c r="E252" s="887">
        <v>13260.06</v>
      </c>
      <c r="F252" s="887">
        <v>14470</v>
      </c>
      <c r="G252" s="887">
        <v>14187.14</v>
      </c>
      <c r="H252" s="888">
        <v>14440</v>
      </c>
      <c r="I252" s="888">
        <v>12395</v>
      </c>
      <c r="J252" s="839">
        <v>16970</v>
      </c>
      <c r="K252" s="859"/>
      <c r="L252" s="845">
        <v>15946.19</v>
      </c>
      <c r="M252" s="845">
        <v>18417</v>
      </c>
      <c r="N252" s="846">
        <v>15276</v>
      </c>
      <c r="O252" s="859">
        <f>15128+873</f>
        <v>16001</v>
      </c>
      <c r="P252" s="817">
        <v>16730</v>
      </c>
      <c r="Q252" s="817">
        <v>16730</v>
      </c>
      <c r="R252" s="817">
        <v>16730</v>
      </c>
      <c r="S252" s="859"/>
      <c r="T252" s="859">
        <v>16815</v>
      </c>
      <c r="U252" s="859">
        <v>16815</v>
      </c>
      <c r="V252" s="843">
        <v>17118</v>
      </c>
      <c r="W252" s="817">
        <f>V252</f>
        <v>17118</v>
      </c>
      <c r="X252" s="843">
        <v>17629</v>
      </c>
      <c r="Y252" s="843">
        <v>17629</v>
      </c>
      <c r="Z252" s="843">
        <v>18158</v>
      </c>
      <c r="AA252" s="843">
        <f>Z252</f>
        <v>18158</v>
      </c>
      <c r="AB252" s="843">
        <v>18702</v>
      </c>
      <c r="AC252" s="843">
        <f>AB252</f>
        <v>18702</v>
      </c>
      <c r="AD252" s="843"/>
      <c r="AE252" s="843">
        <v>20208</v>
      </c>
      <c r="AF252" s="843"/>
      <c r="AG252" s="843">
        <v>20208</v>
      </c>
      <c r="AH252" s="843">
        <v>20208</v>
      </c>
      <c r="AI252" s="843">
        <v>20208</v>
      </c>
      <c r="AJ252" s="843">
        <v>20208</v>
      </c>
      <c r="AK252" s="843">
        <v>20208</v>
      </c>
      <c r="AL252" s="843">
        <v>26586</v>
      </c>
      <c r="AM252" s="843">
        <f>AL252*$AH$4</f>
        <v>26586</v>
      </c>
      <c r="AN252" s="843">
        <v>36076</v>
      </c>
      <c r="AO252" s="843">
        <v>36076</v>
      </c>
      <c r="AP252" s="843">
        <v>36576</v>
      </c>
      <c r="AQ252" s="843">
        <f>AP252*$AH$4</f>
        <v>36576</v>
      </c>
      <c r="AR252" s="843">
        <f>'[1]BUDGET DETAIL'!$CO$732 + IF(BA252="yes",AZ252,0)</f>
        <v>36884</v>
      </c>
      <c r="AS252" s="843">
        <f t="shared" si="103"/>
        <v>308</v>
      </c>
      <c r="AT252" s="2239">
        <f t="shared" si="104"/>
        <v>8.4208223972003504E-3</v>
      </c>
      <c r="AU252" s="890"/>
      <c r="AV252" s="819"/>
      <c r="AW252" s="797">
        <f>SUM(AU252-H252)</f>
        <v>-14440</v>
      </c>
      <c r="AX252" s="805">
        <f>IF(H252&gt;0,AW252/H252,"")</f>
        <v>-1</v>
      </c>
      <c r="AY252" s="1528"/>
      <c r="AZ252" s="2136">
        <v>308</v>
      </c>
      <c r="BA252" s="2321" t="s">
        <v>2506</v>
      </c>
      <c r="BB252" s="2942">
        <v>44998</v>
      </c>
    </row>
    <row r="253" spans="1:54" ht="13.9" hidden="1" customHeight="1" outlineLevel="1" x14ac:dyDescent="0.2">
      <c r="A253" s="878" t="s">
        <v>821</v>
      </c>
      <c r="B253" s="1072">
        <f>SUM(B251:B252)</f>
        <v>20959</v>
      </c>
      <c r="C253" s="1073">
        <f>SUM(C250:C252)</f>
        <v>18650.73</v>
      </c>
      <c r="D253" s="1073">
        <f t="shared" ref="D253:N253" si="121">SUM(D250:D252)</f>
        <v>42770</v>
      </c>
      <c r="E253" s="1073">
        <f t="shared" si="121"/>
        <v>53668.56</v>
      </c>
      <c r="F253" s="1073">
        <f t="shared" si="121"/>
        <v>68550</v>
      </c>
      <c r="G253" s="1073">
        <f t="shared" si="121"/>
        <v>68253.239999999991</v>
      </c>
      <c r="H253" s="1073">
        <f t="shared" si="121"/>
        <v>73354</v>
      </c>
      <c r="I253" s="1073">
        <f t="shared" si="121"/>
        <v>71122.850000000006</v>
      </c>
      <c r="J253" s="1074">
        <f t="shared" si="121"/>
        <v>77573</v>
      </c>
      <c r="K253" s="814" t="s">
        <v>462</v>
      </c>
      <c r="L253" s="1075">
        <f t="shared" si="121"/>
        <v>87397.03</v>
      </c>
      <c r="M253" s="1075">
        <f t="shared" si="121"/>
        <v>98882</v>
      </c>
      <c r="N253" s="1076">
        <f t="shared" si="121"/>
        <v>88993</v>
      </c>
      <c r="O253" s="814">
        <f>SUM(O250:O252)</f>
        <v>93475</v>
      </c>
      <c r="P253" s="814">
        <f>SUM(P250:P252)</f>
        <v>93184</v>
      </c>
      <c r="Q253" s="853">
        <f>IF(SUM(Q250:Q252)=0,P253,SUM(Q250:Q252))</f>
        <v>93184</v>
      </c>
      <c r="R253" s="852">
        <f>SUM(R250:R252)</f>
        <v>93184</v>
      </c>
      <c r="S253" s="853">
        <f>IF(SUM(S250:S252)=0,R253,SUM(S250:S252))</f>
        <v>93184</v>
      </c>
      <c r="T253" s="853">
        <v>95890</v>
      </c>
      <c r="U253" s="853">
        <v>95890</v>
      </c>
      <c r="V253" s="852">
        <f>SUM(V250:V252)</f>
        <v>98619</v>
      </c>
      <c r="W253" s="853">
        <f>IF(SUM(W250:W252)=0,V253,SUM(W250:W252))</f>
        <v>98619</v>
      </c>
      <c r="X253" s="852">
        <f>SUM(X250:X252)</f>
        <v>101217</v>
      </c>
      <c r="Y253" s="853">
        <f>IF(SUM(Y250:Y252)=0,X253,SUM(Y250:Y252))</f>
        <v>101217</v>
      </c>
      <c r="Z253" s="852">
        <f>SUM(Z250:Z252)</f>
        <v>106745</v>
      </c>
      <c r="AA253" s="853">
        <f>IF(SUM(AA250:AA252)=0,Z253,SUM(AA250:AA252))</f>
        <v>111651</v>
      </c>
      <c r="AB253" s="852">
        <f>SUM(AB250:AB252)</f>
        <v>113827</v>
      </c>
      <c r="AC253" s="853">
        <f>IF(SUM(AC250:AC252)=0,AB253,SUM(AC250:AC252))</f>
        <v>113827</v>
      </c>
      <c r="AD253" s="853"/>
      <c r="AE253" s="853">
        <v>115932</v>
      </c>
      <c r="AF253" s="853">
        <v>115932</v>
      </c>
      <c r="AG253" s="853">
        <v>118803.72</v>
      </c>
      <c r="AH253" s="852">
        <v>119354</v>
      </c>
      <c r="AI253" s="814">
        <v>122328.38</v>
      </c>
      <c r="AJ253" s="814">
        <v>123379</v>
      </c>
      <c r="AK253" s="814">
        <v>126474.13</v>
      </c>
      <c r="AL253" s="814">
        <v>119400</v>
      </c>
      <c r="AM253" s="814">
        <f t="shared" ref="AM253:AR253" si="122">SUM(AM250:AM252)</f>
        <v>121256.28</v>
      </c>
      <c r="AN253" s="814">
        <f t="shared" si="122"/>
        <v>133729</v>
      </c>
      <c r="AO253" s="814">
        <f t="shared" si="122"/>
        <v>136170.32500000001</v>
      </c>
      <c r="AP253" s="814">
        <f t="shared" si="122"/>
        <v>137082</v>
      </c>
      <c r="AQ253" s="814">
        <f t="shared" si="122"/>
        <v>139092.12</v>
      </c>
      <c r="AR253" s="814">
        <f t="shared" si="122"/>
        <v>141603</v>
      </c>
      <c r="AS253" s="814">
        <f t="shared" si="103"/>
        <v>4521</v>
      </c>
      <c r="AT253" s="2242">
        <f t="shared" si="104"/>
        <v>3.2980259990370728E-2</v>
      </c>
      <c r="AU253" s="1077">
        <f>SUM(AU250:AU252)</f>
        <v>0</v>
      </c>
      <c r="AV253" s="940"/>
      <c r="AW253" s="797">
        <f>SUM(AU253-H253)</f>
        <v>-73354</v>
      </c>
      <c r="AX253" s="805">
        <f>IF(H253&gt;0,AW253/H253,"")</f>
        <v>-1</v>
      </c>
      <c r="AY253" s="807"/>
      <c r="AZ253" s="2136"/>
      <c r="BA253" s="2321"/>
    </row>
    <row r="254" spans="1:54" ht="13.9" hidden="1" customHeight="1" outlineLevel="1" x14ac:dyDescent="0.2">
      <c r="A254" s="821"/>
      <c r="B254" s="824"/>
      <c r="C254" s="824"/>
      <c r="D254" s="933"/>
      <c r="E254" s="824"/>
      <c r="F254" s="933"/>
      <c r="G254" s="933"/>
      <c r="H254" s="934"/>
      <c r="I254" s="934"/>
      <c r="J254" s="883"/>
      <c r="K254" s="856"/>
      <c r="L254" s="863"/>
      <c r="M254" s="864"/>
      <c r="N254" s="858"/>
      <c r="O254" s="856"/>
      <c r="P254" s="856"/>
      <c r="Q254" s="856"/>
      <c r="R254" s="856"/>
      <c r="S254" s="856"/>
      <c r="T254" s="856"/>
      <c r="U254" s="856"/>
      <c r="V254" s="856"/>
      <c r="W254" s="856"/>
      <c r="X254" s="856"/>
      <c r="Y254" s="856"/>
      <c r="Z254" s="856"/>
      <c r="AA254" s="856"/>
      <c r="AB254" s="856"/>
      <c r="AC254" s="856"/>
      <c r="AD254" s="856"/>
      <c r="AE254" s="856"/>
      <c r="AF254" s="856"/>
      <c r="AG254" s="856" t="s">
        <v>164</v>
      </c>
      <c r="AH254" s="856"/>
      <c r="AI254" s="856" t="s">
        <v>164</v>
      </c>
      <c r="AJ254" s="856"/>
      <c r="AK254" s="856"/>
      <c r="AL254" s="856"/>
      <c r="AM254" s="856"/>
      <c r="AN254" s="856"/>
      <c r="AO254" s="856"/>
      <c r="AP254" s="856"/>
      <c r="AQ254" s="856"/>
      <c r="AR254" s="856"/>
      <c r="AS254" s="856">
        <f t="shared" si="103"/>
        <v>0</v>
      </c>
      <c r="AT254" s="2243" t="str">
        <f t="shared" si="104"/>
        <v/>
      </c>
      <c r="AU254" s="935"/>
      <c r="AV254" s="1078"/>
      <c r="AW254" s="823"/>
      <c r="AX254" s="835"/>
      <c r="AY254" s="900"/>
      <c r="AZ254" s="2136"/>
      <c r="BA254" s="2136"/>
      <c r="BB254" s="2146"/>
    </row>
    <row r="255" spans="1:54" ht="13.9" hidden="1" customHeight="1" outlineLevel="1" x14ac:dyDescent="0.2">
      <c r="A255" s="808" t="s">
        <v>253</v>
      </c>
      <c r="B255" s="837"/>
      <c r="C255" s="837"/>
      <c r="D255" s="936"/>
      <c r="E255" s="837"/>
      <c r="F255" s="936"/>
      <c r="G255" s="936"/>
      <c r="H255" s="937"/>
      <c r="I255" s="937"/>
      <c r="J255" s="884"/>
      <c r="K255" s="859"/>
      <c r="L255" s="865"/>
      <c r="M255" s="865"/>
      <c r="N255" s="838"/>
      <c r="O255" s="859"/>
      <c r="P255" s="859"/>
      <c r="Q255" s="859"/>
      <c r="R255" s="859"/>
      <c r="S255" s="859"/>
      <c r="T255" s="859"/>
      <c r="U255" s="859"/>
      <c r="V255" s="859"/>
      <c r="W255" s="859"/>
      <c r="X255" s="859"/>
      <c r="Y255" s="859"/>
      <c r="Z255" s="859"/>
      <c r="AA255" s="859"/>
      <c r="AB255" s="859"/>
      <c r="AC255" s="859"/>
      <c r="AD255" s="859"/>
      <c r="AE255" s="859"/>
      <c r="AF255" s="859"/>
      <c r="AG255" s="859"/>
      <c r="AH255" s="859"/>
      <c r="AI255" s="859"/>
      <c r="AJ255" s="859"/>
      <c r="AK255" s="859"/>
      <c r="AL255" s="859"/>
      <c r="AM255" s="859"/>
      <c r="AN255" s="859"/>
      <c r="AO255" s="859"/>
      <c r="AP255" s="859"/>
      <c r="AQ255" s="859"/>
      <c r="AR255" s="859"/>
      <c r="AS255" s="859" t="str">
        <f t="shared" ref="AS255:AS281" si="123">IF(AL255&gt;0,AN255-AL255,"")</f>
        <v/>
      </c>
      <c r="AT255" s="2239" t="str">
        <f t="shared" ref="AT255:AT278" si="124">IF(AL255&gt;0,AS255/AL255,"")</f>
        <v/>
      </c>
      <c r="AU255" s="938"/>
      <c r="AV255" s="1079"/>
      <c r="AW255" s="797"/>
      <c r="AX255" s="805"/>
      <c r="AY255" s="903"/>
      <c r="AZ255" s="2136"/>
      <c r="BA255" s="2136"/>
      <c r="BB255" s="2153" t="s">
        <v>1099</v>
      </c>
    </row>
    <row r="256" spans="1:54" ht="13.9" hidden="1" customHeight="1" outlineLevel="1" x14ac:dyDescent="0.2">
      <c r="A256" s="808" t="s">
        <v>319</v>
      </c>
      <c r="B256" s="837"/>
      <c r="C256" s="837"/>
      <c r="D256" s="936"/>
      <c r="E256" s="837"/>
      <c r="F256" s="936"/>
      <c r="G256" s="936"/>
      <c r="H256" s="937"/>
      <c r="I256" s="937"/>
      <c r="J256" s="884">
        <v>0</v>
      </c>
      <c r="K256" s="859"/>
      <c r="L256" s="865">
        <v>0</v>
      </c>
      <c r="M256" s="1080"/>
      <c r="N256" s="1081"/>
      <c r="O256" s="859"/>
      <c r="P256" s="859"/>
      <c r="Q256" s="859"/>
      <c r="R256" s="859"/>
      <c r="S256" s="859"/>
      <c r="T256" s="859"/>
      <c r="U256" s="859"/>
      <c r="V256" s="859"/>
      <c r="W256" s="859"/>
      <c r="X256" s="859"/>
      <c r="Y256" s="859"/>
      <c r="Z256" s="859"/>
      <c r="AA256" s="859"/>
      <c r="AB256" s="859"/>
      <c r="AC256" s="859"/>
      <c r="AD256" s="859"/>
      <c r="AE256" s="859"/>
      <c r="AF256" s="843">
        <v>0</v>
      </c>
      <c r="AG256" s="843"/>
      <c r="AH256" s="843"/>
      <c r="AI256" s="859"/>
      <c r="AJ256" s="859"/>
      <c r="AK256" s="859"/>
      <c r="AL256" s="859"/>
      <c r="AM256" s="859"/>
      <c r="AN256" s="859"/>
      <c r="AO256" s="859"/>
      <c r="AP256" s="859"/>
      <c r="AQ256" s="859"/>
      <c r="AR256" s="859"/>
      <c r="AS256" s="859" t="str">
        <f t="shared" si="123"/>
        <v/>
      </c>
      <c r="AT256" s="2239" t="str">
        <f t="shared" si="124"/>
        <v/>
      </c>
      <c r="AU256" s="938"/>
      <c r="AV256" s="1079"/>
      <c r="AW256" s="797"/>
      <c r="AX256" s="805"/>
      <c r="AY256" s="903"/>
      <c r="AZ256" s="2136"/>
      <c r="BA256" s="2136"/>
      <c r="BB256" s="2153" t="s">
        <v>1099</v>
      </c>
    </row>
    <row r="257" spans="1:54" ht="13.9" hidden="1" customHeight="1" outlineLevel="1" x14ac:dyDescent="0.2">
      <c r="A257" s="808" t="s">
        <v>248</v>
      </c>
      <c r="B257" s="837"/>
      <c r="C257" s="837"/>
      <c r="D257" s="936"/>
      <c r="E257" s="837"/>
      <c r="F257" s="936"/>
      <c r="G257" s="936"/>
      <c r="H257" s="937"/>
      <c r="I257" s="937"/>
      <c r="J257" s="865">
        <v>0</v>
      </c>
      <c r="K257" s="859"/>
      <c r="L257" s="865">
        <v>0</v>
      </c>
      <c r="M257" s="1080">
        <v>0</v>
      </c>
      <c r="N257" s="1081"/>
      <c r="O257" s="859"/>
      <c r="P257" s="859"/>
      <c r="Q257" s="859"/>
      <c r="R257" s="859"/>
      <c r="S257" s="859"/>
      <c r="T257" s="859"/>
      <c r="U257" s="859"/>
      <c r="V257" s="859"/>
      <c r="W257" s="859"/>
      <c r="X257" s="859"/>
      <c r="Y257" s="859"/>
      <c r="Z257" s="843">
        <f>Y257*(1+$A$4/100)</f>
        <v>0</v>
      </c>
      <c r="AA257" s="859"/>
      <c r="AB257" s="843">
        <f>AA257*(1+$A$4/100)</f>
        <v>0</v>
      </c>
      <c r="AC257" s="859"/>
      <c r="AD257" s="859"/>
      <c r="AE257" s="859"/>
      <c r="AF257" s="859">
        <v>0</v>
      </c>
      <c r="AG257" s="859"/>
      <c r="AH257" s="859"/>
      <c r="AI257" s="859"/>
      <c r="AJ257" s="859"/>
      <c r="AK257" s="859"/>
      <c r="AL257" s="859"/>
      <c r="AM257" s="859"/>
      <c r="AN257" s="859"/>
      <c r="AO257" s="859"/>
      <c r="AP257" s="859"/>
      <c r="AQ257" s="859"/>
      <c r="AR257" s="859"/>
      <c r="AS257" s="859" t="str">
        <f t="shared" si="123"/>
        <v/>
      </c>
      <c r="AT257" s="2239" t="str">
        <f t="shared" si="124"/>
        <v/>
      </c>
      <c r="AU257" s="938"/>
      <c r="AV257" s="1079"/>
      <c r="AW257" s="797"/>
      <c r="AX257" s="805"/>
      <c r="AY257" s="807"/>
      <c r="AZ257" s="2136"/>
      <c r="BA257" s="2136"/>
      <c r="BB257" s="2153" t="s">
        <v>1099</v>
      </c>
    </row>
    <row r="258" spans="1:54" ht="13.9" hidden="1" customHeight="1" outlineLevel="1" x14ac:dyDescent="0.2">
      <c r="A258" s="878" t="s">
        <v>582</v>
      </c>
      <c r="B258" s="860"/>
      <c r="C258" s="860"/>
      <c r="D258" s="1082"/>
      <c r="E258" s="860"/>
      <c r="F258" s="1082"/>
      <c r="G258" s="1082"/>
      <c r="H258" s="1083"/>
      <c r="I258" s="1083"/>
      <c r="J258" s="893">
        <f>SUM(J256,J257)</f>
        <v>0</v>
      </c>
      <c r="K258" s="817"/>
      <c r="L258" s="939">
        <f>SUM(L256,L257)</f>
        <v>0</v>
      </c>
      <c r="M258" s="1039">
        <f>SUM(M256,M257)</f>
        <v>0</v>
      </c>
      <c r="N258" s="1076">
        <f>SUM(N255:N257)</f>
        <v>0</v>
      </c>
      <c r="O258" s="814">
        <f>SUM(O255:O257)</f>
        <v>0</v>
      </c>
      <c r="P258" s="814">
        <f>SUM(P255:P257)</f>
        <v>0</v>
      </c>
      <c r="Q258" s="852">
        <f>IF(SUM(Q255:Q257)=0,P258,SUM(Q255:Q257))</f>
        <v>0</v>
      </c>
      <c r="R258" s="814">
        <f>SUM(R255:R257)</f>
        <v>0</v>
      </c>
      <c r="S258" s="852">
        <f>IF(SUM(S255:S257)=0,R258,SUM(S255:S257))</f>
        <v>0</v>
      </c>
      <c r="T258" s="814">
        <v>0</v>
      </c>
      <c r="U258" s="814">
        <v>0</v>
      </c>
      <c r="V258" s="814">
        <f>SUM(V255:V257)</f>
        <v>0</v>
      </c>
      <c r="W258" s="852">
        <f>IF(SUM(W255:W257)=0,V258,SUM(W255:W257))</f>
        <v>0</v>
      </c>
      <c r="X258" s="814">
        <f>SUM(X255:X257)</f>
        <v>0</v>
      </c>
      <c r="Y258" s="852">
        <f>IF(SUM(Y255:Y257)=0,X258,SUM(Y255:Y257))</f>
        <v>0</v>
      </c>
      <c r="Z258" s="814">
        <f>SUM(Z255:Z257)</f>
        <v>0</v>
      </c>
      <c r="AA258" s="852">
        <f>IF(SUM(AA255:AA257)=0,Z258,SUM(AA255:AA257))</f>
        <v>0</v>
      </c>
      <c r="AB258" s="814">
        <f>SUM(AB255:AB257)</f>
        <v>0</v>
      </c>
      <c r="AC258" s="852">
        <f>IF(SUM(AC255:AC257)=0,AB258,SUM(AC255:AC257))</f>
        <v>0</v>
      </c>
      <c r="AD258" s="852"/>
      <c r="AE258" s="852"/>
      <c r="AF258" s="814">
        <v>0</v>
      </c>
      <c r="AG258" s="814"/>
      <c r="AH258" s="814"/>
      <c r="AI258" s="814"/>
      <c r="AJ258" s="814"/>
      <c r="AK258" s="814"/>
      <c r="AL258" s="814"/>
      <c r="AM258" s="814"/>
      <c r="AN258" s="814"/>
      <c r="AO258" s="814"/>
      <c r="AP258" s="814"/>
      <c r="AQ258" s="814"/>
      <c r="AR258" s="814"/>
      <c r="AS258" s="814" t="str">
        <f t="shared" si="123"/>
        <v/>
      </c>
      <c r="AT258" s="2242" t="str">
        <f t="shared" si="124"/>
        <v/>
      </c>
      <c r="AU258" s="938"/>
      <c r="AV258" s="1079"/>
      <c r="AW258" s="797"/>
      <c r="AX258" s="805"/>
      <c r="AY258" s="807"/>
      <c r="AZ258" s="2136"/>
      <c r="BA258" s="2136"/>
      <c r="BB258" s="2153" t="s">
        <v>1099</v>
      </c>
    </row>
    <row r="259" spans="1:54" ht="13.9" hidden="1" customHeight="1" outlineLevel="1" x14ac:dyDescent="0.2">
      <c r="A259" s="821"/>
      <c r="B259" s="824"/>
      <c r="C259" s="824"/>
      <c r="D259" s="933"/>
      <c r="E259" s="824"/>
      <c r="F259" s="933"/>
      <c r="G259" s="933"/>
      <c r="H259" s="934"/>
      <c r="I259" s="934"/>
      <c r="J259" s="883"/>
      <c r="K259" s="856"/>
      <c r="L259" s="863"/>
      <c r="M259" s="1084"/>
      <c r="N259" s="975"/>
      <c r="O259" s="856"/>
      <c r="P259" s="856"/>
      <c r="Q259" s="856"/>
      <c r="R259" s="856"/>
      <c r="S259" s="856"/>
      <c r="T259" s="856"/>
      <c r="U259" s="856"/>
      <c r="V259" s="856"/>
      <c r="W259" s="856"/>
      <c r="X259" s="856"/>
      <c r="Y259" s="856"/>
      <c r="Z259" s="856"/>
      <c r="AA259" s="856"/>
      <c r="AB259" s="856"/>
      <c r="AC259" s="856"/>
      <c r="AD259" s="856"/>
      <c r="AE259" s="856"/>
      <c r="AF259" s="856"/>
      <c r="AG259" s="856"/>
      <c r="AH259" s="856"/>
      <c r="AI259" s="856"/>
      <c r="AJ259" s="856"/>
      <c r="AK259" s="856"/>
      <c r="AL259" s="856"/>
      <c r="AM259" s="856"/>
      <c r="AN259" s="856"/>
      <c r="AO259" s="856"/>
      <c r="AP259" s="856"/>
      <c r="AQ259" s="856"/>
      <c r="AR259" s="856"/>
      <c r="AS259" s="856" t="str">
        <f t="shared" si="123"/>
        <v/>
      </c>
      <c r="AT259" s="2243" t="str">
        <f t="shared" si="124"/>
        <v/>
      </c>
      <c r="AU259" s="938"/>
      <c r="AV259" s="1079"/>
      <c r="AW259" s="797"/>
      <c r="AX259" s="805"/>
      <c r="AY259" s="903"/>
      <c r="AZ259" s="2136"/>
      <c r="BA259" s="2136"/>
      <c r="BB259" s="2153" t="s">
        <v>1099</v>
      </c>
    </row>
    <row r="260" spans="1:54" ht="13.9" hidden="1" customHeight="1" outlineLevel="1" x14ac:dyDescent="0.2">
      <c r="A260" s="808" t="s">
        <v>498</v>
      </c>
      <c r="B260" s="837"/>
      <c r="C260" s="837"/>
      <c r="D260" s="936"/>
      <c r="E260" s="837"/>
      <c r="F260" s="936"/>
      <c r="G260" s="936"/>
      <c r="H260" s="937"/>
      <c r="I260" s="937"/>
      <c r="J260" s="884"/>
      <c r="K260" s="817"/>
      <c r="L260" s="893"/>
      <c r="M260" s="1085"/>
      <c r="N260" s="1086"/>
      <c r="O260" s="817"/>
      <c r="P260" s="817"/>
      <c r="Q260" s="817"/>
      <c r="R260" s="817"/>
      <c r="S260" s="817"/>
      <c r="T260" s="817"/>
      <c r="U260" s="817"/>
      <c r="V260" s="817"/>
      <c r="W260" s="817"/>
      <c r="X260" s="817"/>
      <c r="Y260" s="817"/>
      <c r="Z260" s="817"/>
      <c r="AA260" s="817"/>
      <c r="AB260" s="817"/>
      <c r="AC260" s="817"/>
      <c r="AD260" s="817"/>
      <c r="AE260" s="817"/>
      <c r="AF260" s="817"/>
      <c r="AG260" s="817"/>
      <c r="AH260" s="1087"/>
      <c r="AI260" s="1087"/>
      <c r="AJ260" s="1087"/>
      <c r="AK260" s="1087"/>
      <c r="AL260" s="1087"/>
      <c r="AM260" s="1087"/>
      <c r="AN260" s="1087"/>
      <c r="AO260" s="1087"/>
      <c r="AP260" s="1087"/>
      <c r="AQ260" s="1087"/>
      <c r="AR260" s="1087"/>
      <c r="AS260" s="1087" t="str">
        <f t="shared" si="123"/>
        <v/>
      </c>
      <c r="AT260" s="2245" t="str">
        <f t="shared" si="124"/>
        <v/>
      </c>
      <c r="AU260" s="938"/>
      <c r="AV260" s="819"/>
      <c r="AW260" s="797"/>
      <c r="AX260" s="805"/>
      <c r="AY260" s="807"/>
      <c r="AZ260" s="2136"/>
      <c r="BA260" s="2136"/>
      <c r="BB260" s="2153" t="s">
        <v>1099</v>
      </c>
    </row>
    <row r="261" spans="1:54" ht="13.9" hidden="1" customHeight="1" outlineLevel="1" x14ac:dyDescent="0.2">
      <c r="A261" s="808" t="s">
        <v>819</v>
      </c>
      <c r="B261" s="799">
        <v>281237</v>
      </c>
      <c r="C261" s="797">
        <v>272745.94</v>
      </c>
      <c r="D261" s="887">
        <v>330000</v>
      </c>
      <c r="E261" s="797">
        <v>314082.90000000002</v>
      </c>
      <c r="F261" s="887">
        <v>324210</v>
      </c>
      <c r="G261" s="887">
        <v>319578.94</v>
      </c>
      <c r="H261" s="888">
        <v>330544</v>
      </c>
      <c r="I261" s="888">
        <f>323043.96+4658.32</f>
        <v>327702.28000000003</v>
      </c>
      <c r="J261" s="839">
        <v>335005</v>
      </c>
      <c r="K261" s="859"/>
      <c r="L261" s="942">
        <v>341090.64</v>
      </c>
      <c r="M261" s="1080">
        <v>352914</v>
      </c>
      <c r="N261" s="1081">
        <v>350787</v>
      </c>
      <c r="O261" s="859">
        <f>350787+5000</f>
        <v>355787</v>
      </c>
      <c r="P261" s="859">
        <v>369819</v>
      </c>
      <c r="Q261" s="859">
        <v>369819</v>
      </c>
      <c r="R261" s="859">
        <v>387560</v>
      </c>
      <c r="S261" s="859"/>
      <c r="T261" s="859">
        <v>406713</v>
      </c>
      <c r="U261" s="859">
        <v>406713</v>
      </c>
      <c r="V261" s="843">
        <v>409713</v>
      </c>
      <c r="W261" s="817">
        <f>V261</f>
        <v>409713</v>
      </c>
      <c r="X261" s="843">
        <v>409713</v>
      </c>
      <c r="Y261" s="843">
        <f>X261</f>
        <v>409713</v>
      </c>
      <c r="Z261" s="843">
        <v>409713</v>
      </c>
      <c r="AA261" s="843">
        <f>Z261</f>
        <v>409713</v>
      </c>
      <c r="AB261" s="843">
        <v>409713</v>
      </c>
      <c r="AC261" s="843">
        <f>AB261</f>
        <v>409713</v>
      </c>
      <c r="AD261" s="843"/>
      <c r="AE261" s="843">
        <v>409803</v>
      </c>
      <c r="AF261" s="843"/>
      <c r="AG261" s="1513"/>
      <c r="AH261" s="1521"/>
      <c r="AI261" s="1088"/>
      <c r="AJ261" s="1088"/>
      <c r="AK261" s="1088"/>
      <c r="AL261" s="1088"/>
      <c r="AM261" s="1088"/>
      <c r="AN261" s="1088"/>
      <c r="AO261" s="1088"/>
      <c r="AP261" s="1088"/>
      <c r="AQ261" s="1088"/>
      <c r="AR261" s="1088"/>
      <c r="AS261" s="1088" t="str">
        <f t="shared" si="123"/>
        <v/>
      </c>
      <c r="AT261" s="2260" t="str">
        <f t="shared" si="124"/>
        <v/>
      </c>
      <c r="AU261" s="890"/>
      <c r="AV261" s="819"/>
      <c r="AW261" s="797">
        <f>SUM(AU261-H261)</f>
        <v>-330544</v>
      </c>
      <c r="AX261" s="805">
        <f>IF(H261&gt;0,AW261/H261,"")</f>
        <v>-1</v>
      </c>
      <c r="AY261" s="807"/>
      <c r="AZ261" s="2136"/>
      <c r="BA261" s="2136"/>
      <c r="BB261" s="2153" t="s">
        <v>1099</v>
      </c>
    </row>
    <row r="262" spans="1:54" ht="13.9" hidden="1" customHeight="1" outlineLevel="1" x14ac:dyDescent="0.2">
      <c r="A262" s="878" t="s">
        <v>821</v>
      </c>
      <c r="B262" s="809">
        <f>SUM(B261:B261)</f>
        <v>281237</v>
      </c>
      <c r="C262" s="810">
        <f>SUM(C261:C261)</f>
        <v>272745.94</v>
      </c>
      <c r="D262" s="944">
        <f>SUM(D261:D261)</f>
        <v>330000</v>
      </c>
      <c r="E262" s="944">
        <f t="shared" ref="E262:N262" si="125">SUM(E261:E261)</f>
        <v>314082.90000000002</v>
      </c>
      <c r="F262" s="944">
        <f t="shared" si="125"/>
        <v>324210</v>
      </c>
      <c r="G262" s="944">
        <f t="shared" si="125"/>
        <v>319578.94</v>
      </c>
      <c r="H262" s="944">
        <f t="shared" si="125"/>
        <v>330544</v>
      </c>
      <c r="I262" s="944">
        <f t="shared" si="125"/>
        <v>327702.28000000003</v>
      </c>
      <c r="J262" s="813">
        <f t="shared" si="125"/>
        <v>335005</v>
      </c>
      <c r="K262" s="814" t="s">
        <v>462</v>
      </c>
      <c r="L262" s="879">
        <f t="shared" si="125"/>
        <v>341090.64</v>
      </c>
      <c r="M262" s="1089">
        <f t="shared" si="125"/>
        <v>352914</v>
      </c>
      <c r="N262" s="880">
        <f t="shared" si="125"/>
        <v>350787</v>
      </c>
      <c r="O262" s="814">
        <f>O261</f>
        <v>355787</v>
      </c>
      <c r="P262" s="853">
        <f>P261</f>
        <v>369819</v>
      </c>
      <c r="Q262" s="852">
        <f>IF(SUM(Q261)=0,P262,Q261)</f>
        <v>369819</v>
      </c>
      <c r="R262" s="853">
        <f>R261</f>
        <v>387560</v>
      </c>
      <c r="S262" s="852">
        <f>IF(SUM(S261)=0,R262,S261)</f>
        <v>387560</v>
      </c>
      <c r="T262" s="853">
        <v>406713</v>
      </c>
      <c r="U262" s="853">
        <v>406713</v>
      </c>
      <c r="V262" s="853">
        <f>V261</f>
        <v>409713</v>
      </c>
      <c r="W262" s="852">
        <f>IF(SUM(W261)=0,V262,W261)</f>
        <v>409713</v>
      </c>
      <c r="X262" s="853">
        <f>X261</f>
        <v>409713</v>
      </c>
      <c r="Y262" s="852">
        <f>IF(SUM(Y261)=0,X262,Y261)</f>
        <v>409713</v>
      </c>
      <c r="Z262" s="853">
        <f>Z261</f>
        <v>409713</v>
      </c>
      <c r="AA262" s="852">
        <f>IF(SUM(AA261)=0,Z262,AA261)</f>
        <v>409713</v>
      </c>
      <c r="AB262" s="853">
        <f>AB261</f>
        <v>409713</v>
      </c>
      <c r="AC262" s="852">
        <f>IF(SUM(AC261)=0,AB262,AC261)</f>
        <v>409713</v>
      </c>
      <c r="AD262" s="852"/>
      <c r="AE262" s="852">
        <v>409803</v>
      </c>
      <c r="AF262" s="852">
        <v>409803</v>
      </c>
      <c r="AG262" s="853"/>
      <c r="AH262" s="1522"/>
      <c r="AI262" s="1090"/>
      <c r="AJ262" s="1090"/>
      <c r="AK262" s="1090"/>
      <c r="AL262" s="1090"/>
      <c r="AM262" s="1090"/>
      <c r="AN262" s="1090"/>
      <c r="AO262" s="1090"/>
      <c r="AP262" s="1090"/>
      <c r="AQ262" s="1090"/>
      <c r="AR262" s="1090"/>
      <c r="AS262" s="1090" t="str">
        <f t="shared" si="123"/>
        <v/>
      </c>
      <c r="AT262" s="2261" t="str">
        <f t="shared" si="124"/>
        <v/>
      </c>
      <c r="AU262" s="854">
        <f>SUM(AU261:AU261)</f>
        <v>0</v>
      </c>
      <c r="AV262" s="1091"/>
      <c r="AW262" s="797">
        <f>SUM(AU262-H262)</f>
        <v>-330544</v>
      </c>
      <c r="AX262" s="805">
        <f>IF(H262&gt;0,AW262/H262,"")</f>
        <v>-1</v>
      </c>
      <c r="AY262" s="807"/>
      <c r="AZ262" s="2136"/>
      <c r="BA262" s="2136"/>
      <c r="BB262" s="2153" t="s">
        <v>1099</v>
      </c>
    </row>
    <row r="263" spans="1:54" ht="13.9" hidden="1" customHeight="1" outlineLevel="1" x14ac:dyDescent="0.2">
      <c r="A263" s="855"/>
      <c r="B263" s="824"/>
      <c r="C263" s="824"/>
      <c r="D263" s="933"/>
      <c r="E263" s="824"/>
      <c r="F263" s="933"/>
      <c r="G263" s="933"/>
      <c r="H263" s="934"/>
      <c r="I263" s="934"/>
      <c r="J263" s="883"/>
      <c r="K263" s="857"/>
      <c r="L263" s="863"/>
      <c r="M263" s="1084"/>
      <c r="N263" s="975"/>
      <c r="O263" s="856"/>
      <c r="P263" s="856"/>
      <c r="Q263" s="856"/>
      <c r="R263" s="856"/>
      <c r="S263" s="856"/>
      <c r="T263" s="856"/>
      <c r="U263" s="856"/>
      <c r="V263" s="856"/>
      <c r="W263" s="856"/>
      <c r="X263" s="856"/>
      <c r="Y263" s="856"/>
      <c r="Z263" s="856"/>
      <c r="AA263" s="856"/>
      <c r="AB263" s="856"/>
      <c r="AC263" s="856"/>
      <c r="AD263" s="856"/>
      <c r="AE263" s="856"/>
      <c r="AF263" s="856"/>
      <c r="AG263" s="856"/>
      <c r="AH263" s="1092"/>
      <c r="AI263" s="1092"/>
      <c r="AJ263" s="1092"/>
      <c r="AK263" s="1092"/>
      <c r="AL263" s="1092"/>
      <c r="AM263" s="1092"/>
      <c r="AN263" s="1092"/>
      <c r="AO263" s="1092"/>
      <c r="AP263" s="1092"/>
      <c r="AQ263" s="1092"/>
      <c r="AR263" s="1092"/>
      <c r="AS263" s="1092" t="str">
        <f t="shared" si="123"/>
        <v/>
      </c>
      <c r="AT263" s="2247" t="str">
        <f t="shared" si="124"/>
        <v/>
      </c>
      <c r="AU263" s="935"/>
      <c r="AV263" s="834"/>
      <c r="AW263" s="823"/>
      <c r="AX263" s="835"/>
      <c r="AY263" s="836"/>
      <c r="AZ263" s="2136"/>
      <c r="BA263" s="2136"/>
      <c r="BB263" s="2153" t="s">
        <v>1099</v>
      </c>
    </row>
    <row r="264" spans="1:54" ht="13.9" hidden="1" customHeight="1" outlineLevel="1" x14ac:dyDescent="0.2">
      <c r="A264" s="1040" t="s">
        <v>499</v>
      </c>
      <c r="B264" s="837"/>
      <c r="C264" s="837"/>
      <c r="D264" s="936"/>
      <c r="E264" s="837"/>
      <c r="F264" s="936"/>
      <c r="G264" s="936"/>
      <c r="H264" s="937"/>
      <c r="I264" s="937"/>
      <c r="J264" s="884"/>
      <c r="K264" s="817"/>
      <c r="L264" s="893"/>
      <c r="M264" s="1085"/>
      <c r="N264" s="1086"/>
      <c r="O264" s="817"/>
      <c r="P264" s="817"/>
      <c r="Q264" s="817"/>
      <c r="R264" s="817"/>
      <c r="S264" s="817"/>
      <c r="T264" s="817"/>
      <c r="U264" s="817"/>
      <c r="V264" s="817"/>
      <c r="W264" s="817"/>
      <c r="X264" s="817"/>
      <c r="Y264" s="817"/>
      <c r="Z264" s="817"/>
      <c r="AA264" s="817"/>
      <c r="AB264" s="817"/>
      <c r="AC264" s="817"/>
      <c r="AD264" s="817"/>
      <c r="AE264" s="817"/>
      <c r="AF264" s="817"/>
      <c r="AG264" s="817"/>
      <c r="AH264" s="1087"/>
      <c r="AI264" s="1087"/>
      <c r="AJ264" s="1087"/>
      <c r="AK264" s="1087"/>
      <c r="AL264" s="1087"/>
      <c r="AM264" s="1087"/>
      <c r="AN264" s="1087"/>
      <c r="AO264" s="1087"/>
      <c r="AP264" s="1087"/>
      <c r="AQ264" s="1087"/>
      <c r="AR264" s="1087"/>
      <c r="AS264" s="1087" t="str">
        <f t="shared" si="123"/>
        <v/>
      </c>
      <c r="AT264" s="2245" t="str">
        <f t="shared" si="124"/>
        <v/>
      </c>
      <c r="AU264" s="938"/>
      <c r="AV264" s="819"/>
      <c r="AW264" s="797"/>
      <c r="AX264" s="805"/>
      <c r="AY264" s="807"/>
      <c r="AZ264" s="2136"/>
      <c r="BA264" s="2136"/>
      <c r="BB264" s="2153" t="s">
        <v>1099</v>
      </c>
    </row>
    <row r="265" spans="1:54" ht="13.9" hidden="1" customHeight="1" outlineLevel="1" x14ac:dyDescent="0.2">
      <c r="A265" s="808" t="s">
        <v>558</v>
      </c>
      <c r="B265" s="799">
        <v>3755</v>
      </c>
      <c r="C265" s="797">
        <v>2916.88</v>
      </c>
      <c r="D265" s="887">
        <v>0</v>
      </c>
      <c r="E265" s="797"/>
      <c r="F265" s="887"/>
      <c r="G265" s="887"/>
      <c r="H265" s="888"/>
      <c r="I265" s="801">
        <v>0</v>
      </c>
      <c r="J265" s="839">
        <v>0</v>
      </c>
      <c r="K265" s="817">
        <v>0</v>
      </c>
      <c r="L265" s="837">
        <f>J265*(1+0.025)</f>
        <v>0</v>
      </c>
      <c r="M265" s="1093"/>
      <c r="N265" s="1058"/>
      <c r="O265" s="817"/>
      <c r="P265" s="817"/>
      <c r="Q265" s="817"/>
      <c r="R265" s="817"/>
      <c r="S265" s="817"/>
      <c r="T265" s="817"/>
      <c r="U265" s="817"/>
      <c r="V265" s="817"/>
      <c r="W265" s="817"/>
      <c r="X265" s="817"/>
      <c r="Y265" s="817"/>
      <c r="Z265" s="817"/>
      <c r="AA265" s="817"/>
      <c r="AB265" s="817"/>
      <c r="AC265" s="817"/>
      <c r="AD265" s="817"/>
      <c r="AE265" s="817"/>
      <c r="AF265" s="817"/>
      <c r="AG265" s="877"/>
      <c r="AH265" s="1523"/>
      <c r="AI265" s="1090"/>
      <c r="AJ265" s="1090"/>
      <c r="AK265" s="1090"/>
      <c r="AL265" s="1090"/>
      <c r="AM265" s="1090"/>
      <c r="AN265" s="1090"/>
      <c r="AO265" s="1090"/>
      <c r="AP265" s="1090"/>
      <c r="AQ265" s="1090"/>
      <c r="AR265" s="1090"/>
      <c r="AS265" s="1090" t="str">
        <f t="shared" si="123"/>
        <v/>
      </c>
      <c r="AT265" s="2261" t="str">
        <f t="shared" si="124"/>
        <v/>
      </c>
      <c r="AU265" s="890"/>
      <c r="AV265" s="819"/>
      <c r="AW265" s="797"/>
      <c r="AX265" s="805" t="str">
        <f>IF(F265&gt;0,AW265/F265,"")</f>
        <v/>
      </c>
      <c r="AY265" s="807"/>
      <c r="AZ265" s="2136"/>
      <c r="BA265" s="2136"/>
      <c r="BB265" s="2153" t="s">
        <v>1099</v>
      </c>
    </row>
    <row r="266" spans="1:54" ht="13.9" hidden="1" customHeight="1" outlineLevel="1" x14ac:dyDescent="0.2">
      <c r="A266" s="808" t="s">
        <v>820</v>
      </c>
      <c r="B266" s="799">
        <v>39200</v>
      </c>
      <c r="C266" s="797">
        <v>37107</v>
      </c>
      <c r="D266" s="887">
        <v>7250</v>
      </c>
      <c r="E266" s="797">
        <v>18.420000000000002</v>
      </c>
      <c r="F266" s="887">
        <v>7250</v>
      </c>
      <c r="G266" s="887">
        <v>4223</v>
      </c>
      <c r="H266" s="888">
        <v>7250</v>
      </c>
      <c r="I266" s="801">
        <v>6635</v>
      </c>
      <c r="J266" s="839">
        <v>3000</v>
      </c>
      <c r="K266" s="859"/>
      <c r="L266" s="996">
        <v>4249</v>
      </c>
      <c r="M266" s="1094">
        <v>3750</v>
      </c>
      <c r="N266" s="1086">
        <v>2750</v>
      </c>
      <c r="O266" s="859">
        <v>2750</v>
      </c>
      <c r="P266" s="859">
        <v>1350</v>
      </c>
      <c r="Q266" s="859">
        <v>1350</v>
      </c>
      <c r="R266" s="859">
        <v>3850</v>
      </c>
      <c r="S266" s="859"/>
      <c r="T266" s="859">
        <v>4100</v>
      </c>
      <c r="U266" s="859">
        <v>4100</v>
      </c>
      <c r="V266" s="843">
        <v>1600</v>
      </c>
      <c r="W266" s="817">
        <f>V266</f>
        <v>1600</v>
      </c>
      <c r="X266" s="843">
        <v>2050</v>
      </c>
      <c r="Y266" s="843">
        <v>2050</v>
      </c>
      <c r="Z266" s="843">
        <v>4150</v>
      </c>
      <c r="AA266" s="843">
        <f>Z266</f>
        <v>4150</v>
      </c>
      <c r="AB266" s="843">
        <v>1650</v>
      </c>
      <c r="AC266" s="843">
        <f>AB266</f>
        <v>1650</v>
      </c>
      <c r="AD266" s="843"/>
      <c r="AE266" s="843">
        <v>1650</v>
      </c>
      <c r="AF266" s="843"/>
      <c r="AG266" s="1513"/>
      <c r="AH266" s="1521"/>
      <c r="AI266" s="1090"/>
      <c r="AJ266" s="1090"/>
      <c r="AK266" s="1090"/>
      <c r="AL266" s="1090"/>
      <c r="AM266" s="1090"/>
      <c r="AN266" s="1090"/>
      <c r="AO266" s="1090"/>
      <c r="AP266" s="1090"/>
      <c r="AQ266" s="1090"/>
      <c r="AR266" s="1090"/>
      <c r="AS266" s="1090" t="str">
        <f t="shared" si="123"/>
        <v/>
      </c>
      <c r="AT266" s="2261" t="str">
        <f t="shared" si="124"/>
        <v/>
      </c>
      <c r="AU266" s="890"/>
      <c r="AV266" s="819"/>
      <c r="AW266" s="797">
        <f>SUM(AU266-H266)</f>
        <v>-7250</v>
      </c>
      <c r="AX266" s="805">
        <f>IF(H266&gt;0,AW266/H266,"")</f>
        <v>-1</v>
      </c>
      <c r="AY266" s="807"/>
      <c r="AZ266" s="2136"/>
      <c r="BA266" s="2136"/>
      <c r="BB266" s="2153" t="s">
        <v>1099</v>
      </c>
    </row>
    <row r="267" spans="1:54" ht="13.9" hidden="1" customHeight="1" outlineLevel="1" x14ac:dyDescent="0.2">
      <c r="A267" s="878" t="s">
        <v>821</v>
      </c>
      <c r="B267" s="810">
        <f>SUM(B265:B266)</f>
        <v>42955</v>
      </c>
      <c r="C267" s="810">
        <f>SUM(C265:C266)</f>
        <v>40023.879999999997</v>
      </c>
      <c r="D267" s="810">
        <f t="shared" ref="D267:N267" si="126">SUM(D265:D266)</f>
        <v>7250</v>
      </c>
      <c r="E267" s="810">
        <f t="shared" si="126"/>
        <v>18.420000000000002</v>
      </c>
      <c r="F267" s="810">
        <f t="shared" si="126"/>
        <v>7250</v>
      </c>
      <c r="G267" s="810">
        <f t="shared" si="126"/>
        <v>4223</v>
      </c>
      <c r="H267" s="810">
        <f t="shared" si="126"/>
        <v>7250</v>
      </c>
      <c r="I267" s="810">
        <f t="shared" si="126"/>
        <v>6635</v>
      </c>
      <c r="J267" s="813">
        <v>3000</v>
      </c>
      <c r="K267" s="814" t="s">
        <v>462</v>
      </c>
      <c r="L267" s="885">
        <f t="shared" si="126"/>
        <v>4249</v>
      </c>
      <c r="M267" s="885">
        <f t="shared" si="126"/>
        <v>3750</v>
      </c>
      <c r="N267" s="880">
        <f t="shared" si="126"/>
        <v>2750</v>
      </c>
      <c r="O267" s="814">
        <f>O266</f>
        <v>2750</v>
      </c>
      <c r="P267" s="853">
        <f>P266</f>
        <v>1350</v>
      </c>
      <c r="Q267" s="852">
        <f>IF(SUM(Q265:Q266)=0,P267,SUM(Q265:Q266))</f>
        <v>1350</v>
      </c>
      <c r="R267" s="853">
        <f>R266</f>
        <v>3850</v>
      </c>
      <c r="S267" s="852">
        <f>IF(SUM(S265:S266)=0,R267,SUM(S265:S266))</f>
        <v>3850</v>
      </c>
      <c r="T267" s="853">
        <v>4100</v>
      </c>
      <c r="U267" s="853">
        <v>4100</v>
      </c>
      <c r="V267" s="853">
        <f>V266</f>
        <v>1600</v>
      </c>
      <c r="W267" s="852">
        <f>IF(SUM(W265:W266)=0,V267,SUM(W265:W266))</f>
        <v>1600</v>
      </c>
      <c r="X267" s="853">
        <f>X266</f>
        <v>2050</v>
      </c>
      <c r="Y267" s="852">
        <f>IF(SUM(Y265:Y266)=0,X267,SUM(Y265:Y266))</f>
        <v>2050</v>
      </c>
      <c r="Z267" s="853">
        <f>Z266</f>
        <v>4150</v>
      </c>
      <c r="AA267" s="852">
        <f>IF(SUM(AA265:AA266)=0,Z267,SUM(AA265:AA266))</f>
        <v>4150</v>
      </c>
      <c r="AB267" s="853">
        <f>AB266</f>
        <v>1650</v>
      </c>
      <c r="AC267" s="852">
        <f>IF(SUM(AC265:AC266)=0,AB267,SUM(AC265:AC266))</f>
        <v>1650</v>
      </c>
      <c r="AD267" s="852"/>
      <c r="AE267" s="852">
        <v>1650</v>
      </c>
      <c r="AF267" s="852">
        <v>1650</v>
      </c>
      <c r="AG267" s="853"/>
      <c r="AH267" s="1522"/>
      <c r="AI267" s="1090"/>
      <c r="AJ267" s="1090"/>
      <c r="AK267" s="1090"/>
      <c r="AL267" s="1090"/>
      <c r="AM267" s="1090"/>
      <c r="AN267" s="1090"/>
      <c r="AO267" s="1090"/>
      <c r="AP267" s="1090"/>
      <c r="AQ267" s="1090"/>
      <c r="AR267" s="1090"/>
      <c r="AS267" s="1090" t="str">
        <f t="shared" si="123"/>
        <v/>
      </c>
      <c r="AT267" s="2261" t="str">
        <f t="shared" si="124"/>
        <v/>
      </c>
      <c r="AU267" s="854">
        <f>SUM(AU265:AU266)</f>
        <v>0</v>
      </c>
      <c r="AV267" s="819"/>
      <c r="AW267" s="797">
        <f>SUM(AU267-H267)</f>
        <v>-7250</v>
      </c>
      <c r="AX267" s="805">
        <f>IF(H267&gt;0,AW267/H267,"")</f>
        <v>-1</v>
      </c>
      <c r="AY267" s="807"/>
      <c r="AZ267" s="2136"/>
      <c r="BA267" s="2136"/>
      <c r="BB267" s="2153" t="s">
        <v>1099</v>
      </c>
    </row>
    <row r="268" spans="1:54" ht="13.9" hidden="1" customHeight="1" outlineLevel="1" x14ac:dyDescent="0.2">
      <c r="A268" s="855"/>
      <c r="B268" s="824"/>
      <c r="C268" s="824"/>
      <c r="D268" s="933"/>
      <c r="E268" s="824"/>
      <c r="F268" s="933"/>
      <c r="G268" s="933"/>
      <c r="H268" s="934"/>
      <c r="I268" s="934"/>
      <c r="J268" s="883"/>
      <c r="K268" s="857"/>
      <c r="L268" s="863"/>
      <c r="M268" s="864"/>
      <c r="N268" s="858"/>
      <c r="O268" s="856"/>
      <c r="P268" s="856"/>
      <c r="Q268" s="856"/>
      <c r="R268" s="856"/>
      <c r="S268" s="856"/>
      <c r="T268" s="856"/>
      <c r="U268" s="856"/>
      <c r="V268" s="856"/>
      <c r="W268" s="856"/>
      <c r="X268" s="856"/>
      <c r="Y268" s="856"/>
      <c r="Z268" s="856"/>
      <c r="AA268" s="856"/>
      <c r="AB268" s="856"/>
      <c r="AC268" s="856"/>
      <c r="AD268" s="856"/>
      <c r="AE268" s="856"/>
      <c r="AF268" s="856"/>
      <c r="AG268" s="856"/>
      <c r="AH268" s="1092"/>
      <c r="AI268" s="1092"/>
      <c r="AJ268" s="1092"/>
      <c r="AK268" s="1092"/>
      <c r="AL268" s="1092"/>
      <c r="AM268" s="1092"/>
      <c r="AN268" s="1092"/>
      <c r="AO268" s="1092"/>
      <c r="AP268" s="1092"/>
      <c r="AQ268" s="1092"/>
      <c r="AR268" s="1092"/>
      <c r="AS268" s="1092" t="str">
        <f t="shared" si="123"/>
        <v/>
      </c>
      <c r="AT268" s="2247" t="str">
        <f t="shared" si="124"/>
        <v/>
      </c>
      <c r="AU268" s="935"/>
      <c r="AV268" s="834"/>
      <c r="AW268" s="823"/>
      <c r="AX268" s="835"/>
      <c r="AY268" s="836"/>
      <c r="AZ268" s="2136"/>
      <c r="BA268" s="2136"/>
      <c r="BB268" s="2153" t="s">
        <v>1099</v>
      </c>
    </row>
    <row r="269" spans="1:54" ht="13.9" hidden="1" customHeight="1" outlineLevel="1" x14ac:dyDescent="0.2">
      <c r="A269" s="808" t="s">
        <v>628</v>
      </c>
      <c r="B269" s="837"/>
      <c r="C269" s="837"/>
      <c r="D269" s="936"/>
      <c r="E269" s="837"/>
      <c r="F269" s="936"/>
      <c r="G269" s="936"/>
      <c r="H269" s="937"/>
      <c r="I269" s="937"/>
      <c r="J269" s="884"/>
      <c r="K269" s="817"/>
      <c r="L269" s="893"/>
      <c r="M269" s="893"/>
      <c r="N269" s="846"/>
      <c r="O269" s="817"/>
      <c r="P269" s="817"/>
      <c r="Q269" s="817"/>
      <c r="R269" s="817"/>
      <c r="S269" s="817"/>
      <c r="T269" s="817"/>
      <c r="U269" s="817"/>
      <c r="V269" s="817"/>
      <c r="W269" s="817"/>
      <c r="X269" s="817"/>
      <c r="Y269" s="817"/>
      <c r="Z269" s="817"/>
      <c r="AA269" s="817"/>
      <c r="AB269" s="817"/>
      <c r="AC269" s="817"/>
      <c r="AD269" s="817"/>
      <c r="AE269" s="817"/>
      <c r="AF269" s="817"/>
      <c r="AG269" s="817"/>
      <c r="AH269" s="817"/>
      <c r="AI269" s="817"/>
      <c r="AJ269" s="817"/>
      <c r="AK269" s="817"/>
      <c r="AL269" s="817"/>
      <c r="AM269" s="817"/>
      <c r="AN269" s="817"/>
      <c r="AO269" s="817"/>
      <c r="AP269" s="817"/>
      <c r="AQ269" s="817"/>
      <c r="AR269" s="817"/>
      <c r="AS269" s="817">
        <f t="shared" ref="AS269:AS274" si="127">AR269-AP269</f>
        <v>0</v>
      </c>
      <c r="AT269" s="2240" t="str">
        <f t="shared" ref="AT269:AT274" si="128">IF(AP269&gt;0,AS269/AP269,"")</f>
        <v/>
      </c>
      <c r="AU269" s="938"/>
      <c r="AV269" s="819"/>
      <c r="AW269" s="797"/>
      <c r="AX269" s="805"/>
      <c r="AY269" s="807"/>
      <c r="AZ269" s="2136"/>
      <c r="BA269" s="2136"/>
    </row>
    <row r="270" spans="1:54" ht="13.9" hidden="1" customHeight="1" outlineLevel="1" x14ac:dyDescent="0.2">
      <c r="A270" s="808" t="s">
        <v>724</v>
      </c>
      <c r="B270" s="799">
        <v>36481</v>
      </c>
      <c r="C270" s="797">
        <v>36481</v>
      </c>
      <c r="D270" s="887">
        <v>37088</v>
      </c>
      <c r="E270" s="797">
        <v>37088</v>
      </c>
      <c r="F270" s="887">
        <v>37088</v>
      </c>
      <c r="G270" s="887">
        <v>40746.730000000003</v>
      </c>
      <c r="H270" s="888">
        <v>28813</v>
      </c>
      <c r="I270" s="888">
        <v>18331.599999999999</v>
      </c>
      <c r="J270" s="839">
        <v>38648</v>
      </c>
      <c r="K270" s="814" t="s">
        <v>201</v>
      </c>
      <c r="L270" s="1095">
        <v>36570</v>
      </c>
      <c r="M270" s="840">
        <v>40764</v>
      </c>
      <c r="N270" s="841">
        <v>40764</v>
      </c>
      <c r="O270" s="837">
        <v>40764</v>
      </c>
      <c r="P270" s="817">
        <v>41865</v>
      </c>
      <c r="Q270" s="817">
        <v>41865</v>
      </c>
      <c r="R270" s="817">
        <v>41865</v>
      </c>
      <c r="S270" s="889"/>
      <c r="T270" s="889">
        <v>39101</v>
      </c>
      <c r="U270" s="889">
        <v>39101</v>
      </c>
      <c r="V270" s="843">
        <v>41080</v>
      </c>
      <c r="W270" s="817">
        <f>V270</f>
        <v>41080</v>
      </c>
      <c r="X270" s="843">
        <v>43158</v>
      </c>
      <c r="Y270" s="843">
        <v>43158</v>
      </c>
      <c r="Z270" s="843">
        <v>46029</v>
      </c>
      <c r="AA270" s="843">
        <f>Z270</f>
        <v>46029</v>
      </c>
      <c r="AB270" s="843">
        <v>48045</v>
      </c>
      <c r="AC270" s="843">
        <f>AB270+8053</f>
        <v>56098</v>
      </c>
      <c r="AD270" s="843"/>
      <c r="AE270" s="843">
        <v>61672</v>
      </c>
      <c r="AF270" s="843"/>
      <c r="AG270" s="843">
        <v>63522.16</v>
      </c>
      <c r="AH270" s="843">
        <v>64647</v>
      </c>
      <c r="AI270" s="843">
        <v>66586.41</v>
      </c>
      <c r="AJ270" s="843">
        <v>68246</v>
      </c>
      <c r="AK270" s="843">
        <v>70293.38</v>
      </c>
      <c r="AL270" s="843">
        <v>69907</v>
      </c>
      <c r="AM270" s="843">
        <f>AL270*$AH$3</f>
        <v>71305.14</v>
      </c>
      <c r="AN270" s="843">
        <v>69385</v>
      </c>
      <c r="AO270" s="843">
        <v>71119.625</v>
      </c>
      <c r="AP270" s="843">
        <v>70763</v>
      </c>
      <c r="AQ270" s="843">
        <f>AP270*$AH$3</f>
        <v>72178.259999999995</v>
      </c>
      <c r="AR270" s="843">
        <f>'[1]BUDGET DETAIL'!$CO$738</f>
        <v>78042</v>
      </c>
      <c r="AS270" s="843">
        <f t="shared" si="127"/>
        <v>7279</v>
      </c>
      <c r="AT270" s="2239">
        <f t="shared" si="128"/>
        <v>0.10286449133021494</v>
      </c>
      <c r="AU270" s="890"/>
      <c r="AV270" s="819"/>
      <c r="AW270" s="797">
        <f>SUM(AU270-H270)</f>
        <v>-28813</v>
      </c>
      <c r="AX270" s="805">
        <f>IF(H270&gt;0,AW270/H270,"")</f>
        <v>-1</v>
      </c>
      <c r="AY270" s="807"/>
      <c r="AZ270" s="2136"/>
      <c r="BA270" s="2136"/>
    </row>
    <row r="271" spans="1:54" ht="13.9" hidden="1" customHeight="1" outlineLevel="1" x14ac:dyDescent="0.2">
      <c r="A271" s="808" t="s">
        <v>558</v>
      </c>
      <c r="B271" s="799">
        <v>33938</v>
      </c>
      <c r="C271" s="797">
        <v>31367.59</v>
      </c>
      <c r="D271" s="887">
        <v>36151</v>
      </c>
      <c r="E271" s="797">
        <v>35144.22</v>
      </c>
      <c r="F271" s="887">
        <v>36151</v>
      </c>
      <c r="G271" s="887">
        <v>36088.21</v>
      </c>
      <c r="H271" s="888">
        <v>37931</v>
      </c>
      <c r="I271" s="888">
        <v>36955.53</v>
      </c>
      <c r="J271" s="839">
        <v>40183</v>
      </c>
      <c r="K271" s="817"/>
      <c r="L271" s="876">
        <v>40631.83</v>
      </c>
      <c r="M271" s="840">
        <v>42781</v>
      </c>
      <c r="N271" s="841">
        <v>34914</v>
      </c>
      <c r="O271" s="837">
        <v>34914</v>
      </c>
      <c r="P271" s="817">
        <v>35476</v>
      </c>
      <c r="Q271" s="817">
        <v>35476</v>
      </c>
      <c r="R271" s="817">
        <v>35476</v>
      </c>
      <c r="S271" s="889"/>
      <c r="T271" s="889">
        <v>42622</v>
      </c>
      <c r="U271" s="889">
        <v>42622</v>
      </c>
      <c r="V271" s="843">
        <v>43782</v>
      </c>
      <c r="W271" s="817">
        <f>V271</f>
        <v>43782</v>
      </c>
      <c r="X271" s="843">
        <v>44378</v>
      </c>
      <c r="Y271" s="843">
        <v>44378</v>
      </c>
      <c r="Z271" s="843">
        <v>46389</v>
      </c>
      <c r="AA271" s="843">
        <f>Z271</f>
        <v>46389</v>
      </c>
      <c r="AB271" s="843">
        <v>48015</v>
      </c>
      <c r="AC271" s="843">
        <f>AB271</f>
        <v>48015</v>
      </c>
      <c r="AD271" s="843"/>
      <c r="AE271" s="1096">
        <v>51692</v>
      </c>
      <c r="AF271" s="843"/>
      <c r="AG271" s="843">
        <v>53242.76</v>
      </c>
      <c r="AH271" s="843">
        <v>53385</v>
      </c>
      <c r="AI271" s="843">
        <v>54986.55</v>
      </c>
      <c r="AJ271" s="843">
        <v>61065</v>
      </c>
      <c r="AK271" s="843">
        <v>62896.950000000004</v>
      </c>
      <c r="AL271" s="843">
        <v>61670</v>
      </c>
      <c r="AM271" s="843">
        <f>AL271*$AH$3</f>
        <v>62903.4</v>
      </c>
      <c r="AN271" s="843">
        <v>62895</v>
      </c>
      <c r="AO271" s="843">
        <v>64467.374999999993</v>
      </c>
      <c r="AP271" s="843">
        <v>64076</v>
      </c>
      <c r="AQ271" s="843">
        <f>AP271*$AH$3</f>
        <v>65357.520000000004</v>
      </c>
      <c r="AR271" s="843">
        <f>'[1]BUDGET DETAIL'!$CO$743</f>
        <v>66131</v>
      </c>
      <c r="AS271" s="843">
        <f t="shared" si="127"/>
        <v>2055</v>
      </c>
      <c r="AT271" s="2239">
        <f t="shared" si="128"/>
        <v>3.2071290342718023E-2</v>
      </c>
      <c r="AU271" s="890"/>
      <c r="AV271" s="819"/>
      <c r="AW271" s="797">
        <f>SUM(AU271-H271)</f>
        <v>-37931</v>
      </c>
      <c r="AX271" s="805">
        <f>IF(H271&gt;0,AW271/H271,"")</f>
        <v>-1</v>
      </c>
      <c r="AY271" s="807"/>
      <c r="AZ271" s="2136"/>
      <c r="BA271" s="2136"/>
    </row>
    <row r="272" spans="1:54" ht="13.9" hidden="1" customHeight="1" outlineLevel="1" x14ac:dyDescent="0.2">
      <c r="A272" s="808" t="s">
        <v>820</v>
      </c>
      <c r="B272" s="799">
        <v>5960</v>
      </c>
      <c r="C272" s="797">
        <f>SUM(5753.99+42.03)</f>
        <v>5796.0199999999995</v>
      </c>
      <c r="D272" s="887">
        <v>3140</v>
      </c>
      <c r="E272" s="797">
        <v>3460.18</v>
      </c>
      <c r="F272" s="887">
        <v>3140</v>
      </c>
      <c r="G272" s="887">
        <v>3287.29</v>
      </c>
      <c r="H272" s="888">
        <v>3275</v>
      </c>
      <c r="I272" s="888">
        <v>3274.44</v>
      </c>
      <c r="J272" s="839">
        <v>3275</v>
      </c>
      <c r="K272" s="861" t="s">
        <v>462</v>
      </c>
      <c r="L272" s="845">
        <v>3338.37</v>
      </c>
      <c r="M272" s="845">
        <v>3409</v>
      </c>
      <c r="N272" s="846">
        <v>2582</v>
      </c>
      <c r="O272" s="893">
        <v>2582</v>
      </c>
      <c r="P272" s="817">
        <v>2582</v>
      </c>
      <c r="Q272" s="817">
        <v>2582</v>
      </c>
      <c r="R272" s="817">
        <v>2582</v>
      </c>
      <c r="S272" s="893"/>
      <c r="T272" s="893">
        <v>2633</v>
      </c>
      <c r="U272" s="893">
        <v>2633</v>
      </c>
      <c r="V272" s="843">
        <v>2686</v>
      </c>
      <c r="W272" s="817">
        <f>V272</f>
        <v>2686</v>
      </c>
      <c r="X272" s="843">
        <v>2767</v>
      </c>
      <c r="Y272" s="843">
        <v>2767</v>
      </c>
      <c r="Z272" s="843">
        <v>2850</v>
      </c>
      <c r="AA272" s="843">
        <f>Z272</f>
        <v>2850</v>
      </c>
      <c r="AB272" s="843">
        <v>2936</v>
      </c>
      <c r="AC272" s="843">
        <f>AB272</f>
        <v>2936</v>
      </c>
      <c r="AD272" s="843"/>
      <c r="AE272" s="1096">
        <v>4030</v>
      </c>
      <c r="AF272" s="843"/>
      <c r="AG272" s="843">
        <v>4030</v>
      </c>
      <c r="AH272" s="843">
        <v>4430</v>
      </c>
      <c r="AI272" s="843">
        <v>4430</v>
      </c>
      <c r="AJ272" s="843">
        <v>5530</v>
      </c>
      <c r="AK272" s="843">
        <v>5530</v>
      </c>
      <c r="AL272" s="843">
        <v>5561</v>
      </c>
      <c r="AM272" s="843">
        <f>AL272*$AH$4</f>
        <v>5561</v>
      </c>
      <c r="AN272" s="843">
        <v>5561</v>
      </c>
      <c r="AO272" s="843">
        <v>5561</v>
      </c>
      <c r="AP272" s="843">
        <v>5561</v>
      </c>
      <c r="AQ272" s="843">
        <f>AP272*$AH$4</f>
        <v>5561</v>
      </c>
      <c r="AR272" s="843">
        <f>'[1]BUDGET DETAIL'!$CO$756</f>
        <v>5561</v>
      </c>
      <c r="AS272" s="843">
        <f t="shared" si="127"/>
        <v>0</v>
      </c>
      <c r="AT272" s="2239">
        <f t="shared" si="128"/>
        <v>0</v>
      </c>
      <c r="AU272" s="890"/>
      <c r="AV272" s="819"/>
      <c r="AW272" s="797">
        <f>SUM(AU272-H272)</f>
        <v>-3275</v>
      </c>
      <c r="AX272" s="805">
        <f>IF(H272&gt;0,AW272/H272,"")</f>
        <v>-1</v>
      </c>
      <c r="AY272" s="807"/>
      <c r="AZ272" s="2136"/>
      <c r="BA272" s="2136"/>
    </row>
    <row r="273" spans="1:54" ht="13.9" hidden="1" customHeight="1" outlineLevel="1" x14ac:dyDescent="0.2">
      <c r="A273" s="878" t="s">
        <v>821</v>
      </c>
      <c r="B273" s="810">
        <f t="shared" ref="B273:N273" si="129">SUM(B270:B272)</f>
        <v>76379</v>
      </c>
      <c r="C273" s="810">
        <f t="shared" si="129"/>
        <v>73644.61</v>
      </c>
      <c r="D273" s="944">
        <f t="shared" si="129"/>
        <v>76379</v>
      </c>
      <c r="E273" s="810">
        <f t="shared" si="129"/>
        <v>75692.399999999994</v>
      </c>
      <c r="F273" s="944">
        <f t="shared" si="129"/>
        <v>76379</v>
      </c>
      <c r="G273" s="944">
        <f t="shared" si="129"/>
        <v>80122.23</v>
      </c>
      <c r="H273" s="906">
        <f t="shared" si="129"/>
        <v>70019</v>
      </c>
      <c r="I273" s="906">
        <f t="shared" si="129"/>
        <v>58561.57</v>
      </c>
      <c r="J273" s="813">
        <f t="shared" si="129"/>
        <v>82106</v>
      </c>
      <c r="K273" s="849">
        <v>38789</v>
      </c>
      <c r="L273" s="879">
        <f t="shared" si="129"/>
        <v>80540.2</v>
      </c>
      <c r="M273" s="879">
        <f t="shared" si="129"/>
        <v>86954</v>
      </c>
      <c r="N273" s="880">
        <f t="shared" si="129"/>
        <v>78260</v>
      </c>
      <c r="O273" s="1097">
        <f>SUM(O270:O272)</f>
        <v>78260</v>
      </c>
      <c r="P273" s="1097">
        <f>SUM(P270:P272)</f>
        <v>79923</v>
      </c>
      <c r="Q273" s="852">
        <f>IF(SUM(Q270:Q272)=0,P273,SUM(Q270:Q272))</f>
        <v>79923</v>
      </c>
      <c r="R273" s="852">
        <f>SUM(R270:R272)</f>
        <v>79923</v>
      </c>
      <c r="S273" s="852">
        <f>IF(SUM(S270:S272)=0,R273,SUM(S270:S272))</f>
        <v>79923</v>
      </c>
      <c r="T273" s="852">
        <v>84356</v>
      </c>
      <c r="U273" s="852">
        <v>84356</v>
      </c>
      <c r="V273" s="852">
        <f>SUM(V270:V272)</f>
        <v>87548</v>
      </c>
      <c r="W273" s="852">
        <f>IF(SUM(W270:W272)=0,V273,SUM(W270:W272))</f>
        <v>87548</v>
      </c>
      <c r="X273" s="852">
        <f>SUM(X270:X272)</f>
        <v>90303</v>
      </c>
      <c r="Y273" s="852">
        <f>IF(SUM(Y270:Y272)=0,X273,SUM(Y270:Y272))</f>
        <v>90303</v>
      </c>
      <c r="Z273" s="852">
        <f>SUM(Z270:Z272)</f>
        <v>95268</v>
      </c>
      <c r="AA273" s="852">
        <f>IF(SUM(AA270:AA272)=0,Z273,SUM(AA270:AA272))</f>
        <v>95268</v>
      </c>
      <c r="AB273" s="852">
        <f>SUM(AB270:AB272)</f>
        <v>98996</v>
      </c>
      <c r="AC273" s="852">
        <f>IF(SUM(AC270:AC272)=0,AB273,SUM(AC270:AC272))</f>
        <v>107049</v>
      </c>
      <c r="AD273" s="852"/>
      <c r="AE273" s="852">
        <v>117394</v>
      </c>
      <c r="AF273" s="852">
        <v>117394</v>
      </c>
      <c r="AG273" s="852">
        <v>120794.92000000001</v>
      </c>
      <c r="AH273" s="852">
        <v>122462</v>
      </c>
      <c r="AI273" s="814">
        <v>126002.96</v>
      </c>
      <c r="AJ273" s="814">
        <v>134841</v>
      </c>
      <c r="AK273" s="814">
        <v>138720.33000000002</v>
      </c>
      <c r="AL273" s="814">
        <v>137138</v>
      </c>
      <c r="AM273" s="814">
        <f t="shared" ref="AM273:AR273" si="130">SUM(AM270:AM272)</f>
        <v>139769.54</v>
      </c>
      <c r="AN273" s="814">
        <f t="shared" si="130"/>
        <v>137841</v>
      </c>
      <c r="AO273" s="814">
        <f t="shared" si="130"/>
        <v>141148</v>
      </c>
      <c r="AP273" s="814">
        <f t="shared" si="130"/>
        <v>140400</v>
      </c>
      <c r="AQ273" s="814">
        <f t="shared" si="130"/>
        <v>143096.78</v>
      </c>
      <c r="AR273" s="814">
        <f t="shared" si="130"/>
        <v>149734</v>
      </c>
      <c r="AS273" s="814">
        <f t="shared" si="127"/>
        <v>9334</v>
      </c>
      <c r="AT273" s="2242">
        <f t="shared" si="128"/>
        <v>6.6481481481481475E-2</v>
      </c>
      <c r="AU273" s="854">
        <f>SUM(AU270:AU272)</f>
        <v>0</v>
      </c>
      <c r="AV273" s="819"/>
      <c r="AW273" s="797">
        <f>SUM(AU273-H273)</f>
        <v>-70019</v>
      </c>
      <c r="AX273" s="805">
        <f>IF(H273&gt;0,AW273/H273,"")</f>
        <v>-1</v>
      </c>
      <c r="AY273" s="807"/>
      <c r="AZ273" s="2136"/>
      <c r="BA273" s="2136"/>
    </row>
    <row r="274" spans="1:54" ht="13.9" hidden="1" customHeight="1" outlineLevel="1" x14ac:dyDescent="0.2">
      <c r="A274" s="855"/>
      <c r="B274" s="824"/>
      <c r="C274" s="824"/>
      <c r="D274" s="933"/>
      <c r="E274" s="824"/>
      <c r="F274" s="933"/>
      <c r="G274" s="933"/>
      <c r="H274" s="934"/>
      <c r="I274" s="934"/>
      <c r="J274" s="883"/>
      <c r="K274" s="857"/>
      <c r="L274" s="863"/>
      <c r="M274" s="864"/>
      <c r="N274" s="858"/>
      <c r="O274" s="856"/>
      <c r="P274" s="856"/>
      <c r="Q274" s="856"/>
      <c r="R274" s="856"/>
      <c r="S274" s="856"/>
      <c r="T274" s="856"/>
      <c r="U274" s="856"/>
      <c r="V274" s="856"/>
      <c r="W274" s="856"/>
      <c r="X274" s="856"/>
      <c r="Y274" s="856"/>
      <c r="Z274" s="856"/>
      <c r="AA274" s="856"/>
      <c r="AB274" s="856"/>
      <c r="AC274" s="856"/>
      <c r="AD274" s="856"/>
      <c r="AE274" s="856"/>
      <c r="AF274" s="856"/>
      <c r="AG274" s="856"/>
      <c r="AH274" s="856"/>
      <c r="AI274" s="856"/>
      <c r="AJ274" s="856"/>
      <c r="AK274" s="856"/>
      <c r="AL274" s="856"/>
      <c r="AM274" s="856"/>
      <c r="AN274" s="856"/>
      <c r="AO274" s="856"/>
      <c r="AP274" s="856"/>
      <c r="AQ274" s="856"/>
      <c r="AR274" s="856"/>
      <c r="AS274" s="856">
        <f t="shared" si="127"/>
        <v>0</v>
      </c>
      <c r="AT274" s="2243" t="str">
        <f t="shared" si="128"/>
        <v/>
      </c>
      <c r="AU274" s="935"/>
      <c r="AV274" s="834"/>
      <c r="AW274" s="823"/>
      <c r="AX274" s="835"/>
      <c r="AY274" s="836"/>
      <c r="AZ274" s="2136"/>
      <c r="BA274" s="2136"/>
    </row>
    <row r="275" spans="1:54" ht="13.9" hidden="1" customHeight="1" outlineLevel="1" x14ac:dyDescent="0.2">
      <c r="A275" s="808" t="s">
        <v>796</v>
      </c>
      <c r="B275" s="837"/>
      <c r="C275" s="837"/>
      <c r="D275" s="936"/>
      <c r="E275" s="837"/>
      <c r="F275" s="936"/>
      <c r="G275" s="936"/>
      <c r="H275" s="937"/>
      <c r="I275" s="937"/>
      <c r="J275" s="884"/>
      <c r="K275" s="817"/>
      <c r="L275" s="893"/>
      <c r="M275" s="893"/>
      <c r="N275" s="846"/>
      <c r="O275" s="817"/>
      <c r="P275" s="817"/>
      <c r="Q275" s="817"/>
      <c r="R275" s="817"/>
      <c r="S275" s="817"/>
      <c r="T275" s="817"/>
      <c r="U275" s="817"/>
      <c r="V275" s="817"/>
      <c r="W275" s="817"/>
      <c r="X275" s="817"/>
      <c r="Y275" s="817"/>
      <c r="Z275" s="817"/>
      <c r="AA275" s="817"/>
      <c r="AB275" s="817"/>
      <c r="AC275" s="817"/>
      <c r="AD275" s="817"/>
      <c r="AE275" s="817"/>
      <c r="AF275" s="817"/>
      <c r="AG275" s="817"/>
      <c r="AH275" s="817"/>
      <c r="AI275" s="817"/>
      <c r="AJ275" s="817"/>
      <c r="AK275" s="817"/>
      <c r="AL275" s="817"/>
      <c r="AM275" s="817"/>
      <c r="AN275" s="817"/>
      <c r="AO275" s="817"/>
      <c r="AP275" s="817"/>
      <c r="AQ275" s="817"/>
      <c r="AR275" s="817"/>
      <c r="AS275" s="817" t="str">
        <f t="shared" si="123"/>
        <v/>
      </c>
      <c r="AT275" s="2240" t="str">
        <f t="shared" si="124"/>
        <v/>
      </c>
      <c r="AU275" s="938"/>
      <c r="AV275" s="819"/>
      <c r="AW275" s="797"/>
      <c r="AX275" s="805"/>
      <c r="AY275" s="807"/>
      <c r="AZ275" s="2136"/>
      <c r="BA275" s="2136"/>
      <c r="BB275" s="2129" t="s">
        <v>1099</v>
      </c>
    </row>
    <row r="276" spans="1:54" ht="13.9" hidden="1" customHeight="1" outlineLevel="1" x14ac:dyDescent="0.2">
      <c r="A276" s="808" t="s">
        <v>819</v>
      </c>
      <c r="B276" s="799">
        <v>19468</v>
      </c>
      <c r="C276" s="797">
        <v>19468</v>
      </c>
      <c r="D276" s="887">
        <v>19468</v>
      </c>
      <c r="E276" s="797">
        <v>19468</v>
      </c>
      <c r="F276" s="887">
        <v>19468</v>
      </c>
      <c r="G276" s="887">
        <v>19468</v>
      </c>
      <c r="H276" s="888">
        <v>19955</v>
      </c>
      <c r="I276" s="888">
        <v>19955</v>
      </c>
      <c r="J276" s="839">
        <v>19955</v>
      </c>
      <c r="K276" s="859"/>
      <c r="L276" s="845">
        <v>20354</v>
      </c>
      <c r="M276" s="893">
        <v>20354</v>
      </c>
      <c r="N276" s="846">
        <v>0</v>
      </c>
      <c r="O276" s="859">
        <v>0</v>
      </c>
      <c r="P276" s="859"/>
      <c r="Q276" s="859"/>
      <c r="R276" s="859"/>
      <c r="S276" s="859"/>
      <c r="T276" s="859"/>
      <c r="U276" s="859"/>
      <c r="V276" s="859"/>
      <c r="W276" s="859"/>
      <c r="X276" s="859"/>
      <c r="Y276" s="859"/>
      <c r="Z276" s="843">
        <f>Y276*(1+$A$4/100)</f>
        <v>0</v>
      </c>
      <c r="AA276" s="859"/>
      <c r="AB276" s="843">
        <f>AA276*(1+$A$4/100)</f>
        <v>0</v>
      </c>
      <c r="AC276" s="859"/>
      <c r="AD276" s="859"/>
      <c r="AE276" s="859"/>
      <c r="AF276" s="859"/>
      <c r="AG276" s="859"/>
      <c r="AH276" s="859"/>
      <c r="AI276" s="859"/>
      <c r="AJ276" s="859"/>
      <c r="AK276" s="859"/>
      <c r="AL276" s="859"/>
      <c r="AM276" s="859"/>
      <c r="AN276" s="859"/>
      <c r="AO276" s="859"/>
      <c r="AP276" s="859"/>
      <c r="AQ276" s="859"/>
      <c r="AR276" s="859"/>
      <c r="AS276" s="859" t="str">
        <f t="shared" si="123"/>
        <v/>
      </c>
      <c r="AT276" s="2239" t="str">
        <f t="shared" si="124"/>
        <v/>
      </c>
      <c r="AU276" s="890"/>
      <c r="AV276" s="819"/>
      <c r="AW276" s="797">
        <f>SUM(AU276-H276)</f>
        <v>-19955</v>
      </c>
      <c r="AX276" s="805">
        <f>IF(H276&gt;0,AW276/H276,"")</f>
        <v>-1</v>
      </c>
      <c r="AY276" s="807"/>
      <c r="AZ276" s="2136"/>
      <c r="BA276" s="2136"/>
      <c r="BB276" s="2129" t="s">
        <v>1099</v>
      </c>
    </row>
    <row r="277" spans="1:54" ht="13.9" hidden="1" customHeight="1" outlineLevel="1" x14ac:dyDescent="0.2">
      <c r="A277" s="878" t="s">
        <v>821</v>
      </c>
      <c r="B277" s="810">
        <f>SUM(B276)</f>
        <v>19468</v>
      </c>
      <c r="C277" s="810">
        <f>SUM(C276:C276)</f>
        <v>19468</v>
      </c>
      <c r="D277" s="810">
        <f t="shared" ref="D277:J277" si="131">SUM(D276:D276)</f>
        <v>19468</v>
      </c>
      <c r="E277" s="810">
        <f t="shared" si="131"/>
        <v>19468</v>
      </c>
      <c r="F277" s="810">
        <f t="shared" si="131"/>
        <v>19468</v>
      </c>
      <c r="G277" s="810">
        <f t="shared" si="131"/>
        <v>19468</v>
      </c>
      <c r="H277" s="810">
        <f t="shared" si="131"/>
        <v>19955</v>
      </c>
      <c r="I277" s="810">
        <f t="shared" si="131"/>
        <v>19955</v>
      </c>
      <c r="J277" s="813">
        <f t="shared" si="131"/>
        <v>19955</v>
      </c>
      <c r="K277" s="814" t="s">
        <v>462</v>
      </c>
      <c r="L277" s="879">
        <f>SUM(L274:L276)</f>
        <v>20354</v>
      </c>
      <c r="M277" s="879">
        <f>SUM(M274:M276)</f>
        <v>20354</v>
      </c>
      <c r="N277" s="880">
        <f>SUM(N274:N276)</f>
        <v>0</v>
      </c>
      <c r="O277" s="814">
        <f>O276</f>
        <v>0</v>
      </c>
      <c r="P277" s="814">
        <v>0</v>
      </c>
      <c r="Q277" s="852">
        <f>IF(SUM(Q276)=0,P277,Q276)</f>
        <v>0</v>
      </c>
      <c r="R277" s="814">
        <v>0</v>
      </c>
      <c r="S277" s="852">
        <f>IF(SUM(S276)=0,R277,S276)</f>
        <v>0</v>
      </c>
      <c r="T277" s="814">
        <v>0</v>
      </c>
      <c r="U277" s="814">
        <v>0</v>
      </c>
      <c r="V277" s="814">
        <v>0</v>
      </c>
      <c r="W277" s="852">
        <f>IF(SUM(W276)=0,V277,W276)</f>
        <v>0</v>
      </c>
      <c r="X277" s="814">
        <v>0</v>
      </c>
      <c r="Y277" s="852">
        <f>IF(SUM(Y276)=0,X277,Y276)</f>
        <v>0</v>
      </c>
      <c r="Z277" s="814">
        <v>0</v>
      </c>
      <c r="AA277" s="852">
        <f>IF(SUM(AA276)=0,Z277,AA276)</f>
        <v>0</v>
      </c>
      <c r="AB277" s="814">
        <v>0</v>
      </c>
      <c r="AC277" s="852">
        <f>IF(SUM(AC276)=0,AB277,AC276)</f>
        <v>0</v>
      </c>
      <c r="AD277" s="852"/>
      <c r="AE277" s="852"/>
      <c r="AF277" s="814"/>
      <c r="AG277" s="814"/>
      <c r="AH277" s="814"/>
      <c r="AI277" s="814"/>
      <c r="AJ277" s="814"/>
      <c r="AK277" s="814"/>
      <c r="AL277" s="814"/>
      <c r="AM277" s="814"/>
      <c r="AN277" s="814"/>
      <c r="AO277" s="814"/>
      <c r="AP277" s="814"/>
      <c r="AQ277" s="814"/>
      <c r="AR277" s="814"/>
      <c r="AS277" s="814" t="str">
        <f t="shared" si="123"/>
        <v/>
      </c>
      <c r="AT277" s="2242" t="str">
        <f t="shared" si="124"/>
        <v/>
      </c>
      <c r="AU277" s="854">
        <f>SUM(AU276:AU276)</f>
        <v>0</v>
      </c>
      <c r="AV277" s="819"/>
      <c r="AW277" s="797">
        <f>SUM(AU277-H277)</f>
        <v>-19955</v>
      </c>
      <c r="AX277" s="805">
        <f>IF(H277&gt;0,AW277/H277,"")</f>
        <v>-1</v>
      </c>
      <c r="AY277" s="807"/>
      <c r="AZ277" s="2136"/>
      <c r="BA277" s="2136"/>
      <c r="BB277" s="2129" t="s">
        <v>1099</v>
      </c>
    </row>
    <row r="278" spans="1:54" ht="13.9" hidden="1" customHeight="1" outlineLevel="1" x14ac:dyDescent="0.2">
      <c r="A278" s="821"/>
      <c r="B278" s="909"/>
      <c r="C278" s="895"/>
      <c r="D278" s="910"/>
      <c r="E278" s="895"/>
      <c r="F278" s="910"/>
      <c r="G278" s="910"/>
      <c r="H278" s="910"/>
      <c r="I278" s="910"/>
      <c r="J278" s="1057"/>
      <c r="K278" s="970"/>
      <c r="L278" s="897"/>
      <c r="M278" s="898"/>
      <c r="N278" s="899"/>
      <c r="O278" s="831"/>
      <c r="P278" s="831"/>
      <c r="Q278" s="831"/>
      <c r="R278" s="831"/>
      <c r="S278" s="831"/>
      <c r="T278" s="831"/>
      <c r="U278" s="831"/>
      <c r="V278" s="831"/>
      <c r="W278" s="831"/>
      <c r="X278" s="831"/>
      <c r="Y278" s="831"/>
      <c r="Z278" s="831"/>
      <c r="AA278" s="831"/>
      <c r="AB278" s="831"/>
      <c r="AC278" s="831"/>
      <c r="AD278" s="831"/>
      <c r="AE278" s="831"/>
      <c r="AF278" s="831"/>
      <c r="AG278" s="831"/>
      <c r="AH278" s="831"/>
      <c r="AI278" s="831"/>
      <c r="AJ278" s="831"/>
      <c r="AK278" s="831"/>
      <c r="AL278" s="831"/>
      <c r="AM278" s="831"/>
      <c r="AN278" s="831"/>
      <c r="AO278" s="831"/>
      <c r="AP278" s="831"/>
      <c r="AQ278" s="831"/>
      <c r="AR278" s="831"/>
      <c r="AS278" s="831" t="str">
        <f t="shared" si="123"/>
        <v/>
      </c>
      <c r="AT278" s="2241" t="str">
        <f t="shared" si="124"/>
        <v/>
      </c>
      <c r="AU278" s="913"/>
      <c r="AV278" s="834"/>
      <c r="AW278" s="823"/>
      <c r="AX278" s="835"/>
      <c r="AY278" s="836"/>
      <c r="AZ278" s="2136"/>
      <c r="BA278" s="2136"/>
      <c r="BB278" s="2129" t="s">
        <v>1099</v>
      </c>
    </row>
    <row r="279" spans="1:54" ht="13.9" hidden="1" customHeight="1" outlineLevel="1" x14ac:dyDescent="0.2">
      <c r="A279" s="808" t="s">
        <v>363</v>
      </c>
      <c r="B279" s="866"/>
      <c r="C279" s="867"/>
      <c r="D279" s="847"/>
      <c r="E279" s="867"/>
      <c r="F279" s="847"/>
      <c r="G279" s="847"/>
      <c r="H279" s="847"/>
      <c r="I279" s="847"/>
      <c r="J279" s="848"/>
      <c r="K279" s="817"/>
      <c r="L279" s="893"/>
      <c r="M279" s="893"/>
      <c r="N279" s="846"/>
      <c r="O279" s="817"/>
      <c r="P279" s="817"/>
      <c r="Q279" s="817"/>
      <c r="R279" s="817"/>
      <c r="S279" s="817"/>
      <c r="T279" s="817"/>
      <c r="U279" s="817"/>
      <c r="V279" s="817"/>
      <c r="W279" s="817"/>
      <c r="X279" s="817"/>
      <c r="Y279" s="817"/>
      <c r="Z279" s="817"/>
      <c r="AA279" s="817"/>
      <c r="AB279" s="817"/>
      <c r="AC279" s="817"/>
      <c r="AD279" s="817"/>
      <c r="AE279" s="817"/>
      <c r="AF279" s="817"/>
      <c r="AG279" s="817"/>
      <c r="AH279" s="817"/>
      <c r="AI279" s="817"/>
      <c r="AJ279" s="817"/>
      <c r="AK279" s="817"/>
      <c r="AL279" s="817"/>
      <c r="AM279" s="817"/>
      <c r="AN279" s="817"/>
      <c r="AO279" s="817"/>
      <c r="AP279" s="817"/>
      <c r="AQ279" s="817"/>
      <c r="AR279" s="817"/>
      <c r="AS279" s="817" t="str">
        <f t="shared" si="123"/>
        <v/>
      </c>
      <c r="AT279" s="2240" t="str">
        <f t="shared" ref="AT279:AT281" si="132">IF(AL279&gt;0,AS279/AL279,"")</f>
        <v/>
      </c>
      <c r="AU279" s="882"/>
      <c r="AV279" s="819"/>
      <c r="AW279" s="797"/>
      <c r="AX279" s="805"/>
      <c r="AY279" s="807"/>
      <c r="AZ279" s="2136"/>
      <c r="BA279" s="2136"/>
      <c r="BB279" s="2129" t="s">
        <v>1099</v>
      </c>
    </row>
    <row r="280" spans="1:54" ht="13.9" hidden="1" customHeight="1" outlineLevel="1" x14ac:dyDescent="0.2">
      <c r="A280" s="808" t="s">
        <v>364</v>
      </c>
      <c r="B280" s="799">
        <v>1000</v>
      </c>
      <c r="C280" s="797">
        <v>1000</v>
      </c>
      <c r="D280" s="887">
        <v>1000</v>
      </c>
      <c r="E280" s="797">
        <v>1000</v>
      </c>
      <c r="F280" s="887">
        <v>1000</v>
      </c>
      <c r="G280" s="887">
        <v>1000</v>
      </c>
      <c r="H280" s="888">
        <v>1000</v>
      </c>
      <c r="I280" s="888">
        <v>1000</v>
      </c>
      <c r="J280" s="839">
        <v>1000</v>
      </c>
      <c r="K280" s="1098"/>
      <c r="L280" s="942">
        <v>1000</v>
      </c>
      <c r="M280" s="942">
        <v>1000</v>
      </c>
      <c r="N280" s="838">
        <v>0</v>
      </c>
      <c r="O280" s="859">
        <v>0</v>
      </c>
      <c r="P280" s="859">
        <v>0</v>
      </c>
      <c r="Q280" s="859"/>
      <c r="R280" s="859"/>
      <c r="S280" s="859"/>
      <c r="T280" s="859"/>
      <c r="U280" s="859"/>
      <c r="V280" s="859"/>
      <c r="W280" s="859"/>
      <c r="X280" s="859"/>
      <c r="Y280" s="859"/>
      <c r="Z280" s="859"/>
      <c r="AA280" s="859"/>
      <c r="AB280" s="859"/>
      <c r="AC280" s="859"/>
      <c r="AD280" s="859"/>
      <c r="AE280" s="859"/>
      <c r="AF280" s="859"/>
      <c r="AG280" s="859"/>
      <c r="AH280" s="859"/>
      <c r="AI280" s="859"/>
      <c r="AJ280" s="859"/>
      <c r="AK280" s="859"/>
      <c r="AL280" s="859"/>
      <c r="AM280" s="859"/>
      <c r="AN280" s="859"/>
      <c r="AO280" s="859"/>
      <c r="AP280" s="859"/>
      <c r="AQ280" s="859"/>
      <c r="AR280" s="859"/>
      <c r="AS280" s="859" t="str">
        <f t="shared" si="123"/>
        <v/>
      </c>
      <c r="AT280" s="2239" t="str">
        <f t="shared" si="132"/>
        <v/>
      </c>
      <c r="AU280" s="890"/>
      <c r="AV280" s="819"/>
      <c r="AW280" s="797">
        <f>SUM(AU280-H280)</f>
        <v>-1000</v>
      </c>
      <c r="AX280" s="805">
        <f>IF(H280&gt;0,AW280/H280,"")</f>
        <v>-1</v>
      </c>
      <c r="AY280" s="820"/>
      <c r="AZ280" s="2136"/>
      <c r="BA280" s="2136"/>
      <c r="BB280" s="2139" t="s">
        <v>1099</v>
      </c>
    </row>
    <row r="281" spans="1:54" ht="13.9" hidden="1" customHeight="1" outlineLevel="1" x14ac:dyDescent="0.2">
      <c r="A281" s="821" t="s">
        <v>632</v>
      </c>
      <c r="B281" s="910">
        <f t="shared" ref="B281:J281" si="133">SUM(B280)</f>
        <v>1000</v>
      </c>
      <c r="C281" s="910">
        <f t="shared" si="133"/>
        <v>1000</v>
      </c>
      <c r="D281" s="1055">
        <f t="shared" si="133"/>
        <v>1000</v>
      </c>
      <c r="E281" s="910">
        <f t="shared" si="133"/>
        <v>1000</v>
      </c>
      <c r="F281" s="1055">
        <f t="shared" si="133"/>
        <v>1000</v>
      </c>
      <c r="G281" s="1055">
        <f t="shared" si="133"/>
        <v>1000</v>
      </c>
      <c r="H281" s="1056">
        <f t="shared" si="133"/>
        <v>1000</v>
      </c>
      <c r="I281" s="1056">
        <f t="shared" si="133"/>
        <v>1000</v>
      </c>
      <c r="J281" s="1057">
        <f t="shared" si="133"/>
        <v>1000</v>
      </c>
      <c r="K281" s="970" t="s">
        <v>462</v>
      </c>
      <c r="L281" s="1099">
        <f>SUM(L280)</f>
        <v>1000</v>
      </c>
      <c r="M281" s="1099">
        <f>SUM(M280)</f>
        <v>1000</v>
      </c>
      <c r="N281" s="1100">
        <f>SUM(N280)</f>
        <v>0</v>
      </c>
      <c r="O281" s="831">
        <f>O280</f>
        <v>0</v>
      </c>
      <c r="P281" s="831">
        <f>P280</f>
        <v>0</v>
      </c>
      <c r="Q281" s="970">
        <f>IF(SUM(Q280)=0,P281,Q280)</f>
        <v>0</v>
      </c>
      <c r="R281" s="831">
        <f>R280</f>
        <v>0</v>
      </c>
      <c r="S281" s="970">
        <f>IF(SUM(S280)=0,R281,S280)</f>
        <v>0</v>
      </c>
      <c r="T281" s="831">
        <v>0</v>
      </c>
      <c r="U281" s="831">
        <v>0</v>
      </c>
      <c r="V281" s="831">
        <f>V280</f>
        <v>0</v>
      </c>
      <c r="W281" s="970">
        <f>IF(SUM(W280)=0,V281,W280)</f>
        <v>0</v>
      </c>
      <c r="X281" s="831">
        <f>X280</f>
        <v>0</v>
      </c>
      <c r="Y281" s="970">
        <f>IF(SUM(Y280)=0,X281,Y280)</f>
        <v>0</v>
      </c>
      <c r="Z281" s="831">
        <f>Z280</f>
        <v>0</v>
      </c>
      <c r="AA281" s="970">
        <f>IF(SUM(AA280)=0,Z281,AA280)</f>
        <v>0</v>
      </c>
      <c r="AB281" s="831">
        <f>AB280</f>
        <v>0</v>
      </c>
      <c r="AC281" s="970">
        <f>IF(SUM(AC280)=0,AB281,AC280)</f>
        <v>0</v>
      </c>
      <c r="AD281" s="970"/>
      <c r="AE281" s="970"/>
      <c r="AF281" s="970"/>
      <c r="AG281" s="970"/>
      <c r="AH281" s="970"/>
      <c r="AI281" s="861"/>
      <c r="AJ281" s="861"/>
      <c r="AK281" s="861"/>
      <c r="AL281" s="861"/>
      <c r="AM281" s="861"/>
      <c r="AN281" s="861"/>
      <c r="AO281" s="861"/>
      <c r="AP281" s="861"/>
      <c r="AQ281" s="861"/>
      <c r="AR281" s="861"/>
      <c r="AS281" s="861" t="str">
        <f t="shared" si="123"/>
        <v/>
      </c>
      <c r="AT281" s="2248" t="str">
        <f t="shared" si="132"/>
        <v/>
      </c>
      <c r="AU281" s="1036">
        <f>SUM(AU280)</f>
        <v>0</v>
      </c>
      <c r="AV281" s="834"/>
      <c r="AW281" s="823">
        <f>SUM(AU281-H281)</f>
        <v>-1000</v>
      </c>
      <c r="AX281" s="835">
        <f>IF(H281&gt;0,AW281/H281,"")</f>
        <v>-1</v>
      </c>
      <c r="AY281" s="1037"/>
      <c r="AZ281" s="2136"/>
      <c r="BA281" s="2136"/>
      <c r="BB281" s="2139" t="s">
        <v>1099</v>
      </c>
    </row>
    <row r="282" spans="1:54" ht="13.9" hidden="1" customHeight="1" outlineLevel="1" x14ac:dyDescent="0.2">
      <c r="A282" s="808" t="s">
        <v>222</v>
      </c>
      <c r="B282" s="837"/>
      <c r="C282" s="837"/>
      <c r="D282" s="936"/>
      <c r="E282" s="837"/>
      <c r="F282" s="936"/>
      <c r="G282" s="936"/>
      <c r="H282" s="937"/>
      <c r="I282" s="937"/>
      <c r="J282" s="884"/>
      <c r="K282" s="817"/>
      <c r="L282" s="893"/>
      <c r="M282" s="893"/>
      <c r="N282" s="846"/>
      <c r="O282" s="817"/>
      <c r="P282" s="817"/>
      <c r="Q282" s="817"/>
      <c r="R282" s="817"/>
      <c r="S282" s="817"/>
      <c r="T282" s="817"/>
      <c r="U282" s="817"/>
      <c r="V282" s="817"/>
      <c r="W282" s="817"/>
      <c r="X282" s="817"/>
      <c r="Y282" s="817"/>
      <c r="Z282" s="817"/>
      <c r="AA282" s="817"/>
      <c r="AB282" s="817"/>
      <c r="AC282" s="817"/>
      <c r="AD282" s="817"/>
      <c r="AE282" s="817"/>
      <c r="AF282" s="817"/>
      <c r="AG282" s="817"/>
      <c r="AH282" s="817"/>
      <c r="AI282" s="817"/>
      <c r="AJ282" s="817"/>
      <c r="AK282" s="817"/>
      <c r="AL282" s="817"/>
      <c r="AM282" s="817"/>
      <c r="AN282" s="817"/>
      <c r="AO282" s="817"/>
      <c r="AP282" s="817"/>
      <c r="AQ282" s="817"/>
      <c r="AR282" s="817"/>
      <c r="AS282" s="817">
        <f t="shared" ref="AS282:AS312" si="134">AR282-AP282</f>
        <v>0</v>
      </c>
      <c r="AT282" s="2240" t="str">
        <f t="shared" ref="AT282:AT312" si="135">IF(AP282&gt;0,AS282/AP282,"")</f>
        <v/>
      </c>
      <c r="AU282" s="938"/>
      <c r="AV282" s="819"/>
      <c r="AW282" s="797"/>
      <c r="AX282" s="805"/>
      <c r="AY282" s="807"/>
      <c r="AZ282" s="2136"/>
      <c r="BA282" s="2136"/>
    </row>
    <row r="283" spans="1:54" ht="13.9" hidden="1" customHeight="1" outlineLevel="1" x14ac:dyDescent="0.2">
      <c r="A283" s="808" t="s">
        <v>229</v>
      </c>
      <c r="B283" s="799">
        <v>1600</v>
      </c>
      <c r="C283" s="797">
        <v>333.21</v>
      </c>
      <c r="D283" s="887">
        <v>1600</v>
      </c>
      <c r="E283" s="797">
        <v>331.6</v>
      </c>
      <c r="F283" s="887">
        <v>1600</v>
      </c>
      <c r="G283" s="887">
        <v>2929.79</v>
      </c>
      <c r="H283" s="888">
        <v>1600</v>
      </c>
      <c r="I283" s="888">
        <v>4311.6499999999996</v>
      </c>
      <c r="J283" s="839">
        <v>1600</v>
      </c>
      <c r="K283" s="859"/>
      <c r="L283" s="942">
        <v>560.19000000000005</v>
      </c>
      <c r="M283" s="942">
        <v>3470</v>
      </c>
      <c r="N283" s="838">
        <v>3123</v>
      </c>
      <c r="O283" s="859">
        <v>3470</v>
      </c>
      <c r="P283" s="817">
        <v>4970</v>
      </c>
      <c r="Q283" s="859">
        <v>4970</v>
      </c>
      <c r="R283" s="817">
        <v>6350</v>
      </c>
      <c r="S283" s="859"/>
      <c r="T283" s="859">
        <v>6500</v>
      </c>
      <c r="U283" s="859">
        <v>6500</v>
      </c>
      <c r="V283" s="843">
        <v>8620</v>
      </c>
      <c r="W283" s="817">
        <f>V283+12000</f>
        <v>20620</v>
      </c>
      <c r="X283" s="843">
        <v>20960</v>
      </c>
      <c r="Y283" s="843">
        <v>20960</v>
      </c>
      <c r="Z283" s="843">
        <v>20960</v>
      </c>
      <c r="AA283" s="843">
        <f>Z283</f>
        <v>20960</v>
      </c>
      <c r="AB283" s="843">
        <v>20960</v>
      </c>
      <c r="AC283" s="843">
        <f>AB283</f>
        <v>20960</v>
      </c>
      <c r="AD283" s="843"/>
      <c r="AE283" s="843">
        <v>20960</v>
      </c>
      <c r="AF283" s="843"/>
      <c r="AG283" s="843">
        <v>20960</v>
      </c>
      <c r="AH283" s="843">
        <v>20960</v>
      </c>
      <c r="AI283" s="843">
        <v>20960</v>
      </c>
      <c r="AJ283" s="843">
        <v>20960</v>
      </c>
      <c r="AK283" s="843">
        <v>20960</v>
      </c>
      <c r="AL283" s="843">
        <v>20960</v>
      </c>
      <c r="AM283" s="843">
        <v>20960</v>
      </c>
      <c r="AN283" s="843">
        <v>20960</v>
      </c>
      <c r="AO283" s="843">
        <v>20960</v>
      </c>
      <c r="AP283" s="843">
        <v>20960</v>
      </c>
      <c r="AQ283" s="843">
        <v>20960</v>
      </c>
      <c r="AR283" s="843">
        <f>'[1]BUDGET DETAIL'!$CO$768</f>
        <v>20960</v>
      </c>
      <c r="AS283" s="843">
        <f t="shared" si="134"/>
        <v>0</v>
      </c>
      <c r="AT283" s="2239">
        <f t="shared" si="135"/>
        <v>0</v>
      </c>
      <c r="AU283" s="890"/>
      <c r="AV283" s="819"/>
      <c r="AW283" s="797">
        <f>SUM(AU283-H283)</f>
        <v>-1600</v>
      </c>
      <c r="AX283" s="805">
        <f>IF(H283&gt;0,AW283/H283,"")</f>
        <v>-1</v>
      </c>
      <c r="AY283" s="807"/>
      <c r="AZ283" s="2136"/>
      <c r="BA283" s="2136"/>
    </row>
    <row r="284" spans="1:54" ht="13.9" hidden="1" customHeight="1" outlineLevel="1" x14ac:dyDescent="0.2">
      <c r="A284" s="878" t="s">
        <v>821</v>
      </c>
      <c r="B284" s="810">
        <f>SUM(B283:B283)</f>
        <v>1600</v>
      </c>
      <c r="C284" s="810">
        <f>SUM(C283:C283)</f>
        <v>333.21</v>
      </c>
      <c r="D284" s="810">
        <f t="shared" ref="D284:N284" si="136">SUM(D283:D283)</f>
        <v>1600</v>
      </c>
      <c r="E284" s="810">
        <f t="shared" si="136"/>
        <v>331.6</v>
      </c>
      <c r="F284" s="810">
        <f t="shared" si="136"/>
        <v>1600</v>
      </c>
      <c r="G284" s="810">
        <f t="shared" si="136"/>
        <v>2929.79</v>
      </c>
      <c r="H284" s="810">
        <f t="shared" si="136"/>
        <v>1600</v>
      </c>
      <c r="I284" s="810">
        <f t="shared" si="136"/>
        <v>4311.6499999999996</v>
      </c>
      <c r="J284" s="813">
        <f t="shared" si="136"/>
        <v>1600</v>
      </c>
      <c r="K284" s="814" t="s">
        <v>462</v>
      </c>
      <c r="L284" s="879">
        <f t="shared" si="136"/>
        <v>560.19000000000005</v>
      </c>
      <c r="M284" s="879">
        <f t="shared" si="136"/>
        <v>3470</v>
      </c>
      <c r="N284" s="880">
        <f t="shared" si="136"/>
        <v>3123</v>
      </c>
      <c r="O284" s="814">
        <f>O283</f>
        <v>3470</v>
      </c>
      <c r="P284" s="814">
        <f>P283</f>
        <v>4970</v>
      </c>
      <c r="Q284" s="852">
        <f>IF(SUM(Q283)=0,P284,Q283)</f>
        <v>4970</v>
      </c>
      <c r="R284" s="814">
        <f>R283</f>
        <v>6350</v>
      </c>
      <c r="S284" s="852">
        <f>IF(SUM(S283)=0,R284,S283)</f>
        <v>6350</v>
      </c>
      <c r="T284" s="814">
        <v>6500</v>
      </c>
      <c r="U284" s="814">
        <v>6500</v>
      </c>
      <c r="V284" s="814">
        <f>V283</f>
        <v>8620</v>
      </c>
      <c r="W284" s="852">
        <f>IF(SUM(W283)=0,V284,W283)</f>
        <v>20620</v>
      </c>
      <c r="X284" s="814">
        <f>X283</f>
        <v>20960</v>
      </c>
      <c r="Y284" s="852">
        <f>IF(SUM(Y283)=0,X284,Y283)</f>
        <v>20960</v>
      </c>
      <c r="Z284" s="814">
        <f>Z283</f>
        <v>20960</v>
      </c>
      <c r="AA284" s="852">
        <f>IF(SUM(AA283)=0,Z284,AA283)</f>
        <v>20960</v>
      </c>
      <c r="AB284" s="814">
        <f>AB283</f>
        <v>20960</v>
      </c>
      <c r="AC284" s="852">
        <f>IF(SUM(AC283)=0,AB284,AC283)</f>
        <v>20960</v>
      </c>
      <c r="AD284" s="852"/>
      <c r="AE284" s="852">
        <v>20960</v>
      </c>
      <c r="AF284" s="852">
        <v>20960</v>
      </c>
      <c r="AG284" s="852">
        <v>20960</v>
      </c>
      <c r="AH284" s="852">
        <v>20960</v>
      </c>
      <c r="AI284" s="814">
        <v>20960</v>
      </c>
      <c r="AJ284" s="814">
        <v>20960</v>
      </c>
      <c r="AK284" s="814">
        <v>20960</v>
      </c>
      <c r="AL284" s="814">
        <v>20960</v>
      </c>
      <c r="AM284" s="814">
        <f t="shared" ref="AM284:AR284" si="137">SUM(AM283)</f>
        <v>20960</v>
      </c>
      <c r="AN284" s="814">
        <f t="shared" si="137"/>
        <v>20960</v>
      </c>
      <c r="AO284" s="814">
        <f t="shared" si="137"/>
        <v>20960</v>
      </c>
      <c r="AP284" s="814">
        <f t="shared" si="137"/>
        <v>20960</v>
      </c>
      <c r="AQ284" s="814">
        <f t="shared" si="137"/>
        <v>20960</v>
      </c>
      <c r="AR284" s="814">
        <f t="shared" si="137"/>
        <v>20960</v>
      </c>
      <c r="AS284" s="814">
        <f t="shared" si="134"/>
        <v>0</v>
      </c>
      <c r="AT284" s="2242">
        <f t="shared" si="135"/>
        <v>0</v>
      </c>
      <c r="AU284" s="854">
        <f>SUM(AU283:AU283)</f>
        <v>0</v>
      </c>
      <c r="AV284" s="819"/>
      <c r="AW284" s="797">
        <f>SUM(AU284-H284)</f>
        <v>-1600</v>
      </c>
      <c r="AX284" s="805">
        <f>IF(H284&gt;0,AW284/H284,"")</f>
        <v>-1</v>
      </c>
      <c r="AY284" s="807"/>
      <c r="AZ284" s="2136"/>
      <c r="BA284" s="2136"/>
    </row>
    <row r="285" spans="1:54" ht="13.9" hidden="1" customHeight="1" outlineLevel="1" x14ac:dyDescent="0.2">
      <c r="A285" s="855"/>
      <c r="B285" s="824"/>
      <c r="C285" s="824"/>
      <c r="D285" s="933"/>
      <c r="E285" s="824"/>
      <c r="F285" s="933"/>
      <c r="G285" s="933"/>
      <c r="H285" s="934"/>
      <c r="I285" s="934"/>
      <c r="J285" s="883"/>
      <c r="K285" s="857"/>
      <c r="L285" s="863"/>
      <c r="M285" s="864"/>
      <c r="N285" s="858"/>
      <c r="O285" s="856"/>
      <c r="P285" s="856"/>
      <c r="Q285" s="856"/>
      <c r="R285" s="856"/>
      <c r="S285" s="856"/>
      <c r="T285" s="856"/>
      <c r="U285" s="856"/>
      <c r="V285" s="856"/>
      <c r="W285" s="856"/>
      <c r="X285" s="856"/>
      <c r="Y285" s="856"/>
      <c r="Z285" s="856"/>
      <c r="AA285" s="856"/>
      <c r="AB285" s="856"/>
      <c r="AC285" s="856"/>
      <c r="AD285" s="856"/>
      <c r="AE285" s="856"/>
      <c r="AF285" s="856"/>
      <c r="AG285" s="856"/>
      <c r="AH285" s="856"/>
      <c r="AI285" s="856"/>
      <c r="AJ285" s="856"/>
      <c r="AK285" s="856"/>
      <c r="AL285" s="856"/>
      <c r="AM285" s="856"/>
      <c r="AN285" s="856"/>
      <c r="AO285" s="856"/>
      <c r="AP285" s="856"/>
      <c r="AQ285" s="856"/>
      <c r="AR285" s="856"/>
      <c r="AS285" s="856">
        <f t="shared" si="134"/>
        <v>0</v>
      </c>
      <c r="AT285" s="2243" t="str">
        <f t="shared" si="135"/>
        <v/>
      </c>
      <c r="AU285" s="935"/>
      <c r="AV285" s="834"/>
      <c r="AW285" s="823"/>
      <c r="AX285" s="835" t="str">
        <f>IF(F285&gt;0,AW285/F285,"")</f>
        <v/>
      </c>
      <c r="AY285" s="836"/>
      <c r="AZ285" s="2136"/>
      <c r="BA285" s="2136"/>
    </row>
    <row r="286" spans="1:54" ht="13.9" hidden="1" customHeight="1" outlineLevel="1" x14ac:dyDescent="0.2">
      <c r="A286" s="808" t="s">
        <v>230</v>
      </c>
      <c r="B286" s="837"/>
      <c r="C286" s="837"/>
      <c r="D286" s="936"/>
      <c r="E286" s="837"/>
      <c r="F286" s="936"/>
      <c r="G286" s="936"/>
      <c r="H286" s="937"/>
      <c r="I286" s="937"/>
      <c r="J286" s="884"/>
      <c r="K286" s="817"/>
      <c r="L286" s="893"/>
      <c r="M286" s="893"/>
      <c r="N286" s="846"/>
      <c r="O286" s="817"/>
      <c r="P286" s="817"/>
      <c r="Q286" s="817"/>
      <c r="R286" s="817"/>
      <c r="S286" s="817"/>
      <c r="T286" s="817"/>
      <c r="U286" s="817"/>
      <c r="V286" s="817"/>
      <c r="W286" s="817"/>
      <c r="X286" s="817"/>
      <c r="Y286" s="817"/>
      <c r="Z286" s="817"/>
      <c r="AA286" s="817"/>
      <c r="AB286" s="817"/>
      <c r="AC286" s="817"/>
      <c r="AD286" s="817"/>
      <c r="AE286" s="817"/>
      <c r="AF286" s="817"/>
      <c r="AG286" s="817"/>
      <c r="AH286" s="817"/>
      <c r="AI286" s="817"/>
      <c r="AJ286" s="817"/>
      <c r="AK286" s="817"/>
      <c r="AL286" s="817"/>
      <c r="AM286" s="817"/>
      <c r="AN286" s="817"/>
      <c r="AO286" s="817"/>
      <c r="AP286" s="817"/>
      <c r="AQ286" s="817"/>
      <c r="AR286" s="817"/>
      <c r="AS286" s="817">
        <f t="shared" si="134"/>
        <v>0</v>
      </c>
      <c r="AT286" s="2240" t="str">
        <f t="shared" si="135"/>
        <v/>
      </c>
      <c r="AU286" s="938"/>
      <c r="AV286" s="819"/>
      <c r="AW286" s="797"/>
      <c r="AX286" s="805"/>
      <c r="AY286" s="807"/>
      <c r="AZ286" s="2136"/>
      <c r="BA286" s="2136"/>
    </row>
    <row r="287" spans="1:54" ht="13.9" hidden="1" customHeight="1" outlineLevel="1" x14ac:dyDescent="0.2">
      <c r="A287" s="808" t="s">
        <v>820</v>
      </c>
      <c r="B287" s="799">
        <v>750</v>
      </c>
      <c r="C287" s="797">
        <v>750</v>
      </c>
      <c r="D287" s="887">
        <v>750</v>
      </c>
      <c r="E287" s="797">
        <v>750</v>
      </c>
      <c r="F287" s="887">
        <v>750</v>
      </c>
      <c r="G287" s="887">
        <v>750</v>
      </c>
      <c r="H287" s="888">
        <v>750</v>
      </c>
      <c r="I287" s="888">
        <v>750</v>
      </c>
      <c r="J287" s="839">
        <v>750</v>
      </c>
      <c r="K287" s="859"/>
      <c r="L287" s="1101">
        <v>671.56</v>
      </c>
      <c r="M287" s="1101">
        <v>800</v>
      </c>
      <c r="N287" s="838">
        <v>720</v>
      </c>
      <c r="O287" s="859">
        <v>800</v>
      </c>
      <c r="P287" s="817">
        <f>O287</f>
        <v>800</v>
      </c>
      <c r="Q287" s="817">
        <f>P287</f>
        <v>800</v>
      </c>
      <c r="R287" s="817">
        <f>Q287</f>
        <v>800</v>
      </c>
      <c r="S287" s="859">
        <v>800</v>
      </c>
      <c r="T287" s="859">
        <v>800</v>
      </c>
      <c r="U287" s="859">
        <v>800</v>
      </c>
      <c r="V287" s="843">
        <v>1000</v>
      </c>
      <c r="W287" s="817">
        <f>V287</f>
        <v>1000</v>
      </c>
      <c r="X287" s="843">
        <v>1000</v>
      </c>
      <c r="Y287" s="843">
        <v>1000</v>
      </c>
      <c r="Z287" s="843">
        <v>1000</v>
      </c>
      <c r="AA287" s="843">
        <f>Z287</f>
        <v>1000</v>
      </c>
      <c r="AB287" s="843">
        <v>1000</v>
      </c>
      <c r="AC287" s="843">
        <f>AB287</f>
        <v>1000</v>
      </c>
      <c r="AD287" s="843"/>
      <c r="AE287" s="843">
        <v>1000</v>
      </c>
      <c r="AF287" s="843"/>
      <c r="AG287" s="843">
        <v>1000</v>
      </c>
      <c r="AH287" s="843">
        <v>1000</v>
      </c>
      <c r="AI287" s="843">
        <v>1000</v>
      </c>
      <c r="AJ287" s="843">
        <v>1000</v>
      </c>
      <c r="AK287" s="843">
        <v>1000</v>
      </c>
      <c r="AL287" s="843">
        <v>1000</v>
      </c>
      <c r="AM287" s="843">
        <v>1000</v>
      </c>
      <c r="AN287" s="843">
        <v>1000</v>
      </c>
      <c r="AO287" s="843">
        <v>1000</v>
      </c>
      <c r="AP287" s="843">
        <v>1000</v>
      </c>
      <c r="AQ287" s="843">
        <v>1000</v>
      </c>
      <c r="AR287" s="843">
        <f>'[1]BUDGET DETAIL'!$CO$774</f>
        <v>1000</v>
      </c>
      <c r="AS287" s="843">
        <f t="shared" si="134"/>
        <v>0</v>
      </c>
      <c r="AT287" s="2239">
        <f t="shared" si="135"/>
        <v>0</v>
      </c>
      <c r="AU287" s="890"/>
      <c r="AV287" s="819"/>
      <c r="AW287" s="797">
        <f>SUM(AU287-H287)</f>
        <v>-750</v>
      </c>
      <c r="AX287" s="805">
        <f>IF(H287&gt;0,AW287/H287,"")</f>
        <v>-1</v>
      </c>
      <c r="AY287" s="807"/>
      <c r="AZ287" s="2136"/>
      <c r="BA287" s="2136"/>
    </row>
    <row r="288" spans="1:54" ht="13.9" hidden="1" customHeight="1" outlineLevel="1" x14ac:dyDescent="0.2">
      <c r="A288" s="878" t="s">
        <v>821</v>
      </c>
      <c r="B288" s="810">
        <f t="shared" ref="B288:N288" si="138">SUM(B287)</f>
        <v>750</v>
      </c>
      <c r="C288" s="810">
        <f t="shared" si="138"/>
        <v>750</v>
      </c>
      <c r="D288" s="944">
        <f t="shared" si="138"/>
        <v>750</v>
      </c>
      <c r="E288" s="810">
        <f t="shared" si="138"/>
        <v>750</v>
      </c>
      <c r="F288" s="944">
        <f>SUM(F287)</f>
        <v>750</v>
      </c>
      <c r="G288" s="944">
        <f>SUM(G287)</f>
        <v>750</v>
      </c>
      <c r="H288" s="906">
        <f>SUM(H287)</f>
        <v>750</v>
      </c>
      <c r="I288" s="906">
        <f>SUM(I287)</f>
        <v>750</v>
      </c>
      <c r="J288" s="813">
        <f t="shared" si="138"/>
        <v>750</v>
      </c>
      <c r="K288" s="814" t="s">
        <v>462</v>
      </c>
      <c r="L288" s="885">
        <f t="shared" si="138"/>
        <v>671.56</v>
      </c>
      <c r="M288" s="885">
        <f t="shared" si="138"/>
        <v>800</v>
      </c>
      <c r="N288" s="880">
        <f t="shared" si="138"/>
        <v>720</v>
      </c>
      <c r="O288" s="814">
        <f>O287</f>
        <v>800</v>
      </c>
      <c r="P288" s="814">
        <f>P287</f>
        <v>800</v>
      </c>
      <c r="Q288" s="852">
        <f>IF(SUM(Q287)=0,P288,Q287)</f>
        <v>800</v>
      </c>
      <c r="R288" s="814">
        <f>R287</f>
        <v>800</v>
      </c>
      <c r="S288" s="852">
        <f>IF(SUM(S287)=0,R288,S287)</f>
        <v>800</v>
      </c>
      <c r="T288" s="814">
        <v>800</v>
      </c>
      <c r="U288" s="814">
        <v>800</v>
      </c>
      <c r="V288" s="814">
        <f>V287</f>
        <v>1000</v>
      </c>
      <c r="W288" s="852">
        <f>IF(SUM(W287)=0,V288,W287)</f>
        <v>1000</v>
      </c>
      <c r="X288" s="814">
        <f>X287</f>
        <v>1000</v>
      </c>
      <c r="Y288" s="852">
        <f>IF(SUM(Y287)=0,X288,Y287)</f>
        <v>1000</v>
      </c>
      <c r="Z288" s="814">
        <f>Z287</f>
        <v>1000</v>
      </c>
      <c r="AA288" s="852">
        <f>IF(SUM(AA287)=0,Z288,AA287)</f>
        <v>1000</v>
      </c>
      <c r="AB288" s="814">
        <f>AB287</f>
        <v>1000</v>
      </c>
      <c r="AC288" s="852">
        <f>IF(SUM(AC287)=0,AB288,AC287)</f>
        <v>1000</v>
      </c>
      <c r="AD288" s="852"/>
      <c r="AE288" s="852">
        <v>1000</v>
      </c>
      <c r="AF288" s="852">
        <v>1000</v>
      </c>
      <c r="AG288" s="852">
        <v>1000</v>
      </c>
      <c r="AH288" s="852">
        <v>1000</v>
      </c>
      <c r="AI288" s="814">
        <v>1000</v>
      </c>
      <c r="AJ288" s="814">
        <v>1000</v>
      </c>
      <c r="AK288" s="814">
        <v>1000</v>
      </c>
      <c r="AL288" s="814">
        <v>1000</v>
      </c>
      <c r="AM288" s="814">
        <f>IF(SUM(AM285:AM287)=0,#REF!,SUM(AM285:AM287))</f>
        <v>1000</v>
      </c>
      <c r="AN288" s="814">
        <f>IF(SUM(AN285:AN287)=0,#REF!,SUM(AN285:AN287))</f>
        <v>1000</v>
      </c>
      <c r="AO288" s="814">
        <f>IF(SUM(AO285:AO287)=0,#REF!,SUM(AO285:AO287))</f>
        <v>1000</v>
      </c>
      <c r="AP288" s="814">
        <f>IF(SUM(AP285:AP287)=0,#REF!,SUM(AP285:AP287))</f>
        <v>1000</v>
      </c>
      <c r="AQ288" s="814">
        <f>IF(SUM(AQ285:AQ287)=0,#REF!,SUM(AQ285:AQ287))</f>
        <v>1000</v>
      </c>
      <c r="AR288" s="814">
        <f>IF(SUM(AR285:AR287)=0,#REF!,SUM(AR285:AR287))</f>
        <v>1000</v>
      </c>
      <c r="AS288" s="814">
        <f t="shared" si="134"/>
        <v>0</v>
      </c>
      <c r="AT288" s="2242">
        <f t="shared" si="135"/>
        <v>0</v>
      </c>
      <c r="AU288" s="854">
        <f>SUM(AU287)</f>
        <v>0</v>
      </c>
      <c r="AV288" s="819"/>
      <c r="AW288" s="797">
        <f>SUM(AU288-H288)</f>
        <v>-750</v>
      </c>
      <c r="AX288" s="805">
        <f>IF(H288&gt;0,AW288/H288,"")</f>
        <v>-1</v>
      </c>
      <c r="AY288" s="807"/>
      <c r="AZ288" s="2136"/>
      <c r="BA288" s="2136"/>
    </row>
    <row r="289" spans="1:54" ht="13.9" hidden="1" customHeight="1" outlineLevel="1" x14ac:dyDescent="0.2">
      <c r="A289" s="855"/>
      <c r="B289" s="822"/>
      <c r="C289" s="824"/>
      <c r="D289" s="823"/>
      <c r="E289" s="824"/>
      <c r="F289" s="823"/>
      <c r="G289" s="823"/>
      <c r="H289" s="823"/>
      <c r="I289" s="943"/>
      <c r="J289" s="1049"/>
      <c r="K289" s="857"/>
      <c r="L289" s="863"/>
      <c r="M289" s="864"/>
      <c r="N289" s="858"/>
      <c r="O289" s="856"/>
      <c r="P289" s="856"/>
      <c r="Q289" s="856"/>
      <c r="R289" s="856"/>
      <c r="S289" s="856"/>
      <c r="T289" s="856"/>
      <c r="U289" s="856"/>
      <c r="V289" s="856"/>
      <c r="W289" s="856"/>
      <c r="X289" s="856"/>
      <c r="Y289" s="856"/>
      <c r="Z289" s="856"/>
      <c r="AA289" s="856"/>
      <c r="AB289" s="856"/>
      <c r="AC289" s="856"/>
      <c r="AD289" s="856"/>
      <c r="AE289" s="856"/>
      <c r="AF289" s="856"/>
      <c r="AG289" s="856"/>
      <c r="AH289" s="856"/>
      <c r="AI289" s="856"/>
      <c r="AJ289" s="856"/>
      <c r="AK289" s="856"/>
      <c r="AL289" s="856"/>
      <c r="AM289" s="856"/>
      <c r="AN289" s="856"/>
      <c r="AO289" s="856"/>
      <c r="AP289" s="856"/>
      <c r="AQ289" s="856"/>
      <c r="AR289" s="856"/>
      <c r="AS289" s="856">
        <f t="shared" si="134"/>
        <v>0</v>
      </c>
      <c r="AT289" s="2243" t="str">
        <f t="shared" si="135"/>
        <v/>
      </c>
      <c r="AU289" s="833"/>
      <c r="AV289" s="834"/>
      <c r="AW289" s="823"/>
      <c r="AX289" s="835"/>
      <c r="AY289" s="836"/>
      <c r="AZ289" s="2136"/>
      <c r="BA289" s="2136"/>
    </row>
    <row r="290" spans="1:54" ht="13.9" hidden="1" customHeight="1" outlineLevel="1" x14ac:dyDescent="0.2">
      <c r="A290" s="795" t="s">
        <v>231</v>
      </c>
      <c r="B290" s="796"/>
      <c r="C290" s="797"/>
      <c r="D290" s="797"/>
      <c r="E290" s="870"/>
      <c r="F290" s="870"/>
      <c r="G290" s="870"/>
      <c r="H290" s="871"/>
      <c r="J290" s="884"/>
      <c r="K290" s="861"/>
      <c r="L290" s="901"/>
      <c r="M290" s="901"/>
      <c r="N290" s="902"/>
      <c r="O290" s="861"/>
      <c r="P290" s="861"/>
      <c r="Q290" s="861"/>
      <c r="R290" s="861"/>
      <c r="S290" s="861"/>
      <c r="T290" s="861"/>
      <c r="U290" s="861"/>
      <c r="V290" s="861"/>
      <c r="W290" s="861"/>
      <c r="X290" s="861"/>
      <c r="Y290" s="861"/>
      <c r="Z290" s="861"/>
      <c r="AA290" s="861"/>
      <c r="AB290" s="861"/>
      <c r="AC290" s="861"/>
      <c r="AD290" s="861"/>
      <c r="AE290" s="861"/>
      <c r="AF290" s="861"/>
      <c r="AG290" s="861"/>
      <c r="AH290" s="861"/>
      <c r="AI290" s="861"/>
      <c r="AJ290" s="861"/>
      <c r="AK290" s="861"/>
      <c r="AL290" s="861"/>
      <c r="AM290" s="861"/>
      <c r="AN290" s="861"/>
      <c r="AO290" s="861"/>
      <c r="AP290" s="861"/>
      <c r="AQ290" s="861"/>
      <c r="AR290" s="861"/>
      <c r="AS290" s="861">
        <f t="shared" si="134"/>
        <v>0</v>
      </c>
      <c r="AT290" s="2248" t="str">
        <f t="shared" si="135"/>
        <v/>
      </c>
      <c r="AU290" s="803"/>
      <c r="AV290" s="819"/>
      <c r="AW290" s="797"/>
      <c r="AX290" s="805"/>
      <c r="AY290" s="903"/>
      <c r="AZ290" s="2136"/>
      <c r="BA290" s="2136"/>
      <c r="BB290" s="2146"/>
    </row>
    <row r="291" spans="1:54" ht="13.9" hidden="1" customHeight="1" outlineLevel="1" x14ac:dyDescent="0.2">
      <c r="A291" s="878" t="s">
        <v>567</v>
      </c>
      <c r="B291" s="810">
        <f>SUM($B$250+$B$270)</f>
        <v>36481</v>
      </c>
      <c r="C291" s="810">
        <f>SUM($C$250+$C$270)</f>
        <v>36481</v>
      </c>
      <c r="D291" s="810">
        <f>SUM($D$250+$D$270)</f>
        <v>37088</v>
      </c>
      <c r="E291" s="810">
        <f>SUM($E$250+$E$270)</f>
        <v>49899</v>
      </c>
      <c r="F291" s="810">
        <f>SUM($F$250+$F$270)</f>
        <v>88368</v>
      </c>
      <c r="G291" s="811">
        <f>SUM($G$250+$G$270)</f>
        <v>92026.73000000001</v>
      </c>
      <c r="H291" s="811">
        <f>SUM($H$250+$H$270)</f>
        <v>83227</v>
      </c>
      <c r="I291" s="811">
        <f>SUM($I$250+$I$270)</f>
        <v>72423.600000000006</v>
      </c>
      <c r="J291" s="907">
        <f t="shared" ref="J291:R291" si="139">SUM(J$250+J$270)</f>
        <v>94275</v>
      </c>
      <c r="K291" s="907" t="e">
        <f t="shared" si="139"/>
        <v>#VALUE!</v>
      </c>
      <c r="L291" s="1102">
        <f t="shared" si="139"/>
        <v>95733</v>
      </c>
      <c r="M291" s="1102">
        <f t="shared" si="139"/>
        <v>103347</v>
      </c>
      <c r="N291" s="919">
        <f t="shared" si="139"/>
        <v>102478</v>
      </c>
      <c r="O291" s="928">
        <f t="shared" si="139"/>
        <v>105036</v>
      </c>
      <c r="P291" s="928">
        <f t="shared" si="139"/>
        <v>106137</v>
      </c>
      <c r="Q291" s="928">
        <f t="shared" si="139"/>
        <v>106137</v>
      </c>
      <c r="R291" s="928">
        <f t="shared" si="139"/>
        <v>106137</v>
      </c>
      <c r="S291" s="928"/>
      <c r="T291" s="928">
        <v>104658</v>
      </c>
      <c r="U291" s="928">
        <v>104658</v>
      </c>
      <c r="V291" s="928">
        <f t="shared" ref="V291:AC291" si="140">SUM(V$250+V$270)</f>
        <v>107948</v>
      </c>
      <c r="W291" s="928">
        <f t="shared" si="140"/>
        <v>107948</v>
      </c>
      <c r="X291" s="928">
        <f t="shared" si="140"/>
        <v>111363</v>
      </c>
      <c r="Y291" s="928">
        <f t="shared" si="140"/>
        <v>111363</v>
      </c>
      <c r="Z291" s="928">
        <f t="shared" si="140"/>
        <v>118258</v>
      </c>
      <c r="AA291" s="928">
        <f t="shared" si="140"/>
        <v>118258</v>
      </c>
      <c r="AB291" s="928">
        <f t="shared" si="140"/>
        <v>121438</v>
      </c>
      <c r="AC291" s="928">
        <f t="shared" si="140"/>
        <v>129491</v>
      </c>
      <c r="AD291" s="928"/>
      <c r="AE291" s="928">
        <v>136990</v>
      </c>
      <c r="AF291" s="928">
        <v>0</v>
      </c>
      <c r="AG291" s="928">
        <v>141099.70000000001</v>
      </c>
      <c r="AH291" s="928">
        <v>141463</v>
      </c>
      <c r="AI291" s="928">
        <v>145706.89000000001</v>
      </c>
      <c r="AJ291" s="928">
        <v>147177</v>
      </c>
      <c r="AK291" s="928">
        <v>151592.31</v>
      </c>
      <c r="AL291" s="928">
        <v>137935</v>
      </c>
      <c r="AM291" s="928">
        <f t="shared" ref="AM291:AR291" si="141">SUM(AM$250+AM$270)</f>
        <v>140693.70000000001</v>
      </c>
      <c r="AN291" s="928">
        <f t="shared" si="141"/>
        <v>138770</v>
      </c>
      <c r="AO291" s="928">
        <f t="shared" si="141"/>
        <v>142239.25</v>
      </c>
      <c r="AP291" s="928">
        <f t="shared" si="141"/>
        <v>141526</v>
      </c>
      <c r="AQ291" s="928">
        <f t="shared" si="141"/>
        <v>144356.51999999999</v>
      </c>
      <c r="AR291" s="928">
        <f t="shared" si="141"/>
        <v>152229</v>
      </c>
      <c r="AS291" s="928">
        <f t="shared" si="134"/>
        <v>10703</v>
      </c>
      <c r="AT291" s="2242">
        <f t="shared" si="135"/>
        <v>7.5625680087051145E-2</v>
      </c>
      <c r="AU291" s="854">
        <f>SUM($AU$250+$AU$270)</f>
        <v>0</v>
      </c>
      <c r="AV291" s="819"/>
      <c r="AW291" s="797">
        <f>SUM(AU291-H291)</f>
        <v>-83227</v>
      </c>
      <c r="AX291" s="805">
        <f t="shared" ref="AX291:AX296" si="142">IF(H291&gt;0,AW291/H291,"")</f>
        <v>-1</v>
      </c>
      <c r="AY291" s="903"/>
      <c r="AZ291" s="2136"/>
      <c r="BA291" s="2136"/>
      <c r="BB291" s="2146"/>
    </row>
    <row r="292" spans="1:54" ht="13.9" hidden="1" customHeight="1" outlineLevel="1" x14ac:dyDescent="0.2">
      <c r="A292" s="878" t="s">
        <v>558</v>
      </c>
      <c r="B292" s="810">
        <f>SUM($B$251+$B$265+$B271)</f>
        <v>46932</v>
      </c>
      <c r="C292" s="810">
        <f>SUM($C$251+$C$265+$C$271)</f>
        <v>42127</v>
      </c>
      <c r="D292" s="810">
        <f>SUM($D$251+$D$265+$D271)</f>
        <v>63951</v>
      </c>
      <c r="E292" s="810">
        <f>SUM($E$251+$E$265+$E$271)</f>
        <v>62741.72</v>
      </c>
      <c r="F292" s="810">
        <f>SUM($F$251+$F$265+$F271)</f>
        <v>38951</v>
      </c>
      <c r="G292" s="811">
        <f>SUM($G$251+$G$265+$G271)</f>
        <v>38874.31</v>
      </c>
      <c r="H292" s="811">
        <f>SUM($H$251+$H$265+$H271)</f>
        <v>42431</v>
      </c>
      <c r="I292" s="811">
        <f>SUM($I$251+$I$265+$I271)</f>
        <v>41591.379999999997</v>
      </c>
      <c r="J292" s="907">
        <f t="shared" ref="J292:R292" si="143">SUM(J$251+J$265+J271)</f>
        <v>45159</v>
      </c>
      <c r="K292" s="907">
        <f t="shared" si="143"/>
        <v>0</v>
      </c>
      <c r="L292" s="1102">
        <f t="shared" si="143"/>
        <v>52919.67</v>
      </c>
      <c r="M292" s="1102">
        <f t="shared" si="143"/>
        <v>60663</v>
      </c>
      <c r="N292" s="919">
        <f t="shared" si="143"/>
        <v>46917</v>
      </c>
      <c r="O292" s="928">
        <f t="shared" si="143"/>
        <v>48116</v>
      </c>
      <c r="P292" s="928">
        <f t="shared" si="143"/>
        <v>47658</v>
      </c>
      <c r="Q292" s="928">
        <f t="shared" si="143"/>
        <v>47658</v>
      </c>
      <c r="R292" s="928">
        <f t="shared" si="143"/>
        <v>47658</v>
      </c>
      <c r="S292" s="928"/>
      <c r="T292" s="928">
        <v>56140</v>
      </c>
      <c r="U292" s="928">
        <v>56140</v>
      </c>
      <c r="V292" s="928">
        <f t="shared" ref="V292:AC292" si="144">SUM(V$251+V$265+V271)</f>
        <v>58415</v>
      </c>
      <c r="W292" s="928">
        <f t="shared" si="144"/>
        <v>58415</v>
      </c>
      <c r="X292" s="928">
        <f t="shared" si="144"/>
        <v>59761</v>
      </c>
      <c r="Y292" s="928">
        <f t="shared" si="144"/>
        <v>59761</v>
      </c>
      <c r="Z292" s="928">
        <f t="shared" si="144"/>
        <v>62747</v>
      </c>
      <c r="AA292" s="928">
        <f t="shared" si="144"/>
        <v>67653</v>
      </c>
      <c r="AB292" s="928">
        <f t="shared" si="144"/>
        <v>69747</v>
      </c>
      <c r="AC292" s="928">
        <f t="shared" si="144"/>
        <v>69747</v>
      </c>
      <c r="AD292" s="928"/>
      <c r="AE292" s="928">
        <v>72098</v>
      </c>
      <c r="AF292" s="928">
        <v>0</v>
      </c>
      <c r="AG292" s="928">
        <v>74260.94</v>
      </c>
      <c r="AH292" s="928">
        <v>75715</v>
      </c>
      <c r="AI292" s="928">
        <v>77986.450000000012</v>
      </c>
      <c r="AJ292" s="928">
        <v>85305</v>
      </c>
      <c r="AK292" s="928">
        <v>87864.150000000009</v>
      </c>
      <c r="AL292" s="928">
        <v>86456</v>
      </c>
      <c r="AM292" s="928">
        <f t="shared" ref="AM292:AN292" si="145">SUM(AM$251+AM$265+AM271)</f>
        <v>88185.12</v>
      </c>
      <c r="AN292" s="928">
        <f t="shared" si="145"/>
        <v>91163</v>
      </c>
      <c r="AO292" s="928">
        <f t="shared" ref="AO292:AP292" si="146">SUM(AO$251+AO$265+AO271)</f>
        <v>93442.074999999983</v>
      </c>
      <c r="AP292" s="928">
        <f t="shared" si="146"/>
        <v>93819</v>
      </c>
      <c r="AQ292" s="928">
        <f t="shared" ref="AQ292:AR292" si="147">SUM(AQ$251+AQ$265+AQ271)</f>
        <v>95695.38</v>
      </c>
      <c r="AR292" s="928">
        <f t="shared" si="147"/>
        <v>96663</v>
      </c>
      <c r="AS292" s="928">
        <f t="shared" si="134"/>
        <v>2844</v>
      </c>
      <c r="AT292" s="2242">
        <f t="shared" si="135"/>
        <v>3.0313689124804144E-2</v>
      </c>
      <c r="AU292" s="854">
        <f>SUM($AU$251+$AU$265+$AU271)</f>
        <v>0</v>
      </c>
      <c r="AV292" s="819"/>
      <c r="AW292" s="797">
        <f>SUM(AU292-H292)</f>
        <v>-42431</v>
      </c>
      <c r="AX292" s="805">
        <f t="shared" si="142"/>
        <v>-1</v>
      </c>
      <c r="AY292" s="903"/>
      <c r="AZ292" s="2136"/>
      <c r="BA292" s="2136"/>
      <c r="BB292" s="2146"/>
    </row>
    <row r="293" spans="1:54" ht="13.9" hidden="1" customHeight="1" outlineLevel="1" x14ac:dyDescent="0.2">
      <c r="A293" s="878" t="s">
        <v>819</v>
      </c>
      <c r="B293" s="810">
        <f>SUM($B$261+$B$276)</f>
        <v>300705</v>
      </c>
      <c r="C293" s="810">
        <f>SUM(+$C$261+$C$276)</f>
        <v>292213.94</v>
      </c>
      <c r="D293" s="810">
        <f>SUM($D$261+$D$276)</f>
        <v>349468</v>
      </c>
      <c r="E293" s="810">
        <f>SUM($E$261+$E$276)</f>
        <v>333550.90000000002</v>
      </c>
      <c r="F293" s="810">
        <f>SUM($F$261+$F$276)</f>
        <v>343678</v>
      </c>
      <c r="G293" s="811">
        <f>SUM($G$261+$G$276)</f>
        <v>339046.94</v>
      </c>
      <c r="H293" s="811">
        <f>SUM($H$261+$H$276)</f>
        <v>350499</v>
      </c>
      <c r="I293" s="811">
        <f>SUM(I$258+$I$261+$I$276)</f>
        <v>347657.28</v>
      </c>
      <c r="J293" s="813">
        <f>SUM(J$258+J$261+J$276)</f>
        <v>354960</v>
      </c>
      <c r="K293" s="813">
        <f>SUM(K$261+K$276)</f>
        <v>0</v>
      </c>
      <c r="L293" s="885">
        <f t="shared" ref="L293:R293" si="148">SUM(L$258+L$261+L$276)</f>
        <v>361444.64</v>
      </c>
      <c r="M293" s="885">
        <f t="shared" si="148"/>
        <v>373268</v>
      </c>
      <c r="N293" s="880">
        <f t="shared" si="148"/>
        <v>350787</v>
      </c>
      <c r="O293" s="881">
        <f t="shared" si="148"/>
        <v>355787</v>
      </c>
      <c r="P293" s="881">
        <f t="shared" si="148"/>
        <v>369819</v>
      </c>
      <c r="Q293" s="881">
        <f t="shared" si="148"/>
        <v>369819</v>
      </c>
      <c r="R293" s="881">
        <f t="shared" si="148"/>
        <v>387560</v>
      </c>
      <c r="S293" s="881"/>
      <c r="T293" s="881">
        <v>406713</v>
      </c>
      <c r="U293" s="881">
        <v>406713</v>
      </c>
      <c r="V293" s="881">
        <f t="shared" ref="V293:AC293" si="149">SUM(V$258+V$261+V$276)</f>
        <v>409713</v>
      </c>
      <c r="W293" s="881">
        <f t="shared" si="149"/>
        <v>409713</v>
      </c>
      <c r="X293" s="881">
        <f t="shared" si="149"/>
        <v>409713</v>
      </c>
      <c r="Y293" s="881">
        <f t="shared" si="149"/>
        <v>409713</v>
      </c>
      <c r="Z293" s="881">
        <f t="shared" si="149"/>
        <v>409713</v>
      </c>
      <c r="AA293" s="881">
        <f t="shared" si="149"/>
        <v>409713</v>
      </c>
      <c r="AB293" s="881">
        <f t="shared" si="149"/>
        <v>409713</v>
      </c>
      <c r="AC293" s="881">
        <f t="shared" si="149"/>
        <v>409713</v>
      </c>
      <c r="AD293" s="881"/>
      <c r="AE293" s="881">
        <v>409803</v>
      </c>
      <c r="AF293" s="881">
        <v>0</v>
      </c>
      <c r="AG293" s="881">
        <v>0</v>
      </c>
      <c r="AH293" s="881">
        <v>0</v>
      </c>
      <c r="AI293" s="928">
        <v>0</v>
      </c>
      <c r="AJ293" s="928"/>
      <c r="AK293" s="928"/>
      <c r="AL293" s="928"/>
      <c r="AM293" s="928"/>
      <c r="AN293" s="928"/>
      <c r="AO293" s="928"/>
      <c r="AP293" s="928"/>
      <c r="AQ293" s="928"/>
      <c r="AR293" s="928"/>
      <c r="AS293" s="928">
        <f t="shared" si="134"/>
        <v>0</v>
      </c>
      <c r="AT293" s="2242" t="str">
        <f t="shared" si="135"/>
        <v/>
      </c>
      <c r="AU293" s="1103">
        <f>SUM($AU$261+$AU$276)</f>
        <v>0</v>
      </c>
      <c r="AV293" s="819"/>
      <c r="AW293" s="797">
        <f>SUM(AU293-H293)</f>
        <v>-350499</v>
      </c>
      <c r="AX293" s="805">
        <f t="shared" si="142"/>
        <v>-1</v>
      </c>
      <c r="AY293" s="903"/>
      <c r="AZ293" s="2136"/>
      <c r="BA293" s="2136"/>
      <c r="BB293" s="2146"/>
    </row>
    <row r="294" spans="1:54" ht="13.9" hidden="1" customHeight="1" outlineLevel="1" x14ac:dyDescent="0.2">
      <c r="A294" s="878" t="s">
        <v>820</v>
      </c>
      <c r="B294" s="810">
        <f>SUM($B$252+$B$266+$B$272+$B$280+$B$287)</f>
        <v>58630</v>
      </c>
      <c r="C294" s="810">
        <f>SUM($C$252+$C$266+$C$272+$C$280++$C$287)</f>
        <v>55461.219999999994</v>
      </c>
      <c r="D294" s="810">
        <f>SUM($D$252+$D$266+$D$272+$D$280+$D$287)</f>
        <v>27110</v>
      </c>
      <c r="E294" s="810">
        <f>SUM($E$252+$E$266+$E$272+$E$280+$E$287)</f>
        <v>18488.66</v>
      </c>
      <c r="F294" s="810">
        <f>SUM($F$252+$F$266+$F$272+$F$280+$F$287)</f>
        <v>26610</v>
      </c>
      <c r="G294" s="811">
        <f>SUM($G$252+$G$266+$G$272+$G$280+$G$287)</f>
        <v>23447.43</v>
      </c>
      <c r="H294" s="811">
        <f>SUM($H$252+$H$266+$H$272+$H$280++$H$287)</f>
        <v>26715</v>
      </c>
      <c r="I294" s="811">
        <f>SUM($I$252+$I$266+$I$272+$I$280++$I$287)</f>
        <v>24054.44</v>
      </c>
      <c r="J294" s="813">
        <f>SUM(J$252+J257+J$266+J$272+J$280+J$287)</f>
        <v>24995</v>
      </c>
      <c r="K294" s="813" t="e">
        <f>SUM(K$252+K$266+K$272+K$280+K$287)</f>
        <v>#VALUE!</v>
      </c>
      <c r="L294" s="885">
        <f t="shared" ref="L294:R294" si="150">SUM(L$252+L257+L$266+L$272+L$280+L$287)</f>
        <v>25205.120000000003</v>
      </c>
      <c r="M294" s="885">
        <f t="shared" si="150"/>
        <v>27376</v>
      </c>
      <c r="N294" s="880">
        <f t="shared" si="150"/>
        <v>21328</v>
      </c>
      <c r="O294" s="881">
        <f t="shared" si="150"/>
        <v>22133</v>
      </c>
      <c r="P294" s="881">
        <f t="shared" si="150"/>
        <v>21462</v>
      </c>
      <c r="Q294" s="881">
        <f t="shared" si="150"/>
        <v>21462</v>
      </c>
      <c r="R294" s="881">
        <f t="shared" si="150"/>
        <v>23962</v>
      </c>
      <c r="S294" s="881"/>
      <c r="T294" s="881">
        <v>24348</v>
      </c>
      <c r="U294" s="881">
        <v>24348</v>
      </c>
      <c r="V294" s="881">
        <f t="shared" ref="V294:AC294" si="151">SUM(V$252+V257+V$266+V$272+V$280+V$287)</f>
        <v>22404</v>
      </c>
      <c r="W294" s="881">
        <f t="shared" si="151"/>
        <v>22404</v>
      </c>
      <c r="X294" s="881">
        <f t="shared" si="151"/>
        <v>23446</v>
      </c>
      <c r="Y294" s="881">
        <f t="shared" si="151"/>
        <v>23446</v>
      </c>
      <c r="Z294" s="881">
        <f t="shared" si="151"/>
        <v>26158</v>
      </c>
      <c r="AA294" s="881">
        <f t="shared" si="151"/>
        <v>26158</v>
      </c>
      <c r="AB294" s="881">
        <f t="shared" si="151"/>
        <v>24288</v>
      </c>
      <c r="AC294" s="881">
        <f t="shared" si="151"/>
        <v>24288</v>
      </c>
      <c r="AD294" s="881"/>
      <c r="AE294" s="881">
        <v>26888</v>
      </c>
      <c r="AF294" s="881">
        <v>0</v>
      </c>
      <c r="AG294" s="881">
        <v>25238</v>
      </c>
      <c r="AH294" s="881">
        <v>25638</v>
      </c>
      <c r="AI294" s="928">
        <v>25638</v>
      </c>
      <c r="AJ294" s="928">
        <v>26738</v>
      </c>
      <c r="AK294" s="928">
        <v>26738</v>
      </c>
      <c r="AL294" s="928">
        <v>33147</v>
      </c>
      <c r="AM294" s="928">
        <f t="shared" ref="AM294:AN294" si="152">SUM(AM$252+AM257+AM$266+AM$272+AM$280+AM$287)</f>
        <v>33147</v>
      </c>
      <c r="AN294" s="928">
        <f t="shared" si="152"/>
        <v>42637</v>
      </c>
      <c r="AO294" s="928">
        <f t="shared" ref="AO294:AP294" si="153">SUM(AO$252+AO257+AO$266+AO$272+AO$280+AO$287)</f>
        <v>42637</v>
      </c>
      <c r="AP294" s="928">
        <f t="shared" si="153"/>
        <v>43137</v>
      </c>
      <c r="AQ294" s="928">
        <f t="shared" ref="AQ294:AR294" si="154">SUM(AQ$252+AQ257+AQ$266+AQ$272+AQ$280+AQ$287)</f>
        <v>43137</v>
      </c>
      <c r="AR294" s="928">
        <f t="shared" si="154"/>
        <v>43445</v>
      </c>
      <c r="AS294" s="928">
        <f t="shared" si="134"/>
        <v>308</v>
      </c>
      <c r="AT294" s="2242">
        <f t="shared" si="135"/>
        <v>7.1400421911584026E-3</v>
      </c>
      <c r="AU294" s="868">
        <f>SUM($AU$252+$AU$266+$AU$272+$AU$280+$AU$287)</f>
        <v>0</v>
      </c>
      <c r="AV294" s="819"/>
      <c r="AW294" s="797">
        <f>SUM(AU294-H294)</f>
        <v>-26715</v>
      </c>
      <c r="AX294" s="805">
        <f t="shared" si="142"/>
        <v>-1</v>
      </c>
      <c r="AY294" s="903"/>
      <c r="AZ294" s="2136"/>
      <c r="BA294" s="2136"/>
      <c r="BB294" s="2146"/>
    </row>
    <row r="295" spans="1:54" ht="13.9" hidden="1" customHeight="1" outlineLevel="1" x14ac:dyDescent="0.2">
      <c r="A295" s="878" t="s">
        <v>249</v>
      </c>
      <c r="B295" s="810">
        <f>SUM($B$283)</f>
        <v>1600</v>
      </c>
      <c r="C295" s="810">
        <f>SUM($C$283)</f>
        <v>333.21</v>
      </c>
      <c r="D295" s="810">
        <f>SUM($D$283)</f>
        <v>1600</v>
      </c>
      <c r="E295" s="810">
        <f>SUM($E$283)</f>
        <v>331.6</v>
      </c>
      <c r="F295" s="810">
        <f>SUM($F$283)</f>
        <v>1600</v>
      </c>
      <c r="G295" s="811">
        <f>SUM($G$283)</f>
        <v>2929.79</v>
      </c>
      <c r="H295" s="811">
        <f>SUM($H$283)</f>
        <v>1600</v>
      </c>
      <c r="I295" s="811">
        <f>SUM($I$283)</f>
        <v>4311.6499999999996</v>
      </c>
      <c r="J295" s="1047">
        <f t="shared" ref="J295:O295" si="155">J284</f>
        <v>1600</v>
      </c>
      <c r="K295" s="1047" t="str">
        <f t="shared" si="155"/>
        <v>OK</v>
      </c>
      <c r="L295" s="1104">
        <f t="shared" si="155"/>
        <v>560.19000000000005</v>
      </c>
      <c r="M295" s="1104">
        <f t="shared" si="155"/>
        <v>3470</v>
      </c>
      <c r="N295" s="1105">
        <f t="shared" si="155"/>
        <v>3123</v>
      </c>
      <c r="O295" s="990">
        <f t="shared" si="155"/>
        <v>3470</v>
      </c>
      <c r="P295" s="990">
        <f>P284</f>
        <v>4970</v>
      </c>
      <c r="Q295" s="990">
        <f>Q284</f>
        <v>4970</v>
      </c>
      <c r="R295" s="990">
        <f>R284</f>
        <v>6350</v>
      </c>
      <c r="S295" s="881"/>
      <c r="T295" s="881">
        <v>6500</v>
      </c>
      <c r="U295" s="881">
        <v>6500</v>
      </c>
      <c r="V295" s="990">
        <f t="shared" ref="V295:AA295" si="156">V284</f>
        <v>8620</v>
      </c>
      <c r="W295" s="990">
        <f t="shared" si="156"/>
        <v>20620</v>
      </c>
      <c r="X295" s="990">
        <f t="shared" si="156"/>
        <v>20960</v>
      </c>
      <c r="Y295" s="990">
        <f t="shared" si="156"/>
        <v>20960</v>
      </c>
      <c r="Z295" s="990">
        <f t="shared" si="156"/>
        <v>20960</v>
      </c>
      <c r="AA295" s="990">
        <f t="shared" si="156"/>
        <v>20960</v>
      </c>
      <c r="AB295" s="990">
        <f t="shared" ref="AB295:AC295" si="157">AB284</f>
        <v>20960</v>
      </c>
      <c r="AC295" s="990">
        <f t="shared" si="157"/>
        <v>20960</v>
      </c>
      <c r="AD295" s="990"/>
      <c r="AE295" s="990">
        <v>20960</v>
      </c>
      <c r="AF295" s="990">
        <v>20960</v>
      </c>
      <c r="AG295" s="990">
        <v>20960</v>
      </c>
      <c r="AH295" s="990">
        <v>20960</v>
      </c>
      <c r="AI295" s="928">
        <v>20960</v>
      </c>
      <c r="AJ295" s="928">
        <v>20960</v>
      </c>
      <c r="AK295" s="928">
        <v>20960</v>
      </c>
      <c r="AL295" s="928">
        <v>20960</v>
      </c>
      <c r="AM295" s="928">
        <f t="shared" ref="AM295:AN295" si="158">AM284</f>
        <v>20960</v>
      </c>
      <c r="AN295" s="928">
        <f t="shared" si="158"/>
        <v>20960</v>
      </c>
      <c r="AO295" s="928">
        <f t="shared" ref="AO295:AP295" si="159">AO284</f>
        <v>20960</v>
      </c>
      <c r="AP295" s="928">
        <f t="shared" si="159"/>
        <v>20960</v>
      </c>
      <c r="AQ295" s="928">
        <f t="shared" ref="AQ295:AR295" si="160">AQ284</f>
        <v>20960</v>
      </c>
      <c r="AR295" s="928">
        <f t="shared" si="160"/>
        <v>20960</v>
      </c>
      <c r="AS295" s="928">
        <f t="shared" si="134"/>
        <v>0</v>
      </c>
      <c r="AT295" s="2242">
        <f t="shared" si="135"/>
        <v>0</v>
      </c>
      <c r="AU295" s="868">
        <f>SUM($AU$283)</f>
        <v>0</v>
      </c>
      <c r="AV295" s="819"/>
      <c r="AW295" s="797">
        <f>SUM(AU295-H295)</f>
        <v>-1600</v>
      </c>
      <c r="AX295" s="805">
        <f t="shared" si="142"/>
        <v>-1</v>
      </c>
      <c r="AY295" s="903"/>
      <c r="AZ295" s="2136"/>
      <c r="BA295" s="2136"/>
      <c r="BB295" s="2146"/>
    </row>
    <row r="296" spans="1:54" ht="13.9" hidden="1" customHeight="1" outlineLevel="1" thickBot="1" x14ac:dyDescent="0.25">
      <c r="A296" s="946" t="s">
        <v>227</v>
      </c>
      <c r="B296" s="947">
        <f>SUM(B290:B295)</f>
        <v>444348</v>
      </c>
      <c r="C296" s="948">
        <f>SUM(C290:C295)</f>
        <v>426616.37</v>
      </c>
      <c r="D296" s="948">
        <f>SUM(D290:D295)</f>
        <v>479217</v>
      </c>
      <c r="E296" s="948">
        <f>SUM(E290:E295)</f>
        <v>465011.87999999995</v>
      </c>
      <c r="F296" s="948">
        <f>SUM(F290:F295)</f>
        <v>499207</v>
      </c>
      <c r="G296" s="1106">
        <f>SUM(G291:G295)</f>
        <v>496325.19999999995</v>
      </c>
      <c r="H296" s="948">
        <f t="shared" ref="H296:O296" si="161">SUM(H290:H295)</f>
        <v>504472</v>
      </c>
      <c r="I296" s="949">
        <f t="shared" si="161"/>
        <v>490038.35000000003</v>
      </c>
      <c r="J296" s="1107">
        <f t="shared" si="161"/>
        <v>520989</v>
      </c>
      <c r="K296" s="1107" t="e">
        <f t="shared" si="161"/>
        <v>#VALUE!</v>
      </c>
      <c r="L296" s="1108">
        <f t="shared" si="161"/>
        <v>535862.62</v>
      </c>
      <c r="M296" s="1108">
        <f t="shared" si="161"/>
        <v>568124</v>
      </c>
      <c r="N296" s="1109">
        <f t="shared" si="161"/>
        <v>524633</v>
      </c>
      <c r="O296" s="1071">
        <f t="shared" si="161"/>
        <v>534542</v>
      </c>
      <c r="P296" s="1071">
        <f>SUM(P290:P295)</f>
        <v>550046</v>
      </c>
      <c r="Q296" s="1071">
        <f>IF(SUM(Q293:Q295)=0,P296,SUM(Q291:Q295))</f>
        <v>550046</v>
      </c>
      <c r="R296" s="1071">
        <f>SUM(R290:R295)</f>
        <v>571667</v>
      </c>
      <c r="S296" s="1071">
        <f>IF(SUM(S293:S295)=0,R296,SUM(S291:S295))</f>
        <v>571667</v>
      </c>
      <c r="T296" s="1071">
        <v>598359</v>
      </c>
      <c r="U296" s="1071">
        <v>598359</v>
      </c>
      <c r="V296" s="1071">
        <f>SUM(V290:V295)</f>
        <v>607100</v>
      </c>
      <c r="W296" s="1071">
        <f>IF(SUM(W293:W295)=0,V296,SUM(W291:W295))</f>
        <v>619100</v>
      </c>
      <c r="X296" s="1071">
        <f>SUM(X290:X295)</f>
        <v>625243</v>
      </c>
      <c r="Y296" s="1071">
        <f>IF(SUM(Y293:Y295)=0,X296,SUM(Y291:Y295))</f>
        <v>625243</v>
      </c>
      <c r="Z296" s="1071">
        <f>SUM(Z290:Z295)</f>
        <v>637836</v>
      </c>
      <c r="AA296" s="1071">
        <f>IF(SUM(AA293:AA295)=0,Z296,SUM(AA291:AA295))</f>
        <v>642742</v>
      </c>
      <c r="AB296" s="1071">
        <f>SUM(AB290:AB295)</f>
        <v>646146</v>
      </c>
      <c r="AC296" s="1071">
        <f>IF(SUM(AC293:AC295)=0,AB296,SUM(AC291:AC295))</f>
        <v>654199</v>
      </c>
      <c r="AD296" s="1071"/>
      <c r="AE296" s="1071">
        <v>666739</v>
      </c>
      <c r="AF296" s="1071">
        <v>20960</v>
      </c>
      <c r="AG296" s="1071">
        <v>261558.64</v>
      </c>
      <c r="AH296" s="1071">
        <v>263776</v>
      </c>
      <c r="AI296" s="1071">
        <v>270291.34000000003</v>
      </c>
      <c r="AJ296" s="1071">
        <v>280180</v>
      </c>
      <c r="AK296" s="1071">
        <v>287154.46000000002</v>
      </c>
      <c r="AL296" s="1071">
        <v>278498</v>
      </c>
      <c r="AM296" s="1071">
        <f t="shared" ref="AM296:AR296" si="162">SUM(AM291:AM295)</f>
        <v>282985.82</v>
      </c>
      <c r="AN296" s="1071">
        <f t="shared" si="162"/>
        <v>293530</v>
      </c>
      <c r="AO296" s="1071">
        <f t="shared" si="162"/>
        <v>299278.32499999995</v>
      </c>
      <c r="AP296" s="1071">
        <f t="shared" si="162"/>
        <v>299442</v>
      </c>
      <c r="AQ296" s="1071">
        <f t="shared" si="162"/>
        <v>304148.90000000002</v>
      </c>
      <c r="AR296" s="1071">
        <f t="shared" si="162"/>
        <v>313297</v>
      </c>
      <c r="AS296" s="1071">
        <f t="shared" si="134"/>
        <v>13855</v>
      </c>
      <c r="AT296" s="2257">
        <f t="shared" si="135"/>
        <v>4.6269394406930224E-2</v>
      </c>
      <c r="AU296" s="954">
        <f>SUM(AU290:AU295)</f>
        <v>0</v>
      </c>
      <c r="AV296" s="955"/>
      <c r="AW296" s="956">
        <f>SUM(AU296-F296)</f>
        <v>-499207</v>
      </c>
      <c r="AX296" s="957">
        <f t="shared" si="142"/>
        <v>-0.98956334543839897</v>
      </c>
      <c r="AY296" s="958" t="s">
        <v>732</v>
      </c>
      <c r="AZ296" s="2136"/>
      <c r="BA296" s="2136"/>
    </row>
    <row r="297" spans="1:54" ht="13.9" hidden="1" customHeight="1" thickTop="1" x14ac:dyDescent="0.2">
      <c r="A297" s="795" t="s">
        <v>155</v>
      </c>
      <c r="B297" s="796"/>
      <c r="C297" s="797"/>
      <c r="D297" s="797"/>
      <c r="E297" s="797"/>
      <c r="F297" s="798"/>
      <c r="G297" s="797"/>
      <c r="H297" s="797"/>
      <c r="J297" s="884"/>
      <c r="K297" s="859"/>
      <c r="L297" s="865"/>
      <c r="M297" s="865"/>
      <c r="N297" s="865"/>
      <c r="O297" s="859"/>
      <c r="P297" s="859"/>
      <c r="Q297" s="859"/>
      <c r="R297" s="859"/>
      <c r="S297" s="859"/>
      <c r="T297" s="859"/>
      <c r="U297" s="859"/>
      <c r="V297" s="859"/>
      <c r="W297" s="859"/>
      <c r="X297" s="859"/>
      <c r="Y297" s="859"/>
      <c r="Z297" s="859"/>
      <c r="AA297" s="859"/>
      <c r="AB297" s="859"/>
      <c r="AC297" s="859"/>
      <c r="AD297" s="859"/>
      <c r="AE297" s="859"/>
      <c r="AF297" s="859"/>
      <c r="AG297" s="859"/>
      <c r="AH297" s="859"/>
      <c r="AI297" s="859"/>
      <c r="AJ297" s="859"/>
      <c r="AK297" s="859"/>
      <c r="AL297" s="859"/>
      <c r="AM297" s="859"/>
      <c r="AN297" s="859"/>
      <c r="AO297" s="859"/>
      <c r="AP297" s="859"/>
      <c r="AQ297" s="859"/>
      <c r="AR297" s="859"/>
      <c r="AS297" s="859">
        <f t="shared" si="134"/>
        <v>0</v>
      </c>
      <c r="AT297" s="2239" t="str">
        <f t="shared" si="135"/>
        <v/>
      </c>
      <c r="AU297" s="803"/>
      <c r="AV297" s="819"/>
      <c r="AW297" s="797"/>
      <c r="AX297" s="805"/>
      <c r="AY297" s="807"/>
      <c r="AZ297" s="2136"/>
      <c r="BA297" s="2136"/>
    </row>
    <row r="298" spans="1:54" ht="13.9" hidden="1" customHeight="1" outlineLevel="1" x14ac:dyDescent="0.2">
      <c r="A298" s="808" t="s">
        <v>156</v>
      </c>
      <c r="B298" s="796"/>
      <c r="C298" s="797"/>
      <c r="D298" s="797"/>
      <c r="E298" s="797"/>
      <c r="F298" s="798"/>
      <c r="G298" s="797"/>
      <c r="H298" s="797"/>
      <c r="J298" s="884"/>
      <c r="K298" s="817"/>
      <c r="L298" s="893"/>
      <c r="M298" s="893"/>
      <c r="N298" s="893"/>
      <c r="O298" s="817"/>
      <c r="P298" s="817"/>
      <c r="Q298" s="817"/>
      <c r="R298" s="817"/>
      <c r="S298" s="817"/>
      <c r="T298" s="817"/>
      <c r="U298" s="817"/>
      <c r="V298" s="817"/>
      <c r="W298" s="817"/>
      <c r="X298" s="817"/>
      <c r="Y298" s="817"/>
      <c r="Z298" s="817"/>
      <c r="AA298" s="817"/>
      <c r="AB298" s="817"/>
      <c r="AC298" s="817"/>
      <c r="AD298" s="817"/>
      <c r="AE298" s="817"/>
      <c r="AF298" s="817"/>
      <c r="AG298" s="817"/>
      <c r="AH298" s="817"/>
      <c r="AI298" s="817"/>
      <c r="AJ298" s="817"/>
      <c r="AK298" s="817"/>
      <c r="AL298" s="817"/>
      <c r="AM298" s="817"/>
      <c r="AN298" s="817"/>
      <c r="AO298" s="817"/>
      <c r="AP298" s="817"/>
      <c r="AQ298" s="817"/>
      <c r="AR298" s="817"/>
      <c r="AS298" s="817">
        <f t="shared" si="134"/>
        <v>0</v>
      </c>
      <c r="AT298" s="2240" t="str">
        <f t="shared" si="135"/>
        <v/>
      </c>
      <c r="AU298" s="803"/>
      <c r="AV298" s="819"/>
      <c r="AW298" s="797"/>
      <c r="AX298" s="805"/>
      <c r="AY298" s="807"/>
      <c r="AZ298" s="2136"/>
      <c r="BA298" s="2136"/>
    </row>
    <row r="299" spans="1:54" ht="13.9" hidden="1" customHeight="1" outlineLevel="1" x14ac:dyDescent="0.2">
      <c r="A299" s="808" t="s">
        <v>567</v>
      </c>
      <c r="B299" s="799">
        <v>107838</v>
      </c>
      <c r="C299" s="797">
        <v>107838</v>
      </c>
      <c r="D299" s="887">
        <v>153659</v>
      </c>
      <c r="E299" s="797">
        <v>153659</v>
      </c>
      <c r="F299" s="888">
        <v>153659</v>
      </c>
      <c r="G299" s="888">
        <v>153659</v>
      </c>
      <c r="H299" s="888">
        <v>163168</v>
      </c>
      <c r="I299" s="798">
        <v>163586.13</v>
      </c>
      <c r="J299" s="839">
        <v>170078</v>
      </c>
      <c r="K299" s="814" t="s">
        <v>201</v>
      </c>
      <c r="L299" s="876">
        <v>175401.98</v>
      </c>
      <c r="M299" s="889">
        <v>182168</v>
      </c>
      <c r="N299" s="841">
        <v>189607</v>
      </c>
      <c r="O299" s="837">
        <v>187069</v>
      </c>
      <c r="P299" s="817">
        <v>187719</v>
      </c>
      <c r="Q299" s="817">
        <v>187719</v>
      </c>
      <c r="R299" s="817">
        <v>182383</v>
      </c>
      <c r="S299" s="889"/>
      <c r="T299" s="889">
        <v>191954</v>
      </c>
      <c r="U299" s="889">
        <v>191954</v>
      </c>
      <c r="V299" s="843">
        <v>200741</v>
      </c>
      <c r="W299" s="817">
        <f>V299</f>
        <v>200741</v>
      </c>
      <c r="X299" s="843">
        <v>208021</v>
      </c>
      <c r="Y299" s="843">
        <v>208021</v>
      </c>
      <c r="Z299" s="843">
        <v>225972</v>
      </c>
      <c r="AA299" s="843">
        <f>Z299</f>
        <v>225972</v>
      </c>
      <c r="AB299" s="843">
        <v>231118</v>
      </c>
      <c r="AC299" s="843">
        <f>AB299</f>
        <v>231118</v>
      </c>
      <c r="AD299" s="843"/>
      <c r="AE299" s="843">
        <v>240492</v>
      </c>
      <c r="AF299" s="843"/>
      <c r="AG299" s="843">
        <v>247706.76</v>
      </c>
      <c r="AH299" s="843">
        <v>254916</v>
      </c>
      <c r="AI299" s="843">
        <v>262563.48</v>
      </c>
      <c r="AJ299" s="843">
        <v>269152</v>
      </c>
      <c r="AK299" s="843">
        <v>277226.56</v>
      </c>
      <c r="AL299" s="843">
        <v>275451</v>
      </c>
      <c r="AM299" s="843">
        <f>AL299*$AH$3</f>
        <v>280960.02</v>
      </c>
      <c r="AN299" s="843">
        <v>269846</v>
      </c>
      <c r="AO299" s="843">
        <v>276592.14999999997</v>
      </c>
      <c r="AP299" s="843">
        <v>269364</v>
      </c>
      <c r="AQ299" s="843">
        <f>AP299*$AH$3</f>
        <v>274751.28000000003</v>
      </c>
      <c r="AR299" s="843">
        <f>'[1]BUDGET DETAIL'!$CO$788</f>
        <v>281779</v>
      </c>
      <c r="AS299" s="843">
        <f t="shared" si="134"/>
        <v>12415</v>
      </c>
      <c r="AT299" s="2239">
        <f t="shared" si="135"/>
        <v>4.609004915281923E-2</v>
      </c>
      <c r="AU299" s="890"/>
      <c r="AV299" s="819"/>
      <c r="AW299" s="797">
        <f t="shared" ref="AW299:AW305" si="163">SUM(AU299-H299)</f>
        <v>-163168</v>
      </c>
      <c r="AX299" s="805">
        <f t="shared" ref="AX299:AX305" si="164">IF(H299&gt;0,AW299/H299,"")</f>
        <v>-1</v>
      </c>
      <c r="AY299" s="807"/>
      <c r="AZ299" s="2136"/>
      <c r="BA299" s="2136"/>
    </row>
    <row r="300" spans="1:54" ht="13.9" hidden="1" customHeight="1" outlineLevel="1" x14ac:dyDescent="0.2">
      <c r="A300" s="808" t="s">
        <v>558</v>
      </c>
      <c r="B300" s="799">
        <v>162772</v>
      </c>
      <c r="C300" s="797">
        <v>161507.06</v>
      </c>
      <c r="D300" s="887">
        <v>129865</v>
      </c>
      <c r="E300" s="797">
        <v>129863.43</v>
      </c>
      <c r="F300" s="888">
        <v>130130</v>
      </c>
      <c r="G300" s="888">
        <v>134072.87</v>
      </c>
      <c r="H300" s="888">
        <v>134008</v>
      </c>
      <c r="I300" s="798">
        <v>138120.26</v>
      </c>
      <c r="J300" s="839">
        <v>139002</v>
      </c>
      <c r="K300" s="814" t="s">
        <v>5</v>
      </c>
      <c r="L300" s="876">
        <v>143603.82999999999</v>
      </c>
      <c r="M300" s="889">
        <v>149361</v>
      </c>
      <c r="N300" s="841">
        <v>125171</v>
      </c>
      <c r="O300" s="837">
        <v>151246</v>
      </c>
      <c r="P300" s="817">
        <v>150813</v>
      </c>
      <c r="Q300" s="817">
        <v>150813</v>
      </c>
      <c r="R300" s="817">
        <v>150813</v>
      </c>
      <c r="S300" s="889"/>
      <c r="T300" s="889">
        <v>149920</v>
      </c>
      <c r="U300" s="889">
        <v>149920</v>
      </c>
      <c r="V300" s="843">
        <v>157522</v>
      </c>
      <c r="W300" s="817">
        <f>V300</f>
        <v>157522</v>
      </c>
      <c r="X300" s="843">
        <v>164784</v>
      </c>
      <c r="Y300" s="843">
        <v>164784</v>
      </c>
      <c r="Z300" s="843">
        <v>181256</v>
      </c>
      <c r="AA300" s="843">
        <f>Z300</f>
        <v>181256</v>
      </c>
      <c r="AB300" s="843">
        <v>189956</v>
      </c>
      <c r="AC300" s="843">
        <f>AB300</f>
        <v>189956</v>
      </c>
      <c r="AD300" s="843"/>
      <c r="AE300" s="843">
        <v>192491</v>
      </c>
      <c r="AF300" s="843"/>
      <c r="AG300" s="843">
        <v>198265.73</v>
      </c>
      <c r="AH300" s="843">
        <v>197688</v>
      </c>
      <c r="AI300" s="843">
        <v>203618.64</v>
      </c>
      <c r="AJ300" s="843">
        <v>209038</v>
      </c>
      <c r="AK300" s="843">
        <v>215309.14</v>
      </c>
      <c r="AL300" s="843">
        <v>213240</v>
      </c>
      <c r="AM300" s="843">
        <f>AL300*$AH$3</f>
        <v>217504.80000000002</v>
      </c>
      <c r="AN300" s="843">
        <v>217956</v>
      </c>
      <c r="AO300" s="843">
        <v>223404.9</v>
      </c>
      <c r="AP300" s="843">
        <v>220889</v>
      </c>
      <c r="AQ300" s="843">
        <f>AP300*$AH$3</f>
        <v>225306.78</v>
      </c>
      <c r="AR300" s="843">
        <f>'[1]BUDGET DETAIL'!$CO$793</f>
        <v>224075</v>
      </c>
      <c r="AS300" s="843">
        <f t="shared" si="134"/>
        <v>3186</v>
      </c>
      <c r="AT300" s="2239">
        <f t="shared" si="135"/>
        <v>1.442353399218612E-2</v>
      </c>
      <c r="AU300" s="890"/>
      <c r="AV300" s="819"/>
      <c r="AW300" s="797">
        <f t="shared" si="163"/>
        <v>-134008</v>
      </c>
      <c r="AX300" s="805">
        <f t="shared" si="164"/>
        <v>-1</v>
      </c>
      <c r="AY300" s="807"/>
      <c r="AZ300" s="2136"/>
      <c r="BA300" s="2136"/>
    </row>
    <row r="301" spans="1:54" ht="13.9" hidden="1" customHeight="1" outlineLevel="1" x14ac:dyDescent="0.2">
      <c r="A301" s="808" t="s">
        <v>820</v>
      </c>
      <c r="B301" s="799">
        <v>103232</v>
      </c>
      <c r="C301" s="797">
        <f>SUM(138.81+103093.19)</f>
        <v>103232</v>
      </c>
      <c r="D301" s="887">
        <v>90485</v>
      </c>
      <c r="E301" s="797">
        <v>91485</v>
      </c>
      <c r="F301" s="888">
        <v>97479</v>
      </c>
      <c r="G301" s="888">
        <v>98526.35</v>
      </c>
      <c r="H301" s="888">
        <v>107398</v>
      </c>
      <c r="I301" s="798">
        <v>114339</v>
      </c>
      <c r="J301" s="839">
        <v>116469</v>
      </c>
      <c r="K301" s="814" t="s">
        <v>462</v>
      </c>
      <c r="L301" s="845">
        <v>118824</v>
      </c>
      <c r="M301" s="893">
        <v>118787</v>
      </c>
      <c r="N301" s="846">
        <v>90220</v>
      </c>
      <c r="O301" s="893">
        <v>112837</v>
      </c>
      <c r="P301" s="817">
        <v>118846</v>
      </c>
      <c r="Q301" s="817">
        <v>118846</v>
      </c>
      <c r="R301" s="817">
        <f>124182+6958</f>
        <v>131140</v>
      </c>
      <c r="S301" s="893"/>
      <c r="T301" s="893">
        <v>133756</v>
      </c>
      <c r="U301" s="893">
        <v>133756</v>
      </c>
      <c r="V301" s="843">
        <v>136399</v>
      </c>
      <c r="W301" s="817">
        <f>V301</f>
        <v>136399</v>
      </c>
      <c r="X301" s="843">
        <v>140550</v>
      </c>
      <c r="Y301" s="843">
        <v>140550</v>
      </c>
      <c r="Z301" s="843">
        <v>144788</v>
      </c>
      <c r="AA301" s="843">
        <f>Z301+7200</f>
        <v>151988</v>
      </c>
      <c r="AB301" s="843">
        <v>149317</v>
      </c>
      <c r="AC301" s="843">
        <f>AB301</f>
        <v>149317</v>
      </c>
      <c r="AD301" s="843"/>
      <c r="AE301" s="843">
        <v>152299</v>
      </c>
      <c r="AF301" s="843"/>
      <c r="AG301" s="843">
        <v>152299</v>
      </c>
      <c r="AH301" s="843">
        <v>154870</v>
      </c>
      <c r="AI301" s="843">
        <v>154870</v>
      </c>
      <c r="AJ301" s="843">
        <v>158168</v>
      </c>
      <c r="AK301" s="843">
        <v>158168</v>
      </c>
      <c r="AL301" s="843">
        <v>174395</v>
      </c>
      <c r="AM301" s="843">
        <f>AL301*$AH$4</f>
        <v>174395</v>
      </c>
      <c r="AN301" s="843">
        <v>164680</v>
      </c>
      <c r="AO301" s="843">
        <v>164680</v>
      </c>
      <c r="AP301" s="843">
        <v>176656</v>
      </c>
      <c r="AQ301" s="843">
        <f>AP301*$AH$4</f>
        <v>176656</v>
      </c>
      <c r="AR301" s="843">
        <f>'[1]BUDGET DETAIL'!$CO$817+IF(BA301="yes",AZ301,0)</f>
        <v>177586</v>
      </c>
      <c r="AS301" s="843">
        <f t="shared" si="134"/>
        <v>930</v>
      </c>
      <c r="AT301" s="2239">
        <f t="shared" si="135"/>
        <v>5.2644687981161127E-3</v>
      </c>
      <c r="AU301" s="890"/>
      <c r="AV301" s="819"/>
      <c r="AW301" s="797">
        <f t="shared" si="163"/>
        <v>-107398</v>
      </c>
      <c r="AX301" s="805">
        <f t="shared" si="164"/>
        <v>-1</v>
      </c>
      <c r="AY301" s="1634"/>
      <c r="AZ301" s="2136">
        <v>90</v>
      </c>
      <c r="BA301" s="2321" t="s">
        <v>2506</v>
      </c>
      <c r="BB301" s="2942">
        <v>44998</v>
      </c>
    </row>
    <row r="302" spans="1:54" ht="13.9" hidden="1" customHeight="1" outlineLevel="1" x14ac:dyDescent="0.2">
      <c r="A302" s="808" t="s">
        <v>584</v>
      </c>
      <c r="B302" s="799">
        <v>0</v>
      </c>
      <c r="C302" s="797">
        <v>0</v>
      </c>
      <c r="D302" s="887"/>
      <c r="E302" s="797"/>
      <c r="F302" s="888"/>
      <c r="G302" s="888"/>
      <c r="H302" s="888"/>
      <c r="I302" s="798"/>
      <c r="J302" s="839"/>
      <c r="K302" s="849">
        <v>38789</v>
      </c>
      <c r="L302" s="1110"/>
      <c r="M302" s="1110"/>
      <c r="N302" s="1111"/>
      <c r="O302" s="893">
        <v>0</v>
      </c>
      <c r="P302" s="893"/>
      <c r="Q302" s="893"/>
      <c r="R302" s="893"/>
      <c r="S302" s="893"/>
      <c r="T302" s="893"/>
      <c r="U302" s="893">
        <v>0</v>
      </c>
      <c r="V302" s="893"/>
      <c r="W302" s="817">
        <f>V302</f>
        <v>0</v>
      </c>
      <c r="X302" s="893"/>
      <c r="Y302" s="817">
        <f>X302</f>
        <v>0</v>
      </c>
      <c r="Z302" s="893"/>
      <c r="AA302" s="817">
        <f>Z302</f>
        <v>0</v>
      </c>
      <c r="AB302" s="893"/>
      <c r="AC302" s="817">
        <f>AB302</f>
        <v>0</v>
      </c>
      <c r="AD302" s="817"/>
      <c r="AE302" s="817"/>
      <c r="AF302" s="843"/>
      <c r="AG302" s="843"/>
      <c r="AH302" s="843"/>
      <c r="AI302" s="817"/>
      <c r="AJ302" s="817"/>
      <c r="AK302" s="817"/>
      <c r="AL302" s="817"/>
      <c r="AM302" s="817"/>
      <c r="AN302" s="817"/>
      <c r="AO302" s="817"/>
      <c r="AP302" s="817"/>
      <c r="AQ302" s="817"/>
      <c r="AR302" s="817"/>
      <c r="AS302" s="817">
        <f t="shared" si="134"/>
        <v>0</v>
      </c>
      <c r="AT302" s="2240" t="str">
        <f t="shared" si="135"/>
        <v/>
      </c>
      <c r="AU302" s="890"/>
      <c r="AV302" s="819"/>
      <c r="AW302" s="797">
        <f t="shared" si="163"/>
        <v>0</v>
      </c>
      <c r="AX302" s="805" t="str">
        <f t="shared" si="164"/>
        <v/>
      </c>
      <c r="AY302" s="807"/>
      <c r="AZ302" s="2136"/>
      <c r="BA302" s="2136"/>
    </row>
    <row r="303" spans="1:54" ht="13.9" hidden="1" customHeight="1" outlineLevel="1" x14ac:dyDescent="0.2">
      <c r="A303" s="808" t="s">
        <v>158</v>
      </c>
      <c r="B303" s="799">
        <f>SUM(B299:B302)</f>
        <v>373842</v>
      </c>
      <c r="C303" s="799">
        <f>SUM(C299:C302)</f>
        <v>372577.06</v>
      </c>
      <c r="D303" s="799">
        <f>SUM(D299:D301)</f>
        <v>374009</v>
      </c>
      <c r="E303" s="799">
        <f>SUM(E299:E301)</f>
        <v>375007.43</v>
      </c>
      <c r="F303" s="801">
        <f>SUM(F299:F302)</f>
        <v>381268</v>
      </c>
      <c r="G303" s="801">
        <f>SUM(G299:G302)</f>
        <v>386258.22</v>
      </c>
      <c r="H303" s="797">
        <f>SUM(H299:H302)</f>
        <v>404574</v>
      </c>
      <c r="I303" s="797">
        <f>SUM(I299:I302)</f>
        <v>416045.39</v>
      </c>
      <c r="J303" s="839">
        <f>SUM(J299:J301)</f>
        <v>425549</v>
      </c>
      <c r="K303" s="861" t="s">
        <v>3</v>
      </c>
      <c r="L303" s="1112">
        <f>SUM(L299:L301)</f>
        <v>437829.81</v>
      </c>
      <c r="M303" s="1112">
        <f>SUM(M299:M301)</f>
        <v>450316</v>
      </c>
      <c r="N303" s="1113">
        <f>SUM(N299:N301)</f>
        <v>404998</v>
      </c>
      <c r="O303" s="860">
        <f>SUM(O299:O301)</f>
        <v>451152</v>
      </c>
      <c r="P303" s="860">
        <f t="shared" ref="P303:W303" si="165">SUM(P299:P302)</f>
        <v>457378</v>
      </c>
      <c r="Q303" s="860">
        <f t="shared" si="165"/>
        <v>457378</v>
      </c>
      <c r="R303" s="860">
        <f t="shared" si="165"/>
        <v>464336</v>
      </c>
      <c r="S303" s="860">
        <f t="shared" si="165"/>
        <v>0</v>
      </c>
      <c r="T303" s="860">
        <v>475630</v>
      </c>
      <c r="U303" s="860">
        <v>475630</v>
      </c>
      <c r="V303" s="860">
        <f t="shared" si="165"/>
        <v>494662</v>
      </c>
      <c r="W303" s="860">
        <f t="shared" si="165"/>
        <v>494662</v>
      </c>
      <c r="X303" s="860">
        <f t="shared" ref="X303:AC303" si="166">SUM(X299:X302)</f>
        <v>513355</v>
      </c>
      <c r="Y303" s="860">
        <f t="shared" si="166"/>
        <v>513355</v>
      </c>
      <c r="Z303" s="860">
        <f t="shared" si="166"/>
        <v>552016</v>
      </c>
      <c r="AA303" s="860">
        <f t="shared" si="166"/>
        <v>559216</v>
      </c>
      <c r="AB303" s="860">
        <f t="shared" si="166"/>
        <v>570391</v>
      </c>
      <c r="AC303" s="860">
        <f t="shared" si="166"/>
        <v>570391</v>
      </c>
      <c r="AD303" s="860"/>
      <c r="AE303" s="860">
        <v>585282</v>
      </c>
      <c r="AF303" s="843"/>
      <c r="AG303" s="843">
        <v>598271.49</v>
      </c>
      <c r="AH303" s="860">
        <v>607474</v>
      </c>
      <c r="AI303" s="1560">
        <v>621052.12</v>
      </c>
      <c r="AJ303" s="1560">
        <v>636358</v>
      </c>
      <c r="AK303" s="1560">
        <v>650703.69999999995</v>
      </c>
      <c r="AL303" s="1560">
        <v>663086</v>
      </c>
      <c r="AM303" s="1560">
        <f t="shared" ref="AM303:AN303" si="167">SUM(AM299:AM302)</f>
        <v>672859.82000000007</v>
      </c>
      <c r="AN303" s="1560">
        <f t="shared" si="167"/>
        <v>652482</v>
      </c>
      <c r="AO303" s="1560">
        <f t="shared" ref="AO303:AP303" si="168">SUM(AO299:AO302)</f>
        <v>664677.04999999993</v>
      </c>
      <c r="AP303" s="1560">
        <f t="shared" si="168"/>
        <v>666909</v>
      </c>
      <c r="AQ303" s="1560">
        <f t="shared" ref="AQ303:AR303" si="169">SUM(AQ299:AQ302)</f>
        <v>676714.06</v>
      </c>
      <c r="AR303" s="1560">
        <f t="shared" si="169"/>
        <v>683440</v>
      </c>
      <c r="AS303" s="1560">
        <f t="shared" si="134"/>
        <v>16531</v>
      </c>
      <c r="AT303" s="2240">
        <f t="shared" si="135"/>
        <v>2.4787489747476792E-2</v>
      </c>
      <c r="AU303" s="1114"/>
      <c r="AV303" s="819"/>
      <c r="AW303" s="797">
        <f t="shared" si="163"/>
        <v>-404574</v>
      </c>
      <c r="AX303" s="805">
        <f t="shared" si="164"/>
        <v>-1</v>
      </c>
      <c r="AY303" s="807"/>
      <c r="AZ303" s="2136"/>
      <c r="BA303" s="2136"/>
    </row>
    <row r="304" spans="1:54" ht="13.9" hidden="1" customHeight="1" outlineLevel="1" x14ac:dyDescent="0.2">
      <c r="A304" s="808" t="s">
        <v>150</v>
      </c>
      <c r="B304" s="799">
        <v>0</v>
      </c>
      <c r="C304" s="799">
        <v>0</v>
      </c>
      <c r="D304" s="799"/>
      <c r="E304" s="799"/>
      <c r="F304" s="801"/>
      <c r="G304" s="801"/>
      <c r="H304" s="801"/>
      <c r="I304" s="801"/>
      <c r="J304" s="884"/>
      <c r="K304" s="861" t="s">
        <v>462</v>
      </c>
      <c r="L304" s="1115"/>
      <c r="M304" s="1115"/>
      <c r="N304" s="902"/>
      <c r="O304" s="901"/>
      <c r="P304" s="901"/>
      <c r="Q304" s="901"/>
      <c r="R304" s="1116"/>
      <c r="S304" s="1116"/>
      <c r="T304" s="1116"/>
      <c r="U304" s="1116"/>
      <c r="V304" s="1116"/>
      <c r="W304" s="1116"/>
      <c r="X304" s="1116"/>
      <c r="Y304" s="1116"/>
      <c r="Z304" s="1116"/>
      <c r="AA304" s="1116"/>
      <c r="AB304" s="1116"/>
      <c r="AC304" s="1116"/>
      <c r="AD304" s="1116"/>
      <c r="AE304" s="1116"/>
      <c r="AF304" s="843"/>
      <c r="AG304" s="843"/>
      <c r="AH304" s="843"/>
      <c r="AI304" s="901"/>
      <c r="AJ304" s="901"/>
      <c r="AK304" s="901"/>
      <c r="AL304" s="901"/>
      <c r="AM304" s="901"/>
      <c r="AN304" s="901"/>
      <c r="AO304" s="901"/>
      <c r="AP304" s="901"/>
      <c r="AQ304" s="901"/>
      <c r="AR304" s="901"/>
      <c r="AS304" s="901">
        <f t="shared" si="134"/>
        <v>0</v>
      </c>
      <c r="AT304" s="2248" t="str">
        <f t="shared" si="135"/>
        <v/>
      </c>
      <c r="AU304" s="890"/>
      <c r="AV304" s="819"/>
      <c r="AW304" s="797">
        <f t="shared" si="163"/>
        <v>0</v>
      </c>
      <c r="AX304" s="805" t="str">
        <f t="shared" si="164"/>
        <v/>
      </c>
      <c r="AY304" s="807"/>
      <c r="AZ304" s="2136"/>
      <c r="BA304" s="2136"/>
    </row>
    <row r="305" spans="1:54" ht="13.9" hidden="1" customHeight="1" outlineLevel="1" x14ac:dyDescent="0.2">
      <c r="A305" s="878" t="s">
        <v>821</v>
      </c>
      <c r="B305" s="810">
        <f t="shared" ref="B305:I305" si="170">SUM(B303:B304)</f>
        <v>373842</v>
      </c>
      <c r="C305" s="810">
        <f t="shared" si="170"/>
        <v>372577.06</v>
      </c>
      <c r="D305" s="810">
        <f t="shared" si="170"/>
        <v>374009</v>
      </c>
      <c r="E305" s="810">
        <f t="shared" si="170"/>
        <v>375007.43</v>
      </c>
      <c r="F305" s="811">
        <f t="shared" si="170"/>
        <v>381268</v>
      </c>
      <c r="G305" s="811">
        <f t="shared" si="170"/>
        <v>386258.22</v>
      </c>
      <c r="H305" s="811">
        <f t="shared" si="170"/>
        <v>404574</v>
      </c>
      <c r="I305" s="811">
        <f t="shared" si="170"/>
        <v>416045.39</v>
      </c>
      <c r="J305" s="813">
        <f>SUM(J303:J304)</f>
        <v>425549</v>
      </c>
      <c r="K305" s="1048">
        <v>38796</v>
      </c>
      <c r="L305" s="879">
        <f>SUM(L303:L304)</f>
        <v>437829.81</v>
      </c>
      <c r="M305" s="879">
        <f>SUM(M303:M304)</f>
        <v>450316</v>
      </c>
      <c r="N305" s="879">
        <f>SUM(N303:N304)</f>
        <v>404998</v>
      </c>
      <c r="O305" s="1097">
        <f>SUM(O303:O304)</f>
        <v>451152</v>
      </c>
      <c r="P305" s="1097">
        <f>SUM(P303:P304)</f>
        <v>457378</v>
      </c>
      <c r="Q305" s="853">
        <f>IF(SUM(Q303:Q304)=0,P305,SUM(Q303:Q304))</f>
        <v>457378</v>
      </c>
      <c r="R305" s="1097">
        <f>SUM(R303:R304)</f>
        <v>464336</v>
      </c>
      <c r="S305" s="852">
        <f>IF(SUM(S303:S304)=0,R305,SUM(S303:S304))</f>
        <v>464336</v>
      </c>
      <c r="T305" s="852">
        <v>475630</v>
      </c>
      <c r="U305" s="852">
        <v>475630</v>
      </c>
      <c r="V305" s="1097">
        <f>SUM(V303:V304)</f>
        <v>494662</v>
      </c>
      <c r="W305" s="852">
        <f>IF(SUM(W303:W304)=0,V305,SUM(W303:W304))</f>
        <v>494662</v>
      </c>
      <c r="X305" s="1097">
        <f>SUM(X303:X304)</f>
        <v>513355</v>
      </c>
      <c r="Y305" s="852">
        <f>IF(SUM(Y303:Y304)=0,X305,SUM(Y303:Y304))</f>
        <v>513355</v>
      </c>
      <c r="Z305" s="1097">
        <f>SUM(Z303:Z304)</f>
        <v>552016</v>
      </c>
      <c r="AA305" s="852">
        <f>IF(SUM(AA303:AA304)=0,Z305,SUM(AA303:AA304))</f>
        <v>559216</v>
      </c>
      <c r="AB305" s="1097">
        <f>SUM(AB303:AB304)</f>
        <v>570391</v>
      </c>
      <c r="AC305" s="852">
        <f>IF(SUM(AC303:AC304)=0,AB305,SUM(AC303:AC304))</f>
        <v>570391</v>
      </c>
      <c r="AD305" s="852"/>
      <c r="AE305" s="852">
        <v>585282</v>
      </c>
      <c r="AF305" s="1117">
        <v>585282</v>
      </c>
      <c r="AG305" s="1117">
        <v>598271.49</v>
      </c>
      <c r="AH305" s="852">
        <v>607474</v>
      </c>
      <c r="AI305" s="814">
        <v>621052.12</v>
      </c>
      <c r="AJ305" s="814">
        <v>636358</v>
      </c>
      <c r="AK305" s="814">
        <v>650703.69999999995</v>
      </c>
      <c r="AL305" s="814">
        <v>663086</v>
      </c>
      <c r="AM305" s="814">
        <f t="shared" ref="AM305:AR305" si="171">SUM(AM303:AM304)</f>
        <v>672859.82000000007</v>
      </c>
      <c r="AN305" s="814">
        <f t="shared" si="171"/>
        <v>652482</v>
      </c>
      <c r="AO305" s="814">
        <f t="shared" si="171"/>
        <v>664677.04999999993</v>
      </c>
      <c r="AP305" s="814">
        <f t="shared" si="171"/>
        <v>666909</v>
      </c>
      <c r="AQ305" s="814">
        <f t="shared" si="171"/>
        <v>676714.06</v>
      </c>
      <c r="AR305" s="814">
        <f t="shared" si="171"/>
        <v>683440</v>
      </c>
      <c r="AS305" s="814">
        <f t="shared" si="134"/>
        <v>16531</v>
      </c>
      <c r="AT305" s="2242">
        <f t="shared" si="135"/>
        <v>2.4787489747476792E-2</v>
      </c>
      <c r="AU305" s="854">
        <f>SUM(AU303:AU304)</f>
        <v>0</v>
      </c>
      <c r="AV305" s="819"/>
      <c r="AW305" s="797">
        <f t="shared" si="163"/>
        <v>-404574</v>
      </c>
      <c r="AX305" s="805">
        <f t="shared" si="164"/>
        <v>-1</v>
      </c>
      <c r="AY305" s="1543"/>
      <c r="AZ305" s="2136"/>
      <c r="BA305" s="2136"/>
      <c r="BB305" s="2152"/>
    </row>
    <row r="306" spans="1:54" ht="13.9" hidden="1" customHeight="1" outlineLevel="1" x14ac:dyDescent="0.2">
      <c r="A306" s="855"/>
      <c r="B306" s="824"/>
      <c r="C306" s="824"/>
      <c r="D306" s="933"/>
      <c r="E306" s="824"/>
      <c r="F306" s="934"/>
      <c r="G306" s="934"/>
      <c r="H306" s="934"/>
      <c r="I306" s="943"/>
      <c r="J306" s="1049"/>
      <c r="K306" s="857"/>
      <c r="L306" s="863"/>
      <c r="M306" s="864"/>
      <c r="N306" s="858"/>
      <c r="O306" s="856"/>
      <c r="P306" s="856"/>
      <c r="Q306" s="856"/>
      <c r="R306" s="856"/>
      <c r="S306" s="856"/>
      <c r="T306" s="856"/>
      <c r="U306" s="856"/>
      <c r="V306" s="856"/>
      <c r="W306" s="856"/>
      <c r="X306" s="856"/>
      <c r="Y306" s="856"/>
      <c r="Z306" s="856"/>
      <c r="AA306" s="856"/>
      <c r="AB306" s="856"/>
      <c r="AC306" s="856"/>
      <c r="AD306" s="856"/>
      <c r="AE306" s="856"/>
      <c r="AF306" s="856"/>
      <c r="AG306" s="856"/>
      <c r="AH306" s="856"/>
      <c r="AI306" s="856"/>
      <c r="AJ306" s="856"/>
      <c r="AK306" s="856"/>
      <c r="AL306" s="856"/>
      <c r="AM306" s="856"/>
      <c r="AN306" s="856"/>
      <c r="AO306" s="856"/>
      <c r="AP306" s="856"/>
      <c r="AQ306" s="856"/>
      <c r="AR306" s="856"/>
      <c r="AS306" s="856">
        <f t="shared" si="134"/>
        <v>0</v>
      </c>
      <c r="AT306" s="2243" t="str">
        <f t="shared" si="135"/>
        <v/>
      </c>
      <c r="AU306" s="935"/>
      <c r="AV306" s="834"/>
      <c r="AW306" s="823"/>
      <c r="AX306" s="835"/>
      <c r="AY306" s="836"/>
      <c r="AZ306" s="2136"/>
      <c r="BA306" s="2136"/>
    </row>
    <row r="307" spans="1:54" ht="13.9" hidden="1" customHeight="1" outlineLevel="1" x14ac:dyDescent="0.2">
      <c r="A307" s="1542" t="s">
        <v>1072</v>
      </c>
      <c r="B307" s="837"/>
      <c r="C307" s="837"/>
      <c r="D307" s="936"/>
      <c r="E307" s="837"/>
      <c r="F307" s="937"/>
      <c r="G307" s="937"/>
      <c r="H307" s="937"/>
      <c r="I307" s="889"/>
      <c r="J307" s="1060"/>
      <c r="K307" s="859"/>
      <c r="L307" s="865"/>
      <c r="M307" s="865"/>
      <c r="N307" s="838"/>
      <c r="O307" s="859"/>
      <c r="P307" s="859"/>
      <c r="Q307" s="859"/>
      <c r="R307" s="859"/>
      <c r="S307" s="859"/>
      <c r="T307" s="859"/>
      <c r="U307" s="859"/>
      <c r="V307" s="859"/>
      <c r="W307" s="859"/>
      <c r="X307" s="859"/>
      <c r="Y307" s="859"/>
      <c r="Z307" s="859"/>
      <c r="AA307" s="859"/>
      <c r="AB307" s="859"/>
      <c r="AC307" s="859"/>
      <c r="AD307" s="859"/>
      <c r="AE307" s="1705"/>
      <c r="AF307" s="1705"/>
      <c r="AG307" s="1705"/>
      <c r="AH307" s="1705"/>
      <c r="AI307" s="1705"/>
      <c r="AJ307" s="1705"/>
      <c r="AK307" s="1705"/>
      <c r="AL307" s="1705"/>
      <c r="AM307" s="859"/>
      <c r="AN307" s="859"/>
      <c r="AO307" s="859"/>
      <c r="AP307" s="859"/>
      <c r="AQ307" s="859"/>
      <c r="AR307" s="859"/>
      <c r="AS307" s="859">
        <f t="shared" si="134"/>
        <v>0</v>
      </c>
      <c r="AT307" s="2239" t="str">
        <f t="shared" si="135"/>
        <v/>
      </c>
      <c r="AU307" s="938"/>
      <c r="AV307" s="819"/>
      <c r="AW307" s="797"/>
      <c r="AX307" s="805"/>
      <c r="AY307" s="807"/>
      <c r="AZ307" s="2136"/>
      <c r="BA307" s="2136"/>
    </row>
    <row r="308" spans="1:54" ht="13.9" hidden="1" customHeight="1" outlineLevel="1" x14ac:dyDescent="0.2">
      <c r="A308" s="808" t="s">
        <v>684</v>
      </c>
      <c r="B308" s="837"/>
      <c r="C308" s="837"/>
      <c r="D308" s="936"/>
      <c r="E308" s="837"/>
      <c r="F308" s="937"/>
      <c r="G308" s="937"/>
      <c r="H308" s="937"/>
      <c r="I308" s="889"/>
      <c r="J308" s="1060"/>
      <c r="K308" s="859"/>
      <c r="L308" s="865"/>
      <c r="M308" s="865"/>
      <c r="N308" s="838"/>
      <c r="O308" s="859"/>
      <c r="P308" s="859"/>
      <c r="Q308" s="859"/>
      <c r="R308" s="859"/>
      <c r="S308" s="859"/>
      <c r="T308" s="859"/>
      <c r="U308" s="859"/>
      <c r="V308" s="859"/>
      <c r="W308" s="859"/>
      <c r="X308" s="859"/>
      <c r="Y308" s="859"/>
      <c r="Z308" s="859"/>
      <c r="AA308" s="859"/>
      <c r="AB308" s="859"/>
      <c r="AC308" s="859"/>
      <c r="AD308" s="859"/>
      <c r="AE308" s="1705"/>
      <c r="AF308" s="1705"/>
      <c r="AG308" s="1705"/>
      <c r="AH308" s="1705"/>
      <c r="AI308" s="1705"/>
      <c r="AJ308" s="1705"/>
      <c r="AK308" s="1705"/>
      <c r="AL308" s="1705"/>
      <c r="AM308" s="859"/>
      <c r="AN308" s="859"/>
      <c r="AO308" s="859"/>
      <c r="AP308" s="859"/>
      <c r="AQ308" s="859"/>
      <c r="AR308" s="859"/>
      <c r="AS308" s="859">
        <f t="shared" si="134"/>
        <v>0</v>
      </c>
      <c r="AT308" s="2239" t="str">
        <f t="shared" si="135"/>
        <v/>
      </c>
      <c r="AU308" s="938"/>
      <c r="AV308" s="819"/>
      <c r="AW308" s="797"/>
      <c r="AX308" s="805"/>
      <c r="AY308" s="807"/>
      <c r="AZ308" s="2136"/>
      <c r="BA308" s="2136"/>
    </row>
    <row r="309" spans="1:54" ht="13.9" hidden="1" customHeight="1" outlineLevel="1" x14ac:dyDescent="0.2">
      <c r="A309" s="808" t="s">
        <v>558</v>
      </c>
      <c r="B309" s="837"/>
      <c r="C309" s="837"/>
      <c r="D309" s="936"/>
      <c r="E309" s="837"/>
      <c r="F309" s="937"/>
      <c r="G309" s="937"/>
      <c r="H309" s="937"/>
      <c r="I309" s="889"/>
      <c r="J309" s="1060"/>
      <c r="K309" s="859"/>
      <c r="L309" s="865"/>
      <c r="M309" s="865"/>
      <c r="N309" s="838"/>
      <c r="O309" s="859"/>
      <c r="P309" s="859"/>
      <c r="Q309" s="859"/>
      <c r="R309" s="859"/>
      <c r="S309" s="859"/>
      <c r="T309" s="859"/>
      <c r="U309" s="859"/>
      <c r="V309" s="859"/>
      <c r="W309" s="859"/>
      <c r="X309" s="859"/>
      <c r="Y309" s="859"/>
      <c r="Z309" s="859"/>
      <c r="AA309" s="859"/>
      <c r="AB309" s="859"/>
      <c r="AC309" s="859"/>
      <c r="AD309" s="859"/>
      <c r="AE309" s="1705"/>
      <c r="AF309" s="1705"/>
      <c r="AG309" s="1705"/>
      <c r="AH309" s="1705"/>
      <c r="AI309" s="1705"/>
      <c r="AJ309" s="1705"/>
      <c r="AK309" s="1705"/>
      <c r="AL309" s="1705"/>
      <c r="AM309" s="859"/>
      <c r="AN309" s="859">
        <v>31103</v>
      </c>
      <c r="AO309" s="843">
        <v>31880.574999999997</v>
      </c>
      <c r="AP309" s="859">
        <v>31708</v>
      </c>
      <c r="AQ309" s="843">
        <f>AP309*$AH$3</f>
        <v>32342.16</v>
      </c>
      <c r="AR309" s="859">
        <f>'[1]BUDGET DETAIL'!$CO$823</f>
        <v>33251</v>
      </c>
      <c r="AS309" s="859">
        <f t="shared" si="134"/>
        <v>1543</v>
      </c>
      <c r="AT309" s="2239">
        <f t="shared" si="135"/>
        <v>4.866279803204239E-2</v>
      </c>
      <c r="AU309" s="938"/>
      <c r="AV309" s="819"/>
      <c r="AW309" s="797"/>
      <c r="AX309" s="805"/>
      <c r="AY309" s="807"/>
      <c r="AZ309" s="2136"/>
      <c r="BA309" s="2136"/>
    </row>
    <row r="310" spans="1:54" ht="13.9" hidden="1" customHeight="1" outlineLevel="1" x14ac:dyDescent="0.2">
      <c r="A310" s="808" t="s">
        <v>820</v>
      </c>
      <c r="B310" s="837"/>
      <c r="C310" s="837"/>
      <c r="D310" s="936"/>
      <c r="E310" s="837"/>
      <c r="F310" s="937"/>
      <c r="G310" s="937"/>
      <c r="H310" s="937"/>
      <c r="I310" s="889"/>
      <c r="J310" s="1060"/>
      <c r="K310" s="859"/>
      <c r="L310" s="865"/>
      <c r="M310" s="865"/>
      <c r="N310" s="838"/>
      <c r="O310" s="859"/>
      <c r="P310" s="859"/>
      <c r="Q310" s="859"/>
      <c r="R310" s="859"/>
      <c r="S310" s="859"/>
      <c r="T310" s="859"/>
      <c r="U310" s="859"/>
      <c r="V310" s="859"/>
      <c r="W310" s="859"/>
      <c r="X310" s="859"/>
      <c r="Y310" s="859"/>
      <c r="Z310" s="859"/>
      <c r="AA310" s="859"/>
      <c r="AB310" s="859"/>
      <c r="AC310" s="859"/>
      <c r="AD310" s="859"/>
      <c r="AE310" s="1705"/>
      <c r="AF310" s="1705"/>
      <c r="AG310" s="1705"/>
      <c r="AH310" s="1705"/>
      <c r="AI310" s="1705"/>
      <c r="AJ310" s="1705"/>
      <c r="AK310" s="1705"/>
      <c r="AL310" s="1705"/>
      <c r="AM310" s="859"/>
      <c r="AN310" s="859">
        <v>2000</v>
      </c>
      <c r="AO310" s="843">
        <v>2000</v>
      </c>
      <c r="AP310" s="859">
        <v>2000</v>
      </c>
      <c r="AQ310" s="843">
        <f>AP310*$AH$4</f>
        <v>2000</v>
      </c>
      <c r="AR310" s="859">
        <f>'[1]BUDGET DETAIL'!$CO$830</f>
        <v>2000</v>
      </c>
      <c r="AS310" s="859">
        <f t="shared" si="134"/>
        <v>0</v>
      </c>
      <c r="AT310" s="2239">
        <f t="shared" si="135"/>
        <v>0</v>
      </c>
      <c r="AU310" s="938"/>
      <c r="AV310" s="819"/>
      <c r="AW310" s="797"/>
      <c r="AX310" s="805"/>
      <c r="AY310" s="807"/>
      <c r="AZ310" s="2136"/>
      <c r="BA310" s="2136"/>
    </row>
    <row r="311" spans="1:54" ht="13.9" hidden="1" customHeight="1" outlineLevel="1" x14ac:dyDescent="0.2">
      <c r="A311" s="878" t="s">
        <v>821</v>
      </c>
      <c r="B311" s="837"/>
      <c r="C311" s="837"/>
      <c r="D311" s="936"/>
      <c r="E311" s="837"/>
      <c r="F311" s="937"/>
      <c r="G311" s="937"/>
      <c r="H311" s="937"/>
      <c r="I311" s="889"/>
      <c r="J311" s="1060"/>
      <c r="K311" s="859"/>
      <c r="L311" s="865"/>
      <c r="M311" s="865"/>
      <c r="N311" s="838"/>
      <c r="O311" s="859"/>
      <c r="P311" s="859"/>
      <c r="Q311" s="859"/>
      <c r="R311" s="859"/>
      <c r="S311" s="859"/>
      <c r="T311" s="859"/>
      <c r="U311" s="859"/>
      <c r="V311" s="859"/>
      <c r="W311" s="859"/>
      <c r="X311" s="859"/>
      <c r="Y311" s="859"/>
      <c r="Z311" s="859"/>
      <c r="AA311" s="859"/>
      <c r="AB311" s="859"/>
      <c r="AC311" s="859"/>
      <c r="AD311" s="859"/>
      <c r="AE311" s="1705"/>
      <c r="AF311" s="1705"/>
      <c r="AG311" s="1705"/>
      <c r="AH311" s="1705"/>
      <c r="AI311" s="1705"/>
      <c r="AJ311" s="1705"/>
      <c r="AK311" s="1705"/>
      <c r="AL311" s="1705"/>
      <c r="AM311" s="859"/>
      <c r="AN311" s="861">
        <f>SUM(AN308:AN310)</f>
        <v>33103</v>
      </c>
      <c r="AO311" s="861">
        <f>SUM(AO308:AO310)</f>
        <v>33880.574999999997</v>
      </c>
      <c r="AP311" s="861">
        <f>SUM(AP308:AP310)</f>
        <v>33708</v>
      </c>
      <c r="AQ311" s="861">
        <f>SUM(AQ308:AQ310)</f>
        <v>34342.160000000003</v>
      </c>
      <c r="AR311" s="861">
        <f>SUM(AR308:AR310)</f>
        <v>35251</v>
      </c>
      <c r="AS311" s="861">
        <f t="shared" si="134"/>
        <v>1543</v>
      </c>
      <c r="AT311" s="2248">
        <f t="shared" si="135"/>
        <v>4.5775483564732405E-2</v>
      </c>
      <c r="AU311" s="938"/>
      <c r="AV311" s="819"/>
      <c r="AW311" s="797"/>
      <c r="AX311" s="805"/>
      <c r="AY311" s="807"/>
      <c r="AZ311" s="2136"/>
      <c r="BA311" s="2136"/>
    </row>
    <row r="312" spans="1:54" ht="13.9" hidden="1" customHeight="1" outlineLevel="1" x14ac:dyDescent="0.2">
      <c r="A312" s="855"/>
      <c r="B312" s="824"/>
      <c r="C312" s="824"/>
      <c r="D312" s="933"/>
      <c r="E312" s="824"/>
      <c r="F312" s="934"/>
      <c r="G312" s="934"/>
      <c r="H312" s="934"/>
      <c r="I312" s="943"/>
      <c r="J312" s="1049"/>
      <c r="K312" s="856"/>
      <c r="L312" s="863"/>
      <c r="M312" s="863"/>
      <c r="N312" s="858"/>
      <c r="O312" s="856"/>
      <c r="P312" s="856"/>
      <c r="Q312" s="856"/>
      <c r="R312" s="856"/>
      <c r="S312" s="856"/>
      <c r="T312" s="856"/>
      <c r="U312" s="856"/>
      <c r="V312" s="856"/>
      <c r="W312" s="856"/>
      <c r="X312" s="856"/>
      <c r="Y312" s="856"/>
      <c r="Z312" s="856"/>
      <c r="AA312" s="856"/>
      <c r="AB312" s="856"/>
      <c r="AC312" s="856"/>
      <c r="AD312" s="856"/>
      <c r="AE312" s="1706"/>
      <c r="AF312" s="1706"/>
      <c r="AG312" s="1706"/>
      <c r="AH312" s="1706"/>
      <c r="AI312" s="1706"/>
      <c r="AJ312" s="1706"/>
      <c r="AK312" s="1706"/>
      <c r="AL312" s="1706"/>
      <c r="AM312" s="856"/>
      <c r="AN312" s="856"/>
      <c r="AO312" s="856"/>
      <c r="AP312" s="856"/>
      <c r="AQ312" s="856"/>
      <c r="AR312" s="856"/>
      <c r="AS312" s="856">
        <f t="shared" si="134"/>
        <v>0</v>
      </c>
      <c r="AT312" s="2243" t="str">
        <f t="shared" si="135"/>
        <v/>
      </c>
      <c r="AU312" s="935"/>
      <c r="AV312" s="834"/>
      <c r="AW312" s="823"/>
      <c r="AX312" s="835"/>
      <c r="AY312" s="836"/>
      <c r="AZ312" s="2136"/>
      <c r="BA312" s="2136"/>
    </row>
    <row r="313" spans="1:54" ht="13.9" hidden="1" customHeight="1" outlineLevel="1" x14ac:dyDescent="0.2">
      <c r="A313" s="808"/>
      <c r="B313" s="837"/>
      <c r="C313" s="837"/>
      <c r="D313" s="936"/>
      <c r="E313" s="837"/>
      <c r="F313" s="937"/>
      <c r="G313" s="937"/>
      <c r="H313" s="937"/>
      <c r="I313" s="889"/>
      <c r="J313" s="1060"/>
      <c r="K313" s="859"/>
      <c r="L313" s="865"/>
      <c r="M313" s="865"/>
      <c r="N313" s="838"/>
      <c r="O313" s="859"/>
      <c r="P313" s="859"/>
      <c r="Q313" s="859"/>
      <c r="R313" s="859"/>
      <c r="S313" s="859"/>
      <c r="T313" s="859"/>
      <c r="U313" s="859"/>
      <c r="V313" s="859"/>
      <c r="W313" s="859"/>
      <c r="X313" s="859"/>
      <c r="Y313" s="859"/>
      <c r="Z313" s="859"/>
      <c r="AA313" s="859"/>
      <c r="AB313" s="859"/>
      <c r="AC313" s="859"/>
      <c r="AD313" s="859"/>
      <c r="AE313" s="859"/>
      <c r="AF313" s="859"/>
      <c r="AG313" s="859"/>
      <c r="AH313" s="859"/>
      <c r="AI313" s="859"/>
      <c r="AJ313" s="859"/>
      <c r="AK313" s="859"/>
      <c r="AL313" s="859"/>
      <c r="AM313" s="859"/>
      <c r="AN313" s="859"/>
      <c r="AO313" s="859"/>
      <c r="AP313" s="859"/>
      <c r="AQ313" s="859"/>
      <c r="AR313" s="859"/>
      <c r="AS313" s="859" t="str">
        <f t="shared" ref="AS313:AS328" si="172">IF(AN313&gt;0,AP313-AN313,"")</f>
        <v/>
      </c>
      <c r="AT313" s="2239" t="str">
        <f t="shared" ref="AT313:AT328" si="173">IF(AN313&gt;0,AS313/AN313,"")</f>
        <v/>
      </c>
      <c r="AU313" s="938"/>
      <c r="AV313" s="819"/>
      <c r="AW313" s="797"/>
      <c r="AX313" s="805"/>
      <c r="AY313" s="807"/>
      <c r="AZ313" s="2136"/>
      <c r="BA313" s="2136"/>
      <c r="BB313" s="2129" t="s">
        <v>1099</v>
      </c>
    </row>
    <row r="314" spans="1:54" ht="13.9" hidden="1" customHeight="1" outlineLevel="1" x14ac:dyDescent="0.2">
      <c r="A314" s="808"/>
      <c r="B314" s="837"/>
      <c r="C314" s="837"/>
      <c r="D314" s="936"/>
      <c r="E314" s="837"/>
      <c r="F314" s="937"/>
      <c r="G314" s="937"/>
      <c r="H314" s="937"/>
      <c r="I314" s="889"/>
      <c r="J314" s="1060"/>
      <c r="K314" s="859"/>
      <c r="L314" s="865"/>
      <c r="M314" s="865"/>
      <c r="N314" s="838"/>
      <c r="O314" s="859"/>
      <c r="P314" s="859"/>
      <c r="Q314" s="859"/>
      <c r="R314" s="859"/>
      <c r="S314" s="859"/>
      <c r="T314" s="859"/>
      <c r="U314" s="859"/>
      <c r="V314" s="859"/>
      <c r="W314" s="859"/>
      <c r="X314" s="859"/>
      <c r="Y314" s="859"/>
      <c r="Z314" s="859"/>
      <c r="AA314" s="859"/>
      <c r="AB314" s="859"/>
      <c r="AC314" s="859"/>
      <c r="AD314" s="859"/>
      <c r="AE314" s="859"/>
      <c r="AF314" s="859"/>
      <c r="AG314" s="859"/>
      <c r="AH314" s="859"/>
      <c r="AI314" s="859"/>
      <c r="AJ314" s="859"/>
      <c r="AK314" s="859"/>
      <c r="AL314" s="859"/>
      <c r="AM314" s="859"/>
      <c r="AN314" s="859"/>
      <c r="AO314" s="859"/>
      <c r="AP314" s="859"/>
      <c r="AQ314" s="859"/>
      <c r="AR314" s="859"/>
      <c r="AS314" s="859" t="str">
        <f t="shared" si="172"/>
        <v/>
      </c>
      <c r="AT314" s="2239" t="str">
        <f t="shared" si="173"/>
        <v/>
      </c>
      <c r="AU314" s="938"/>
      <c r="AV314" s="819"/>
      <c r="AW314" s="797"/>
      <c r="AX314" s="805"/>
      <c r="AY314" s="807"/>
      <c r="AZ314" s="2136"/>
      <c r="BA314" s="2136"/>
      <c r="BB314" s="2129" t="s">
        <v>1099</v>
      </c>
    </row>
    <row r="315" spans="1:54" ht="13.9" hidden="1" customHeight="1" outlineLevel="1" x14ac:dyDescent="0.2">
      <c r="A315" s="808" t="s">
        <v>151</v>
      </c>
      <c r="B315" s="837"/>
      <c r="C315" s="837"/>
      <c r="D315" s="936"/>
      <c r="E315" s="837"/>
      <c r="F315" s="937"/>
      <c r="G315" s="937"/>
      <c r="H315" s="937"/>
      <c r="I315" s="889"/>
      <c r="J315" s="884"/>
      <c r="K315" s="817"/>
      <c r="L315" s="893"/>
      <c r="M315" s="893"/>
      <c r="N315" s="846"/>
      <c r="O315" s="817"/>
      <c r="P315" s="817"/>
      <c r="Q315" s="817"/>
      <c r="R315" s="817"/>
      <c r="S315" s="817"/>
      <c r="T315" s="817"/>
      <c r="U315" s="817"/>
      <c r="V315" s="817"/>
      <c r="W315" s="817"/>
      <c r="X315" s="817"/>
      <c r="Y315" s="817"/>
      <c r="Z315" s="817"/>
      <c r="AA315" s="817"/>
      <c r="AB315" s="817"/>
      <c r="AC315" s="817"/>
      <c r="AD315" s="817"/>
      <c r="AE315" s="817"/>
      <c r="AF315" s="817"/>
      <c r="AG315" s="817"/>
      <c r="AH315" s="817"/>
      <c r="AI315" s="1087"/>
      <c r="AJ315" s="1087"/>
      <c r="AK315" s="1087"/>
      <c r="AL315" s="1087"/>
      <c r="AM315" s="1087"/>
      <c r="AN315" s="1087"/>
      <c r="AO315" s="1087"/>
      <c r="AP315" s="1087"/>
      <c r="AQ315" s="1087"/>
      <c r="AR315" s="1087"/>
      <c r="AS315" s="1087" t="str">
        <f t="shared" si="172"/>
        <v/>
      </c>
      <c r="AT315" s="2245" t="str">
        <f t="shared" si="173"/>
        <v/>
      </c>
      <c r="AU315" s="938"/>
      <c r="AV315" s="819"/>
      <c r="AW315" s="797"/>
      <c r="AX315" s="805"/>
      <c r="AY315" s="807"/>
      <c r="AZ315" s="2136"/>
      <c r="BA315" s="2136"/>
      <c r="BB315" s="2129" t="s">
        <v>1099</v>
      </c>
    </row>
    <row r="316" spans="1:54" ht="13.9" hidden="1" customHeight="1" outlineLevel="1" x14ac:dyDescent="0.2">
      <c r="A316" s="808" t="s">
        <v>684</v>
      </c>
      <c r="B316" s="799">
        <v>54553</v>
      </c>
      <c r="C316" s="797">
        <v>54553</v>
      </c>
      <c r="D316" s="887">
        <v>56190</v>
      </c>
      <c r="E316" s="797">
        <v>56190</v>
      </c>
      <c r="F316" s="888">
        <v>56190</v>
      </c>
      <c r="G316" s="888">
        <v>56190</v>
      </c>
      <c r="H316" s="888">
        <v>57465</v>
      </c>
      <c r="I316" s="798">
        <v>57465</v>
      </c>
      <c r="J316" s="839">
        <v>60335</v>
      </c>
      <c r="K316" s="817"/>
      <c r="L316" s="876">
        <v>61937</v>
      </c>
      <c r="M316" s="840">
        <v>63583</v>
      </c>
      <c r="N316" s="841">
        <v>65272</v>
      </c>
      <c r="O316" s="817">
        <v>65272</v>
      </c>
      <c r="P316" s="817">
        <v>65272</v>
      </c>
      <c r="Q316" s="817">
        <v>65272</v>
      </c>
      <c r="R316" s="817">
        <v>65272</v>
      </c>
      <c r="S316" s="817"/>
      <c r="T316" s="817">
        <v>67307</v>
      </c>
      <c r="U316" s="817">
        <v>67307</v>
      </c>
      <c r="V316" s="843">
        <v>68618</v>
      </c>
      <c r="W316" s="817">
        <f>V316</f>
        <v>68618</v>
      </c>
      <c r="X316" s="843">
        <v>69955</v>
      </c>
      <c r="Y316" s="843">
        <v>69955</v>
      </c>
      <c r="Z316" s="843">
        <v>73643</v>
      </c>
      <c r="AA316" s="843">
        <f>Z316</f>
        <v>73643</v>
      </c>
      <c r="AB316" s="843">
        <v>82786</v>
      </c>
      <c r="AC316" s="843">
        <f>AB316</f>
        <v>82786</v>
      </c>
      <c r="AD316" s="843"/>
      <c r="AE316" s="843">
        <v>86270</v>
      </c>
      <c r="AF316" s="843"/>
      <c r="AG316" s="1513"/>
      <c r="AH316" s="1513"/>
      <c r="AI316" s="1088"/>
      <c r="AJ316" s="1088"/>
      <c r="AK316" s="1088"/>
      <c r="AL316" s="1088"/>
      <c r="AM316" s="1088"/>
      <c r="AN316" s="1088"/>
      <c r="AO316" s="1088"/>
      <c r="AP316" s="1088"/>
      <c r="AQ316" s="1088"/>
      <c r="AR316" s="1088"/>
      <c r="AS316" s="1088" t="str">
        <f t="shared" si="172"/>
        <v/>
      </c>
      <c r="AT316" s="2260" t="str">
        <f t="shared" si="173"/>
        <v/>
      </c>
      <c r="AU316" s="890"/>
      <c r="AV316" s="819"/>
      <c r="AW316" s="797">
        <f t="shared" ref="AW316:AW321" si="174">SUM(AU316-H316)</f>
        <v>-57465</v>
      </c>
      <c r="AX316" s="805">
        <f t="shared" ref="AX316:AX321" si="175">IF(H316&gt;0,AW316/H316,"")</f>
        <v>-1</v>
      </c>
      <c r="AY316" s="807"/>
      <c r="AZ316" s="2136"/>
      <c r="BA316" s="2136"/>
      <c r="BB316" s="2129" t="s">
        <v>1099</v>
      </c>
    </row>
    <row r="317" spans="1:54" ht="13.9" hidden="1" customHeight="1" outlineLevel="1" x14ac:dyDescent="0.2">
      <c r="A317" s="808" t="s">
        <v>558</v>
      </c>
      <c r="B317" s="799">
        <v>116818</v>
      </c>
      <c r="C317" s="797">
        <v>98205.6</v>
      </c>
      <c r="D317" s="887">
        <v>124824</v>
      </c>
      <c r="E317" s="797">
        <v>114950.56</v>
      </c>
      <c r="F317" s="888">
        <v>124824</v>
      </c>
      <c r="G317" s="888">
        <v>115643.07</v>
      </c>
      <c r="H317" s="888">
        <v>107078</v>
      </c>
      <c r="I317" s="798">
        <v>99729.88</v>
      </c>
      <c r="J317" s="839">
        <v>109588</v>
      </c>
      <c r="K317" s="817"/>
      <c r="L317" s="876">
        <v>113707.89</v>
      </c>
      <c r="M317" s="840">
        <v>120731</v>
      </c>
      <c r="N317" s="841">
        <v>116517</v>
      </c>
      <c r="O317" s="817">
        <f>116517+4690</f>
        <v>121207</v>
      </c>
      <c r="P317" s="817">
        <v>121207</v>
      </c>
      <c r="Q317" s="817">
        <v>121207</v>
      </c>
      <c r="R317" s="817">
        <v>121557</v>
      </c>
      <c r="S317" s="817"/>
      <c r="T317" s="817">
        <v>122408</v>
      </c>
      <c r="U317" s="817">
        <v>122408</v>
      </c>
      <c r="V317" s="843">
        <v>124755</v>
      </c>
      <c r="W317" s="817">
        <f>V317</f>
        <v>124755</v>
      </c>
      <c r="X317" s="843">
        <v>131582</v>
      </c>
      <c r="Y317" s="843">
        <v>131582</v>
      </c>
      <c r="Z317" s="843">
        <v>140314</v>
      </c>
      <c r="AA317" s="843">
        <f>Z317+2237</f>
        <v>142551</v>
      </c>
      <c r="AB317" s="843">
        <v>147474</v>
      </c>
      <c r="AC317" s="843">
        <f>AB317</f>
        <v>147474</v>
      </c>
      <c r="AD317" s="843"/>
      <c r="AE317" s="843">
        <v>148765</v>
      </c>
      <c r="AF317" s="843"/>
      <c r="AG317" s="1513"/>
      <c r="AH317" s="1513"/>
      <c r="AI317" s="1088"/>
      <c r="AJ317" s="1088"/>
      <c r="AK317" s="1088"/>
      <c r="AL317" s="1088"/>
      <c r="AM317" s="1088"/>
      <c r="AN317" s="1088"/>
      <c r="AO317" s="1088"/>
      <c r="AP317" s="1088"/>
      <c r="AQ317" s="1088"/>
      <c r="AR317" s="1088"/>
      <c r="AS317" s="1088" t="str">
        <f t="shared" si="172"/>
        <v/>
      </c>
      <c r="AT317" s="2260" t="str">
        <f t="shared" si="173"/>
        <v/>
      </c>
      <c r="AU317" s="890"/>
      <c r="AV317" s="819"/>
      <c r="AW317" s="797">
        <f t="shared" si="174"/>
        <v>-107078</v>
      </c>
      <c r="AX317" s="805">
        <f t="shared" si="175"/>
        <v>-1</v>
      </c>
      <c r="AY317" s="807"/>
      <c r="AZ317" s="2136"/>
      <c r="BA317" s="2136"/>
      <c r="BB317" s="2129" t="s">
        <v>1099</v>
      </c>
    </row>
    <row r="318" spans="1:54" ht="13.9" hidden="1" customHeight="1" outlineLevel="1" x14ac:dyDescent="0.2">
      <c r="A318" s="808" t="s">
        <v>820</v>
      </c>
      <c r="B318" s="799">
        <v>54175</v>
      </c>
      <c r="C318" s="797">
        <v>58673.94</v>
      </c>
      <c r="D318" s="887">
        <v>52283</v>
      </c>
      <c r="E318" s="797">
        <v>45238.98</v>
      </c>
      <c r="F318" s="888">
        <v>54784</v>
      </c>
      <c r="G318" s="888">
        <f>52070.25+325</f>
        <v>52395.25</v>
      </c>
      <c r="H318" s="888">
        <v>53060</v>
      </c>
      <c r="I318" s="798">
        <v>45700</v>
      </c>
      <c r="J318" s="839">
        <v>54364</v>
      </c>
      <c r="K318" s="817"/>
      <c r="L318" s="845">
        <v>44901.279999999999</v>
      </c>
      <c r="M318" s="893">
        <v>56594</v>
      </c>
      <c r="N318" s="846">
        <v>39764</v>
      </c>
      <c r="O318" s="817">
        <f>39764+4010</f>
        <v>43774</v>
      </c>
      <c r="P318" s="817">
        <v>44261</v>
      </c>
      <c r="Q318" s="817">
        <v>44261</v>
      </c>
      <c r="R318" s="817">
        <v>45176</v>
      </c>
      <c r="S318" s="817"/>
      <c r="T318" s="817">
        <v>47640</v>
      </c>
      <c r="U318" s="817">
        <v>47640</v>
      </c>
      <c r="V318" s="843">
        <v>48593</v>
      </c>
      <c r="W318" s="817">
        <f>V318</f>
        <v>48593</v>
      </c>
      <c r="X318" s="843">
        <v>51593</v>
      </c>
      <c r="Y318" s="843">
        <v>51593</v>
      </c>
      <c r="Z318" s="843">
        <v>53018</v>
      </c>
      <c r="AA318" s="843">
        <f>Z318</f>
        <v>53018</v>
      </c>
      <c r="AB318" s="843">
        <v>54608</v>
      </c>
      <c r="AC318" s="843">
        <f>AB318</f>
        <v>54608</v>
      </c>
      <c r="AD318" s="843"/>
      <c r="AE318" s="843">
        <v>55700</v>
      </c>
      <c r="AF318" s="843"/>
      <c r="AG318" s="1513"/>
      <c r="AH318" s="1513"/>
      <c r="AI318" s="1088"/>
      <c r="AJ318" s="1088"/>
      <c r="AK318" s="1088"/>
      <c r="AL318" s="1088"/>
      <c r="AM318" s="1088"/>
      <c r="AN318" s="1088"/>
      <c r="AO318" s="1088"/>
      <c r="AP318" s="1088"/>
      <c r="AQ318" s="1088"/>
      <c r="AR318" s="1088"/>
      <c r="AS318" s="1088" t="str">
        <f t="shared" si="172"/>
        <v/>
      </c>
      <c r="AT318" s="2260" t="str">
        <f t="shared" si="173"/>
        <v/>
      </c>
      <c r="AU318" s="890"/>
      <c r="AV318" s="819"/>
      <c r="AW318" s="797">
        <f t="shared" si="174"/>
        <v>-53060</v>
      </c>
      <c r="AX318" s="805">
        <f t="shared" si="175"/>
        <v>-1</v>
      </c>
      <c r="AY318" s="807"/>
      <c r="AZ318" s="2136"/>
      <c r="BA318" s="2136"/>
      <c r="BB318" s="2129" t="s">
        <v>1099</v>
      </c>
    </row>
    <row r="319" spans="1:54" ht="13.9" hidden="1" customHeight="1" outlineLevel="1" x14ac:dyDescent="0.2">
      <c r="A319" s="808" t="s">
        <v>93</v>
      </c>
      <c r="B319" s="799">
        <v>0</v>
      </c>
      <c r="C319" s="797">
        <v>0</v>
      </c>
      <c r="D319" s="799"/>
      <c r="E319" s="797"/>
      <c r="F319" s="801"/>
      <c r="G319" s="801"/>
      <c r="H319" s="801"/>
      <c r="I319" s="798"/>
      <c r="J319" s="839"/>
      <c r="K319" s="817"/>
      <c r="L319" s="845"/>
      <c r="M319" s="845"/>
      <c r="N319" s="846"/>
      <c r="O319" s="817"/>
      <c r="P319" s="817"/>
      <c r="Q319" s="817"/>
      <c r="R319" s="817"/>
      <c r="S319" s="817"/>
      <c r="T319" s="817"/>
      <c r="U319" s="817"/>
      <c r="V319" s="817"/>
      <c r="W319" s="817"/>
      <c r="X319" s="817"/>
      <c r="Y319" s="817"/>
      <c r="Z319" s="817"/>
      <c r="AA319" s="817"/>
      <c r="AB319" s="817"/>
      <c r="AC319" s="817"/>
      <c r="AD319" s="817"/>
      <c r="AE319" s="817"/>
      <c r="AF319" s="817"/>
      <c r="AG319" s="877"/>
      <c r="AH319" s="877"/>
      <c r="AI319" s="1088"/>
      <c r="AJ319" s="1088"/>
      <c r="AK319" s="1088"/>
      <c r="AL319" s="1088"/>
      <c r="AM319" s="1088"/>
      <c r="AN319" s="1088"/>
      <c r="AO319" s="1088"/>
      <c r="AP319" s="1088"/>
      <c r="AQ319" s="1088"/>
      <c r="AR319" s="1088"/>
      <c r="AS319" s="1088" t="str">
        <f t="shared" si="172"/>
        <v/>
      </c>
      <c r="AT319" s="2260" t="str">
        <f t="shared" si="173"/>
        <v/>
      </c>
      <c r="AU319" s="890"/>
      <c r="AV319" s="819"/>
      <c r="AW319" s="797">
        <f t="shared" si="174"/>
        <v>0</v>
      </c>
      <c r="AX319" s="805" t="str">
        <f t="shared" si="175"/>
        <v/>
      </c>
      <c r="AY319" s="807"/>
      <c r="AZ319" s="2136"/>
      <c r="BA319" s="2136"/>
      <c r="BB319" s="2129" t="s">
        <v>1099</v>
      </c>
    </row>
    <row r="320" spans="1:54" ht="13.9" hidden="1" customHeight="1" outlineLevel="1" x14ac:dyDescent="0.2">
      <c r="A320" s="808" t="s">
        <v>629</v>
      </c>
      <c r="B320" s="799">
        <v>0</v>
      </c>
      <c r="C320" s="797">
        <v>0</v>
      </c>
      <c r="D320" s="799"/>
      <c r="E320" s="797"/>
      <c r="F320" s="801"/>
      <c r="G320" s="801"/>
      <c r="H320" s="801"/>
      <c r="I320" s="798"/>
      <c r="J320" s="839"/>
      <c r="K320" s="861"/>
      <c r="L320" s="1115"/>
      <c r="M320" s="1115"/>
      <c r="N320" s="902"/>
      <c r="O320" s="861"/>
      <c r="P320" s="861"/>
      <c r="Q320" s="861"/>
      <c r="R320" s="861"/>
      <c r="S320" s="861"/>
      <c r="T320" s="861"/>
      <c r="U320" s="861"/>
      <c r="V320" s="861"/>
      <c r="W320" s="861"/>
      <c r="X320" s="861"/>
      <c r="Y320" s="861"/>
      <c r="Z320" s="861"/>
      <c r="AA320" s="861"/>
      <c r="AB320" s="861"/>
      <c r="AC320" s="861"/>
      <c r="AD320" s="861"/>
      <c r="AE320" s="861"/>
      <c r="AF320" s="861"/>
      <c r="AG320" s="1200"/>
      <c r="AH320" s="1200"/>
      <c r="AI320" s="1088"/>
      <c r="AJ320" s="1088"/>
      <c r="AK320" s="1088"/>
      <c r="AL320" s="1088"/>
      <c r="AM320" s="1088"/>
      <c r="AN320" s="1088"/>
      <c r="AO320" s="1088"/>
      <c r="AP320" s="1088"/>
      <c r="AQ320" s="1088"/>
      <c r="AR320" s="1088"/>
      <c r="AS320" s="1088" t="str">
        <f t="shared" si="172"/>
        <v/>
      </c>
      <c r="AT320" s="2260" t="str">
        <f t="shared" si="173"/>
        <v/>
      </c>
      <c r="AU320" s="890"/>
      <c r="AV320" s="819"/>
      <c r="AW320" s="797">
        <f t="shared" si="174"/>
        <v>0</v>
      </c>
      <c r="AX320" s="805" t="str">
        <f t="shared" si="175"/>
        <v/>
      </c>
      <c r="AY320" s="807"/>
      <c r="AZ320" s="2136"/>
      <c r="BA320" s="2136"/>
      <c r="BB320" s="2129" t="s">
        <v>1099</v>
      </c>
    </row>
    <row r="321" spans="1:54" ht="13.9" hidden="1" customHeight="1" outlineLevel="1" x14ac:dyDescent="0.2">
      <c r="A321" s="878" t="s">
        <v>821</v>
      </c>
      <c r="B321" s="810">
        <f>SUM(B316:B320)</f>
        <v>225546</v>
      </c>
      <c r="C321" s="810">
        <f>SUM(C316:C320)</f>
        <v>211432.54</v>
      </c>
      <c r="D321" s="810">
        <f t="shared" ref="D321:N321" si="176">SUM(D316:D320)</f>
        <v>233297</v>
      </c>
      <c r="E321" s="810">
        <f t="shared" si="176"/>
        <v>216379.54</v>
      </c>
      <c r="F321" s="810">
        <f t="shared" si="176"/>
        <v>235798</v>
      </c>
      <c r="G321" s="810">
        <f t="shared" si="176"/>
        <v>224228.32</v>
      </c>
      <c r="H321" s="810">
        <f t="shared" si="176"/>
        <v>217603</v>
      </c>
      <c r="I321" s="810">
        <f>SUM(I316:I318)</f>
        <v>202894.88</v>
      </c>
      <c r="J321" s="813">
        <f t="shared" si="176"/>
        <v>224287</v>
      </c>
      <c r="K321" s="852" t="s">
        <v>462</v>
      </c>
      <c r="L321" s="879">
        <f t="shared" si="176"/>
        <v>220546.17</v>
      </c>
      <c r="M321" s="879">
        <f t="shared" si="176"/>
        <v>240908</v>
      </c>
      <c r="N321" s="880">
        <f t="shared" si="176"/>
        <v>221553</v>
      </c>
      <c r="O321" s="814">
        <f>SUM(O316:O318)</f>
        <v>230253</v>
      </c>
      <c r="P321" s="814">
        <f>SUM(P316:P318)</f>
        <v>230740</v>
      </c>
      <c r="Q321" s="814">
        <f>IF(SUM(Q316:Q318)=0,P321,SUM(Q316:Q318))</f>
        <v>230740</v>
      </c>
      <c r="R321" s="814">
        <f>SUM(R316:R318)</f>
        <v>232005</v>
      </c>
      <c r="S321" s="814">
        <f>IF(SUM(S316:S318)=0,R321,SUM(S316:S318))</f>
        <v>232005</v>
      </c>
      <c r="T321" s="814">
        <v>237355</v>
      </c>
      <c r="U321" s="814">
        <v>237355</v>
      </c>
      <c r="V321" s="814">
        <f>SUM(V316:V318)</f>
        <v>241966</v>
      </c>
      <c r="W321" s="814">
        <f>IF(SUM(W316:W318)=0,V321,SUM(W316:W318))</f>
        <v>241966</v>
      </c>
      <c r="X321" s="814">
        <f>SUM(X316:X318)</f>
        <v>253130</v>
      </c>
      <c r="Y321" s="814">
        <f>IF(SUM(Y316:Y318)=0,X321,SUM(Y316:Y318))</f>
        <v>253130</v>
      </c>
      <c r="Z321" s="814">
        <f>SUM(Z316:Z318)</f>
        <v>266975</v>
      </c>
      <c r="AA321" s="814">
        <f>IF(SUM(AA316:AA318)=0,Z321,SUM(AA316:AA318))</f>
        <v>269212</v>
      </c>
      <c r="AB321" s="814">
        <f>SUM(AB316:AB318)</f>
        <v>284868</v>
      </c>
      <c r="AC321" s="814">
        <f>IF(SUM(AC316:AC318)=0,AB321,SUM(AC316:AC318))</f>
        <v>284868</v>
      </c>
      <c r="AD321" s="814"/>
      <c r="AE321" s="814">
        <v>290735</v>
      </c>
      <c r="AF321" s="814">
        <v>290735</v>
      </c>
      <c r="AG321" s="853"/>
      <c r="AH321" s="853"/>
      <c r="AI321" s="1088"/>
      <c r="AJ321" s="1088"/>
      <c r="AK321" s="1088"/>
      <c r="AL321" s="1088"/>
      <c r="AM321" s="1088"/>
      <c r="AN321" s="1088"/>
      <c r="AO321" s="1088"/>
      <c r="AP321" s="1088"/>
      <c r="AQ321" s="1088"/>
      <c r="AR321" s="1088"/>
      <c r="AS321" s="1088" t="str">
        <f t="shared" si="172"/>
        <v/>
      </c>
      <c r="AT321" s="2260" t="str">
        <f t="shared" si="173"/>
        <v/>
      </c>
      <c r="AU321" s="854">
        <f>SUM(AU316:AU320)</f>
        <v>0</v>
      </c>
      <c r="AV321" s="819"/>
      <c r="AW321" s="797">
        <f t="shared" si="174"/>
        <v>-217603</v>
      </c>
      <c r="AX321" s="805">
        <f t="shared" si="175"/>
        <v>-1</v>
      </c>
      <c r="AY321" s="807"/>
      <c r="AZ321" s="2136"/>
      <c r="BA321" s="2136"/>
      <c r="BB321" s="2129" t="s">
        <v>1099</v>
      </c>
    </row>
    <row r="322" spans="1:54" ht="13.9" hidden="1" customHeight="1" outlineLevel="1" x14ac:dyDescent="0.2">
      <c r="A322" s="855"/>
      <c r="B322" s="824"/>
      <c r="C322" s="824"/>
      <c r="D322" s="933"/>
      <c r="E322" s="824"/>
      <c r="F322" s="934"/>
      <c r="G322" s="934"/>
      <c r="H322" s="934"/>
      <c r="I322" s="943"/>
      <c r="J322" s="1049"/>
      <c r="K322" s="857"/>
      <c r="L322" s="863"/>
      <c r="M322" s="864"/>
      <c r="N322" s="858"/>
      <c r="O322" s="856"/>
      <c r="P322" s="856"/>
      <c r="Q322" s="856"/>
      <c r="R322" s="856"/>
      <c r="S322" s="856"/>
      <c r="T322" s="856"/>
      <c r="U322" s="856"/>
      <c r="V322" s="856"/>
      <c r="W322" s="856"/>
      <c r="X322" s="856"/>
      <c r="Y322" s="856"/>
      <c r="Z322" s="856"/>
      <c r="AA322" s="856"/>
      <c r="AB322" s="856"/>
      <c r="AC322" s="856"/>
      <c r="AD322" s="856"/>
      <c r="AE322" s="856"/>
      <c r="AF322" s="856"/>
      <c r="AG322" s="856"/>
      <c r="AH322" s="856"/>
      <c r="AI322" s="1092"/>
      <c r="AJ322" s="1092"/>
      <c r="AK322" s="1092"/>
      <c r="AL322" s="1092"/>
      <c r="AM322" s="1092"/>
      <c r="AN322" s="1092"/>
      <c r="AO322" s="1092"/>
      <c r="AP322" s="1092"/>
      <c r="AQ322" s="1092"/>
      <c r="AR322" s="1092"/>
      <c r="AS322" s="1092" t="str">
        <f t="shared" si="172"/>
        <v/>
      </c>
      <c r="AT322" s="2247" t="str">
        <f t="shared" si="173"/>
        <v/>
      </c>
      <c r="AU322" s="935"/>
      <c r="AV322" s="834"/>
      <c r="AW322" s="823"/>
      <c r="AX322" s="835"/>
      <c r="AY322" s="836"/>
      <c r="AZ322" s="2136"/>
      <c r="BA322" s="2136"/>
      <c r="BB322" s="2129" t="s">
        <v>1099</v>
      </c>
    </row>
    <row r="323" spans="1:54" ht="13.9" hidden="1" customHeight="1" outlineLevel="1" x14ac:dyDescent="0.2">
      <c r="A323" s="808" t="s">
        <v>505</v>
      </c>
      <c r="B323" s="837"/>
      <c r="C323" s="837"/>
      <c r="D323" s="936"/>
      <c r="E323" s="837"/>
      <c r="F323" s="937"/>
      <c r="G323" s="937"/>
      <c r="H323" s="937"/>
      <c r="I323" s="889"/>
      <c r="J323" s="884"/>
      <c r="K323" s="817"/>
      <c r="L323" s="893"/>
      <c r="M323" s="893"/>
      <c r="N323" s="846"/>
      <c r="O323" s="817"/>
      <c r="P323" s="817"/>
      <c r="Q323" s="817"/>
      <c r="R323" s="817"/>
      <c r="S323" s="817"/>
      <c r="T323" s="817"/>
      <c r="U323" s="817"/>
      <c r="V323" s="817"/>
      <c r="W323" s="817"/>
      <c r="X323" s="817"/>
      <c r="Y323" s="817"/>
      <c r="Z323" s="817"/>
      <c r="AA323" s="817"/>
      <c r="AB323" s="817"/>
      <c r="AC323" s="817"/>
      <c r="AD323" s="817"/>
      <c r="AE323" s="817"/>
      <c r="AF323" s="817"/>
      <c r="AG323" s="817"/>
      <c r="AH323" s="817"/>
      <c r="AI323" s="1087"/>
      <c r="AJ323" s="1087"/>
      <c r="AK323" s="1087"/>
      <c r="AL323" s="1087"/>
      <c r="AM323" s="1087"/>
      <c r="AN323" s="1087"/>
      <c r="AO323" s="1087"/>
      <c r="AP323" s="1087"/>
      <c r="AQ323" s="1087"/>
      <c r="AR323" s="1087"/>
      <c r="AS323" s="1087" t="str">
        <f t="shared" si="172"/>
        <v/>
      </c>
      <c r="AT323" s="2245" t="str">
        <f t="shared" si="173"/>
        <v/>
      </c>
      <c r="AU323" s="938"/>
      <c r="AV323" s="819"/>
      <c r="AW323" s="797"/>
      <c r="AX323" s="805"/>
      <c r="AY323" s="807"/>
      <c r="AZ323" s="2136"/>
      <c r="BA323" s="2136"/>
      <c r="BB323" s="2129" t="s">
        <v>1099</v>
      </c>
    </row>
    <row r="324" spans="1:54" ht="13.9" hidden="1" customHeight="1" outlineLevel="1" x14ac:dyDescent="0.2">
      <c r="A324" s="808" t="s">
        <v>567</v>
      </c>
      <c r="B324" s="799">
        <v>2654</v>
      </c>
      <c r="C324" s="797">
        <v>2654</v>
      </c>
      <c r="D324" s="887">
        <v>2654</v>
      </c>
      <c r="E324" s="797">
        <v>2654</v>
      </c>
      <c r="F324" s="888">
        <v>2654</v>
      </c>
      <c r="G324" s="888">
        <v>2654</v>
      </c>
      <c r="H324" s="888">
        <v>2714</v>
      </c>
      <c r="I324" s="798">
        <v>2714</v>
      </c>
      <c r="J324" s="839">
        <v>2768</v>
      </c>
      <c r="K324" s="817"/>
      <c r="L324" s="876">
        <v>2840</v>
      </c>
      <c r="M324" s="840">
        <v>2916</v>
      </c>
      <c r="N324" s="841">
        <v>2916</v>
      </c>
      <c r="O324" s="817">
        <v>2916</v>
      </c>
      <c r="P324" s="817">
        <v>2916</v>
      </c>
      <c r="Q324" s="817">
        <v>2916</v>
      </c>
      <c r="R324" s="817">
        <v>2916</v>
      </c>
      <c r="S324" s="817"/>
      <c r="T324" s="817">
        <v>2975</v>
      </c>
      <c r="U324" s="817">
        <v>2975</v>
      </c>
      <c r="V324" s="843">
        <v>3035</v>
      </c>
      <c r="W324" s="817">
        <f>V324</f>
        <v>3035</v>
      </c>
      <c r="X324" s="843">
        <v>3096</v>
      </c>
      <c r="Y324" s="843">
        <v>3096</v>
      </c>
      <c r="Z324" s="843">
        <v>3158</v>
      </c>
      <c r="AA324" s="843">
        <f>Z324</f>
        <v>3158</v>
      </c>
      <c r="AB324" s="843">
        <v>3222</v>
      </c>
      <c r="AC324" s="843">
        <f>AB324</f>
        <v>3222</v>
      </c>
      <c r="AD324" s="843"/>
      <c r="AE324" s="843">
        <v>3287</v>
      </c>
      <c r="AF324" s="843"/>
      <c r="AG324" s="1513"/>
      <c r="AH324" s="1513"/>
      <c r="AI324" s="1088"/>
      <c r="AJ324" s="1088"/>
      <c r="AK324" s="1088"/>
      <c r="AL324" s="1088"/>
      <c r="AM324" s="1088"/>
      <c r="AN324" s="1088"/>
      <c r="AO324" s="1088"/>
      <c r="AP324" s="1088"/>
      <c r="AQ324" s="1088"/>
      <c r="AR324" s="1088"/>
      <c r="AS324" s="1088" t="str">
        <f t="shared" si="172"/>
        <v/>
      </c>
      <c r="AT324" s="2260" t="str">
        <f t="shared" si="173"/>
        <v/>
      </c>
      <c r="AU324" s="890"/>
      <c r="AV324" s="819"/>
      <c r="AW324" s="797">
        <f>SUM(AU324-H324)</f>
        <v>-2714</v>
      </c>
      <c r="AX324" s="805">
        <f>IF(H324&gt;0,AW324/H324,"")</f>
        <v>-1</v>
      </c>
      <c r="AY324" s="807"/>
      <c r="AZ324" s="2136"/>
      <c r="BA324" s="2136"/>
      <c r="BB324" s="2129" t="s">
        <v>1099</v>
      </c>
    </row>
    <row r="325" spans="1:54" ht="13.9" hidden="1" customHeight="1" outlineLevel="1" x14ac:dyDescent="0.2">
      <c r="A325" s="808" t="s">
        <v>558</v>
      </c>
      <c r="B325" s="799">
        <v>2795</v>
      </c>
      <c r="C325" s="797">
        <v>1203.72</v>
      </c>
      <c r="D325" s="887">
        <v>2795</v>
      </c>
      <c r="E325" s="797">
        <v>921.79</v>
      </c>
      <c r="F325" s="888">
        <v>2795</v>
      </c>
      <c r="G325" s="888">
        <v>1252.1600000000001</v>
      </c>
      <c r="H325" s="888">
        <v>2860</v>
      </c>
      <c r="I325" s="798">
        <v>1117.18</v>
      </c>
      <c r="J325" s="839">
        <v>2900</v>
      </c>
      <c r="K325" s="817"/>
      <c r="L325" s="876">
        <v>2375.83</v>
      </c>
      <c r="M325" s="840">
        <v>3055</v>
      </c>
      <c r="N325" s="841">
        <v>3137</v>
      </c>
      <c r="O325" s="817">
        <v>3137</v>
      </c>
      <c r="P325" s="817">
        <v>3137</v>
      </c>
      <c r="Q325" s="817">
        <v>3137</v>
      </c>
      <c r="R325" s="817">
        <v>3137</v>
      </c>
      <c r="S325" s="817"/>
      <c r="T325" s="817">
        <v>3200</v>
      </c>
      <c r="U325" s="817">
        <v>3200</v>
      </c>
      <c r="V325" s="843">
        <v>3264</v>
      </c>
      <c r="W325" s="817">
        <f>V325</f>
        <v>3264</v>
      </c>
      <c r="X325" s="843">
        <v>3330</v>
      </c>
      <c r="Y325" s="843">
        <v>3330</v>
      </c>
      <c r="Z325" s="843">
        <v>3395</v>
      </c>
      <c r="AA325" s="843">
        <f>Z325</f>
        <v>3395</v>
      </c>
      <c r="AB325" s="843">
        <v>3530</v>
      </c>
      <c r="AC325" s="843">
        <f>AB325</f>
        <v>3530</v>
      </c>
      <c r="AD325" s="843"/>
      <c r="AE325" s="843">
        <v>3530</v>
      </c>
      <c r="AF325" s="843"/>
      <c r="AG325" s="1513"/>
      <c r="AH325" s="1513"/>
      <c r="AI325" s="1088"/>
      <c r="AJ325" s="1088"/>
      <c r="AK325" s="1088"/>
      <c r="AL325" s="1088"/>
      <c r="AM325" s="1088"/>
      <c r="AN325" s="1088"/>
      <c r="AO325" s="1088"/>
      <c r="AP325" s="1088"/>
      <c r="AQ325" s="1088"/>
      <c r="AR325" s="1088"/>
      <c r="AS325" s="1088" t="str">
        <f t="shared" si="172"/>
        <v/>
      </c>
      <c r="AT325" s="2260" t="str">
        <f t="shared" si="173"/>
        <v/>
      </c>
      <c r="AU325" s="890"/>
      <c r="AV325" s="819"/>
      <c r="AW325" s="797">
        <f>SUM(AU325-H325)</f>
        <v>-2860</v>
      </c>
      <c r="AX325" s="805">
        <f>IF(H325&gt;0,AW325/H325,"")</f>
        <v>-1</v>
      </c>
      <c r="AY325" s="807"/>
      <c r="AZ325" s="2136"/>
      <c r="BA325" s="2136"/>
      <c r="BB325" s="2129" t="s">
        <v>1099</v>
      </c>
    </row>
    <row r="326" spans="1:54" ht="13.9" hidden="1" customHeight="1" outlineLevel="1" x14ac:dyDescent="0.2">
      <c r="A326" s="808" t="s">
        <v>820</v>
      </c>
      <c r="B326" s="799">
        <v>8450</v>
      </c>
      <c r="C326" s="797">
        <f>SUM(4000+1625.5)</f>
        <v>5625.5</v>
      </c>
      <c r="D326" s="887">
        <v>8450</v>
      </c>
      <c r="E326" s="797">
        <v>5441.77</v>
      </c>
      <c r="F326" s="888">
        <v>8450</v>
      </c>
      <c r="G326" s="888">
        <v>2867.5</v>
      </c>
      <c r="H326" s="888">
        <v>8650</v>
      </c>
      <c r="I326" s="798">
        <v>8199</v>
      </c>
      <c r="J326" s="839">
        <v>8825</v>
      </c>
      <c r="K326" s="859"/>
      <c r="L326" s="845">
        <v>8647.74</v>
      </c>
      <c r="M326" s="845">
        <v>9285</v>
      </c>
      <c r="N326" s="846">
        <v>7650</v>
      </c>
      <c r="O326" s="859">
        <v>7650</v>
      </c>
      <c r="P326" s="817">
        <v>7650</v>
      </c>
      <c r="Q326" s="817">
        <v>7650</v>
      </c>
      <c r="R326" s="932">
        <v>7650</v>
      </c>
      <c r="S326" s="1098"/>
      <c r="T326" s="1098">
        <v>7805</v>
      </c>
      <c r="U326" s="1098">
        <v>7805</v>
      </c>
      <c r="V326" s="842">
        <v>7955</v>
      </c>
      <c r="W326" s="932">
        <f>V326</f>
        <v>7955</v>
      </c>
      <c r="X326" s="842">
        <v>8195</v>
      </c>
      <c r="Y326" s="842">
        <v>8195</v>
      </c>
      <c r="Z326" s="842">
        <v>8440</v>
      </c>
      <c r="AA326" s="842">
        <f>Z326</f>
        <v>8440</v>
      </c>
      <c r="AB326" s="842">
        <v>8670</v>
      </c>
      <c r="AC326" s="842">
        <f>AB326</f>
        <v>8670</v>
      </c>
      <c r="AD326" s="842"/>
      <c r="AE326" s="842">
        <v>8845</v>
      </c>
      <c r="AF326" s="843"/>
      <c r="AG326" s="1513"/>
      <c r="AH326" s="1513"/>
      <c r="AI326" s="1088"/>
      <c r="AJ326" s="1088"/>
      <c r="AK326" s="1088"/>
      <c r="AL326" s="1088"/>
      <c r="AM326" s="1088"/>
      <c r="AN326" s="1088"/>
      <c r="AO326" s="1088"/>
      <c r="AP326" s="1088"/>
      <c r="AQ326" s="1088"/>
      <c r="AR326" s="1088"/>
      <c r="AS326" s="1088" t="str">
        <f t="shared" si="172"/>
        <v/>
      </c>
      <c r="AT326" s="2260" t="str">
        <f t="shared" si="173"/>
        <v/>
      </c>
      <c r="AU326" s="890"/>
      <c r="AV326" s="819"/>
      <c r="AW326" s="797">
        <f>SUM(AU326-H326)</f>
        <v>-8650</v>
      </c>
      <c r="AX326" s="805">
        <f>IF(H326&gt;0,AW326/H326,"")</f>
        <v>-1</v>
      </c>
      <c r="AY326" s="807"/>
      <c r="AZ326" s="2136"/>
      <c r="BA326" s="2136"/>
      <c r="BB326" s="2129" t="s">
        <v>1099</v>
      </c>
    </row>
    <row r="327" spans="1:54" ht="13.9" hidden="1" customHeight="1" outlineLevel="1" x14ac:dyDescent="0.2">
      <c r="A327" s="878" t="s">
        <v>821</v>
      </c>
      <c r="B327" s="810">
        <f>SUM(B324:B326)</f>
        <v>13899</v>
      </c>
      <c r="C327" s="810">
        <f>SUM(C324:C326)</f>
        <v>9483.2200000000012</v>
      </c>
      <c r="D327" s="810">
        <f t="shared" ref="D327:N327" si="177">SUM(D324:D326)</f>
        <v>13899</v>
      </c>
      <c r="E327" s="810">
        <f t="shared" si="177"/>
        <v>9017.5600000000013</v>
      </c>
      <c r="F327" s="810">
        <f t="shared" si="177"/>
        <v>13899</v>
      </c>
      <c r="G327" s="810">
        <f t="shared" si="177"/>
        <v>6773.66</v>
      </c>
      <c r="H327" s="810">
        <f t="shared" si="177"/>
        <v>14224</v>
      </c>
      <c r="I327" s="810">
        <f t="shared" si="177"/>
        <v>12030.18</v>
      </c>
      <c r="J327" s="813">
        <f t="shared" si="177"/>
        <v>14493</v>
      </c>
      <c r="K327" s="852" t="s">
        <v>462</v>
      </c>
      <c r="L327" s="879">
        <f t="shared" si="177"/>
        <v>13863.57</v>
      </c>
      <c r="M327" s="879">
        <f t="shared" si="177"/>
        <v>15256</v>
      </c>
      <c r="N327" s="880">
        <f t="shared" si="177"/>
        <v>13703</v>
      </c>
      <c r="O327" s="814">
        <f>SUM(O324:O326)</f>
        <v>13703</v>
      </c>
      <c r="P327" s="814">
        <f>SUM(P324:P326)</f>
        <v>13703</v>
      </c>
      <c r="Q327" s="853">
        <f>IF(SUM(Q324:Q326)=0,P327,SUM(Q324:Q326))</f>
        <v>13703</v>
      </c>
      <c r="R327" s="852">
        <f>SUM(R324:R326)</f>
        <v>13703</v>
      </c>
      <c r="S327" s="852">
        <f>IF(SUM(S324:S326)=0,R327,SUM(S324:S326))</f>
        <v>13703</v>
      </c>
      <c r="T327" s="852">
        <v>13980</v>
      </c>
      <c r="U327" s="852">
        <v>13980</v>
      </c>
      <c r="V327" s="852">
        <f>SUM(V324:V326)</f>
        <v>14254</v>
      </c>
      <c r="W327" s="852">
        <f>IF(SUM(W324:W326)=0,V327,SUM(W324:W326))</f>
        <v>14254</v>
      </c>
      <c r="X327" s="852">
        <f>SUM(X324:X326)</f>
        <v>14621</v>
      </c>
      <c r="Y327" s="852">
        <f>IF(SUM(Y324:Y326)=0,X327,SUM(Y324:Y326))</f>
        <v>14621</v>
      </c>
      <c r="Z327" s="852">
        <f>SUM(Z324:Z326)</f>
        <v>14993</v>
      </c>
      <c r="AA327" s="852">
        <f>IF(SUM(AA324:AA326)=0,Z327,SUM(AA324:AA326))</f>
        <v>14993</v>
      </c>
      <c r="AB327" s="852">
        <f>SUM(AB324:AB326)</f>
        <v>15422</v>
      </c>
      <c r="AC327" s="852">
        <f>IF(SUM(AC324:AC326)=0,AB327,SUM(AC324:AC326))</f>
        <v>15422</v>
      </c>
      <c r="AD327" s="852"/>
      <c r="AE327" s="852">
        <v>15662</v>
      </c>
      <c r="AF327" s="852">
        <v>15662</v>
      </c>
      <c r="AG327" s="853"/>
      <c r="AH327" s="853"/>
      <c r="AI327" s="1088"/>
      <c r="AJ327" s="1088"/>
      <c r="AK327" s="1088"/>
      <c r="AL327" s="1088"/>
      <c r="AM327" s="1088"/>
      <c r="AN327" s="1088"/>
      <c r="AO327" s="1088"/>
      <c r="AP327" s="1088"/>
      <c r="AQ327" s="1088"/>
      <c r="AR327" s="1088"/>
      <c r="AS327" s="1088" t="str">
        <f t="shared" si="172"/>
        <v/>
      </c>
      <c r="AT327" s="2260" t="str">
        <f t="shared" si="173"/>
        <v/>
      </c>
      <c r="AU327" s="854">
        <f>SUM(AU324:AU326)</f>
        <v>0</v>
      </c>
      <c r="AV327" s="819"/>
      <c r="AW327" s="797">
        <f>SUM(AU327-H327)</f>
        <v>-14224</v>
      </c>
      <c r="AX327" s="805">
        <f>IF(H327&gt;0,AW327/H327,"")</f>
        <v>-1</v>
      </c>
      <c r="AY327" s="807"/>
      <c r="AZ327" s="2136"/>
      <c r="BA327" s="2136"/>
      <c r="BB327" s="2129" t="s">
        <v>1099</v>
      </c>
    </row>
    <row r="328" spans="1:54" ht="13.9" hidden="1" customHeight="1" outlineLevel="1" x14ac:dyDescent="0.2">
      <c r="A328" s="855"/>
      <c r="B328" s="822"/>
      <c r="C328" s="824"/>
      <c r="D328" s="823"/>
      <c r="E328" s="824"/>
      <c r="F328" s="825"/>
      <c r="G328" s="823"/>
      <c r="H328" s="823"/>
      <c r="I328" s="943"/>
      <c r="J328" s="1049"/>
      <c r="K328" s="857"/>
      <c r="L328" s="863"/>
      <c r="M328" s="864"/>
      <c r="N328" s="858"/>
      <c r="O328" s="856"/>
      <c r="P328" s="856"/>
      <c r="Q328" s="856"/>
      <c r="R328" s="856"/>
      <c r="S328" s="856"/>
      <c r="T328" s="856"/>
      <c r="U328" s="856"/>
      <c r="V328" s="856"/>
      <c r="W328" s="856"/>
      <c r="X328" s="856"/>
      <c r="Y328" s="856"/>
      <c r="Z328" s="856"/>
      <c r="AA328" s="856"/>
      <c r="AB328" s="856"/>
      <c r="AC328" s="856"/>
      <c r="AD328" s="856"/>
      <c r="AE328" s="856"/>
      <c r="AF328" s="856"/>
      <c r="AG328" s="856"/>
      <c r="AH328" s="856"/>
      <c r="AI328" s="1092"/>
      <c r="AJ328" s="1092"/>
      <c r="AK328" s="1092"/>
      <c r="AL328" s="1092"/>
      <c r="AM328" s="1092"/>
      <c r="AN328" s="1092"/>
      <c r="AO328" s="1092"/>
      <c r="AP328" s="1092"/>
      <c r="AQ328" s="1092"/>
      <c r="AR328" s="1092"/>
      <c r="AS328" s="1092" t="str">
        <f t="shared" si="172"/>
        <v/>
      </c>
      <c r="AT328" s="2247" t="str">
        <f t="shared" si="173"/>
        <v/>
      </c>
      <c r="AU328" s="833"/>
      <c r="AV328" s="834"/>
      <c r="AW328" s="823"/>
      <c r="AX328" s="835"/>
      <c r="AY328" s="836"/>
      <c r="AZ328" s="2136"/>
      <c r="BA328" s="2136"/>
      <c r="BB328" s="2129" t="s">
        <v>1099</v>
      </c>
    </row>
    <row r="329" spans="1:54" ht="13.9" hidden="1" customHeight="1" outlineLevel="1" x14ac:dyDescent="0.2">
      <c r="A329" s="808" t="s">
        <v>506</v>
      </c>
      <c r="B329" s="837"/>
      <c r="C329" s="799"/>
      <c r="D329" s="936"/>
      <c r="E329" s="799"/>
      <c r="F329" s="937"/>
      <c r="G329" s="936"/>
      <c r="H329" s="936"/>
      <c r="I329" s="801"/>
      <c r="J329" s="884"/>
      <c r="K329" s="817"/>
      <c r="L329" s="893"/>
      <c r="M329" s="893"/>
      <c r="N329" s="846"/>
      <c r="O329" s="817"/>
      <c r="P329" s="817"/>
      <c r="Q329" s="817"/>
      <c r="R329" s="817"/>
      <c r="S329" s="817"/>
      <c r="T329" s="817"/>
      <c r="U329" s="817"/>
      <c r="V329" s="817"/>
      <c r="W329" s="817"/>
      <c r="X329" s="817"/>
      <c r="Y329" s="817"/>
      <c r="Z329" s="817"/>
      <c r="AA329" s="817"/>
      <c r="AB329" s="817"/>
      <c r="AC329" s="817"/>
      <c r="AD329" s="817"/>
      <c r="AE329" s="817"/>
      <c r="AF329" s="817"/>
      <c r="AG329" s="817"/>
      <c r="AH329" s="817"/>
      <c r="AI329" s="817"/>
      <c r="AJ329" s="817"/>
      <c r="AK329" s="817"/>
      <c r="AL329" s="817"/>
      <c r="AM329" s="817"/>
      <c r="AN329" s="817"/>
      <c r="AO329" s="817"/>
      <c r="AP329" s="817"/>
      <c r="AQ329" s="817"/>
      <c r="AR329" s="817"/>
      <c r="AS329" s="817">
        <f t="shared" ref="AS329:AS392" si="178">AR329-AP329</f>
        <v>0</v>
      </c>
      <c r="AT329" s="2240" t="str">
        <f t="shared" ref="AT329:AT392" si="179">IF(AP329&gt;0,AS329/AP329,"")</f>
        <v/>
      </c>
      <c r="AU329" s="938"/>
      <c r="AV329" s="819"/>
      <c r="AW329" s="797"/>
      <c r="AX329" s="805"/>
      <c r="AY329" s="807"/>
      <c r="AZ329" s="2136"/>
      <c r="BA329" s="2136"/>
    </row>
    <row r="330" spans="1:54" ht="13.9" hidden="1" customHeight="1" outlineLevel="1" x14ac:dyDescent="0.2">
      <c r="A330" s="808" t="s">
        <v>820</v>
      </c>
      <c r="B330" s="799">
        <v>2000</v>
      </c>
      <c r="C330" s="797">
        <f>SUM(400+1400.24)</f>
        <v>1800.24</v>
      </c>
      <c r="D330" s="887">
        <v>2000</v>
      </c>
      <c r="E330" s="797">
        <v>1729.56</v>
      </c>
      <c r="F330" s="888">
        <v>2000</v>
      </c>
      <c r="G330" s="887">
        <v>1928.04</v>
      </c>
      <c r="H330" s="887">
        <v>3400</v>
      </c>
      <c r="I330" s="798">
        <v>2932.23</v>
      </c>
      <c r="J330" s="839">
        <v>3400</v>
      </c>
      <c r="K330" s="859"/>
      <c r="L330" s="845">
        <v>2851.3</v>
      </c>
      <c r="M330" s="845">
        <v>4000</v>
      </c>
      <c r="N330" s="846">
        <v>3600</v>
      </c>
      <c r="O330" s="859">
        <v>3600</v>
      </c>
      <c r="P330" s="817">
        <v>3600</v>
      </c>
      <c r="Q330" s="817">
        <v>3600</v>
      </c>
      <c r="R330" s="817">
        <v>3600</v>
      </c>
      <c r="S330" s="859"/>
      <c r="T330" s="859">
        <v>3600</v>
      </c>
      <c r="U330" s="859">
        <v>3600</v>
      </c>
      <c r="V330" s="843">
        <v>3600</v>
      </c>
      <c r="W330" s="817">
        <f>V330</f>
        <v>3600</v>
      </c>
      <c r="X330" s="843">
        <v>3600</v>
      </c>
      <c r="Y330" s="843">
        <v>3600</v>
      </c>
      <c r="Z330" s="843">
        <v>2650</v>
      </c>
      <c r="AA330" s="843">
        <f>Z330</f>
        <v>2650</v>
      </c>
      <c r="AB330" s="843">
        <v>2650</v>
      </c>
      <c r="AC330" s="843">
        <f>AB330</f>
        <v>2650</v>
      </c>
      <c r="AD330" s="843"/>
      <c r="AE330" s="843">
        <v>1850</v>
      </c>
      <c r="AF330" s="843"/>
      <c r="AG330" s="843">
        <v>1850</v>
      </c>
      <c r="AH330" s="843">
        <v>1850</v>
      </c>
      <c r="AI330" s="843">
        <v>1850</v>
      </c>
      <c r="AJ330" s="843">
        <v>1850</v>
      </c>
      <c r="AK330" s="843">
        <v>1850</v>
      </c>
      <c r="AL330" s="843">
        <v>1850</v>
      </c>
      <c r="AM330" s="843">
        <v>1850</v>
      </c>
      <c r="AN330" s="843">
        <v>1850</v>
      </c>
      <c r="AO330" s="843">
        <v>1850</v>
      </c>
      <c r="AP330" s="843">
        <v>1850</v>
      </c>
      <c r="AQ330" s="843">
        <v>1850</v>
      </c>
      <c r="AR330" s="843">
        <f>'[1]BUDGET DETAIL'!$CO$853</f>
        <v>1850</v>
      </c>
      <c r="AS330" s="843">
        <f t="shared" si="178"/>
        <v>0</v>
      </c>
      <c r="AT330" s="2239">
        <f t="shared" si="179"/>
        <v>0</v>
      </c>
      <c r="AU330" s="890"/>
      <c r="AV330" s="819"/>
      <c r="AW330" s="797">
        <f>SUM(AU330-H330)</f>
        <v>-3400</v>
      </c>
      <c r="AX330" s="805">
        <f>IF(H330&gt;0,AW330/H330,"")</f>
        <v>-1</v>
      </c>
      <c r="AY330" s="1673"/>
      <c r="AZ330" s="2136"/>
      <c r="BA330" s="2136"/>
      <c r="BB330" s="2139"/>
    </row>
    <row r="331" spans="1:54" ht="13.9" hidden="1" customHeight="1" outlineLevel="1" x14ac:dyDescent="0.2">
      <c r="A331" s="878" t="s">
        <v>821</v>
      </c>
      <c r="B331" s="809">
        <f>SUM(B330)</f>
        <v>2000</v>
      </c>
      <c r="C331" s="810">
        <f t="shared" ref="C331:H331" si="180">SUM(C329:C330)</f>
        <v>1800.24</v>
      </c>
      <c r="D331" s="810">
        <f t="shared" si="180"/>
        <v>2000</v>
      </c>
      <c r="E331" s="810">
        <f t="shared" si="180"/>
        <v>1729.56</v>
      </c>
      <c r="F331" s="811">
        <f t="shared" si="180"/>
        <v>2000</v>
      </c>
      <c r="G331" s="810">
        <f t="shared" si="180"/>
        <v>1928.04</v>
      </c>
      <c r="H331" s="810">
        <f t="shared" si="180"/>
        <v>3400</v>
      </c>
      <c r="I331" s="811">
        <f>SUM(I330)</f>
        <v>2932.23</v>
      </c>
      <c r="J331" s="813">
        <f>SUM(J330:J330)</f>
        <v>3400</v>
      </c>
      <c r="K331" s="852" t="s">
        <v>462</v>
      </c>
      <c r="L331" s="879">
        <f>SUM(L330:L330)</f>
        <v>2851.3</v>
      </c>
      <c r="M331" s="879">
        <f>SUM(M330:M330)</f>
        <v>4000</v>
      </c>
      <c r="N331" s="880">
        <f>SUM(N330:N330)</f>
        <v>3600</v>
      </c>
      <c r="O331" s="814">
        <f>O330</f>
        <v>3600</v>
      </c>
      <c r="P331" s="814">
        <f>SUM(P328:P330)</f>
        <v>3600</v>
      </c>
      <c r="Q331" s="852">
        <f>IF(SUM(Q330)=0,P331,Q330)</f>
        <v>3600</v>
      </c>
      <c r="R331" s="814">
        <f>SUM(R328:R330)</f>
        <v>3600</v>
      </c>
      <c r="S331" s="852">
        <f>IF(SUM(S330)=0,R331,S330)</f>
        <v>3600</v>
      </c>
      <c r="T331" s="814">
        <v>3600</v>
      </c>
      <c r="U331" s="814">
        <v>3600</v>
      </c>
      <c r="V331" s="814">
        <f>SUM(V328:V330)</f>
        <v>3600</v>
      </c>
      <c r="W331" s="852">
        <f>IF(SUM(W330)=0,V331,W330)</f>
        <v>3600</v>
      </c>
      <c r="X331" s="814">
        <f>SUM(X328:X330)</f>
        <v>3600</v>
      </c>
      <c r="Y331" s="852">
        <f>IF(SUM(Y330)=0,X331,Y330)</f>
        <v>3600</v>
      </c>
      <c r="Z331" s="814">
        <f>SUM(Z328:Z330)</f>
        <v>2650</v>
      </c>
      <c r="AA331" s="852">
        <f>IF(SUM(AA330)=0,Z331,AA330)</f>
        <v>2650</v>
      </c>
      <c r="AB331" s="814">
        <f>SUM(AB328:AB330)</f>
        <v>2650</v>
      </c>
      <c r="AC331" s="852">
        <f>IF(SUM(AC330)=0,AB331,AC330)</f>
        <v>2650</v>
      </c>
      <c r="AD331" s="852"/>
      <c r="AE331" s="852">
        <v>1850</v>
      </c>
      <c r="AF331" s="852">
        <v>1850</v>
      </c>
      <c r="AG331" s="852">
        <v>1850</v>
      </c>
      <c r="AH331" s="852">
        <v>1850</v>
      </c>
      <c r="AI331" s="852">
        <v>1850</v>
      </c>
      <c r="AJ331" s="852">
        <v>1850</v>
      </c>
      <c r="AK331" s="852">
        <v>1850</v>
      </c>
      <c r="AL331" s="852">
        <v>1850</v>
      </c>
      <c r="AM331" s="852">
        <f t="shared" ref="AM331:AR331" si="181">AM330</f>
        <v>1850</v>
      </c>
      <c r="AN331" s="852">
        <f t="shared" si="181"/>
        <v>1850</v>
      </c>
      <c r="AO331" s="852">
        <f t="shared" si="181"/>
        <v>1850</v>
      </c>
      <c r="AP331" s="852">
        <f t="shared" si="181"/>
        <v>1850</v>
      </c>
      <c r="AQ331" s="852">
        <f t="shared" si="181"/>
        <v>1850</v>
      </c>
      <c r="AR331" s="852">
        <f t="shared" si="181"/>
        <v>1850</v>
      </c>
      <c r="AS331" s="852">
        <f t="shared" si="178"/>
        <v>0</v>
      </c>
      <c r="AT331" s="2249">
        <f t="shared" si="179"/>
        <v>0</v>
      </c>
      <c r="AU331" s="882">
        <f>SUM(AU330:AU330)</f>
        <v>0</v>
      </c>
      <c r="AV331" s="819"/>
      <c r="AW331" s="797">
        <f>SUM(AU331-H331)</f>
        <v>-3400</v>
      </c>
      <c r="AX331" s="805">
        <f>IF(H331&gt;0,AW331/H331,"")</f>
        <v>-1</v>
      </c>
      <c r="AY331" s="820"/>
      <c r="AZ331" s="2136"/>
      <c r="BA331" s="2136"/>
      <c r="BB331" s="2143"/>
    </row>
    <row r="332" spans="1:54" ht="13.9" hidden="1" customHeight="1" outlineLevel="1" x14ac:dyDescent="0.2">
      <c r="A332" s="855"/>
      <c r="B332" s="827"/>
      <c r="C332" s="827"/>
      <c r="D332" s="1118"/>
      <c r="E332" s="827"/>
      <c r="F332" s="1119"/>
      <c r="G332" s="1118"/>
      <c r="H332" s="1118"/>
      <c r="I332" s="832"/>
      <c r="J332" s="1049"/>
      <c r="K332" s="857"/>
      <c r="L332" s="863"/>
      <c r="M332" s="864"/>
      <c r="N332" s="858"/>
      <c r="O332" s="856"/>
      <c r="P332" s="856"/>
      <c r="Q332" s="856"/>
      <c r="R332" s="856"/>
      <c r="S332" s="856"/>
      <c r="T332" s="856"/>
      <c r="U332" s="856"/>
      <c r="V332" s="856"/>
      <c r="W332" s="856"/>
      <c r="X332" s="856"/>
      <c r="Y332" s="856"/>
      <c r="Z332" s="856"/>
      <c r="AA332" s="856"/>
      <c r="AB332" s="856"/>
      <c r="AC332" s="856"/>
      <c r="AD332" s="856"/>
      <c r="AE332" s="856"/>
      <c r="AF332" s="856"/>
      <c r="AG332" s="856"/>
      <c r="AH332" s="856"/>
      <c r="AI332" s="856"/>
      <c r="AJ332" s="856"/>
      <c r="AK332" s="856"/>
      <c r="AL332" s="856"/>
      <c r="AM332" s="856"/>
      <c r="AN332" s="856"/>
      <c r="AO332" s="856"/>
      <c r="AP332" s="856"/>
      <c r="AQ332" s="856"/>
      <c r="AR332" s="856"/>
      <c r="AS332" s="856">
        <f t="shared" si="178"/>
        <v>0</v>
      </c>
      <c r="AT332" s="2243" t="str">
        <f t="shared" si="179"/>
        <v/>
      </c>
      <c r="AU332" s="1120"/>
      <c r="AV332" s="834"/>
      <c r="AW332" s="823"/>
      <c r="AX332" s="835"/>
      <c r="AY332" s="836"/>
      <c r="AZ332" s="2136"/>
      <c r="BA332" s="2136"/>
    </row>
    <row r="333" spans="1:54" ht="13.9" hidden="1" customHeight="1" outlineLevel="1" x14ac:dyDescent="0.2">
      <c r="A333" s="808" t="s">
        <v>504</v>
      </c>
      <c r="B333" s="837"/>
      <c r="C333" s="799"/>
      <c r="D333" s="936"/>
      <c r="E333" s="799"/>
      <c r="F333" s="937"/>
      <c r="G333" s="937"/>
      <c r="H333" s="937"/>
      <c r="I333" s="801"/>
      <c r="J333" s="884"/>
      <c r="K333" s="817"/>
      <c r="L333" s="893"/>
      <c r="M333" s="893"/>
      <c r="N333" s="846"/>
      <c r="O333" s="817"/>
      <c r="P333" s="817"/>
      <c r="Q333" s="817"/>
      <c r="R333" s="817"/>
      <c r="S333" s="817"/>
      <c r="T333" s="817"/>
      <c r="U333" s="817"/>
      <c r="V333" s="817"/>
      <c r="W333" s="817"/>
      <c r="X333" s="817"/>
      <c r="Y333" s="817"/>
      <c r="Z333" s="817"/>
      <c r="AA333" s="817"/>
      <c r="AB333" s="817"/>
      <c r="AC333" s="817"/>
      <c r="AD333" s="817"/>
      <c r="AE333" s="817"/>
      <c r="AF333" s="817"/>
      <c r="AG333" s="817"/>
      <c r="AH333" s="817"/>
      <c r="AI333" s="817"/>
      <c r="AJ333" s="817"/>
      <c r="AK333" s="817"/>
      <c r="AL333" s="817"/>
      <c r="AM333" s="817"/>
      <c r="AN333" s="817"/>
      <c r="AO333" s="817"/>
      <c r="AP333" s="817"/>
      <c r="AQ333" s="817"/>
      <c r="AR333" s="817"/>
      <c r="AS333" s="817">
        <f t="shared" si="178"/>
        <v>0</v>
      </c>
      <c r="AT333" s="2240" t="str">
        <f t="shared" si="179"/>
        <v/>
      </c>
      <c r="AU333" s="938"/>
      <c r="AV333" s="819"/>
      <c r="AW333" s="797"/>
      <c r="AX333" s="805"/>
      <c r="AY333" s="807"/>
      <c r="AZ333" s="2136"/>
      <c r="BA333" s="2136"/>
    </row>
    <row r="334" spans="1:54" ht="13.9" hidden="1" customHeight="1" outlineLevel="1" x14ac:dyDescent="0.2">
      <c r="A334" s="808" t="s">
        <v>558</v>
      </c>
      <c r="B334" s="797"/>
      <c r="C334" s="797"/>
      <c r="D334" s="797">
        <v>0</v>
      </c>
      <c r="E334" s="797"/>
      <c r="F334" s="798"/>
      <c r="G334" s="798"/>
      <c r="H334" s="798"/>
      <c r="I334" s="798"/>
      <c r="J334" s="839">
        <v>0</v>
      </c>
      <c r="K334" s="817">
        <v>0</v>
      </c>
      <c r="L334" s="893"/>
      <c r="M334" s="893"/>
      <c r="N334" s="846"/>
      <c r="O334" s="817"/>
      <c r="P334" s="817"/>
      <c r="Q334" s="817"/>
      <c r="R334" s="817"/>
      <c r="S334" s="817"/>
      <c r="T334" s="817"/>
      <c r="U334" s="817"/>
      <c r="V334" s="817"/>
      <c r="W334" s="817"/>
      <c r="X334" s="817"/>
      <c r="Y334" s="817"/>
      <c r="Z334" s="843">
        <f>Y334*(1+$A$2/100)</f>
        <v>0</v>
      </c>
      <c r="AA334" s="817"/>
      <c r="AB334" s="843">
        <f>AA334*(1+$A$2/100)</f>
        <v>0</v>
      </c>
      <c r="AC334" s="817"/>
      <c r="AD334" s="817"/>
      <c r="AE334" s="817"/>
      <c r="AF334" s="817"/>
      <c r="AG334" s="817"/>
      <c r="AH334" s="817"/>
      <c r="AI334" s="817"/>
      <c r="AJ334" s="817"/>
      <c r="AK334" s="817"/>
      <c r="AL334" s="817"/>
      <c r="AM334" s="817"/>
      <c r="AN334" s="817"/>
      <c r="AO334" s="817"/>
      <c r="AP334" s="817"/>
      <c r="AQ334" s="817"/>
      <c r="AR334" s="817"/>
      <c r="AS334" s="817">
        <f t="shared" si="178"/>
        <v>0</v>
      </c>
      <c r="AT334" s="2240" t="str">
        <f t="shared" si="179"/>
        <v/>
      </c>
      <c r="AU334" s="844"/>
      <c r="AV334" s="819"/>
      <c r="AW334" s="797">
        <f>SUM(AU334-H334)</f>
        <v>0</v>
      </c>
      <c r="AX334" s="805" t="str">
        <f>IF(H334&gt;0,AW334/H334,"")</f>
        <v/>
      </c>
      <c r="AY334" s="807"/>
      <c r="AZ334" s="2136"/>
      <c r="BA334" s="2136"/>
    </row>
    <row r="335" spans="1:54" ht="13.9" hidden="1" customHeight="1" outlineLevel="1" x14ac:dyDescent="0.2">
      <c r="A335" s="808" t="s">
        <v>820</v>
      </c>
      <c r="B335" s="799">
        <v>500</v>
      </c>
      <c r="C335" s="797">
        <v>232.25</v>
      </c>
      <c r="D335" s="887">
        <v>500</v>
      </c>
      <c r="E335" s="797">
        <v>623.48</v>
      </c>
      <c r="F335" s="888">
        <v>500</v>
      </c>
      <c r="G335" s="888">
        <v>161.51</v>
      </c>
      <c r="H335" s="888">
        <v>500</v>
      </c>
      <c r="I335" s="798">
        <v>0</v>
      </c>
      <c r="J335" s="839">
        <v>500</v>
      </c>
      <c r="K335" s="861" t="s">
        <v>462</v>
      </c>
      <c r="L335" s="1101">
        <v>91.56</v>
      </c>
      <c r="M335" s="1101">
        <v>500</v>
      </c>
      <c r="N335" s="838">
        <v>450</v>
      </c>
      <c r="O335" s="859">
        <v>450</v>
      </c>
      <c r="P335" s="817">
        <v>450</v>
      </c>
      <c r="Q335" s="817">
        <v>450</v>
      </c>
      <c r="R335" s="932">
        <v>450</v>
      </c>
      <c r="S335" s="1098"/>
      <c r="T335" s="1098">
        <v>450</v>
      </c>
      <c r="U335" s="1098">
        <v>450</v>
      </c>
      <c r="V335" s="842">
        <v>450</v>
      </c>
      <c r="W335" s="932">
        <f>V335</f>
        <v>450</v>
      </c>
      <c r="X335" s="842">
        <v>450</v>
      </c>
      <c r="Y335" s="842">
        <v>450</v>
      </c>
      <c r="Z335" s="842">
        <v>450</v>
      </c>
      <c r="AA335" s="842">
        <f>Z335</f>
        <v>450</v>
      </c>
      <c r="AB335" s="842">
        <v>450</v>
      </c>
      <c r="AC335" s="842">
        <f>AB335</f>
        <v>450</v>
      </c>
      <c r="AD335" s="842"/>
      <c r="AE335" s="842">
        <v>450</v>
      </c>
      <c r="AF335" s="842"/>
      <c r="AG335" s="842">
        <v>450</v>
      </c>
      <c r="AH335" s="842">
        <v>450</v>
      </c>
      <c r="AI335" s="842">
        <v>450</v>
      </c>
      <c r="AJ335" s="842">
        <v>450</v>
      </c>
      <c r="AK335" s="842">
        <v>450</v>
      </c>
      <c r="AL335" s="843">
        <v>400</v>
      </c>
      <c r="AM335" s="843">
        <v>400</v>
      </c>
      <c r="AN335" s="843">
        <v>400</v>
      </c>
      <c r="AO335" s="843">
        <v>400</v>
      </c>
      <c r="AP335" s="843">
        <v>300</v>
      </c>
      <c r="AQ335" s="843">
        <v>400</v>
      </c>
      <c r="AR335" s="843">
        <f>'[1]BUDGET DETAIL'!$CO$837</f>
        <v>300</v>
      </c>
      <c r="AS335" s="843">
        <f t="shared" si="178"/>
        <v>0</v>
      </c>
      <c r="AT335" s="2239">
        <f t="shared" si="179"/>
        <v>0</v>
      </c>
      <c r="AU335" s="890"/>
      <c r="AV335" s="819"/>
      <c r="AW335" s="797">
        <f>SUM(AU335-H335)</f>
        <v>-500</v>
      </c>
      <c r="AX335" s="805">
        <f>IF(H335&gt;0,AW335/H335,"")</f>
        <v>-1</v>
      </c>
      <c r="AY335" s="820"/>
      <c r="AZ335" s="2136"/>
      <c r="BA335" s="2136"/>
      <c r="BB335" s="2143"/>
    </row>
    <row r="336" spans="1:54" ht="13.9" hidden="1" customHeight="1" outlineLevel="1" x14ac:dyDescent="0.2">
      <c r="A336" s="878" t="s">
        <v>821</v>
      </c>
      <c r="B336" s="810">
        <f>SUM(B335)</f>
        <v>500</v>
      </c>
      <c r="C336" s="810">
        <f>SUM(C334:C335)</f>
        <v>232.25</v>
      </c>
      <c r="D336" s="944">
        <f>SUM(D334:D335)</f>
        <v>500</v>
      </c>
      <c r="E336" s="944">
        <f t="shared" ref="E336:N336" si="182">SUM(E334:E335)</f>
        <v>623.48</v>
      </c>
      <c r="F336" s="944">
        <f t="shared" si="182"/>
        <v>500</v>
      </c>
      <c r="G336" s="944">
        <f t="shared" si="182"/>
        <v>161.51</v>
      </c>
      <c r="H336" s="944">
        <f t="shared" si="182"/>
        <v>500</v>
      </c>
      <c r="I336" s="944">
        <f t="shared" si="182"/>
        <v>0</v>
      </c>
      <c r="J336" s="813">
        <v>500</v>
      </c>
      <c r="K336" s="1048">
        <v>38782</v>
      </c>
      <c r="L336" s="885">
        <f t="shared" si="182"/>
        <v>91.56</v>
      </c>
      <c r="M336" s="885">
        <f t="shared" si="182"/>
        <v>500</v>
      </c>
      <c r="N336" s="880">
        <f t="shared" si="182"/>
        <v>450</v>
      </c>
      <c r="O336" s="814">
        <f>O335</f>
        <v>450</v>
      </c>
      <c r="P336" s="814">
        <f>P335</f>
        <v>450</v>
      </c>
      <c r="Q336" s="991">
        <f>IF(SUM(Q334:Q335)=0,P336,SUM(Q334:Q335))</f>
        <v>450</v>
      </c>
      <c r="R336" s="852">
        <f>R335</f>
        <v>450</v>
      </c>
      <c r="S336" s="852">
        <f>IF(SUM(S334:S335)=0,R336,SUM(S334:S335))</f>
        <v>450</v>
      </c>
      <c r="T336" s="852">
        <v>450</v>
      </c>
      <c r="U336" s="852">
        <v>450</v>
      </c>
      <c r="V336" s="852">
        <f>V335</f>
        <v>450</v>
      </c>
      <c r="W336" s="852">
        <f>IF(SUM(W334:W335)=0,V336,SUM(W334:W335))</f>
        <v>450</v>
      </c>
      <c r="X336" s="852">
        <f>X335</f>
        <v>450</v>
      </c>
      <c r="Y336" s="852">
        <f>IF(SUM(Y334:Y335)=0,X336,SUM(Y334:Y335))</f>
        <v>450</v>
      </c>
      <c r="Z336" s="852">
        <f>Z335</f>
        <v>450</v>
      </c>
      <c r="AA336" s="852">
        <f>IF(SUM(AA334:AA335)=0,Z336,SUM(AA334:AA335))</f>
        <v>450</v>
      </c>
      <c r="AB336" s="852">
        <f>AB335</f>
        <v>450</v>
      </c>
      <c r="AC336" s="852">
        <f>IF(SUM(AC334:AC335)=0,AB336,SUM(AC334:AC335))</f>
        <v>450</v>
      </c>
      <c r="AD336" s="852"/>
      <c r="AE336" s="852">
        <v>450</v>
      </c>
      <c r="AF336" s="852">
        <v>450</v>
      </c>
      <c r="AG336" s="852">
        <v>450</v>
      </c>
      <c r="AH336" s="852">
        <v>450</v>
      </c>
      <c r="AI336" s="852">
        <v>450</v>
      </c>
      <c r="AJ336" s="852">
        <v>450</v>
      </c>
      <c r="AK336" s="852">
        <v>450</v>
      </c>
      <c r="AL336" s="852">
        <v>400</v>
      </c>
      <c r="AM336" s="852">
        <v>400</v>
      </c>
      <c r="AN336" s="852">
        <v>400</v>
      </c>
      <c r="AO336" s="852">
        <v>400</v>
      </c>
      <c r="AP336" s="852">
        <v>300</v>
      </c>
      <c r="AQ336" s="852">
        <v>400</v>
      </c>
      <c r="AR336" s="852">
        <v>400</v>
      </c>
      <c r="AS336" s="852">
        <f t="shared" si="178"/>
        <v>100</v>
      </c>
      <c r="AT336" s="2249">
        <f t="shared" si="179"/>
        <v>0.33333333333333331</v>
      </c>
      <c r="AU336" s="854">
        <f>SUM(AU334:AU335)</f>
        <v>0</v>
      </c>
      <c r="AV336" s="819"/>
      <c r="AW336" s="797">
        <f>SUM(AU336-H336)</f>
        <v>-500</v>
      </c>
      <c r="AX336" s="805">
        <f>IF(H336&gt;0,AW336/H336,"")</f>
        <v>-1</v>
      </c>
      <c r="AY336" s="820"/>
      <c r="AZ336" s="2136"/>
      <c r="BA336" s="2136"/>
      <c r="BB336" s="2143"/>
    </row>
    <row r="337" spans="1:54" ht="13.9" hidden="1" customHeight="1" outlineLevel="1" x14ac:dyDescent="0.2">
      <c r="A337" s="821"/>
      <c r="B337" s="910"/>
      <c r="C337" s="910"/>
      <c r="D337" s="1055"/>
      <c r="E337" s="910"/>
      <c r="F337" s="1056"/>
      <c r="G337" s="1056"/>
      <c r="H337" s="1056"/>
      <c r="I337" s="911"/>
      <c r="J337" s="1057"/>
      <c r="K337" s="970"/>
      <c r="L337" s="897"/>
      <c r="M337" s="898"/>
      <c r="N337" s="899"/>
      <c r="O337" s="831"/>
      <c r="P337" s="831"/>
      <c r="Q337" s="831"/>
      <c r="R337" s="831"/>
      <c r="S337" s="831"/>
      <c r="T337" s="831"/>
      <c r="U337" s="831"/>
      <c r="V337" s="831"/>
      <c r="W337" s="831"/>
      <c r="X337" s="831"/>
      <c r="Y337" s="831"/>
      <c r="Z337" s="831"/>
      <c r="AA337" s="831"/>
      <c r="AB337" s="831"/>
      <c r="AC337" s="831"/>
      <c r="AD337" s="831"/>
      <c r="AE337" s="831"/>
      <c r="AF337" s="831"/>
      <c r="AG337" s="831"/>
      <c r="AH337" s="831"/>
      <c r="AI337" s="831"/>
      <c r="AJ337" s="831"/>
      <c r="AK337" s="831"/>
      <c r="AL337" s="831"/>
      <c r="AM337" s="831"/>
      <c r="AN337" s="831"/>
      <c r="AO337" s="831"/>
      <c r="AP337" s="831"/>
      <c r="AQ337" s="831"/>
      <c r="AR337" s="831"/>
      <c r="AS337" s="831">
        <f t="shared" si="178"/>
        <v>0</v>
      </c>
      <c r="AT337" s="2241" t="str">
        <f t="shared" si="179"/>
        <v/>
      </c>
      <c r="AU337" s="1036"/>
      <c r="AV337" s="834"/>
      <c r="AW337" s="823"/>
      <c r="AX337" s="835"/>
      <c r="AY337" s="900"/>
      <c r="AZ337" s="2136"/>
      <c r="BA337" s="2136"/>
      <c r="BB337" s="2146"/>
    </row>
    <row r="338" spans="1:54" ht="13.9" hidden="1" customHeight="1" outlineLevel="1" x14ac:dyDescent="0.2">
      <c r="A338" s="795" t="s">
        <v>373</v>
      </c>
      <c r="B338" s="847"/>
      <c r="C338" s="847"/>
      <c r="D338" s="972"/>
      <c r="E338" s="847"/>
      <c r="F338" s="1121"/>
      <c r="G338" s="1121"/>
      <c r="H338" s="1121"/>
      <c r="I338" s="914"/>
      <c r="J338" s="848"/>
      <c r="K338" s="817"/>
      <c r="L338" s="893"/>
      <c r="M338" s="893"/>
      <c r="N338" s="893"/>
      <c r="O338" s="817"/>
      <c r="P338" s="817"/>
      <c r="Q338" s="817"/>
      <c r="R338" s="817"/>
      <c r="S338" s="817"/>
      <c r="T338" s="817"/>
      <c r="U338" s="817"/>
      <c r="V338" s="817"/>
      <c r="W338" s="817"/>
      <c r="X338" s="817"/>
      <c r="Y338" s="817"/>
      <c r="Z338" s="817"/>
      <c r="AA338" s="817"/>
      <c r="AB338" s="817"/>
      <c r="AC338" s="817"/>
      <c r="AD338" s="817"/>
      <c r="AE338" s="817"/>
      <c r="AF338" s="817"/>
      <c r="AG338" s="817"/>
      <c r="AH338" s="817"/>
      <c r="AI338" s="817"/>
      <c r="AJ338" s="817"/>
      <c r="AK338" s="817"/>
      <c r="AL338" s="817"/>
      <c r="AM338" s="817"/>
      <c r="AN338" s="817"/>
      <c r="AO338" s="817"/>
      <c r="AP338" s="817"/>
      <c r="AQ338" s="817"/>
      <c r="AR338" s="817"/>
      <c r="AS338" s="817">
        <f t="shared" si="178"/>
        <v>0</v>
      </c>
      <c r="AT338" s="2240" t="str">
        <f t="shared" si="179"/>
        <v/>
      </c>
      <c r="AU338" s="854"/>
      <c r="AV338" s="819"/>
      <c r="AW338" s="797"/>
      <c r="AX338" s="805"/>
      <c r="AY338" s="903"/>
      <c r="AZ338" s="2136"/>
      <c r="BA338" s="2136"/>
      <c r="BB338" s="2146"/>
    </row>
    <row r="339" spans="1:54" ht="13.9" hidden="1" customHeight="1" outlineLevel="1" x14ac:dyDescent="0.2">
      <c r="A339" s="808" t="s">
        <v>820</v>
      </c>
      <c r="B339" s="799">
        <v>0</v>
      </c>
      <c r="C339" s="797">
        <v>0</v>
      </c>
      <c r="D339" s="797">
        <v>0</v>
      </c>
      <c r="E339" s="797">
        <v>0</v>
      </c>
      <c r="F339" s="797">
        <v>0</v>
      </c>
      <c r="G339" s="797">
        <v>0</v>
      </c>
      <c r="H339" s="797">
        <v>0</v>
      </c>
      <c r="I339" s="798">
        <v>0</v>
      </c>
      <c r="J339" s="839">
        <v>0</v>
      </c>
      <c r="K339" s="861">
        <v>0</v>
      </c>
      <c r="L339" s="901"/>
      <c r="M339" s="901"/>
      <c r="N339" s="901"/>
      <c r="O339" s="861"/>
      <c r="P339" s="861"/>
      <c r="Q339" s="861"/>
      <c r="R339" s="861"/>
      <c r="S339" s="861"/>
      <c r="T339" s="861"/>
      <c r="U339" s="861"/>
      <c r="V339" s="861"/>
      <c r="W339" s="861"/>
      <c r="X339" s="861"/>
      <c r="Y339" s="861"/>
      <c r="Z339" s="843">
        <f>Y339*(1+$A$4/100)</f>
        <v>0</v>
      </c>
      <c r="AA339" s="861"/>
      <c r="AB339" s="843">
        <f>AA339*(1+$A$4/100)</f>
        <v>0</v>
      </c>
      <c r="AC339" s="861"/>
      <c r="AD339" s="861"/>
      <c r="AE339" s="861"/>
      <c r="AF339" s="861"/>
      <c r="AG339" s="861"/>
      <c r="AH339" s="861"/>
      <c r="AI339" s="861"/>
      <c r="AJ339" s="861"/>
      <c r="AK339" s="861"/>
      <c r="AL339" s="861"/>
      <c r="AM339" s="861"/>
      <c r="AN339" s="861"/>
      <c r="AO339" s="861"/>
      <c r="AP339" s="861"/>
      <c r="AQ339" s="861"/>
      <c r="AR339" s="861"/>
      <c r="AS339" s="861">
        <f t="shared" si="178"/>
        <v>0</v>
      </c>
      <c r="AT339" s="2248" t="str">
        <f t="shared" si="179"/>
        <v/>
      </c>
      <c r="AU339" s="890">
        <v>0</v>
      </c>
      <c r="AV339" s="1122"/>
      <c r="AW339" s="797">
        <f>SUM(AU339-H339)</f>
        <v>0</v>
      </c>
      <c r="AX339" s="805" t="str">
        <f>IF(H339&gt;0,AW339/H339,"")</f>
        <v/>
      </c>
      <c r="AY339" s="807"/>
      <c r="AZ339" s="2136"/>
      <c r="BA339" s="2136"/>
    </row>
    <row r="340" spans="1:54" s="1123" customFormat="1" ht="13.9" hidden="1" customHeight="1" outlineLevel="1" x14ac:dyDescent="0.2">
      <c r="A340" s="795" t="s">
        <v>821</v>
      </c>
      <c r="B340" s="847">
        <f t="shared" ref="B340:I340" si="183">SUM(B339)</f>
        <v>0</v>
      </c>
      <c r="C340" s="847">
        <f t="shared" si="183"/>
        <v>0</v>
      </c>
      <c r="D340" s="847">
        <f t="shared" si="183"/>
        <v>0</v>
      </c>
      <c r="E340" s="847">
        <f t="shared" si="183"/>
        <v>0</v>
      </c>
      <c r="F340" s="914">
        <f t="shared" si="183"/>
        <v>0</v>
      </c>
      <c r="G340" s="914">
        <f t="shared" si="183"/>
        <v>0</v>
      </c>
      <c r="H340" s="914">
        <f t="shared" si="183"/>
        <v>0</v>
      </c>
      <c r="I340" s="914">
        <f t="shared" si="183"/>
        <v>0</v>
      </c>
      <c r="J340" s="848">
        <f>SUM(J339)</f>
        <v>0</v>
      </c>
      <c r="K340" s="1098">
        <v>0</v>
      </c>
      <c r="L340" s="865">
        <f>L339</f>
        <v>0</v>
      </c>
      <c r="M340" s="865">
        <f>M339</f>
        <v>0</v>
      </c>
      <c r="N340" s="865">
        <f>N339</f>
        <v>0</v>
      </c>
      <c r="O340" s="865">
        <f>O339</f>
        <v>0</v>
      </c>
      <c r="P340" s="865">
        <f>P339</f>
        <v>0</v>
      </c>
      <c r="Q340" s="862">
        <f>IF(SUM(Q339)=0,P340,Q339)</f>
        <v>0</v>
      </c>
      <c r="R340" s="865">
        <f>R339</f>
        <v>0</v>
      </c>
      <c r="S340" s="861"/>
      <c r="T340" s="861">
        <v>0</v>
      </c>
      <c r="U340" s="861"/>
      <c r="V340" s="865">
        <f>V339</f>
        <v>0</v>
      </c>
      <c r="W340" s="861"/>
      <c r="X340" s="865">
        <f>X339</f>
        <v>0</v>
      </c>
      <c r="Y340" s="861"/>
      <c r="Z340" s="865">
        <f>Z339</f>
        <v>0</v>
      </c>
      <c r="AA340" s="861"/>
      <c r="AB340" s="865">
        <f>AB339</f>
        <v>0</v>
      </c>
      <c r="AC340" s="861"/>
      <c r="AD340" s="861"/>
      <c r="AE340" s="861"/>
      <c r="AF340" s="861"/>
      <c r="AG340" s="861"/>
      <c r="AH340" s="861"/>
      <c r="AI340" s="861"/>
      <c r="AJ340" s="861"/>
      <c r="AK340" s="861"/>
      <c r="AL340" s="861"/>
      <c r="AM340" s="861"/>
      <c r="AN340" s="861"/>
      <c r="AO340" s="861"/>
      <c r="AP340" s="861"/>
      <c r="AQ340" s="861"/>
      <c r="AR340" s="861"/>
      <c r="AS340" s="861">
        <f t="shared" si="178"/>
        <v>0</v>
      </c>
      <c r="AT340" s="2248" t="str">
        <f t="shared" si="179"/>
        <v/>
      </c>
      <c r="AU340" s="854">
        <f>SUM(AU339)</f>
        <v>0</v>
      </c>
      <c r="AV340" s="819"/>
      <c r="AW340" s="797">
        <f>SUM(AU340-H340)</f>
        <v>0</v>
      </c>
      <c r="AX340" s="805" t="str">
        <f>IF(H340&gt;0,AW340/H340,"")</f>
        <v/>
      </c>
      <c r="AY340" s="903"/>
      <c r="AZ340" s="2136"/>
      <c r="BA340" s="2136"/>
      <c r="BB340" s="2146"/>
    </row>
    <row r="341" spans="1:54" ht="13.9" hidden="1" customHeight="1" outlineLevel="1" x14ac:dyDescent="0.2">
      <c r="A341" s="855"/>
      <c r="B341" s="824"/>
      <c r="C341" s="827"/>
      <c r="D341" s="933"/>
      <c r="E341" s="827"/>
      <c r="F341" s="934"/>
      <c r="G341" s="934"/>
      <c r="H341" s="934"/>
      <c r="I341" s="832"/>
      <c r="J341" s="1049"/>
      <c r="K341" s="970"/>
      <c r="L341" s="897"/>
      <c r="M341" s="898"/>
      <c r="N341" s="897"/>
      <c r="O341" s="831"/>
      <c r="P341" s="831"/>
      <c r="Q341" s="831"/>
      <c r="R341" s="831"/>
      <c r="S341" s="831"/>
      <c r="T341" s="831"/>
      <c r="U341" s="831"/>
      <c r="V341" s="831"/>
      <c r="W341" s="831"/>
      <c r="X341" s="831"/>
      <c r="Y341" s="831"/>
      <c r="Z341" s="831"/>
      <c r="AA341" s="831"/>
      <c r="AB341" s="831"/>
      <c r="AC341" s="831"/>
      <c r="AD341" s="831"/>
      <c r="AE341" s="831"/>
      <c r="AF341" s="831"/>
      <c r="AG341" s="831"/>
      <c r="AH341" s="831"/>
      <c r="AI341" s="831"/>
      <c r="AJ341" s="831"/>
      <c r="AK341" s="831"/>
      <c r="AL341" s="831"/>
      <c r="AM341" s="831"/>
      <c r="AN341" s="831"/>
      <c r="AO341" s="831"/>
      <c r="AP341" s="831"/>
      <c r="AQ341" s="831"/>
      <c r="AR341" s="831"/>
      <c r="AS341" s="831">
        <f t="shared" si="178"/>
        <v>0</v>
      </c>
      <c r="AT341" s="2241" t="str">
        <f t="shared" si="179"/>
        <v/>
      </c>
      <c r="AU341" s="935"/>
      <c r="AV341" s="834"/>
      <c r="AW341" s="823"/>
      <c r="AX341" s="835"/>
      <c r="AY341" s="836"/>
      <c r="AZ341" s="2136"/>
      <c r="BA341" s="2136"/>
    </row>
    <row r="342" spans="1:54" ht="13.9" hidden="1" customHeight="1" outlineLevel="1" x14ac:dyDescent="0.2">
      <c r="A342" s="795" t="s">
        <v>496</v>
      </c>
      <c r="B342" s="847"/>
      <c r="C342" s="847"/>
      <c r="D342" s="972"/>
      <c r="E342" s="914"/>
      <c r="F342" s="1121"/>
      <c r="G342" s="1121"/>
      <c r="H342" s="1121"/>
      <c r="I342" s="914"/>
      <c r="J342" s="848"/>
      <c r="K342" s="861"/>
      <c r="L342" s="901"/>
      <c r="M342" s="901"/>
      <c r="N342" s="901"/>
      <c r="O342" s="861"/>
      <c r="P342" s="861"/>
      <c r="Q342" s="861"/>
      <c r="R342" s="861"/>
      <c r="S342" s="861"/>
      <c r="T342" s="861"/>
      <c r="U342" s="861"/>
      <c r="V342" s="861"/>
      <c r="W342" s="861"/>
      <c r="X342" s="861"/>
      <c r="Y342" s="861"/>
      <c r="Z342" s="861"/>
      <c r="AA342" s="861"/>
      <c r="AB342" s="861"/>
      <c r="AC342" s="861"/>
      <c r="AD342" s="861"/>
      <c r="AE342" s="861"/>
      <c r="AF342" s="861"/>
      <c r="AG342" s="861"/>
      <c r="AH342" s="861"/>
      <c r="AI342" s="861"/>
      <c r="AJ342" s="861"/>
      <c r="AK342" s="861"/>
      <c r="AL342" s="861"/>
      <c r="AM342" s="861"/>
      <c r="AN342" s="861"/>
      <c r="AO342" s="861"/>
      <c r="AP342" s="861"/>
      <c r="AQ342" s="861"/>
      <c r="AR342" s="861"/>
      <c r="AS342" s="861">
        <f t="shared" si="178"/>
        <v>0</v>
      </c>
      <c r="AT342" s="2248" t="str">
        <f t="shared" si="179"/>
        <v/>
      </c>
      <c r="AU342" s="854"/>
      <c r="AV342" s="819"/>
      <c r="AW342" s="797"/>
      <c r="AX342" s="805" t="str">
        <f>IF(F342&gt;0,AW342/F342,"")</f>
        <v/>
      </c>
      <c r="AY342" s="903"/>
      <c r="AZ342" s="2136"/>
      <c r="BA342" s="2136"/>
      <c r="BB342" s="2146"/>
    </row>
    <row r="343" spans="1:54" ht="13.9" hidden="1" customHeight="1" outlineLevel="1" x14ac:dyDescent="0.2">
      <c r="A343" s="878" t="s">
        <v>567</v>
      </c>
      <c r="B343" s="810">
        <f>SUM($B$299+$B$316+$B$324)</f>
        <v>165045</v>
      </c>
      <c r="C343" s="810">
        <f>SUM($C$299+$C$316+$C$324)</f>
        <v>165045</v>
      </c>
      <c r="D343" s="810">
        <f>SUM($D$299+$D$316+$D$324)</f>
        <v>212503</v>
      </c>
      <c r="E343" s="810">
        <f>SUM($E$299+$E$316+$E$324)</f>
        <v>212503</v>
      </c>
      <c r="F343" s="811">
        <f>SUM($F$299+$F$316+$F$324)</f>
        <v>212503</v>
      </c>
      <c r="G343" s="811">
        <f>SUM($G$299+$G$316+$G$324)</f>
        <v>212503</v>
      </c>
      <c r="H343" s="811">
        <f>SUM($H$299+$H$316+$H$324)</f>
        <v>223347</v>
      </c>
      <c r="I343" s="810">
        <f>SUM($I$299+$I$316+$I$324)</f>
        <v>223765.13</v>
      </c>
      <c r="J343" s="839">
        <f>SUM($J$299+$J$316+$J$324)</f>
        <v>233181</v>
      </c>
      <c r="K343" s="817"/>
      <c r="L343" s="976">
        <f>$L$299+$L$316+$L$324</f>
        <v>240178.98</v>
      </c>
      <c r="M343" s="976">
        <f t="shared" ref="M343:S343" si="184">M$299+M$316+M$324</f>
        <v>248667</v>
      </c>
      <c r="N343" s="1113">
        <f t="shared" si="184"/>
        <v>257795</v>
      </c>
      <c r="O343" s="1059">
        <f t="shared" si="184"/>
        <v>255257</v>
      </c>
      <c r="P343" s="1059">
        <f t="shared" si="184"/>
        <v>255907</v>
      </c>
      <c r="Q343" s="1059">
        <f t="shared" si="184"/>
        <v>255907</v>
      </c>
      <c r="R343" s="1059">
        <f t="shared" si="184"/>
        <v>250571</v>
      </c>
      <c r="S343" s="1059">
        <f t="shared" si="184"/>
        <v>0</v>
      </c>
      <c r="T343" s="1059">
        <v>262236</v>
      </c>
      <c r="U343" s="1059">
        <v>262236</v>
      </c>
      <c r="V343" s="1059">
        <f t="shared" ref="V343:AC343" si="185">V$299+V$316+V$324</f>
        <v>272394</v>
      </c>
      <c r="W343" s="1059">
        <f t="shared" si="185"/>
        <v>272394</v>
      </c>
      <c r="X343" s="1059">
        <f t="shared" si="185"/>
        <v>281072</v>
      </c>
      <c r="Y343" s="1059">
        <f t="shared" si="185"/>
        <v>281072</v>
      </c>
      <c r="Z343" s="1059">
        <f t="shared" si="185"/>
        <v>302773</v>
      </c>
      <c r="AA343" s="1059">
        <f t="shared" si="185"/>
        <v>302773</v>
      </c>
      <c r="AB343" s="1059">
        <f t="shared" si="185"/>
        <v>317126</v>
      </c>
      <c r="AC343" s="1059">
        <f t="shared" si="185"/>
        <v>317126</v>
      </c>
      <c r="AD343" s="1059"/>
      <c r="AE343" s="1059">
        <v>330049</v>
      </c>
      <c r="AF343" s="1059">
        <v>0</v>
      </c>
      <c r="AG343" s="1059">
        <v>247706.76</v>
      </c>
      <c r="AH343" s="1059">
        <v>254916</v>
      </c>
      <c r="AI343" s="1059">
        <v>262563.48</v>
      </c>
      <c r="AJ343" s="1059">
        <v>269152</v>
      </c>
      <c r="AK343" s="1059">
        <v>277226.56</v>
      </c>
      <c r="AL343" s="1059">
        <v>275451</v>
      </c>
      <c r="AM343" s="1059">
        <f t="shared" ref="AM343:AR343" si="186">AM$299+AM$316+AM$324</f>
        <v>280960.02</v>
      </c>
      <c r="AN343" s="1059">
        <f>AN$299+AN$316+AN$324+AN$308</f>
        <v>269846</v>
      </c>
      <c r="AO343" s="881">
        <f t="shared" si="186"/>
        <v>276592.14999999997</v>
      </c>
      <c r="AP343" s="881">
        <f>AP$299+AP$316+AP$324+AP$308</f>
        <v>269364</v>
      </c>
      <c r="AQ343" s="881">
        <f t="shared" si="186"/>
        <v>274751.28000000003</v>
      </c>
      <c r="AR343" s="881">
        <f t="shared" si="186"/>
        <v>281779</v>
      </c>
      <c r="AS343" s="881">
        <f t="shared" si="178"/>
        <v>12415</v>
      </c>
      <c r="AT343" s="2249">
        <f t="shared" si="179"/>
        <v>4.609004915281923E-2</v>
      </c>
      <c r="AU343" s="854">
        <f>SUM($AU$299+$AU$316+$AU$324)</f>
        <v>0</v>
      </c>
      <c r="AV343" s="819"/>
      <c r="AW343" s="797">
        <f t="shared" ref="AW343:AW350" si="187">SUM(AU343-H343)</f>
        <v>-223347</v>
      </c>
      <c r="AX343" s="805">
        <f t="shared" ref="AX343:AX350" si="188">IF(H343&gt;0,AW343/H343,"")</f>
        <v>-1</v>
      </c>
      <c r="AY343" s="1643"/>
      <c r="AZ343" s="2136"/>
      <c r="BA343" s="2136"/>
      <c r="BB343" s="2153"/>
    </row>
    <row r="344" spans="1:54" ht="13.9" hidden="1" customHeight="1" outlineLevel="1" x14ac:dyDescent="0.2">
      <c r="A344" s="878" t="s">
        <v>558</v>
      </c>
      <c r="B344" s="810">
        <f>SUM($B$300+$B$317+$B$325+$B$334)</f>
        <v>282385</v>
      </c>
      <c r="C344" s="810">
        <f>SUM($C$300+$C$317+$C$325+$C$334)</f>
        <v>260916.38</v>
      </c>
      <c r="D344" s="810">
        <f>SUM($D$300+$D$317+$D$325+$D$334)</f>
        <v>257484</v>
      </c>
      <c r="E344" s="810">
        <f>SUM($E$300+$E$317+$E$325+$E$334)</f>
        <v>245735.78</v>
      </c>
      <c r="F344" s="811">
        <f>SUM($F$300+$F$317+$F$325+$F$334)</f>
        <v>257749</v>
      </c>
      <c r="G344" s="811">
        <f>SUM($G$300+$G$317+$G$325+$G$334)</f>
        <v>250968.1</v>
      </c>
      <c r="H344" s="811">
        <f>SUM($H$300+$H$317+$H$325+$H$334)</f>
        <v>243946</v>
      </c>
      <c r="I344" s="810">
        <f>SUM($I$300+$I$317+$I$325+$I$334)</f>
        <v>238967.32</v>
      </c>
      <c r="J344" s="839">
        <f>SUM($J$300+$J$317+$J$325+$J$334)</f>
        <v>251490</v>
      </c>
      <c r="K344" s="814" t="s">
        <v>51</v>
      </c>
      <c r="L344" s="976">
        <f>$L$300+$L$317+$L$325+$L$334</f>
        <v>259687.54999999996</v>
      </c>
      <c r="M344" s="976">
        <f t="shared" ref="M344:S344" si="189">M$300+M$317+M$325+M$334</f>
        <v>273147</v>
      </c>
      <c r="N344" s="1113">
        <f t="shared" si="189"/>
        <v>244825</v>
      </c>
      <c r="O344" s="1059">
        <f t="shared" si="189"/>
        <v>275590</v>
      </c>
      <c r="P344" s="1059">
        <f t="shared" si="189"/>
        <v>275157</v>
      </c>
      <c r="Q344" s="1059">
        <f t="shared" si="189"/>
        <v>275157</v>
      </c>
      <c r="R344" s="1059">
        <f t="shared" si="189"/>
        <v>275507</v>
      </c>
      <c r="S344" s="1059">
        <f t="shared" si="189"/>
        <v>0</v>
      </c>
      <c r="T344" s="1059">
        <v>275528</v>
      </c>
      <c r="U344" s="1059">
        <v>275528</v>
      </c>
      <c r="V344" s="1059">
        <f t="shared" ref="V344:AC344" si="190">V$300+V$317+V$325+V$334</f>
        <v>285541</v>
      </c>
      <c r="W344" s="1059">
        <f t="shared" si="190"/>
        <v>285541</v>
      </c>
      <c r="X344" s="1059">
        <f t="shared" si="190"/>
        <v>299696</v>
      </c>
      <c r="Y344" s="1059">
        <f t="shared" si="190"/>
        <v>299696</v>
      </c>
      <c r="Z344" s="1059">
        <f t="shared" si="190"/>
        <v>324965</v>
      </c>
      <c r="AA344" s="1059">
        <f t="shared" si="190"/>
        <v>327202</v>
      </c>
      <c r="AB344" s="1059">
        <f t="shared" si="190"/>
        <v>340960</v>
      </c>
      <c r="AC344" s="1059">
        <f t="shared" si="190"/>
        <v>340960</v>
      </c>
      <c r="AD344" s="1059"/>
      <c r="AE344" s="1059">
        <v>344786</v>
      </c>
      <c r="AF344" s="1059">
        <v>0</v>
      </c>
      <c r="AG344" s="1059">
        <v>198265.73</v>
      </c>
      <c r="AH344" s="1059">
        <v>197688</v>
      </c>
      <c r="AI344" s="1059">
        <v>203618.64</v>
      </c>
      <c r="AJ344" s="1059">
        <v>209038</v>
      </c>
      <c r="AK344" s="1059">
        <v>215309.14</v>
      </c>
      <c r="AL344" s="1059">
        <v>213240</v>
      </c>
      <c r="AM344" s="1059">
        <f t="shared" ref="AM344" si="191">AM$300+AM$317+AM$325+AM$334</f>
        <v>217504.80000000002</v>
      </c>
      <c r="AN344" s="1059">
        <f>AN$300+AN$317+AN$325+AN$334+AN$309</f>
        <v>249059</v>
      </c>
      <c r="AO344" s="881">
        <f>AO$300+AO$317+AO$325+AO$334+AO$309</f>
        <v>255285.47499999998</v>
      </c>
      <c r="AP344" s="881">
        <f>AP$300+AP$317+AP$325+AP$334+AP$309</f>
        <v>252597</v>
      </c>
      <c r="AQ344" s="881">
        <f>AQ$300+AQ$317+AQ$325+AQ$334+AQ$309</f>
        <v>257648.94</v>
      </c>
      <c r="AR344" s="881">
        <f>AR$300+AR$317+AR$325+AR$334+AR$309</f>
        <v>257326</v>
      </c>
      <c r="AS344" s="881">
        <f t="shared" si="178"/>
        <v>4729</v>
      </c>
      <c r="AT344" s="2249">
        <f t="shared" si="179"/>
        <v>1.8721520841498515E-2</v>
      </c>
      <c r="AU344" s="854">
        <f>SUM($AU$300+$AU$317+$AU$325+$AU$334)</f>
        <v>0</v>
      </c>
      <c r="AV344" s="819"/>
      <c r="AW344" s="797">
        <f t="shared" si="187"/>
        <v>-243946</v>
      </c>
      <c r="AX344" s="805">
        <f t="shared" si="188"/>
        <v>-1</v>
      </c>
      <c r="AY344" s="903"/>
      <c r="AZ344" s="2136"/>
      <c r="BA344" s="2136"/>
      <c r="BB344" s="2146"/>
    </row>
    <row r="345" spans="1:54" ht="13.9" hidden="1" customHeight="1" outlineLevel="1" x14ac:dyDescent="0.2">
      <c r="A345" s="878" t="s">
        <v>820</v>
      </c>
      <c r="B345" s="810">
        <f>SUM($B$301+$B$318+$B$326+$B$330+$B$335)</f>
        <v>168357</v>
      </c>
      <c r="C345" s="810">
        <f>SUM($C$301+$C$318+$C$326+$C$330+$C$335)</f>
        <v>169563.93</v>
      </c>
      <c r="D345" s="810">
        <f>SUM($D$301+$D$318+$D$326+$D$330+$D$335)</f>
        <v>153718</v>
      </c>
      <c r="E345" s="810">
        <f>SUM($E$301+$E$318+$E$326+$E$330+$E$335)</f>
        <v>144518.79</v>
      </c>
      <c r="F345" s="811">
        <f>SUM($F$301+$F$318+$F$326+$F$330+$F$335)</f>
        <v>163213</v>
      </c>
      <c r="G345" s="811">
        <f>SUM($G$301+$G$318+$G$326+$G$330+$G$335)</f>
        <v>155878.65000000002</v>
      </c>
      <c r="H345" s="811">
        <f>SUM($H$301+$H$318+$H$326+$H$330+$H$335)</f>
        <v>173008</v>
      </c>
      <c r="I345" s="810">
        <f>SUM($I$301+$I$318+$I$326+$I$330+$I$335)</f>
        <v>171170.23</v>
      </c>
      <c r="J345" s="839">
        <f>SUM($J$301+$J$318+$J$326+$J$330+$J$335)</f>
        <v>183558</v>
      </c>
      <c r="K345" s="814" t="s">
        <v>462</v>
      </c>
      <c r="L345" s="976">
        <f>$L$301+$L$318+$L$326+$L$330+$L$335</f>
        <v>175315.87999999998</v>
      </c>
      <c r="M345" s="976">
        <f t="shared" ref="M345:S345" si="192">M$301+M$318+M$326+M$330+M$335</f>
        <v>189166</v>
      </c>
      <c r="N345" s="1113">
        <f t="shared" si="192"/>
        <v>141684</v>
      </c>
      <c r="O345" s="1059">
        <f t="shared" si="192"/>
        <v>168311</v>
      </c>
      <c r="P345" s="1059">
        <f t="shared" si="192"/>
        <v>174807</v>
      </c>
      <c r="Q345" s="1059">
        <f t="shared" si="192"/>
        <v>174807</v>
      </c>
      <c r="R345" s="1059">
        <f t="shared" si="192"/>
        <v>188016</v>
      </c>
      <c r="S345" s="1059">
        <f t="shared" si="192"/>
        <v>0</v>
      </c>
      <c r="T345" s="1059">
        <v>193251</v>
      </c>
      <c r="U345" s="1059">
        <v>193251</v>
      </c>
      <c r="V345" s="1059">
        <f t="shared" ref="V345:AC345" si="193">V$301+V$318+V$326+V$330+V$335</f>
        <v>196997</v>
      </c>
      <c r="W345" s="1059">
        <f t="shared" si="193"/>
        <v>196997</v>
      </c>
      <c r="X345" s="1059">
        <f t="shared" si="193"/>
        <v>204388</v>
      </c>
      <c r="Y345" s="1059">
        <f t="shared" si="193"/>
        <v>204388</v>
      </c>
      <c r="Z345" s="1059">
        <f t="shared" si="193"/>
        <v>209346</v>
      </c>
      <c r="AA345" s="1059">
        <f t="shared" si="193"/>
        <v>216546</v>
      </c>
      <c r="AB345" s="1059">
        <f t="shared" si="193"/>
        <v>215695</v>
      </c>
      <c r="AC345" s="1059">
        <f t="shared" si="193"/>
        <v>215695</v>
      </c>
      <c r="AD345" s="1059"/>
      <c r="AE345" s="1059">
        <v>219144</v>
      </c>
      <c r="AF345" s="843"/>
      <c r="AG345" s="843">
        <v>154599</v>
      </c>
      <c r="AH345" s="1059">
        <v>157170</v>
      </c>
      <c r="AI345" s="1059">
        <v>157170</v>
      </c>
      <c r="AJ345" s="1059">
        <v>160468</v>
      </c>
      <c r="AK345" s="1059">
        <v>160468</v>
      </c>
      <c r="AL345" s="1059">
        <v>176645</v>
      </c>
      <c r="AM345" s="1059">
        <f>AM$301+AM$318+AM$326+AM$330+AM$335</f>
        <v>176645</v>
      </c>
      <c r="AN345" s="1059">
        <f>AN$301+AN$318+AN$326+AN$330+AN$335+AN$310</f>
        <v>168930</v>
      </c>
      <c r="AO345" s="881">
        <f>AO$301+AO$318+AO$326+AO$330+AO$335+AO$310</f>
        <v>168930</v>
      </c>
      <c r="AP345" s="881">
        <f>AP$301+AP$318+AP$326+AP$330+AP$335+AP$310</f>
        <v>180806</v>
      </c>
      <c r="AQ345" s="881">
        <f>AQ$301+AQ$318+AQ$326+AQ$330+AQ$335+AQ$310</f>
        <v>180906</v>
      </c>
      <c r="AR345" s="881">
        <f>AR$301+AR$318+AR$326+AR$330+AR$335+AR$310</f>
        <v>181736</v>
      </c>
      <c r="AS345" s="881">
        <f t="shared" si="178"/>
        <v>930</v>
      </c>
      <c r="AT345" s="2249">
        <f t="shared" si="179"/>
        <v>5.1436346138955561E-3</v>
      </c>
      <c r="AU345" s="854">
        <f>SUM($AU$301+$AU$318+$AU$326+$AU$330+$AU$335)</f>
        <v>0</v>
      </c>
      <c r="AV345" s="819"/>
      <c r="AW345" s="797">
        <f t="shared" si="187"/>
        <v>-173008</v>
      </c>
      <c r="AX345" s="805">
        <f t="shared" si="188"/>
        <v>-1</v>
      </c>
      <c r="AY345" s="1643"/>
      <c r="AZ345" s="2136"/>
      <c r="BA345" s="2136"/>
      <c r="BB345" s="2153"/>
    </row>
    <row r="346" spans="1:54" ht="13.9" hidden="1" customHeight="1" outlineLevel="1" x14ac:dyDescent="0.2">
      <c r="A346" s="878" t="s">
        <v>157</v>
      </c>
      <c r="B346" s="810">
        <f>SUM($B$302)</f>
        <v>0</v>
      </c>
      <c r="C346" s="810">
        <f>SUM($C$302)</f>
        <v>0</v>
      </c>
      <c r="D346" s="810">
        <f>SUM($D$302)</f>
        <v>0</v>
      </c>
      <c r="E346" s="810">
        <f>SUM($E$302)</f>
        <v>0</v>
      </c>
      <c r="F346" s="811">
        <f>SUM($F$302)</f>
        <v>0</v>
      </c>
      <c r="G346" s="811">
        <f>SUM($G$302)</f>
        <v>0</v>
      </c>
      <c r="H346" s="811">
        <f>SUM($H$302)</f>
        <v>0</v>
      </c>
      <c r="I346" s="810">
        <f>SUM($I$302)</f>
        <v>0</v>
      </c>
      <c r="J346" s="813">
        <f>SUM($J$302)</f>
        <v>0</v>
      </c>
      <c r="K346" s="814"/>
      <c r="L346" s="1124"/>
      <c r="M346" s="1124"/>
      <c r="N346" s="1125"/>
      <c r="O346" s="814"/>
      <c r="P346" s="814"/>
      <c r="Q346" s="814"/>
      <c r="R346" s="814"/>
      <c r="S346" s="814"/>
      <c r="T346" s="814"/>
      <c r="U346" s="814"/>
      <c r="V346" s="814"/>
      <c r="W346" s="814"/>
      <c r="X346" s="814"/>
      <c r="Y346" s="814"/>
      <c r="Z346" s="814"/>
      <c r="AA346" s="814"/>
      <c r="AB346" s="814"/>
      <c r="AC346" s="814"/>
      <c r="AD346" s="814"/>
      <c r="AE346" s="814"/>
      <c r="AF346" s="814"/>
      <c r="AG346" s="814"/>
      <c r="AH346" s="814"/>
      <c r="AI346" s="814"/>
      <c r="AJ346" s="814"/>
      <c r="AK346" s="814"/>
      <c r="AL346" s="814"/>
      <c r="AM346" s="814"/>
      <c r="AN346" s="814"/>
      <c r="AO346" s="814"/>
      <c r="AP346" s="814"/>
      <c r="AQ346" s="814"/>
      <c r="AR346" s="814"/>
      <c r="AS346" s="814">
        <f t="shared" si="178"/>
        <v>0</v>
      </c>
      <c r="AT346" s="2242" t="str">
        <f t="shared" si="179"/>
        <v/>
      </c>
      <c r="AU346" s="854">
        <f>SUM($AU$302)</f>
        <v>0</v>
      </c>
      <c r="AV346" s="819"/>
      <c r="AW346" s="797">
        <f t="shared" si="187"/>
        <v>0</v>
      </c>
      <c r="AX346" s="805" t="str">
        <f t="shared" si="188"/>
        <v/>
      </c>
      <c r="AY346" s="903"/>
      <c r="AZ346" s="2136"/>
      <c r="BA346" s="2136"/>
      <c r="BB346" s="2146"/>
    </row>
    <row r="347" spans="1:54" ht="13.9" hidden="1" customHeight="1" outlineLevel="1" x14ac:dyDescent="0.2">
      <c r="A347" s="878" t="s">
        <v>158</v>
      </c>
      <c r="B347" s="810">
        <f>SUM($B$343:$B$346)</f>
        <v>615787</v>
      </c>
      <c r="C347" s="810">
        <f>SUM($C$343:$C$346)</f>
        <v>595525.31000000006</v>
      </c>
      <c r="D347" s="810">
        <f>SUM($D$343:$D$346)</f>
        <v>623705</v>
      </c>
      <c r="E347" s="810">
        <f>SUM($E$343:$E$346)</f>
        <v>602757.57000000007</v>
      </c>
      <c r="F347" s="811">
        <f>SUM($F$343:$F$346)</f>
        <v>633465</v>
      </c>
      <c r="G347" s="811">
        <f>SUM($G$343:$G$346)</f>
        <v>619349.75</v>
      </c>
      <c r="H347" s="811">
        <f>SUM($H$343:$H$346)</f>
        <v>640301</v>
      </c>
      <c r="I347" s="810">
        <f>SUM($I$343:$I$346)</f>
        <v>633902.68000000005</v>
      </c>
      <c r="J347" s="813">
        <f t="shared" ref="J347:AB347" si="194">SUM(J$343:J$346)</f>
        <v>668229</v>
      </c>
      <c r="K347" s="813">
        <f t="shared" si="194"/>
        <v>0</v>
      </c>
      <c r="L347" s="885">
        <f t="shared" si="194"/>
        <v>675182.40999999992</v>
      </c>
      <c r="M347" s="885">
        <f t="shared" si="194"/>
        <v>710980</v>
      </c>
      <c r="N347" s="880">
        <f t="shared" si="194"/>
        <v>644304</v>
      </c>
      <c r="O347" s="881">
        <f t="shared" si="194"/>
        <v>699158</v>
      </c>
      <c r="P347" s="881">
        <f t="shared" si="194"/>
        <v>705871</v>
      </c>
      <c r="Q347" s="881">
        <f>IF(SUM(Q343:Q346)=0,P347,SUM(Q343:Q346))</f>
        <v>705871</v>
      </c>
      <c r="R347" s="881">
        <f t="shared" si="194"/>
        <v>714094</v>
      </c>
      <c r="S347" s="881">
        <f>IF(SUM(S343:S346)=0,R347,SUM(S343:S346))</f>
        <v>714094</v>
      </c>
      <c r="T347" s="881">
        <v>731015</v>
      </c>
      <c r="U347" s="881">
        <v>731015</v>
      </c>
      <c r="V347" s="881">
        <f t="shared" si="194"/>
        <v>754932</v>
      </c>
      <c r="W347" s="881">
        <f>IF(SUM(W343:W346)=0,V347,SUM(W343:W346))</f>
        <v>754932</v>
      </c>
      <c r="X347" s="881">
        <f t="shared" si="194"/>
        <v>785156</v>
      </c>
      <c r="Y347" s="881">
        <f>IF(SUM(Y343:Y346)=0,X347,SUM(Y343:Y346))</f>
        <v>785156</v>
      </c>
      <c r="Z347" s="881">
        <f t="shared" si="194"/>
        <v>837084</v>
      </c>
      <c r="AA347" s="881">
        <f>IF(SUM(AA343:AA346)=0,Z347,SUM(AA343:AA346))</f>
        <v>846521</v>
      </c>
      <c r="AB347" s="881">
        <f t="shared" si="194"/>
        <v>873781</v>
      </c>
      <c r="AC347" s="881">
        <f>IF(SUM(AC343:AC346)=0,AB347,SUM(AC343:AC346))</f>
        <v>873781</v>
      </c>
      <c r="AD347" s="881"/>
      <c r="AE347" s="881">
        <v>893979</v>
      </c>
      <c r="AF347" s="881">
        <v>893979</v>
      </c>
      <c r="AG347" s="881">
        <v>600571.49</v>
      </c>
      <c r="AH347" s="881">
        <v>609774</v>
      </c>
      <c r="AI347" s="881">
        <v>623352.12</v>
      </c>
      <c r="AJ347" s="881">
        <v>638658</v>
      </c>
      <c r="AK347" s="928">
        <v>653003.69999999995</v>
      </c>
      <c r="AL347" s="928">
        <v>665336</v>
      </c>
      <c r="AM347" s="928">
        <f t="shared" ref="AM347:AR347" si="195">SUM(AM343:AM345)</f>
        <v>675109.82000000007</v>
      </c>
      <c r="AN347" s="928">
        <f t="shared" si="195"/>
        <v>687835</v>
      </c>
      <c r="AO347" s="928">
        <f t="shared" si="195"/>
        <v>700807.625</v>
      </c>
      <c r="AP347" s="928">
        <f t="shared" si="195"/>
        <v>702767</v>
      </c>
      <c r="AQ347" s="928">
        <f t="shared" si="195"/>
        <v>713306.22</v>
      </c>
      <c r="AR347" s="928">
        <f t="shared" si="195"/>
        <v>720841</v>
      </c>
      <c r="AS347" s="928">
        <f t="shared" si="178"/>
        <v>18074</v>
      </c>
      <c r="AT347" s="2242">
        <f t="shared" si="179"/>
        <v>2.571833907966652E-2</v>
      </c>
      <c r="AU347" s="854">
        <f>SUM($AU$343:$AU$346)</f>
        <v>0</v>
      </c>
      <c r="AV347" s="819"/>
      <c r="AW347" s="797">
        <f t="shared" si="187"/>
        <v>-640301</v>
      </c>
      <c r="AX347" s="805">
        <f t="shared" si="188"/>
        <v>-1</v>
      </c>
      <c r="AY347" s="903"/>
      <c r="AZ347" s="2136"/>
      <c r="BA347" s="2136"/>
      <c r="BB347" s="2146"/>
    </row>
    <row r="348" spans="1:54" ht="13.9" hidden="1" customHeight="1" outlineLevel="1" x14ac:dyDescent="0.2">
      <c r="A348" s="878" t="s">
        <v>150</v>
      </c>
      <c r="B348" s="810">
        <f>SUM($B$304+$B$320)</f>
        <v>0</v>
      </c>
      <c r="C348" s="810">
        <f>SUM($C$304+$C$320)</f>
        <v>0</v>
      </c>
      <c r="D348" s="810">
        <f>SUM($D$304+$D$320)</f>
        <v>0</v>
      </c>
      <c r="E348" s="810">
        <f>SUM($E$304+$E$320)</f>
        <v>0</v>
      </c>
      <c r="F348" s="811">
        <f>SUM($F$304+$F$320)</f>
        <v>0</v>
      </c>
      <c r="G348" s="811">
        <f>SUM($G$304+$G$320)</f>
        <v>0</v>
      </c>
      <c r="H348" s="811">
        <f>SUM($H$304+$H$320)</f>
        <v>0</v>
      </c>
      <c r="I348" s="810">
        <f>SUM($I$304+$I$320)</f>
        <v>0</v>
      </c>
      <c r="J348" s="813">
        <f>SUM($J$304+$J$320)</f>
        <v>0</v>
      </c>
      <c r="K348" s="814"/>
      <c r="L348" s="1124"/>
      <c r="M348" s="1124"/>
      <c r="N348" s="1125"/>
      <c r="O348" s="814"/>
      <c r="P348" s="814"/>
      <c r="Q348" s="814"/>
      <c r="R348" s="814"/>
      <c r="S348" s="814"/>
      <c r="T348" s="814"/>
      <c r="U348" s="814"/>
      <c r="V348" s="814"/>
      <c r="W348" s="814"/>
      <c r="X348" s="814"/>
      <c r="Y348" s="814"/>
      <c r="Z348" s="814"/>
      <c r="AA348" s="814"/>
      <c r="AB348" s="814"/>
      <c r="AC348" s="814"/>
      <c r="AD348" s="814"/>
      <c r="AE348" s="814"/>
      <c r="AF348" s="814"/>
      <c r="AG348" s="814"/>
      <c r="AH348" s="814"/>
      <c r="AI348" s="814"/>
      <c r="AJ348" s="814"/>
      <c r="AK348" s="814"/>
      <c r="AL348" s="814"/>
      <c r="AM348" s="814"/>
      <c r="AN348" s="814"/>
      <c r="AO348" s="814"/>
      <c r="AP348" s="814"/>
      <c r="AQ348" s="814"/>
      <c r="AR348" s="814"/>
      <c r="AS348" s="814">
        <f t="shared" si="178"/>
        <v>0</v>
      </c>
      <c r="AT348" s="2242" t="str">
        <f t="shared" si="179"/>
        <v/>
      </c>
      <c r="AU348" s="1126">
        <f>SUM($AU$304+$AU$320)</f>
        <v>0</v>
      </c>
      <c r="AV348" s="819"/>
      <c r="AW348" s="797">
        <f t="shared" si="187"/>
        <v>0</v>
      </c>
      <c r="AX348" s="805" t="str">
        <f t="shared" si="188"/>
        <v/>
      </c>
      <c r="AY348" s="807"/>
      <c r="AZ348" s="2136"/>
      <c r="BA348" s="2136"/>
    </row>
    <row r="349" spans="1:54" ht="13.9" hidden="1" customHeight="1" outlineLevel="1" x14ac:dyDescent="0.2">
      <c r="A349" s="878" t="s">
        <v>93</v>
      </c>
      <c r="B349" s="810">
        <f>SUM($B$319)</f>
        <v>0</v>
      </c>
      <c r="C349" s="810">
        <f>SUM($C$319)</f>
        <v>0</v>
      </c>
      <c r="D349" s="810">
        <f>SUM($D$319)</f>
        <v>0</v>
      </c>
      <c r="E349" s="810">
        <f>SUM($E$319)</f>
        <v>0</v>
      </c>
      <c r="F349" s="811">
        <f>SUM($F$319)</f>
        <v>0</v>
      </c>
      <c r="G349" s="811">
        <f>SUM($G$319)</f>
        <v>0</v>
      </c>
      <c r="H349" s="811">
        <f>SUM($H$319)</f>
        <v>0</v>
      </c>
      <c r="I349" s="810">
        <f>SUM($I$319)</f>
        <v>0</v>
      </c>
      <c r="J349" s="1047">
        <f>SUM($J$319)</f>
        <v>0</v>
      </c>
      <c r="K349" s="852"/>
      <c r="L349" s="1124"/>
      <c r="M349" s="1124"/>
      <c r="N349" s="1125"/>
      <c r="O349" s="814"/>
      <c r="P349" s="814"/>
      <c r="Q349" s="814"/>
      <c r="R349" s="814"/>
      <c r="S349" s="814"/>
      <c r="T349" s="814"/>
      <c r="U349" s="814"/>
      <c r="V349" s="814"/>
      <c r="W349" s="814"/>
      <c r="X349" s="814"/>
      <c r="Y349" s="814"/>
      <c r="Z349" s="814"/>
      <c r="AA349" s="814"/>
      <c r="AB349" s="814"/>
      <c r="AC349" s="814"/>
      <c r="AD349" s="814"/>
      <c r="AE349" s="814"/>
      <c r="AF349" s="814"/>
      <c r="AG349" s="814"/>
      <c r="AH349" s="814"/>
      <c r="AI349" s="814"/>
      <c r="AJ349" s="814"/>
      <c r="AK349" s="814"/>
      <c r="AL349" s="814"/>
      <c r="AM349" s="814"/>
      <c r="AN349" s="814"/>
      <c r="AO349" s="814"/>
      <c r="AP349" s="814"/>
      <c r="AQ349" s="814"/>
      <c r="AR349" s="814"/>
      <c r="AS349" s="814">
        <f t="shared" si="178"/>
        <v>0</v>
      </c>
      <c r="AT349" s="2242" t="str">
        <f t="shared" si="179"/>
        <v/>
      </c>
      <c r="AU349" s="854">
        <f>SUM($AU$319)</f>
        <v>0</v>
      </c>
      <c r="AV349" s="819"/>
      <c r="AW349" s="797">
        <f t="shared" si="187"/>
        <v>0</v>
      </c>
      <c r="AX349" s="805" t="str">
        <f t="shared" si="188"/>
        <v/>
      </c>
      <c r="AY349" s="807" t="s">
        <v>164</v>
      </c>
      <c r="AZ349" s="2136"/>
      <c r="BA349" s="2136"/>
    </row>
    <row r="350" spans="1:54" ht="13.9" hidden="1" customHeight="1" outlineLevel="1" thickBot="1" x14ac:dyDescent="0.25">
      <c r="A350" s="946" t="s">
        <v>759</v>
      </c>
      <c r="B350" s="948">
        <f t="shared" ref="B350:O350" si="196">SUM(B347:B349)</f>
        <v>615787</v>
      </c>
      <c r="C350" s="948">
        <f t="shared" si="196"/>
        <v>595525.31000000006</v>
      </c>
      <c r="D350" s="1127">
        <f t="shared" si="196"/>
        <v>623705</v>
      </c>
      <c r="E350" s="948">
        <f t="shared" si="196"/>
        <v>602757.57000000007</v>
      </c>
      <c r="F350" s="1128">
        <f t="shared" si="196"/>
        <v>633465</v>
      </c>
      <c r="G350" s="1128">
        <f t="shared" si="196"/>
        <v>619349.75</v>
      </c>
      <c r="H350" s="1128">
        <f t="shared" si="196"/>
        <v>640301</v>
      </c>
      <c r="I350" s="949">
        <f t="shared" si="196"/>
        <v>633902.68000000005</v>
      </c>
      <c r="J350" s="950">
        <f t="shared" si="196"/>
        <v>668229</v>
      </c>
      <c r="K350" s="1129"/>
      <c r="L350" s="1130">
        <f t="shared" si="196"/>
        <v>675182.40999999992</v>
      </c>
      <c r="M350" s="1130">
        <f t="shared" si="196"/>
        <v>710980</v>
      </c>
      <c r="N350" s="952">
        <f t="shared" si="196"/>
        <v>644304</v>
      </c>
      <c r="O350" s="953">
        <f t="shared" si="196"/>
        <v>699158</v>
      </c>
      <c r="P350" s="953">
        <f t="shared" ref="P350:W350" si="197">SUM(P347:P349)</f>
        <v>705871</v>
      </c>
      <c r="Q350" s="953">
        <f t="shared" si="197"/>
        <v>705871</v>
      </c>
      <c r="R350" s="953">
        <f t="shared" si="197"/>
        <v>714094</v>
      </c>
      <c r="S350" s="953">
        <f t="shared" si="197"/>
        <v>714094</v>
      </c>
      <c r="T350" s="953">
        <v>731015</v>
      </c>
      <c r="U350" s="953">
        <v>731015</v>
      </c>
      <c r="V350" s="953">
        <f t="shared" si="197"/>
        <v>754932</v>
      </c>
      <c r="W350" s="953">
        <f t="shared" si="197"/>
        <v>754932</v>
      </c>
      <c r="X350" s="953">
        <f t="shared" ref="X350:AC350" si="198">SUM(X347:X349)</f>
        <v>785156</v>
      </c>
      <c r="Y350" s="953">
        <f t="shared" si="198"/>
        <v>785156</v>
      </c>
      <c r="Z350" s="953">
        <f t="shared" si="198"/>
        <v>837084</v>
      </c>
      <c r="AA350" s="953">
        <f t="shared" si="198"/>
        <v>846521</v>
      </c>
      <c r="AB350" s="953">
        <f t="shared" si="198"/>
        <v>873781</v>
      </c>
      <c r="AC350" s="953">
        <f t="shared" si="198"/>
        <v>873781</v>
      </c>
      <c r="AD350" s="953"/>
      <c r="AE350" s="953">
        <v>893979</v>
      </c>
      <c r="AF350" s="953">
        <v>893979</v>
      </c>
      <c r="AG350" s="953">
        <v>600571.49</v>
      </c>
      <c r="AH350" s="953">
        <v>609774</v>
      </c>
      <c r="AI350" s="953">
        <v>623352.12</v>
      </c>
      <c r="AJ350" s="953">
        <v>638658</v>
      </c>
      <c r="AK350" s="953">
        <v>653003.69999999995</v>
      </c>
      <c r="AL350" s="953">
        <v>665336</v>
      </c>
      <c r="AM350" s="953">
        <f t="shared" ref="AM350:AN350" si="199">SUM(AM347:AM349)</f>
        <v>675109.82000000007</v>
      </c>
      <c r="AN350" s="953">
        <f t="shared" si="199"/>
        <v>687835</v>
      </c>
      <c r="AO350" s="953">
        <f t="shared" ref="AO350:AP350" si="200">SUM(AO347:AO349)</f>
        <v>700807.625</v>
      </c>
      <c r="AP350" s="953">
        <f t="shared" si="200"/>
        <v>702767</v>
      </c>
      <c r="AQ350" s="953">
        <f t="shared" ref="AQ350:AR350" si="201">SUM(AQ347:AQ349)</f>
        <v>713306.22</v>
      </c>
      <c r="AR350" s="953">
        <f t="shared" si="201"/>
        <v>720841</v>
      </c>
      <c r="AS350" s="953">
        <f t="shared" si="178"/>
        <v>18074</v>
      </c>
      <c r="AT350" s="2251">
        <f t="shared" si="179"/>
        <v>2.571833907966652E-2</v>
      </c>
      <c r="AU350" s="1030">
        <f>SUM(AU347:AU349)</f>
        <v>0</v>
      </c>
      <c r="AV350" s="955"/>
      <c r="AW350" s="956">
        <f t="shared" si="187"/>
        <v>-640301</v>
      </c>
      <c r="AX350" s="957">
        <f t="shared" si="188"/>
        <v>-1</v>
      </c>
      <c r="AY350" s="958" t="s">
        <v>732</v>
      </c>
      <c r="AZ350" s="2136"/>
      <c r="BA350" s="2136"/>
    </row>
    <row r="351" spans="1:54" ht="13.9" hidden="1" customHeight="1" thickTop="1" x14ac:dyDescent="0.2">
      <c r="A351" s="795" t="s">
        <v>760</v>
      </c>
      <c r="C351" s="797"/>
      <c r="D351" s="797"/>
      <c r="E351" s="797"/>
      <c r="F351" s="798"/>
      <c r="H351" s="798"/>
      <c r="J351" s="884"/>
      <c r="K351" s="859"/>
      <c r="L351" s="865"/>
      <c r="M351" s="865"/>
      <c r="N351" s="865"/>
      <c r="O351" s="859"/>
      <c r="P351" s="859"/>
      <c r="Q351" s="859"/>
      <c r="R351" s="859"/>
      <c r="S351" s="859"/>
      <c r="T351" s="859"/>
      <c r="U351" s="859"/>
      <c r="V351" s="859"/>
      <c r="W351" s="859"/>
      <c r="X351" s="859"/>
      <c r="Y351" s="859"/>
      <c r="Z351" s="859"/>
      <c r="AA351" s="859"/>
      <c r="AB351" s="859"/>
      <c r="AC351" s="859"/>
      <c r="AD351" s="859"/>
      <c r="AE351" s="859"/>
      <c r="AF351" s="859"/>
      <c r="AG351" s="859"/>
      <c r="AH351" s="859"/>
      <c r="AI351" s="859"/>
      <c r="AJ351" s="859"/>
      <c r="AK351" s="859"/>
      <c r="AL351" s="859"/>
      <c r="AM351" s="859"/>
      <c r="AN351" s="859"/>
      <c r="AO351" s="859"/>
      <c r="AP351" s="859"/>
      <c r="AQ351" s="859"/>
      <c r="AR351" s="859"/>
      <c r="AS351" s="859">
        <f t="shared" si="178"/>
        <v>0</v>
      </c>
      <c r="AT351" s="2239" t="str">
        <f t="shared" si="179"/>
        <v/>
      </c>
      <c r="AU351" s="803"/>
      <c r="AV351" s="819"/>
      <c r="AW351" s="797"/>
      <c r="AX351" s="805"/>
      <c r="AY351" s="807"/>
      <c r="AZ351" s="2136"/>
      <c r="BA351" s="2136"/>
    </row>
    <row r="352" spans="1:54" ht="13.9" hidden="1" customHeight="1" outlineLevel="1" x14ac:dyDescent="0.2">
      <c r="A352" s="808" t="s">
        <v>761</v>
      </c>
      <c r="B352" s="799"/>
      <c r="C352" s="799"/>
      <c r="D352" s="887"/>
      <c r="E352" s="801"/>
      <c r="F352" s="888"/>
      <c r="G352" s="801"/>
      <c r="H352" s="888"/>
      <c r="I352" s="801"/>
      <c r="J352" s="884"/>
      <c r="K352" s="859"/>
      <c r="L352" s="865"/>
      <c r="M352" s="865"/>
      <c r="N352" s="865"/>
      <c r="O352" s="859"/>
      <c r="P352" s="859"/>
      <c r="Q352" s="859"/>
      <c r="R352" s="859"/>
      <c r="S352" s="859"/>
      <c r="T352" s="859"/>
      <c r="U352" s="859"/>
      <c r="V352" s="859"/>
      <c r="W352" s="859"/>
      <c r="X352" s="859"/>
      <c r="Y352" s="859"/>
      <c r="Z352" s="859"/>
      <c r="AA352" s="859"/>
      <c r="AB352" s="859"/>
      <c r="AC352" s="859"/>
      <c r="AD352" s="859"/>
      <c r="AE352" s="859"/>
      <c r="AF352" s="859"/>
      <c r="AG352" s="859"/>
      <c r="AH352" s="859"/>
      <c r="AI352" s="859"/>
      <c r="AJ352" s="859"/>
      <c r="AK352" s="859"/>
      <c r="AL352" s="859"/>
      <c r="AM352" s="859"/>
      <c r="AN352" s="859"/>
      <c r="AO352" s="859"/>
      <c r="AP352" s="859"/>
      <c r="AQ352" s="859"/>
      <c r="AR352" s="859"/>
      <c r="AS352" s="859">
        <f t="shared" si="178"/>
        <v>0</v>
      </c>
      <c r="AT352" s="2239" t="str">
        <f t="shared" si="179"/>
        <v/>
      </c>
      <c r="AU352" s="890"/>
      <c r="AV352" s="819"/>
      <c r="AW352" s="797"/>
      <c r="AX352" s="805"/>
      <c r="AY352" s="807"/>
      <c r="AZ352" s="2136"/>
      <c r="BA352" s="2136"/>
    </row>
    <row r="353" spans="1:54" ht="13.9" hidden="1" customHeight="1" outlineLevel="1" x14ac:dyDescent="0.2">
      <c r="A353" s="808" t="s">
        <v>762</v>
      </c>
      <c r="B353" s="799">
        <v>105000</v>
      </c>
      <c r="C353" s="799">
        <v>105000</v>
      </c>
      <c r="D353" s="799"/>
      <c r="E353" s="799"/>
      <c r="F353" s="801"/>
      <c r="G353" s="801"/>
      <c r="H353" s="801"/>
      <c r="I353" s="801"/>
      <c r="J353" s="884"/>
      <c r="K353" s="859"/>
      <c r="L353" s="865"/>
      <c r="M353" s="865"/>
      <c r="N353" s="865"/>
      <c r="O353" s="859"/>
      <c r="P353" s="859"/>
      <c r="Q353" s="859"/>
      <c r="R353" s="859"/>
      <c r="S353" s="859"/>
      <c r="T353" s="859"/>
      <c r="U353" s="859"/>
      <c r="V353" s="859"/>
      <c r="W353" s="859"/>
      <c r="X353" s="859"/>
      <c r="Y353" s="859"/>
      <c r="Z353" s="859"/>
      <c r="AA353" s="859"/>
      <c r="AB353" s="859"/>
      <c r="AC353" s="859"/>
      <c r="AD353" s="859"/>
      <c r="AE353" s="859"/>
      <c r="AF353" s="859"/>
      <c r="AG353" s="859"/>
      <c r="AH353" s="859"/>
      <c r="AI353" s="859"/>
      <c r="AJ353" s="859"/>
      <c r="AK353" s="859"/>
      <c r="AL353" s="859"/>
      <c r="AM353" s="859"/>
      <c r="AN353" s="859"/>
      <c r="AO353" s="859"/>
      <c r="AP353" s="859"/>
      <c r="AQ353" s="859"/>
      <c r="AR353" s="859"/>
      <c r="AS353" s="859">
        <f t="shared" si="178"/>
        <v>0</v>
      </c>
      <c r="AT353" s="2239" t="str">
        <f t="shared" si="179"/>
        <v/>
      </c>
      <c r="AU353" s="890"/>
      <c r="AV353" s="819"/>
      <c r="AW353" s="797"/>
      <c r="AX353" s="805" t="str">
        <f>IF(H353&gt;0,AW353/H353,"")</f>
        <v/>
      </c>
      <c r="AY353" s="807"/>
      <c r="AZ353" s="2136"/>
      <c r="BA353" s="2136"/>
    </row>
    <row r="354" spans="1:54" ht="13.9" hidden="1" customHeight="1" outlineLevel="1" x14ac:dyDescent="0.2">
      <c r="A354" s="808" t="s">
        <v>630</v>
      </c>
      <c r="B354" s="799">
        <v>155000</v>
      </c>
      <c r="C354" s="799">
        <v>155000</v>
      </c>
      <c r="D354" s="799">
        <v>155000</v>
      </c>
      <c r="E354" s="799">
        <v>155000</v>
      </c>
      <c r="F354" s="801">
        <v>169500</v>
      </c>
      <c r="G354" s="801">
        <v>169500</v>
      </c>
      <c r="H354" s="801">
        <v>174500</v>
      </c>
      <c r="I354" s="801">
        <v>174500</v>
      </c>
      <c r="J354" s="884">
        <v>189000</v>
      </c>
      <c r="K354" s="817"/>
      <c r="L354" s="845">
        <v>189000</v>
      </c>
      <c r="M354" s="845">
        <v>203500</v>
      </c>
      <c r="N354" s="1131">
        <v>213000</v>
      </c>
      <c r="O354" s="817">
        <v>213000</v>
      </c>
      <c r="P354" s="817">
        <v>223000</v>
      </c>
      <c r="Q354" s="893">
        <f>P354</f>
        <v>223000</v>
      </c>
      <c r="R354" s="817"/>
      <c r="S354" s="817"/>
      <c r="T354" s="817"/>
      <c r="U354" s="817"/>
      <c r="V354" s="817"/>
      <c r="W354" s="817"/>
      <c r="X354" s="817"/>
      <c r="Y354" s="817"/>
      <c r="Z354" s="817"/>
      <c r="AA354" s="817"/>
      <c r="AB354" s="817"/>
      <c r="AC354" s="817"/>
      <c r="AD354" s="817"/>
      <c r="AE354" s="817"/>
      <c r="AF354" s="817"/>
      <c r="AG354" s="817"/>
      <c r="AH354" s="817"/>
      <c r="AI354" s="817"/>
      <c r="AJ354" s="817"/>
      <c r="AK354" s="817"/>
      <c r="AL354" s="817"/>
      <c r="AM354" s="817"/>
      <c r="AN354" s="817"/>
      <c r="AO354" s="817"/>
      <c r="AP354" s="817"/>
      <c r="AQ354" s="859"/>
      <c r="AR354" s="817"/>
      <c r="AS354" s="817">
        <f t="shared" si="178"/>
        <v>0</v>
      </c>
      <c r="AT354" s="2240" t="str">
        <f t="shared" si="179"/>
        <v/>
      </c>
      <c r="AU354" s="890"/>
      <c r="AV354" s="819"/>
      <c r="AW354" s="797">
        <f>SUM(AU354-H354)</f>
        <v>-174500</v>
      </c>
      <c r="AX354" s="805">
        <f>IF(H354&gt;0,AW354/H354,"")</f>
        <v>-1</v>
      </c>
      <c r="AY354" s="807"/>
      <c r="AZ354" s="2136"/>
      <c r="BA354" s="2136"/>
    </row>
    <row r="355" spans="1:54" ht="13.9" hidden="1" customHeight="1" outlineLevel="1" x14ac:dyDescent="0.2">
      <c r="A355" s="1132" t="s">
        <v>756</v>
      </c>
      <c r="B355" s="797">
        <v>299000</v>
      </c>
      <c r="C355" s="797">
        <v>299000</v>
      </c>
      <c r="D355" s="797">
        <v>305000</v>
      </c>
      <c r="E355" s="797">
        <v>305000</v>
      </c>
      <c r="F355" s="798">
        <v>320000</v>
      </c>
      <c r="G355" s="798">
        <v>320000</v>
      </c>
      <c r="H355" s="798">
        <v>335000</v>
      </c>
      <c r="I355" s="798">
        <v>335000</v>
      </c>
      <c r="J355" s="839">
        <v>350000</v>
      </c>
      <c r="K355" s="861" t="s">
        <v>462</v>
      </c>
      <c r="L355" s="845">
        <v>370000</v>
      </c>
      <c r="M355" s="845">
        <v>385000</v>
      </c>
      <c r="N355" s="1131">
        <v>405000</v>
      </c>
      <c r="O355" s="817">
        <v>405000</v>
      </c>
      <c r="P355" s="817">
        <v>420000</v>
      </c>
      <c r="Q355" s="893">
        <f>P355</f>
        <v>420000</v>
      </c>
      <c r="R355" s="932">
        <f>'LONG-TERM DEBT'!U54</f>
        <v>445000</v>
      </c>
      <c r="S355" s="932"/>
      <c r="T355" s="932"/>
      <c r="U355" s="932">
        <v>0</v>
      </c>
      <c r="V355" s="932"/>
      <c r="W355" s="932">
        <f>V355</f>
        <v>0</v>
      </c>
      <c r="X355" s="932"/>
      <c r="Y355" s="932">
        <f>X355</f>
        <v>0</v>
      </c>
      <c r="Z355" s="932"/>
      <c r="AA355" s="932">
        <f>Z355</f>
        <v>0</v>
      </c>
      <c r="AB355" s="932"/>
      <c r="AC355" s="932">
        <f>AB355</f>
        <v>0</v>
      </c>
      <c r="AD355" s="932"/>
      <c r="AE355" s="932"/>
      <c r="AF355" s="932"/>
      <c r="AG355" s="932"/>
      <c r="AH355" s="932"/>
      <c r="AI355" s="932"/>
      <c r="AJ355" s="932"/>
      <c r="AK355" s="932"/>
      <c r="AL355" s="932"/>
      <c r="AM355" s="932"/>
      <c r="AN355" s="932"/>
      <c r="AO355" s="932"/>
      <c r="AP355" s="932"/>
      <c r="AQ355" s="859"/>
      <c r="AR355" s="932"/>
      <c r="AS355" s="932">
        <f t="shared" si="178"/>
        <v>0</v>
      </c>
      <c r="AT355" s="2262" t="str">
        <f t="shared" si="179"/>
        <v/>
      </c>
      <c r="AU355" s="844"/>
      <c r="AV355" s="1133"/>
      <c r="AW355" s="797">
        <f>SUM(AU355-H355)</f>
        <v>-335000</v>
      </c>
      <c r="AX355" s="805">
        <f>IF(H355&gt;0,AW355/H355,"")</f>
        <v>-1</v>
      </c>
      <c r="AY355" s="807"/>
      <c r="AZ355" s="2136"/>
      <c r="BA355" s="2136"/>
    </row>
    <row r="356" spans="1:54" ht="13.9" hidden="1" customHeight="1" outlineLevel="1" x14ac:dyDescent="0.2">
      <c r="A356" s="1132" t="s">
        <v>434</v>
      </c>
      <c r="B356" s="797"/>
      <c r="C356" s="797"/>
      <c r="D356" s="797"/>
      <c r="E356" s="797"/>
      <c r="F356" s="798"/>
      <c r="G356" s="798"/>
      <c r="H356" s="798"/>
      <c r="I356" s="798"/>
      <c r="J356" s="1045"/>
      <c r="K356" s="861"/>
      <c r="L356" s="1134"/>
      <c r="M356" s="845"/>
      <c r="N356" s="1131"/>
      <c r="O356" s="817"/>
      <c r="P356" s="877"/>
      <c r="Q356" s="893"/>
      <c r="R356" s="932">
        <v>351700</v>
      </c>
      <c r="S356" s="932"/>
      <c r="T356" s="932">
        <v>361500</v>
      </c>
      <c r="U356" s="932">
        <v>361500</v>
      </c>
      <c r="V356" s="932">
        <f>SUM('LONG-TERM DEBT'!W56:W61)</f>
        <v>371000</v>
      </c>
      <c r="W356" s="932">
        <f>SUM('LONG-TERM DEBT'!W56:W61)</f>
        <v>371000</v>
      </c>
      <c r="X356" s="932">
        <f>SUM('LONG-TERM DEBT'!X56:X61)</f>
        <v>371500</v>
      </c>
      <c r="Y356" s="932">
        <f>SUM('LONG-TERM DEBT'!X56:X61)</f>
        <v>371500</v>
      </c>
      <c r="Z356" s="932">
        <f>SUM('LONG-TERM DEBT'!Y56:Y61)</f>
        <v>296000</v>
      </c>
      <c r="AA356" s="932">
        <f>SUM('LONG-TERM DEBT'!Y56:Y61)</f>
        <v>296000</v>
      </c>
      <c r="AB356" s="932">
        <f>SUM('LONG-TERM DEBT'!Z56:Z61)</f>
        <v>300500</v>
      </c>
      <c r="AC356" s="932">
        <f>SUM('LONG-TERM DEBT'!Z56:Z61)</f>
        <v>300500</v>
      </c>
      <c r="AD356" s="932"/>
      <c r="AE356" s="932">
        <v>305500</v>
      </c>
      <c r="AF356" s="932"/>
      <c r="AG356" s="932">
        <v>210000</v>
      </c>
      <c r="AH356" s="932">
        <v>210000</v>
      </c>
      <c r="AI356" s="932">
        <v>215000</v>
      </c>
      <c r="AJ356" s="932">
        <v>215000</v>
      </c>
      <c r="AK356" s="932">
        <v>120000</v>
      </c>
      <c r="AL356" s="817">
        <v>120000</v>
      </c>
      <c r="AM356" s="817">
        <f>SUM('LONG-TERM DEBT'!AE56:AE61)</f>
        <v>0</v>
      </c>
      <c r="AN356" s="817"/>
      <c r="AO356" s="817">
        <f>SUM('LONG-TERM DEBT'!AG56:AG61)</f>
        <v>0</v>
      </c>
      <c r="AP356" s="817"/>
      <c r="AQ356" s="817">
        <f>SUM('LONG-TERM DEBT'!AI56:AI61)</f>
        <v>0</v>
      </c>
      <c r="AR356" s="817"/>
      <c r="AS356" s="817">
        <f t="shared" si="178"/>
        <v>0</v>
      </c>
      <c r="AT356" s="2263" t="str">
        <f t="shared" si="179"/>
        <v/>
      </c>
      <c r="AU356" s="844"/>
      <c r="AV356" s="1135"/>
      <c r="AW356" s="797"/>
      <c r="AX356" s="805"/>
      <c r="AY356" s="927"/>
      <c r="AZ356" s="2136"/>
      <c r="BA356" s="2136"/>
      <c r="BB356" s="2154"/>
    </row>
    <row r="357" spans="1:54" ht="13.9" hidden="1" customHeight="1" outlineLevel="1" x14ac:dyDescent="0.2">
      <c r="A357" s="1132" t="s">
        <v>813</v>
      </c>
      <c r="B357" s="797"/>
      <c r="C357" s="797"/>
      <c r="D357" s="797"/>
      <c r="E357" s="797"/>
      <c r="F357" s="798"/>
      <c r="G357" s="798"/>
      <c r="H357" s="798"/>
      <c r="I357" s="798"/>
      <c r="J357" s="1045"/>
      <c r="K357" s="861"/>
      <c r="L357" s="1134"/>
      <c r="M357" s="845"/>
      <c r="N357" s="1131"/>
      <c r="O357" s="817"/>
      <c r="P357" s="877"/>
      <c r="Q357" s="893"/>
      <c r="R357" s="932"/>
      <c r="S357" s="932"/>
      <c r="T357" s="932">
        <v>176000</v>
      </c>
      <c r="U357" s="932">
        <v>176000</v>
      </c>
      <c r="V357" s="932">
        <f>SUM('LONG-TERM DEBT'!W63:W66)</f>
        <v>180000</v>
      </c>
      <c r="W357" s="932">
        <f>SUM('LONG-TERM DEBT'!W63:W66)</f>
        <v>180000</v>
      </c>
      <c r="X357" s="932">
        <f>SUM('LONG-TERM DEBT'!X63:X66)</f>
        <v>185000</v>
      </c>
      <c r="Y357" s="932">
        <f>SUM('LONG-TERM DEBT'!X63:X66)</f>
        <v>185000</v>
      </c>
      <c r="Z357" s="932">
        <f>SUM('LONG-TERM DEBT'!Y63:Y66)</f>
        <v>190000</v>
      </c>
      <c r="AA357" s="932">
        <f>SUM('LONG-TERM DEBT'!Y63:Y66)</f>
        <v>190000</v>
      </c>
      <c r="AB357" s="932">
        <f>SUM('LONG-TERM DEBT'!Z63:Z66)</f>
        <v>195000</v>
      </c>
      <c r="AC357" s="932">
        <f>SUM('LONG-TERM DEBT'!Z63:Z66)</f>
        <v>195000</v>
      </c>
      <c r="AD357" s="932"/>
      <c r="AE357" s="932">
        <v>200000</v>
      </c>
      <c r="AF357" s="932"/>
      <c r="AG357" s="932">
        <v>210000</v>
      </c>
      <c r="AH357" s="932">
        <v>210000</v>
      </c>
      <c r="AI357" s="932">
        <v>210000</v>
      </c>
      <c r="AJ357" s="932">
        <v>210000</v>
      </c>
      <c r="AK357" s="932">
        <v>200000</v>
      </c>
      <c r="AL357" s="817">
        <v>200000</v>
      </c>
      <c r="AM357" s="817">
        <f>SUM('LONG-TERM DEBT'!AE63:AE65)</f>
        <v>200000</v>
      </c>
      <c r="AN357" s="817">
        <v>200000</v>
      </c>
      <c r="AO357" s="817">
        <f>SUM('LONG-TERM DEBT'!AF63:AF65)</f>
        <v>0</v>
      </c>
      <c r="AP357" s="817"/>
      <c r="AQ357" s="817">
        <f>SUM('LONG-TERM DEBT'!AH63:AH65)</f>
        <v>0</v>
      </c>
      <c r="AR357" s="817"/>
      <c r="AS357" s="817">
        <f t="shared" si="178"/>
        <v>0</v>
      </c>
      <c r="AT357" s="2263" t="str">
        <f t="shared" si="179"/>
        <v/>
      </c>
      <c r="AU357" s="844"/>
      <c r="AV357" s="1135"/>
      <c r="AW357" s="797"/>
      <c r="AX357" s="805"/>
      <c r="AY357" s="927"/>
      <c r="AZ357" s="2136"/>
      <c r="BA357" s="2136"/>
      <c r="BB357" s="2154"/>
    </row>
    <row r="358" spans="1:54" ht="13.9" hidden="1" customHeight="1" outlineLevel="1" x14ac:dyDescent="0.2">
      <c r="A358" s="1132" t="s">
        <v>812</v>
      </c>
      <c r="B358" s="797"/>
      <c r="C358" s="797"/>
      <c r="D358" s="797"/>
      <c r="E358" s="797"/>
      <c r="F358" s="798"/>
      <c r="G358" s="798"/>
      <c r="H358" s="798"/>
      <c r="I358" s="798"/>
      <c r="J358" s="1045"/>
      <c r="K358" s="861"/>
      <c r="L358" s="1134"/>
      <c r="M358" s="845"/>
      <c r="N358" s="1131"/>
      <c r="O358" s="817"/>
      <c r="P358" s="877"/>
      <c r="Q358" s="893"/>
      <c r="R358" s="932"/>
      <c r="S358" s="932"/>
      <c r="T358" s="932"/>
      <c r="U358" s="932"/>
      <c r="V358" s="932"/>
      <c r="W358" s="932"/>
      <c r="X358" s="932"/>
      <c r="Y358" s="932"/>
      <c r="Z358" s="932">
        <f>SUM('LONG-TERM DEBT'!Y67)</f>
        <v>71000</v>
      </c>
      <c r="AA358" s="932">
        <f>SUM('LONG-TERM DEBT'!Y67)</f>
        <v>71000</v>
      </c>
      <c r="AB358" s="1136">
        <f>SUM('LONG-TERM DEBT'!Z67+'LONG-TERM DEBT'!Z68)</f>
        <v>74000</v>
      </c>
      <c r="AC358" s="932">
        <f>SUM('LONG-TERM DEBT'!Z67+'LONG-TERM DEBT'!Z68)</f>
        <v>74000</v>
      </c>
      <c r="AD358" s="932"/>
      <c r="AE358" s="932">
        <v>96000</v>
      </c>
      <c r="AF358" s="932">
        <v>0</v>
      </c>
      <c r="AG358" s="932">
        <v>0</v>
      </c>
      <c r="AH358" s="932">
        <v>0</v>
      </c>
      <c r="AI358" s="932">
        <v>0</v>
      </c>
      <c r="AJ358" s="932">
        <v>0</v>
      </c>
      <c r="AK358" s="932">
        <v>0</v>
      </c>
      <c r="AL358" s="817">
        <v>0</v>
      </c>
      <c r="AM358" s="817">
        <f>SUM('LONG-TERM DEBT'!AF67+'LONG-TERM DEBT'!AEF3)+'LONG-TERM DEBT'!AF160</f>
        <v>0</v>
      </c>
      <c r="AN358" s="817"/>
      <c r="AO358" s="817">
        <f>SUM('LONG-TERM DEBT'!AH67+'LONG-TERM DEBT'!AEH3)+'LONG-TERM DEBT'!AH160</f>
        <v>0</v>
      </c>
      <c r="AP358" s="817"/>
      <c r="AQ358" s="817">
        <f>SUM('LONG-TERM DEBT'!AJ67+'LONG-TERM DEBT'!AEJ3)+'LONG-TERM DEBT'!AJ160</f>
        <v>0</v>
      </c>
      <c r="AR358" s="817"/>
      <c r="AS358" s="817">
        <f t="shared" si="178"/>
        <v>0</v>
      </c>
      <c r="AT358" s="2263" t="str">
        <f t="shared" si="179"/>
        <v/>
      </c>
      <c r="AU358" s="844"/>
      <c r="AV358" s="1135"/>
      <c r="AW358" s="797"/>
      <c r="AX358" s="805"/>
      <c r="AY358" s="927"/>
      <c r="AZ358" s="2136"/>
      <c r="BA358" s="2136"/>
      <c r="BB358" s="2154"/>
    </row>
    <row r="359" spans="1:54" ht="13.9" hidden="1" customHeight="1" outlineLevel="1" x14ac:dyDescent="0.2">
      <c r="A359" s="1132" t="s">
        <v>924</v>
      </c>
      <c r="B359" s="797"/>
      <c r="C359" s="797"/>
      <c r="D359" s="797"/>
      <c r="E359" s="797"/>
      <c r="F359" s="798"/>
      <c r="G359" s="798"/>
      <c r="H359" s="798"/>
      <c r="I359" s="798"/>
      <c r="J359" s="1045"/>
      <c r="K359" s="861"/>
      <c r="L359" s="1134"/>
      <c r="M359" s="845"/>
      <c r="N359" s="1131"/>
      <c r="O359" s="817"/>
      <c r="P359" s="877"/>
      <c r="Q359" s="893"/>
      <c r="R359" s="932"/>
      <c r="S359" s="932"/>
      <c r="T359" s="932"/>
      <c r="U359" s="932"/>
      <c r="V359" s="932"/>
      <c r="W359" s="932"/>
      <c r="X359" s="932"/>
      <c r="Y359" s="932"/>
      <c r="Z359" s="932"/>
      <c r="AA359" s="932"/>
      <c r="AB359" s="932"/>
      <c r="AC359" s="932"/>
      <c r="AD359" s="932"/>
      <c r="AE359" s="932">
        <v>0</v>
      </c>
      <c r="AF359" s="932"/>
      <c r="AG359" s="932">
        <v>135500</v>
      </c>
      <c r="AH359" s="932">
        <v>135500</v>
      </c>
      <c r="AI359" s="932">
        <v>150000</v>
      </c>
      <c r="AJ359" s="932">
        <v>150000</v>
      </c>
      <c r="AK359" s="932">
        <v>155000</v>
      </c>
      <c r="AL359" s="817">
        <v>155000</v>
      </c>
      <c r="AM359" s="817">
        <f>SUM('LONG-TERM DEBT'!AE70:AE78)</f>
        <v>165000</v>
      </c>
      <c r="AN359" s="817">
        <v>165000</v>
      </c>
      <c r="AO359" s="817">
        <f>SUM('LONG-TERM DEBT'!AF70:AF78)</f>
        <v>155000</v>
      </c>
      <c r="AP359" s="817">
        <f>AO359</f>
        <v>155000</v>
      </c>
      <c r="AQ359" s="817">
        <f>SUM('LONG-TERM DEBT'!AG70:AG78)</f>
        <v>160000</v>
      </c>
      <c r="AR359" s="817">
        <f>AQ359</f>
        <v>160000</v>
      </c>
      <c r="AS359" s="817">
        <f t="shared" si="178"/>
        <v>5000</v>
      </c>
      <c r="AT359" s="2263">
        <f t="shared" si="179"/>
        <v>3.2258064516129031E-2</v>
      </c>
      <c r="AU359" s="844"/>
      <c r="AV359" s="1135"/>
      <c r="AW359" s="797"/>
      <c r="AX359" s="805"/>
      <c r="AY359" s="927"/>
      <c r="AZ359" s="2136"/>
      <c r="BA359" s="2136"/>
      <c r="BB359" s="2154"/>
    </row>
    <row r="360" spans="1:54" ht="13.9" hidden="1" customHeight="1" outlineLevel="1" x14ac:dyDescent="0.2">
      <c r="A360" s="1498" t="s">
        <v>977</v>
      </c>
      <c r="B360" s="797"/>
      <c r="C360" s="797"/>
      <c r="D360" s="797"/>
      <c r="E360" s="797"/>
      <c r="F360" s="798"/>
      <c r="G360" s="798"/>
      <c r="H360" s="798"/>
      <c r="I360" s="798"/>
      <c r="J360" s="1045"/>
      <c r="K360" s="861"/>
      <c r="L360" s="1134"/>
      <c r="M360" s="845"/>
      <c r="N360" s="1131"/>
      <c r="O360" s="817"/>
      <c r="P360" s="877"/>
      <c r="Q360" s="893"/>
      <c r="R360" s="932"/>
      <c r="S360" s="932"/>
      <c r="T360" s="932"/>
      <c r="U360" s="932"/>
      <c r="V360" s="932"/>
      <c r="W360" s="932"/>
      <c r="X360" s="932"/>
      <c r="Y360" s="932"/>
      <c r="Z360" s="932"/>
      <c r="AA360" s="932"/>
      <c r="AB360" s="932"/>
      <c r="AC360" s="932"/>
      <c r="AD360" s="932"/>
      <c r="AE360" s="932"/>
      <c r="AF360" s="932"/>
      <c r="AG360" s="932"/>
      <c r="AH360" s="932"/>
      <c r="AI360" s="932">
        <v>191000</v>
      </c>
      <c r="AJ360" s="932">
        <v>191000</v>
      </c>
      <c r="AK360" s="932">
        <v>200000</v>
      </c>
      <c r="AL360" s="817">
        <v>200000</v>
      </c>
      <c r="AM360" s="817">
        <f>SUM('LONG-TERM DEBT'!AE80:AE81)</f>
        <v>285000</v>
      </c>
      <c r="AN360" s="817">
        <v>285000</v>
      </c>
      <c r="AO360" s="817">
        <f>SUM('LONG-TERM DEBT'!AF80:AF81)</f>
        <v>305000</v>
      </c>
      <c r="AP360" s="817">
        <f>AO360</f>
        <v>305000</v>
      </c>
      <c r="AQ360" s="817">
        <f>SUM('LONG-TERM DEBT'!AG80:AG81)</f>
        <v>320000</v>
      </c>
      <c r="AR360" s="817">
        <f t="shared" ref="AR360:AR361" si="202">AQ360</f>
        <v>320000</v>
      </c>
      <c r="AS360" s="817">
        <f t="shared" si="178"/>
        <v>15000</v>
      </c>
      <c r="AT360" s="2263">
        <f t="shared" si="179"/>
        <v>4.9180327868852458E-2</v>
      </c>
      <c r="AU360" s="844"/>
      <c r="AV360" s="1135"/>
      <c r="AW360" s="797"/>
      <c r="AX360" s="805"/>
      <c r="AY360" s="927"/>
      <c r="AZ360" s="2136"/>
      <c r="BA360" s="2136"/>
      <c r="BB360" s="2154"/>
    </row>
    <row r="361" spans="1:54" ht="13.9" hidden="1" customHeight="1" outlineLevel="1" x14ac:dyDescent="0.2">
      <c r="A361" s="1498" t="s">
        <v>1019</v>
      </c>
      <c r="B361" s="797"/>
      <c r="C361" s="797"/>
      <c r="D361" s="797"/>
      <c r="E361" s="797"/>
      <c r="F361" s="798"/>
      <c r="G361" s="798"/>
      <c r="H361" s="798"/>
      <c r="I361" s="798"/>
      <c r="J361" s="1045"/>
      <c r="K361" s="861"/>
      <c r="L361" s="1134"/>
      <c r="M361" s="845"/>
      <c r="N361" s="1131"/>
      <c r="O361" s="817"/>
      <c r="P361" s="877"/>
      <c r="Q361" s="893"/>
      <c r="R361" s="932"/>
      <c r="S361" s="932"/>
      <c r="T361" s="932"/>
      <c r="U361" s="932"/>
      <c r="V361" s="932"/>
      <c r="W361" s="932"/>
      <c r="X361" s="932"/>
      <c r="Y361" s="932"/>
      <c r="Z361" s="932"/>
      <c r="AA361" s="932"/>
      <c r="AB361" s="932"/>
      <c r="AC361" s="932"/>
      <c r="AD361" s="932"/>
      <c r="AE361" s="932"/>
      <c r="AF361" s="932"/>
      <c r="AG361" s="932"/>
      <c r="AH361" s="932"/>
      <c r="AI361" s="932"/>
      <c r="AJ361" s="932"/>
      <c r="AK361" s="817">
        <v>120000</v>
      </c>
      <c r="AL361" s="817">
        <v>120000</v>
      </c>
      <c r="AM361" s="817">
        <f>SUM('LONG-TERM DEBT'!AE84:AE85)</f>
        <v>125000</v>
      </c>
      <c r="AN361" s="817">
        <v>125000</v>
      </c>
      <c r="AO361" s="817">
        <f>SUM('LONG-TERM DEBT'!AF84:AF85)</f>
        <v>130000</v>
      </c>
      <c r="AP361" s="817">
        <f>AO361</f>
        <v>130000</v>
      </c>
      <c r="AQ361" s="817">
        <f>SUM('LONG-TERM DEBT'!AG84:AG85)</f>
        <v>140000</v>
      </c>
      <c r="AR361" s="817">
        <f t="shared" si="202"/>
        <v>140000</v>
      </c>
      <c r="AS361" s="817">
        <f t="shared" si="178"/>
        <v>10000</v>
      </c>
      <c r="AT361" s="2263">
        <f t="shared" si="179"/>
        <v>7.6923076923076927E-2</v>
      </c>
      <c r="AU361" s="844"/>
      <c r="AV361" s="1135"/>
      <c r="AW361" s="797"/>
      <c r="AX361" s="805"/>
      <c r="AY361" s="927"/>
      <c r="AZ361" s="2136"/>
      <c r="BA361" s="2136"/>
      <c r="BB361" s="2154"/>
    </row>
    <row r="362" spans="1:54" ht="13.9" hidden="1" customHeight="1" outlineLevel="1" x14ac:dyDescent="0.2">
      <c r="A362" s="1137"/>
      <c r="B362" s="797"/>
      <c r="C362" s="797"/>
      <c r="D362" s="797"/>
      <c r="E362" s="797"/>
      <c r="F362" s="798"/>
      <c r="G362" s="798"/>
      <c r="H362" s="798"/>
      <c r="I362" s="798"/>
      <c r="J362" s="1045"/>
      <c r="K362" s="861"/>
      <c r="L362" s="1134"/>
      <c r="M362" s="845"/>
      <c r="N362" s="1131"/>
      <c r="O362" s="817"/>
      <c r="P362" s="877"/>
      <c r="Q362" s="893"/>
      <c r="R362" s="932"/>
      <c r="S362" s="932"/>
      <c r="T362" s="932"/>
      <c r="U362" s="932"/>
      <c r="V362" s="932"/>
      <c r="W362" s="932"/>
      <c r="X362" s="932"/>
      <c r="Y362" s="932"/>
      <c r="Z362" s="932"/>
      <c r="AA362" s="932"/>
      <c r="AB362" s="932"/>
      <c r="AC362" s="932"/>
      <c r="AD362" s="932"/>
      <c r="AE362" s="932"/>
      <c r="AF362" s="932"/>
      <c r="AG362" s="932"/>
      <c r="AH362" s="932"/>
      <c r="AI362" s="932"/>
      <c r="AJ362" s="932"/>
      <c r="AK362" s="817"/>
      <c r="AL362" s="817">
        <v>0</v>
      </c>
      <c r="AM362" s="817"/>
      <c r="AN362" s="817"/>
      <c r="AO362" s="817"/>
      <c r="AP362" s="817"/>
      <c r="AQ362" s="817"/>
      <c r="AR362" s="817"/>
      <c r="AS362" s="817">
        <f t="shared" si="178"/>
        <v>0</v>
      </c>
      <c r="AT362" s="2263" t="str">
        <f t="shared" si="179"/>
        <v/>
      </c>
      <c r="AU362" s="844"/>
      <c r="AV362" s="1135"/>
      <c r="AW362" s="797"/>
      <c r="AX362" s="805"/>
      <c r="AY362" s="927"/>
      <c r="AZ362" s="2136"/>
      <c r="BA362" s="2136"/>
      <c r="BB362" s="2154"/>
    </row>
    <row r="363" spans="1:54" ht="13.9" hidden="1" customHeight="1" outlineLevel="1" x14ac:dyDescent="0.2">
      <c r="A363" s="878" t="s">
        <v>728</v>
      </c>
      <c r="B363" s="810">
        <f>SUM(B353:B355)</f>
        <v>559000</v>
      </c>
      <c r="C363" s="810">
        <f>SUM(C353:C355)</f>
        <v>559000</v>
      </c>
      <c r="D363" s="810">
        <f t="shared" ref="D363:J363" si="203">SUM(D352:D355)</f>
        <v>460000</v>
      </c>
      <c r="E363" s="810">
        <f t="shared" si="203"/>
        <v>460000</v>
      </c>
      <c r="F363" s="810">
        <f t="shared" si="203"/>
        <v>489500</v>
      </c>
      <c r="G363" s="810">
        <f t="shared" si="203"/>
        <v>489500</v>
      </c>
      <c r="H363" s="810">
        <f t="shared" si="203"/>
        <v>509500</v>
      </c>
      <c r="I363" s="810">
        <f t="shared" si="203"/>
        <v>509500</v>
      </c>
      <c r="J363" s="1047">
        <f t="shared" si="203"/>
        <v>539000</v>
      </c>
      <c r="K363" s="1048">
        <v>38789</v>
      </c>
      <c r="L363" s="1089">
        <f>SUM(L352:L355)</f>
        <v>559000</v>
      </c>
      <c r="M363" s="879">
        <f>SUM(M352:M355)</f>
        <v>588500</v>
      </c>
      <c r="N363" s="1138">
        <f>SUM(N352:N355)</f>
        <v>618000</v>
      </c>
      <c r="O363" s="881">
        <f>SUM(O353:O355)</f>
        <v>618000</v>
      </c>
      <c r="P363" s="1139">
        <f>SUM(P353:P355)</f>
        <v>643000</v>
      </c>
      <c r="Q363" s="852">
        <f>IF(SUM(Q354:Q355)=0,P363,SUM(Q354:Q355))</f>
        <v>643000</v>
      </c>
      <c r="R363" s="881">
        <f>SUM(R353:R356)</f>
        <v>796700</v>
      </c>
      <c r="S363" s="852">
        <f>IF(SUM(S354:S355)=0,R363,SUM(S354:S355))</f>
        <v>796700</v>
      </c>
      <c r="T363" s="852">
        <v>537500</v>
      </c>
      <c r="U363" s="852">
        <v>537500</v>
      </c>
      <c r="V363" s="881">
        <f>SUM(V353:V357)</f>
        <v>551000</v>
      </c>
      <c r="W363" s="852">
        <f>IF(SUM(W353:W357)=0,V363,SUM(W353:W357))</f>
        <v>551000</v>
      </c>
      <c r="X363" s="881">
        <f>SUM(X353:X357)</f>
        <v>556500</v>
      </c>
      <c r="Y363" s="852">
        <f>IF(SUM(Y353:Y357)=0,X363,SUM(Y353:Y357))</f>
        <v>556500</v>
      </c>
      <c r="Z363" s="881">
        <f>SUM(Z353:Z358)</f>
        <v>557000</v>
      </c>
      <c r="AA363" s="852">
        <f>IF(SUM(AA353:AA358)=0,Z363,SUM(AA353:AA358))</f>
        <v>557000</v>
      </c>
      <c r="AB363" s="881">
        <f>SUM(AB353:AB358)</f>
        <v>569500</v>
      </c>
      <c r="AC363" s="852">
        <f>IF(SUM(AC353:AC358)=0,AB363,SUM(AC353:AC358))</f>
        <v>569500</v>
      </c>
      <c r="AD363" s="852"/>
      <c r="AE363" s="852">
        <v>601500</v>
      </c>
      <c r="AF363" s="852">
        <v>601500</v>
      </c>
      <c r="AG363" s="852">
        <v>555500</v>
      </c>
      <c r="AH363" s="852">
        <v>555500</v>
      </c>
      <c r="AI363" s="852">
        <v>766000</v>
      </c>
      <c r="AJ363" s="852">
        <v>766000</v>
      </c>
      <c r="AK363" s="852">
        <v>795000</v>
      </c>
      <c r="AL363" s="817">
        <v>795000</v>
      </c>
      <c r="AM363" s="814">
        <f t="shared" ref="AM363:AR363" si="204">IF(SUM(AM357:AM362)=0,AL363,SUM(AM356:AM362))</f>
        <v>775000</v>
      </c>
      <c r="AN363" s="814">
        <f t="shared" si="204"/>
        <v>775000</v>
      </c>
      <c r="AO363" s="814">
        <f t="shared" si="204"/>
        <v>590000</v>
      </c>
      <c r="AP363" s="814">
        <f t="shared" si="204"/>
        <v>590000</v>
      </c>
      <c r="AQ363" s="814">
        <f t="shared" si="204"/>
        <v>620000</v>
      </c>
      <c r="AR363" s="814">
        <f t="shared" si="204"/>
        <v>620000</v>
      </c>
      <c r="AS363" s="814">
        <f t="shared" si="178"/>
        <v>30000</v>
      </c>
      <c r="AT363" s="2264">
        <f t="shared" si="179"/>
        <v>5.0847457627118647E-2</v>
      </c>
      <c r="AU363" s="868">
        <f>SUM(AU352:AU355)</f>
        <v>0</v>
      </c>
      <c r="AV363" s="819"/>
      <c r="AW363" s="797">
        <f>SUM(AU363-H363)</f>
        <v>-509500</v>
      </c>
      <c r="AX363" s="805">
        <f>IF(H363&gt;0,AW363/H363,"")</f>
        <v>-1</v>
      </c>
      <c r="AY363" s="807"/>
      <c r="AZ363" s="2136"/>
      <c r="BA363" s="2136"/>
    </row>
    <row r="364" spans="1:54" ht="13.9" hidden="1" customHeight="1" outlineLevel="1" x14ac:dyDescent="0.2">
      <c r="A364" s="855"/>
      <c r="B364" s="827"/>
      <c r="C364" s="827"/>
      <c r="D364" s="827"/>
      <c r="E364" s="827"/>
      <c r="F364" s="832"/>
      <c r="G364" s="832"/>
      <c r="H364" s="832"/>
      <c r="I364" s="832"/>
      <c r="J364" s="883"/>
      <c r="K364" s="857"/>
      <c r="L364" s="864"/>
      <c r="M364" s="864"/>
      <c r="N364" s="1140"/>
      <c r="O364" s="857"/>
      <c r="P364" s="857"/>
      <c r="Q364" s="857"/>
      <c r="R364" s="857"/>
      <c r="S364" s="857"/>
      <c r="T364" s="857"/>
      <c r="U364" s="857"/>
      <c r="V364" s="857"/>
      <c r="W364" s="857"/>
      <c r="X364" s="857"/>
      <c r="Y364" s="857"/>
      <c r="Z364" s="857"/>
      <c r="AA364" s="857"/>
      <c r="AB364" s="857"/>
      <c r="AC364" s="857"/>
      <c r="AD364" s="857"/>
      <c r="AE364" s="857"/>
      <c r="AF364" s="857"/>
      <c r="AG364" s="857"/>
      <c r="AH364" s="857"/>
      <c r="AI364" s="857"/>
      <c r="AJ364" s="857"/>
      <c r="AK364" s="857"/>
      <c r="AL364" s="857"/>
      <c r="AM364" s="857"/>
      <c r="AN364" s="857"/>
      <c r="AO364" s="857"/>
      <c r="AP364" s="857"/>
      <c r="AQ364" s="857"/>
      <c r="AR364" s="857"/>
      <c r="AS364" s="857">
        <f t="shared" si="178"/>
        <v>0</v>
      </c>
      <c r="AT364" s="2253" t="str">
        <f t="shared" si="179"/>
        <v/>
      </c>
      <c r="AU364" s="1120"/>
      <c r="AV364" s="834"/>
      <c r="AW364" s="823"/>
      <c r="AX364" s="835"/>
      <c r="AY364" s="836"/>
      <c r="AZ364" s="2136"/>
      <c r="BA364" s="2136"/>
    </row>
    <row r="365" spans="1:54" ht="13.9" hidden="1" customHeight="1" outlineLevel="1" x14ac:dyDescent="0.2">
      <c r="A365" s="808" t="s">
        <v>634</v>
      </c>
      <c r="B365" s="799"/>
      <c r="C365" s="799"/>
      <c r="D365" s="799"/>
      <c r="E365" s="799"/>
      <c r="F365" s="801"/>
      <c r="G365" s="801"/>
      <c r="H365" s="801"/>
      <c r="I365" s="801"/>
      <c r="J365" s="884"/>
      <c r="K365" s="859"/>
      <c r="L365" s="865"/>
      <c r="M365" s="865"/>
      <c r="N365" s="1141"/>
      <c r="O365" s="859"/>
      <c r="P365" s="859"/>
      <c r="Q365" s="859"/>
      <c r="R365" s="859"/>
      <c r="S365" s="859"/>
      <c r="T365" s="859"/>
      <c r="U365" s="859"/>
      <c r="V365" s="859"/>
      <c r="W365" s="859"/>
      <c r="X365" s="859"/>
      <c r="Y365" s="859"/>
      <c r="Z365" s="859"/>
      <c r="AA365" s="859"/>
      <c r="AB365" s="859"/>
      <c r="AC365" s="859"/>
      <c r="AD365" s="859"/>
      <c r="AE365" s="859"/>
      <c r="AF365" s="859"/>
      <c r="AG365" s="859"/>
      <c r="AH365" s="859"/>
      <c r="AI365" s="859"/>
      <c r="AJ365" s="859"/>
      <c r="AK365" s="859"/>
      <c r="AL365" s="859"/>
      <c r="AM365" s="859"/>
      <c r="AN365" s="859"/>
      <c r="AO365" s="859"/>
      <c r="AP365" s="859"/>
      <c r="AQ365" s="859"/>
      <c r="AR365" s="859"/>
      <c r="AS365" s="859">
        <f t="shared" si="178"/>
        <v>0</v>
      </c>
      <c r="AT365" s="2239" t="str">
        <f t="shared" si="179"/>
        <v/>
      </c>
      <c r="AU365" s="890"/>
      <c r="AV365" s="819"/>
      <c r="AW365" s="797"/>
      <c r="AX365" s="805"/>
      <c r="AY365" s="807"/>
      <c r="AZ365" s="2136"/>
      <c r="BA365" s="2136"/>
    </row>
    <row r="366" spans="1:54" ht="13.9" hidden="1" customHeight="1" outlineLevel="1" x14ac:dyDescent="0.2">
      <c r="A366" s="1051" t="s">
        <v>640</v>
      </c>
      <c r="B366" s="799">
        <v>4221</v>
      </c>
      <c r="C366" s="799">
        <v>4221</v>
      </c>
      <c r="D366" s="799"/>
      <c r="E366" s="799"/>
      <c r="F366" s="801"/>
      <c r="G366" s="801"/>
      <c r="H366" s="801"/>
      <c r="I366" s="801"/>
      <c r="J366" s="884"/>
      <c r="K366" s="859"/>
      <c r="L366" s="865"/>
      <c r="M366" s="865"/>
      <c r="N366" s="1141">
        <v>0</v>
      </c>
      <c r="O366" s="859">
        <v>0</v>
      </c>
      <c r="P366" s="859">
        <v>0</v>
      </c>
      <c r="Q366" s="859">
        <v>0</v>
      </c>
      <c r="R366" s="859"/>
      <c r="S366" s="859"/>
      <c r="T366" s="859"/>
      <c r="U366" s="859"/>
      <c r="V366" s="859"/>
      <c r="W366" s="859"/>
      <c r="X366" s="859"/>
      <c r="Y366" s="859"/>
      <c r="Z366" s="859"/>
      <c r="AA366" s="859"/>
      <c r="AB366" s="859"/>
      <c r="AC366" s="859"/>
      <c r="AD366" s="859"/>
      <c r="AE366" s="859"/>
      <c r="AF366" s="859"/>
      <c r="AG366" s="859"/>
      <c r="AH366" s="859"/>
      <c r="AI366" s="859"/>
      <c r="AJ366" s="859"/>
      <c r="AK366" s="859"/>
      <c r="AL366" s="859"/>
      <c r="AM366" s="859"/>
      <c r="AN366" s="859"/>
      <c r="AO366" s="859"/>
      <c r="AP366" s="859"/>
      <c r="AQ366" s="859"/>
      <c r="AR366" s="859"/>
      <c r="AS366" s="859">
        <f t="shared" si="178"/>
        <v>0</v>
      </c>
      <c r="AT366" s="2239" t="str">
        <f t="shared" si="179"/>
        <v/>
      </c>
      <c r="AU366" s="890"/>
      <c r="AV366" s="819"/>
      <c r="AW366" s="797">
        <f>SUM(AU366-H366)</f>
        <v>0</v>
      </c>
      <c r="AX366" s="805" t="str">
        <f>IF(H366&gt;0,AW366/H366,"")</f>
        <v/>
      </c>
      <c r="AY366" s="807"/>
      <c r="AZ366" s="2136"/>
      <c r="BA366" s="2136"/>
    </row>
    <row r="367" spans="1:54" ht="13.9" hidden="1" customHeight="1" outlineLevel="1" x14ac:dyDescent="0.2">
      <c r="A367" s="1051" t="s">
        <v>299</v>
      </c>
      <c r="B367" s="799">
        <v>178895</v>
      </c>
      <c r="C367" s="799">
        <v>178895</v>
      </c>
      <c r="D367" s="799">
        <v>172307</v>
      </c>
      <c r="E367" s="799">
        <v>172307</v>
      </c>
      <c r="F367" s="801">
        <v>165719</v>
      </c>
      <c r="G367" s="801">
        <v>165719</v>
      </c>
      <c r="H367" s="801">
        <v>158940</v>
      </c>
      <c r="I367" s="801">
        <v>158939</v>
      </c>
      <c r="J367" s="884">
        <v>151960</v>
      </c>
      <c r="K367" s="859"/>
      <c r="L367" s="942">
        <v>144399.38</v>
      </c>
      <c r="M367" s="942">
        <v>136840</v>
      </c>
      <c r="N367" s="1141">
        <v>128700</v>
      </c>
      <c r="O367" s="859">
        <v>128700</v>
      </c>
      <c r="P367" s="859">
        <v>119914</v>
      </c>
      <c r="Q367" s="865">
        <f>P367</f>
        <v>119914</v>
      </c>
      <c r="R367" s="817"/>
      <c r="S367" s="859"/>
      <c r="T367" s="859"/>
      <c r="U367" s="859"/>
      <c r="V367" s="817"/>
      <c r="W367" s="859"/>
      <c r="X367" s="817"/>
      <c r="Y367" s="859"/>
      <c r="Z367" s="817"/>
      <c r="AA367" s="859"/>
      <c r="AB367" s="817"/>
      <c r="AC367" s="859"/>
      <c r="AD367" s="859"/>
      <c r="AE367" s="859"/>
      <c r="AF367" s="859"/>
      <c r="AG367" s="859"/>
      <c r="AH367" s="859"/>
      <c r="AI367" s="859"/>
      <c r="AJ367" s="859"/>
      <c r="AK367" s="859"/>
      <c r="AL367" s="859"/>
      <c r="AM367" s="859"/>
      <c r="AN367" s="859"/>
      <c r="AO367" s="859"/>
      <c r="AP367" s="859"/>
      <c r="AQ367" s="859"/>
      <c r="AR367" s="859"/>
      <c r="AS367" s="859">
        <f t="shared" si="178"/>
        <v>0</v>
      </c>
      <c r="AT367" s="2239" t="str">
        <f t="shared" si="179"/>
        <v/>
      </c>
      <c r="AU367" s="890"/>
      <c r="AV367" s="819"/>
      <c r="AW367" s="797">
        <f>SUM(AU367-H367)</f>
        <v>-158940</v>
      </c>
      <c r="AX367" s="805">
        <f>IF(H367&gt;0,AW367/H367,"")</f>
        <v>-1</v>
      </c>
      <c r="AY367" s="807"/>
      <c r="AZ367" s="2136"/>
      <c r="BA367" s="2136"/>
    </row>
    <row r="368" spans="1:54" ht="13.9" hidden="1" customHeight="1" outlineLevel="1" x14ac:dyDescent="0.2">
      <c r="A368" s="1051" t="s">
        <v>430</v>
      </c>
      <c r="B368" s="798">
        <v>429863</v>
      </c>
      <c r="C368" s="798">
        <v>429863</v>
      </c>
      <c r="D368" s="799">
        <v>417903</v>
      </c>
      <c r="E368" s="801">
        <v>417903</v>
      </c>
      <c r="F368" s="801">
        <v>407228</v>
      </c>
      <c r="G368" s="801">
        <v>407228</v>
      </c>
      <c r="H368" s="801">
        <v>395228</v>
      </c>
      <c r="I368" s="801">
        <v>395228</v>
      </c>
      <c r="J368" s="1142">
        <v>382665</v>
      </c>
      <c r="K368" s="861" t="s">
        <v>462</v>
      </c>
      <c r="L368" s="942">
        <v>369540</v>
      </c>
      <c r="M368" s="942">
        <v>354740</v>
      </c>
      <c r="N368" s="1141">
        <v>338378</v>
      </c>
      <c r="O368" s="859">
        <v>338378</v>
      </c>
      <c r="P368" s="859">
        <v>318128</v>
      </c>
      <c r="Q368" s="865">
        <f>P368</f>
        <v>318128</v>
      </c>
      <c r="R368" s="817">
        <f>'LONG-TERM DEBT'!U94</f>
        <v>300277.5</v>
      </c>
      <c r="S368" s="859"/>
      <c r="T368" s="859"/>
      <c r="U368" s="859">
        <v>0</v>
      </c>
      <c r="V368" s="817"/>
      <c r="W368" s="817">
        <f>V368</f>
        <v>0</v>
      </c>
      <c r="X368" s="817"/>
      <c r="Y368" s="817">
        <f>X368</f>
        <v>0</v>
      </c>
      <c r="Z368" s="817"/>
      <c r="AA368" s="817">
        <f>Z368</f>
        <v>0</v>
      </c>
      <c r="AB368" s="817"/>
      <c r="AC368" s="817">
        <f>AB368</f>
        <v>0</v>
      </c>
      <c r="AD368" s="817"/>
      <c r="AE368" s="817"/>
      <c r="AF368" s="817"/>
      <c r="AG368" s="817"/>
      <c r="AH368" s="817"/>
      <c r="AI368" s="817"/>
      <c r="AJ368" s="817"/>
      <c r="AK368" s="817"/>
      <c r="AL368" s="817"/>
      <c r="AM368" s="817"/>
      <c r="AN368" s="817"/>
      <c r="AO368" s="817"/>
      <c r="AP368" s="817"/>
      <c r="AQ368" s="817"/>
      <c r="AR368" s="817"/>
      <c r="AS368" s="817">
        <f t="shared" si="178"/>
        <v>0</v>
      </c>
      <c r="AT368" s="2240" t="str">
        <f t="shared" si="179"/>
        <v/>
      </c>
      <c r="AU368" s="890"/>
      <c r="AW368" s="797">
        <f>SUM(AU368-H368)</f>
        <v>-395228</v>
      </c>
      <c r="AX368" s="805">
        <f>IF(H368&gt;0,AW368/H368,"")</f>
        <v>-1</v>
      </c>
      <c r="AY368" s="807"/>
      <c r="AZ368" s="2136"/>
      <c r="BA368" s="2136"/>
    </row>
    <row r="369" spans="1:54" ht="13.9" hidden="1" customHeight="1" outlineLevel="1" x14ac:dyDescent="0.2">
      <c r="A369" s="1051" t="s">
        <v>434</v>
      </c>
      <c r="B369" s="798"/>
      <c r="C369" s="798"/>
      <c r="D369" s="799"/>
      <c r="E369" s="801"/>
      <c r="F369" s="801"/>
      <c r="G369" s="801"/>
      <c r="H369" s="801"/>
      <c r="I369" s="801"/>
      <c r="J369" s="1142"/>
      <c r="K369" s="861"/>
      <c r="L369" s="942"/>
      <c r="M369" s="942">
        <v>0</v>
      </c>
      <c r="N369" s="1141"/>
      <c r="O369" s="859"/>
      <c r="P369" s="1101"/>
      <c r="Q369" s="859"/>
      <c r="R369" s="859">
        <v>88005</v>
      </c>
      <c r="S369" s="859"/>
      <c r="T369" s="859">
        <v>77453.75</v>
      </c>
      <c r="U369" s="859">
        <v>77453.75</v>
      </c>
      <c r="V369" s="817">
        <f>SUM('LONG-TERM DEBT'!W96:W101)</f>
        <v>66608.75</v>
      </c>
      <c r="W369" s="817">
        <f>SUM('LONG-TERM DEBT'!W96:W101)</f>
        <v>66608.75</v>
      </c>
      <c r="X369" s="817">
        <f>SUM('LONG-TERM DEBT'!V96:V101)</f>
        <v>77453.75</v>
      </c>
      <c r="Y369" s="817">
        <f>SUM('LONG-TERM DEBT'!V96:V101)</f>
        <v>77453.75</v>
      </c>
      <c r="Z369" s="817">
        <f>SUM('LONG-TERM DEBT'!Y96:Y101)</f>
        <v>36908.75</v>
      </c>
      <c r="AA369" s="817">
        <f>SUM('LONG-TERM DEBT'!Y96:Y101)</f>
        <v>36908.75</v>
      </c>
      <c r="AB369" s="817">
        <f>SUM('LONG-TERM DEBT'!Z96:Z101)</f>
        <v>30988.75</v>
      </c>
      <c r="AC369" s="817">
        <f>SUM('LONG-TERM DEBT'!Z96:Z101)</f>
        <v>30988.75</v>
      </c>
      <c r="AD369" s="817"/>
      <c r="AE369" s="817">
        <v>24227.5</v>
      </c>
      <c r="AF369" s="817"/>
      <c r="AG369" s="817">
        <v>16590</v>
      </c>
      <c r="AH369" s="817">
        <v>16590</v>
      </c>
      <c r="AI369" s="817">
        <v>10290</v>
      </c>
      <c r="AJ369" s="817">
        <v>10290</v>
      </c>
      <c r="AK369" s="817">
        <v>3840</v>
      </c>
      <c r="AL369" s="1651">
        <v>3840</v>
      </c>
      <c r="AM369" s="1651">
        <f>SUM('LONG-TERM DEBT'!AE96:AE101)</f>
        <v>0</v>
      </c>
      <c r="AN369" s="1651"/>
      <c r="AO369" s="1651">
        <f>SUM('LONG-TERM DEBT'!AG96:AG101)</f>
        <v>0</v>
      </c>
      <c r="AP369" s="1651"/>
      <c r="AQ369" s="1651">
        <f>SUM('LONG-TERM DEBT'!AG96:AG101)</f>
        <v>0</v>
      </c>
      <c r="AR369" s="1651">
        <f>AQ369</f>
        <v>0</v>
      </c>
      <c r="AS369" s="1651">
        <f t="shared" si="178"/>
        <v>0</v>
      </c>
      <c r="AT369" s="2265" t="str">
        <f t="shared" si="179"/>
        <v/>
      </c>
      <c r="AU369" s="890"/>
      <c r="AW369" s="797"/>
      <c r="AX369" s="805"/>
      <c r="AY369" s="927"/>
      <c r="AZ369" s="2136"/>
      <c r="BA369" s="2136"/>
      <c r="BB369" s="2154"/>
    </row>
    <row r="370" spans="1:54" ht="13.9" hidden="1" customHeight="1" outlineLevel="1" x14ac:dyDescent="0.2">
      <c r="A370" s="1051" t="s">
        <v>813</v>
      </c>
      <c r="B370" s="798"/>
      <c r="C370" s="798"/>
      <c r="D370" s="799"/>
      <c r="E370" s="801"/>
      <c r="F370" s="801"/>
      <c r="G370" s="801"/>
      <c r="H370" s="801"/>
      <c r="I370" s="801"/>
      <c r="J370" s="1142"/>
      <c r="K370" s="861"/>
      <c r="L370" s="942"/>
      <c r="M370" s="942"/>
      <c r="N370" s="1141"/>
      <c r="O370" s="859"/>
      <c r="P370" s="1143"/>
      <c r="Q370" s="859"/>
      <c r="R370" s="1098"/>
      <c r="S370" s="1098"/>
      <c r="T370" s="1098">
        <v>52766.57</v>
      </c>
      <c r="U370" s="1098">
        <v>52766.57</v>
      </c>
      <c r="V370" s="932">
        <f>SUM('LONG-TERM DEBT'!W103:W106)</f>
        <v>49100</v>
      </c>
      <c r="W370" s="932">
        <f>SUM('LONG-TERM DEBT'!W103:W106)</f>
        <v>49100</v>
      </c>
      <c r="X370" s="932">
        <f>SUM('LONG-TERM DEBT'!V103:V106)</f>
        <v>52766.17</v>
      </c>
      <c r="Y370" s="932">
        <f>SUM('LONG-TERM DEBT'!V103:V106)</f>
        <v>52766.17</v>
      </c>
      <c r="Z370" s="932">
        <f>SUM('LONG-TERM DEBT'!Y103:Y106)</f>
        <v>38150</v>
      </c>
      <c r="AA370" s="932">
        <f>SUM('LONG-TERM DEBT'!Y103:Y106)</f>
        <v>38150</v>
      </c>
      <c r="AB370" s="932">
        <f>SUM('LONG-TERM DEBT'!Z103:Z106)</f>
        <v>32450</v>
      </c>
      <c r="AC370" s="932">
        <f>SUM('LONG-TERM DEBT'!Z103:Z106)</f>
        <v>32450</v>
      </c>
      <c r="AD370" s="932"/>
      <c r="AE370" s="932">
        <v>26600</v>
      </c>
      <c r="AF370" s="817"/>
      <c r="AG370" s="817">
        <v>20600</v>
      </c>
      <c r="AH370" s="817">
        <v>20600</v>
      </c>
      <c r="AI370" s="817">
        <v>12200</v>
      </c>
      <c r="AJ370" s="817">
        <v>12200</v>
      </c>
      <c r="AK370" s="817">
        <v>8000</v>
      </c>
      <c r="AL370" s="1651">
        <v>8000</v>
      </c>
      <c r="AM370" s="1651">
        <f>SUM('LONG-TERM DEBT'!AE103:AE106)</f>
        <v>4000</v>
      </c>
      <c r="AN370" s="1651">
        <v>4000</v>
      </c>
      <c r="AO370" s="1651">
        <f>SUM('LONG-TERM DEBT'!AF103:AF106)</f>
        <v>0</v>
      </c>
      <c r="AP370" s="1651"/>
      <c r="AQ370" s="1651">
        <f>SUM('LONG-TERM DEBT'!AH103:AH106)</f>
        <v>0</v>
      </c>
      <c r="AR370" s="1651">
        <f t="shared" ref="AR370:AR374" si="205">AQ370</f>
        <v>0</v>
      </c>
      <c r="AS370" s="1651">
        <f t="shared" si="178"/>
        <v>0</v>
      </c>
      <c r="AT370" s="2265" t="str">
        <f t="shared" si="179"/>
        <v/>
      </c>
      <c r="AU370" s="890"/>
      <c r="AW370" s="797"/>
      <c r="AX370" s="805"/>
      <c r="AY370" s="927"/>
      <c r="AZ370" s="2136"/>
      <c r="BA370" s="2136"/>
      <c r="BB370" s="2154"/>
    </row>
    <row r="371" spans="1:54" ht="13.9" hidden="1" customHeight="1" outlineLevel="1" x14ac:dyDescent="0.2">
      <c r="A371" s="1051" t="s">
        <v>846</v>
      </c>
      <c r="B371" s="798"/>
      <c r="C371" s="798"/>
      <c r="D371" s="799"/>
      <c r="E371" s="801"/>
      <c r="F371" s="801"/>
      <c r="G371" s="801"/>
      <c r="H371" s="801"/>
      <c r="I371" s="801"/>
      <c r="J371" s="1142"/>
      <c r="K371" s="861"/>
      <c r="L371" s="942"/>
      <c r="M371" s="942"/>
      <c r="N371" s="1141"/>
      <c r="O371" s="859"/>
      <c r="P371" s="1143"/>
      <c r="Q371" s="859"/>
      <c r="R371" s="1098"/>
      <c r="S371" s="1098"/>
      <c r="T371" s="1098"/>
      <c r="U371" s="1098"/>
      <c r="V371" s="932"/>
      <c r="W371" s="932"/>
      <c r="X371" s="932"/>
      <c r="Y371" s="932"/>
      <c r="Z371" s="932">
        <f>SUM('LONG-TERM DEBT'!Y108)</f>
        <v>0</v>
      </c>
      <c r="AA371" s="932">
        <f>SUM('LONG-TERM DEBT'!Y108)</f>
        <v>0</v>
      </c>
      <c r="AB371" s="932">
        <f>SUM('LONG-TERM DEBT'!Z108)</f>
        <v>0</v>
      </c>
      <c r="AC371" s="932">
        <f>SUM('LONG-TERM DEBT'!Z108)</f>
        <v>0</v>
      </c>
      <c r="AD371" s="932"/>
      <c r="AE371" s="932"/>
      <c r="AF371" s="817"/>
      <c r="AG371" s="817">
        <v>0</v>
      </c>
      <c r="AH371" s="817">
        <v>0</v>
      </c>
      <c r="AI371" s="817">
        <v>0</v>
      </c>
      <c r="AJ371" s="817"/>
      <c r="AK371" s="817">
        <v>0</v>
      </c>
      <c r="AL371" s="1651">
        <v>0</v>
      </c>
      <c r="AM371" s="1651">
        <v>0</v>
      </c>
      <c r="AN371" s="1651"/>
      <c r="AO371" s="1651">
        <v>0</v>
      </c>
      <c r="AP371" s="1651"/>
      <c r="AQ371" s="1651">
        <v>0</v>
      </c>
      <c r="AR371" s="1651">
        <f t="shared" si="205"/>
        <v>0</v>
      </c>
      <c r="AS371" s="1651">
        <f t="shared" si="178"/>
        <v>0</v>
      </c>
      <c r="AT371" s="2265" t="str">
        <f t="shared" si="179"/>
        <v/>
      </c>
      <c r="AU371" s="890"/>
      <c r="AW371" s="797"/>
      <c r="AX371" s="805"/>
      <c r="AY371" s="927"/>
      <c r="AZ371" s="2136"/>
      <c r="BA371" s="2136"/>
      <c r="BB371" s="2154"/>
    </row>
    <row r="372" spans="1:54" ht="13.9" hidden="1" customHeight="1" outlineLevel="1" x14ac:dyDescent="0.2">
      <c r="A372" s="1498" t="s">
        <v>924</v>
      </c>
      <c r="B372" s="798"/>
      <c r="C372" s="798"/>
      <c r="D372" s="799"/>
      <c r="E372" s="801"/>
      <c r="F372" s="801"/>
      <c r="G372" s="801"/>
      <c r="H372" s="801"/>
      <c r="I372" s="801"/>
      <c r="J372" s="1142"/>
      <c r="K372" s="861"/>
      <c r="L372" s="942"/>
      <c r="M372" s="942"/>
      <c r="N372" s="1141"/>
      <c r="O372" s="859"/>
      <c r="P372" s="1143"/>
      <c r="Q372" s="859"/>
      <c r="R372" s="1144"/>
      <c r="S372" s="1098"/>
      <c r="T372" s="1144"/>
      <c r="U372" s="1144"/>
      <c r="V372" s="1145"/>
      <c r="W372" s="932"/>
      <c r="X372" s="1145"/>
      <c r="Y372" s="932"/>
      <c r="Z372" s="1145"/>
      <c r="AA372" s="932"/>
      <c r="AB372" s="1145"/>
      <c r="AC372" s="932"/>
      <c r="AD372" s="932"/>
      <c r="AE372" s="932">
        <v>0</v>
      </c>
      <c r="AF372" s="817"/>
      <c r="AG372" s="817">
        <v>97376.260000000009</v>
      </c>
      <c r="AH372" s="817">
        <v>97376.260000000009</v>
      </c>
      <c r="AI372" s="817">
        <v>93093.760000000009</v>
      </c>
      <c r="AJ372" s="817">
        <v>93093.760000000009</v>
      </c>
      <c r="AK372" s="817">
        <v>88518.760000000009</v>
      </c>
      <c r="AL372" s="1651">
        <v>88518.760000000009</v>
      </c>
      <c r="AM372" s="1651">
        <f>SUM('LONG-TERM DEBT'!AE109:AE117)</f>
        <v>83718.760000000009</v>
      </c>
      <c r="AN372" s="1651">
        <v>83719</v>
      </c>
      <c r="AO372" s="1651">
        <f>SUM('LONG-TERM DEBT'!AF109:AF117)</f>
        <v>78143.760000000009</v>
      </c>
      <c r="AP372" s="1651">
        <f>AO372</f>
        <v>78143.760000000009</v>
      </c>
      <c r="AQ372" s="1651">
        <f>SUM('LONG-TERM DEBT'!AG109:AG117)</f>
        <v>71843.760000000009</v>
      </c>
      <c r="AR372" s="1651">
        <f t="shared" si="205"/>
        <v>71843.760000000009</v>
      </c>
      <c r="AS372" s="1651">
        <f t="shared" si="178"/>
        <v>-6300</v>
      </c>
      <c r="AT372" s="2265">
        <f t="shared" si="179"/>
        <v>-8.0620640726783543E-2</v>
      </c>
      <c r="AU372" s="890"/>
      <c r="AW372" s="797"/>
      <c r="AX372" s="805"/>
      <c r="AY372" s="927"/>
      <c r="AZ372" s="2136"/>
      <c r="BA372" s="2136"/>
      <c r="BB372" s="2154"/>
    </row>
    <row r="373" spans="1:54" ht="13.9" hidden="1" customHeight="1" outlineLevel="1" x14ac:dyDescent="0.2">
      <c r="A373" s="1498" t="s">
        <v>977</v>
      </c>
      <c r="B373" s="798"/>
      <c r="C373" s="798"/>
      <c r="D373" s="799"/>
      <c r="E373" s="801"/>
      <c r="F373" s="801"/>
      <c r="G373" s="801"/>
      <c r="H373" s="801"/>
      <c r="I373" s="801"/>
      <c r="J373" s="1142"/>
      <c r="K373" s="861"/>
      <c r="L373" s="942"/>
      <c r="M373" s="942"/>
      <c r="N373" s="1141"/>
      <c r="O373" s="859"/>
      <c r="P373" s="1143"/>
      <c r="Q373" s="859"/>
      <c r="R373" s="1144"/>
      <c r="S373" s="1098"/>
      <c r="T373" s="1144"/>
      <c r="U373" s="1144"/>
      <c r="V373" s="1145"/>
      <c r="W373" s="932"/>
      <c r="X373" s="1145"/>
      <c r="Y373" s="932"/>
      <c r="Z373" s="1145"/>
      <c r="AA373" s="932"/>
      <c r="AB373" s="1145"/>
      <c r="AC373" s="932"/>
      <c r="AD373" s="932"/>
      <c r="AE373" s="932"/>
      <c r="AF373" s="817"/>
      <c r="AG373" s="817"/>
      <c r="AH373" s="817"/>
      <c r="AI373" s="817">
        <v>351512.5</v>
      </c>
      <c r="AJ373" s="817">
        <v>351512.5</v>
      </c>
      <c r="AK373" s="817">
        <v>341962.5</v>
      </c>
      <c r="AL373" s="1651">
        <v>341962.5</v>
      </c>
      <c r="AM373" s="1651">
        <f>SUM('LONG-TERM DEBT'!AE120:AE121)</f>
        <v>331962.5</v>
      </c>
      <c r="AN373" s="1651">
        <v>331963</v>
      </c>
      <c r="AO373" s="1651">
        <f>SUM('LONG-TERM DEBT'!AF120:AF121)</f>
        <v>317712.5</v>
      </c>
      <c r="AP373" s="1651">
        <f>AO373</f>
        <v>317712.5</v>
      </c>
      <c r="AQ373" s="1651">
        <f>SUM('LONG-TERM DEBT'!AG120:AG121)</f>
        <v>302462.5</v>
      </c>
      <c r="AR373" s="1651">
        <f t="shared" si="205"/>
        <v>302462.5</v>
      </c>
      <c r="AS373" s="1651">
        <f t="shared" si="178"/>
        <v>-15250</v>
      </c>
      <c r="AT373" s="2265">
        <f t="shared" si="179"/>
        <v>-4.7999370500059015E-2</v>
      </c>
      <c r="AU373" s="890"/>
      <c r="AW373" s="797"/>
      <c r="AX373" s="805"/>
      <c r="AY373" s="1618"/>
      <c r="AZ373" s="2136"/>
      <c r="BA373" s="2136"/>
      <c r="BB373" s="2155"/>
    </row>
    <row r="374" spans="1:54" ht="13.9" hidden="1" customHeight="1" outlineLevel="1" x14ac:dyDescent="0.2">
      <c r="A374" s="1498" t="s">
        <v>956</v>
      </c>
      <c r="B374" s="798"/>
      <c r="C374" s="798"/>
      <c r="D374" s="799"/>
      <c r="E374" s="801"/>
      <c r="F374" s="801"/>
      <c r="G374" s="801"/>
      <c r="H374" s="801"/>
      <c r="I374" s="801"/>
      <c r="J374" s="1142"/>
      <c r="K374" s="861"/>
      <c r="L374" s="942"/>
      <c r="M374" s="942"/>
      <c r="N374" s="1141"/>
      <c r="O374" s="859"/>
      <c r="P374" s="1143"/>
      <c r="Q374" s="859"/>
      <c r="R374" s="1144"/>
      <c r="S374" s="1098"/>
      <c r="T374" s="1144"/>
      <c r="U374" s="1144"/>
      <c r="V374" s="1145"/>
      <c r="W374" s="932"/>
      <c r="X374" s="1145"/>
      <c r="Y374" s="932"/>
      <c r="Z374" s="1145"/>
      <c r="AA374" s="932"/>
      <c r="AB374" s="1145"/>
      <c r="AC374" s="932"/>
      <c r="AD374" s="932"/>
      <c r="AE374" s="932"/>
      <c r="AF374" s="817"/>
      <c r="AG374" s="817"/>
      <c r="AH374" s="817"/>
      <c r="AI374" s="817"/>
      <c r="AJ374" s="817">
        <v>59936.479999999996</v>
      </c>
      <c r="AK374" s="817">
        <v>121006.5</v>
      </c>
      <c r="AL374" s="1651">
        <v>121006.5</v>
      </c>
      <c r="AM374" s="1651">
        <f>SUM('LONG-TERM DEBT'!AE124:AE125)</f>
        <v>114881.5</v>
      </c>
      <c r="AN374" s="1651">
        <v>114882</v>
      </c>
      <c r="AO374" s="1651">
        <f>SUM('LONG-TERM DEBT'!AF124:AF125)</f>
        <v>108506.5</v>
      </c>
      <c r="AP374" s="1651">
        <f>AO374</f>
        <v>108506.5</v>
      </c>
      <c r="AQ374" s="1651">
        <f>SUM('LONG-TERM DEBT'!AG124:AG125)</f>
        <v>101756.5</v>
      </c>
      <c r="AR374" s="1651">
        <f t="shared" si="205"/>
        <v>101756.5</v>
      </c>
      <c r="AS374" s="1651">
        <f t="shared" si="178"/>
        <v>-6750</v>
      </c>
      <c r="AT374" s="2265">
        <f t="shared" si="179"/>
        <v>-6.220825480501168E-2</v>
      </c>
      <c r="AU374" s="890"/>
      <c r="AW374" s="797"/>
      <c r="AX374" s="805"/>
      <c r="AY374" s="1618"/>
      <c r="AZ374" s="2136"/>
      <c r="BA374" s="2136"/>
      <c r="BB374" s="2155"/>
    </row>
    <row r="375" spans="1:54" ht="13.9" hidden="1" customHeight="1" outlineLevel="1" x14ac:dyDescent="0.2">
      <c r="A375" s="1051"/>
      <c r="B375" s="798"/>
      <c r="C375" s="798"/>
      <c r="D375" s="799"/>
      <c r="E375" s="801"/>
      <c r="F375" s="801"/>
      <c r="G375" s="801"/>
      <c r="H375" s="801"/>
      <c r="I375" s="801"/>
      <c r="J375" s="1142"/>
      <c r="K375" s="861"/>
      <c r="L375" s="942"/>
      <c r="M375" s="942"/>
      <c r="N375" s="1141"/>
      <c r="O375" s="859"/>
      <c r="P375" s="1143"/>
      <c r="Q375" s="859"/>
      <c r="R375" s="1144"/>
      <c r="S375" s="1098"/>
      <c r="T375" s="1144"/>
      <c r="U375" s="1144"/>
      <c r="V375" s="1145"/>
      <c r="W375" s="932"/>
      <c r="X375" s="1145"/>
      <c r="Y375" s="932"/>
      <c r="Z375" s="1145"/>
      <c r="AA375" s="932"/>
      <c r="AB375" s="1145"/>
      <c r="AC375" s="932"/>
      <c r="AD375" s="932"/>
      <c r="AE375" s="932"/>
      <c r="AF375" s="817"/>
      <c r="AG375" s="817"/>
      <c r="AH375" s="817"/>
      <c r="AI375" s="817"/>
      <c r="AJ375" s="817"/>
      <c r="AK375" s="817"/>
      <c r="AL375" s="1651">
        <v>0</v>
      </c>
      <c r="AM375" s="1651"/>
      <c r="AN375" s="1651"/>
      <c r="AO375" s="1651"/>
      <c r="AP375" s="1651"/>
      <c r="AQ375" s="1651"/>
      <c r="AR375" s="1651"/>
      <c r="AS375" s="1651">
        <f t="shared" si="178"/>
        <v>0</v>
      </c>
      <c r="AT375" s="2265" t="str">
        <f t="shared" si="179"/>
        <v/>
      </c>
      <c r="AU375" s="890"/>
      <c r="AW375" s="797"/>
      <c r="AX375" s="805"/>
      <c r="AY375" s="927"/>
      <c r="AZ375" s="2136"/>
      <c r="BA375" s="2136"/>
      <c r="BB375" s="2154"/>
    </row>
    <row r="376" spans="1:54" ht="13.9" hidden="1" customHeight="1" outlineLevel="1" x14ac:dyDescent="0.2">
      <c r="A376" s="894" t="s">
        <v>728</v>
      </c>
      <c r="B376" s="810">
        <f>SUM(B366:B368)</f>
        <v>612979</v>
      </c>
      <c r="C376" s="810">
        <f>SUM(C366:C368)</f>
        <v>612979</v>
      </c>
      <c r="D376" s="810">
        <f t="shared" ref="D376:J376" si="206">SUM(D367:D368)</f>
        <v>590210</v>
      </c>
      <c r="E376" s="810">
        <f t="shared" si="206"/>
        <v>590210</v>
      </c>
      <c r="F376" s="810">
        <f t="shared" si="206"/>
        <v>572947</v>
      </c>
      <c r="G376" s="810">
        <f t="shared" si="206"/>
        <v>572947</v>
      </c>
      <c r="H376" s="810">
        <f t="shared" si="206"/>
        <v>554168</v>
      </c>
      <c r="I376" s="810">
        <f t="shared" si="206"/>
        <v>554167</v>
      </c>
      <c r="J376" s="813">
        <f t="shared" si="206"/>
        <v>534625</v>
      </c>
      <c r="K376" s="1048">
        <v>38789</v>
      </c>
      <c r="L376" s="879">
        <f>SUM(L367:L369)</f>
        <v>513939.38</v>
      </c>
      <c r="M376" s="879">
        <f>SUM(M367:M369)</f>
        <v>491580</v>
      </c>
      <c r="N376" s="1138">
        <f>SUM(N367:N369)</f>
        <v>467078</v>
      </c>
      <c r="O376" s="881">
        <f>SUM(O367:O369)</f>
        <v>467078</v>
      </c>
      <c r="P376" s="1139">
        <f>SUM(P367:P369)</f>
        <v>438042</v>
      </c>
      <c r="Q376" s="852">
        <f>IF(SUM(Q367:Q368)=0,P376,SUM(Q366:Q369))</f>
        <v>438042</v>
      </c>
      <c r="R376" s="1139">
        <f>SUM(R367:R369)</f>
        <v>388282.5</v>
      </c>
      <c r="S376" s="852">
        <f>IF(SUM(S367:S368)=0,R376,SUM(S366:S369))</f>
        <v>388282.5</v>
      </c>
      <c r="T376" s="1117">
        <v>130220.32</v>
      </c>
      <c r="U376" s="1117">
        <v>130220.32</v>
      </c>
      <c r="V376" s="1139">
        <f>SUM(V366:V370)</f>
        <v>115708.75</v>
      </c>
      <c r="W376" s="852">
        <f>IF(SUM(W366:W370)=0,V376,SUM(W366:W370))</f>
        <v>115708.75</v>
      </c>
      <c r="X376" s="1139">
        <f>SUM(X366:X370)</f>
        <v>130219.92</v>
      </c>
      <c r="Y376" s="852">
        <f>IF(SUM(Y366:Y370)=0,X376,SUM(Y366:Y370))</f>
        <v>130219.92</v>
      </c>
      <c r="Z376" s="1139">
        <f>SUM(Z366:Z371)</f>
        <v>75058.75</v>
      </c>
      <c r="AA376" s="852">
        <f>IF(SUM(AA366:AA370)=0,Z376,SUM(AA366:AA370))</f>
        <v>75058.75</v>
      </c>
      <c r="AB376" s="1139">
        <f>SUM(AB366:AB371)</f>
        <v>63438.75</v>
      </c>
      <c r="AC376" s="852">
        <f>IF(SUM(AC366:AC370)=0,AB376,SUM(AC366:AC370))</f>
        <v>63438.75</v>
      </c>
      <c r="AD376" s="852"/>
      <c r="AE376" s="852">
        <v>50827.5</v>
      </c>
      <c r="AF376" s="852">
        <v>50827.5</v>
      </c>
      <c r="AG376" s="852">
        <v>134566.26</v>
      </c>
      <c r="AH376" s="852">
        <v>134566.26</v>
      </c>
      <c r="AI376" s="814">
        <v>467096.26</v>
      </c>
      <c r="AJ376" s="814">
        <v>527032.74</v>
      </c>
      <c r="AK376" s="814">
        <v>563327.76</v>
      </c>
      <c r="AL376" s="1651">
        <v>563327.76</v>
      </c>
      <c r="AM376" s="1653">
        <f t="shared" ref="AM376:AR376" si="207">SUM(AM369:AM374)</f>
        <v>534562.76</v>
      </c>
      <c r="AN376" s="1653">
        <f t="shared" si="207"/>
        <v>534564</v>
      </c>
      <c r="AO376" s="1653">
        <f t="shared" si="207"/>
        <v>504362.76</v>
      </c>
      <c r="AP376" s="1653">
        <f t="shared" si="207"/>
        <v>504362.76</v>
      </c>
      <c r="AQ376" s="1653">
        <f t="shared" si="207"/>
        <v>476062.76</v>
      </c>
      <c r="AR376" s="1653">
        <f t="shared" si="207"/>
        <v>476062.76</v>
      </c>
      <c r="AS376" s="1653">
        <f t="shared" si="178"/>
        <v>-28300</v>
      </c>
      <c r="AT376" s="2266">
        <f t="shared" si="179"/>
        <v>-5.6110407517002248E-2</v>
      </c>
      <c r="AU376" s="854">
        <f>SUM(AU367:AU368)</f>
        <v>0</v>
      </c>
      <c r="AV376" s="819"/>
      <c r="AW376" s="797">
        <f>SUM(AU376-H376)</f>
        <v>-554168</v>
      </c>
      <c r="AX376" s="805">
        <f>IF(H376&gt;0,AW376/H376,"")</f>
        <v>-1</v>
      </c>
      <c r="AY376" s="807"/>
      <c r="AZ376" s="2136"/>
      <c r="BA376" s="2136"/>
      <c r="BB376" s="2136"/>
    </row>
    <row r="377" spans="1:54" ht="13.9" hidden="1" customHeight="1" outlineLevel="1" x14ac:dyDescent="0.2">
      <c r="A377" s="821"/>
      <c r="B377" s="910"/>
      <c r="C377" s="910"/>
      <c r="D377" s="910"/>
      <c r="E377" s="910"/>
      <c r="F377" s="911"/>
      <c r="G377" s="911"/>
      <c r="H377" s="911"/>
      <c r="I377" s="911"/>
      <c r="J377" s="1057"/>
      <c r="K377" s="857"/>
      <c r="L377" s="863"/>
      <c r="M377" s="864"/>
      <c r="N377" s="1146"/>
      <c r="O377" s="856"/>
      <c r="P377" s="856"/>
      <c r="Q377" s="856"/>
      <c r="R377" s="856"/>
      <c r="S377" s="856"/>
      <c r="T377" s="856"/>
      <c r="U377" s="856"/>
      <c r="V377" s="856"/>
      <c r="W377" s="856"/>
      <c r="X377" s="856"/>
      <c r="Y377" s="856"/>
      <c r="Z377" s="856"/>
      <c r="AA377" s="856"/>
      <c r="AB377" s="856"/>
      <c r="AC377" s="856"/>
      <c r="AD377" s="856"/>
      <c r="AE377" s="856"/>
      <c r="AF377" s="856"/>
      <c r="AG377" s="856"/>
      <c r="AH377" s="856"/>
      <c r="AI377" s="856"/>
      <c r="AJ377" s="856"/>
      <c r="AK377" s="856"/>
      <c r="AL377" s="856"/>
      <c r="AM377" s="856"/>
      <c r="AN377" s="856"/>
      <c r="AO377" s="856"/>
      <c r="AP377" s="856"/>
      <c r="AQ377" s="856"/>
      <c r="AR377" s="856"/>
      <c r="AS377" s="856">
        <f t="shared" si="178"/>
        <v>0</v>
      </c>
      <c r="AT377" s="2243" t="str">
        <f t="shared" si="179"/>
        <v/>
      </c>
      <c r="AU377" s="1036"/>
      <c r="AV377" s="834"/>
      <c r="AW377" s="823"/>
      <c r="AX377" s="835"/>
      <c r="AY377" s="900"/>
      <c r="AZ377" s="2136"/>
      <c r="BA377" s="2136"/>
      <c r="BB377" s="2146"/>
    </row>
    <row r="378" spans="1:54" ht="13.9" hidden="1" customHeight="1" outlineLevel="1" x14ac:dyDescent="0.2">
      <c r="A378" s="808" t="s">
        <v>847</v>
      </c>
      <c r="B378" s="799"/>
      <c r="C378" s="799"/>
      <c r="D378" s="799"/>
      <c r="E378" s="799"/>
      <c r="F378" s="801"/>
      <c r="G378" s="801"/>
      <c r="H378" s="801"/>
      <c r="I378" s="801"/>
      <c r="J378" s="884"/>
      <c r="K378" s="859"/>
      <c r="L378" s="865"/>
      <c r="M378" s="865"/>
      <c r="N378" s="1141"/>
      <c r="O378" s="859"/>
      <c r="P378" s="859"/>
      <c r="Q378" s="859"/>
      <c r="R378" s="859"/>
      <c r="S378" s="859"/>
      <c r="T378" s="859"/>
      <c r="U378" s="859"/>
      <c r="V378" s="859"/>
      <c r="W378" s="859"/>
      <c r="X378" s="859"/>
      <c r="Y378" s="859"/>
      <c r="Z378" s="859"/>
      <c r="AA378" s="859"/>
      <c r="AB378" s="859"/>
      <c r="AC378" s="859"/>
      <c r="AD378" s="859"/>
      <c r="AE378" s="859"/>
      <c r="AF378" s="859"/>
      <c r="AG378" s="859"/>
      <c r="AH378" s="859"/>
      <c r="AI378" s="859"/>
      <c r="AJ378" s="859"/>
      <c r="AK378" s="859"/>
      <c r="AL378" s="859"/>
      <c r="AM378" s="859"/>
      <c r="AN378" s="859"/>
      <c r="AO378" s="859"/>
      <c r="AP378" s="859"/>
      <c r="AQ378" s="859"/>
      <c r="AR378" s="859"/>
      <c r="AS378" s="859">
        <f t="shared" si="178"/>
        <v>0</v>
      </c>
      <c r="AT378" s="2239" t="str">
        <f t="shared" si="179"/>
        <v/>
      </c>
      <c r="AU378" s="890"/>
      <c r="AV378" s="819"/>
      <c r="AW378" s="797"/>
      <c r="AX378" s="805"/>
      <c r="AY378" s="807"/>
      <c r="AZ378" s="2136"/>
      <c r="BA378" s="2136"/>
    </row>
    <row r="379" spans="1:54" ht="13.9" hidden="1" customHeight="1" outlineLevel="1" x14ac:dyDescent="0.2">
      <c r="A379" s="808" t="s">
        <v>688</v>
      </c>
      <c r="B379" s="799">
        <v>10000</v>
      </c>
      <c r="C379" s="799">
        <v>0</v>
      </c>
      <c r="D379" s="799">
        <v>10000</v>
      </c>
      <c r="E379" s="799">
        <v>0</v>
      </c>
      <c r="F379" s="801">
        <v>10000</v>
      </c>
      <c r="G379" s="801">
        <v>4374.5200000000004</v>
      </c>
      <c r="H379" s="801">
        <v>10000</v>
      </c>
      <c r="I379" s="801">
        <v>0</v>
      </c>
      <c r="J379" s="884">
        <v>5000</v>
      </c>
      <c r="K379" s="861" t="s">
        <v>462</v>
      </c>
      <c r="L379" s="901">
        <v>0</v>
      </c>
      <c r="M379" s="1147">
        <v>25000</v>
      </c>
      <c r="N379" s="1141">
        <v>25000</v>
      </c>
      <c r="O379" s="859">
        <v>25000</v>
      </c>
      <c r="P379" s="859">
        <v>25000</v>
      </c>
      <c r="Q379" s="859">
        <v>25000</v>
      </c>
      <c r="R379" s="859"/>
      <c r="S379" s="859"/>
      <c r="T379" s="859"/>
      <c r="U379" s="859"/>
      <c r="V379" s="859"/>
      <c r="W379" s="859"/>
      <c r="X379" s="859"/>
      <c r="Y379" s="859"/>
      <c r="Z379" s="859">
        <v>9846</v>
      </c>
      <c r="AA379" s="843">
        <f>Z379</f>
        <v>9846</v>
      </c>
      <c r="AB379" s="859">
        <v>18047</v>
      </c>
      <c r="AC379" s="843">
        <f>AB379</f>
        <v>18047</v>
      </c>
      <c r="AD379" s="843"/>
      <c r="AE379" s="843">
        <v>0</v>
      </c>
      <c r="AF379" s="843"/>
      <c r="AG379" s="843">
        <v>447000</v>
      </c>
      <c r="AH379" s="1518">
        <v>447000</v>
      </c>
      <c r="AI379" s="1518">
        <v>53613</v>
      </c>
      <c r="AJ379" s="1518">
        <v>53613</v>
      </c>
      <c r="AK379" s="1518">
        <v>10000</v>
      </c>
      <c r="AL379" s="1652">
        <v>10000</v>
      </c>
      <c r="AM379" s="1652">
        <f>SUM('LONG-TERM DEBT'!AF154:AF155)</f>
        <v>0</v>
      </c>
      <c r="AN379" s="1652"/>
      <c r="AO379" s="1652">
        <f>SUM('LONG-TERM DEBT'!AH154:AH155)</f>
        <v>0</v>
      </c>
      <c r="AP379" s="1652"/>
      <c r="AQ379" s="1652">
        <f>SUM('LONG-TERM DEBT'!AG154:AG155)</f>
        <v>0</v>
      </c>
      <c r="AR379" s="1652"/>
      <c r="AS379" s="1652">
        <f t="shared" si="178"/>
        <v>0</v>
      </c>
      <c r="AT379" s="2267" t="str">
        <f t="shared" si="179"/>
        <v/>
      </c>
      <c r="AU379" s="890"/>
      <c r="AV379" s="819"/>
      <c r="AW379" s="797">
        <f>SUM(AU379-H379)</f>
        <v>-10000</v>
      </c>
      <c r="AX379" s="805">
        <f>IF(H379&gt;0,AW379/H379,"")</f>
        <v>-1</v>
      </c>
      <c r="AY379" s="1528"/>
      <c r="AZ379" s="2136"/>
      <c r="BA379" s="2136"/>
      <c r="BB379" s="2129"/>
    </row>
    <row r="380" spans="1:54" ht="13.9" hidden="1" customHeight="1" outlineLevel="1" x14ac:dyDescent="0.2">
      <c r="A380" s="878" t="s">
        <v>728</v>
      </c>
      <c r="B380" s="810">
        <f t="shared" ref="B380:J380" si="208">SUM(B379)</f>
        <v>10000</v>
      </c>
      <c r="C380" s="810">
        <f t="shared" si="208"/>
        <v>0</v>
      </c>
      <c r="D380" s="810">
        <f t="shared" si="208"/>
        <v>10000</v>
      </c>
      <c r="E380" s="810">
        <f t="shared" si="208"/>
        <v>0</v>
      </c>
      <c r="F380" s="811">
        <f>SUM(F379)</f>
        <v>10000</v>
      </c>
      <c r="G380" s="811">
        <f>SUM(G379)</f>
        <v>4374.5200000000004</v>
      </c>
      <c r="H380" s="811">
        <f>SUM(H379)</f>
        <v>10000</v>
      </c>
      <c r="I380" s="811">
        <f>SUM(I379)</f>
        <v>0</v>
      </c>
      <c r="J380" s="813">
        <f t="shared" si="208"/>
        <v>5000</v>
      </c>
      <c r="K380" s="1048">
        <v>38789</v>
      </c>
      <c r="L380" s="939">
        <f>L379</f>
        <v>0</v>
      </c>
      <c r="M380" s="1148">
        <f>SUM(M379)</f>
        <v>25000</v>
      </c>
      <c r="N380" s="1149">
        <f>SUM(N379)</f>
        <v>25000</v>
      </c>
      <c r="O380" s="814">
        <f>SUM(O379)</f>
        <v>25000</v>
      </c>
      <c r="P380" s="814">
        <f>SUM(P379)</f>
        <v>25000</v>
      </c>
      <c r="Q380" s="852">
        <f>IF(SUM(Q379)=0,P380,Q379)</f>
        <v>25000</v>
      </c>
      <c r="R380" s="814">
        <f>SUM(R379)</f>
        <v>0</v>
      </c>
      <c r="S380" s="852">
        <f>IF(SUM(S379)=0,R380,S379)</f>
        <v>0</v>
      </c>
      <c r="T380" s="814">
        <v>0</v>
      </c>
      <c r="U380" s="814">
        <v>0</v>
      </c>
      <c r="V380" s="814">
        <f>SUM(V379)</f>
        <v>0</v>
      </c>
      <c r="W380" s="852">
        <f>IF(SUM(W379)=0,V380,W379)</f>
        <v>0</v>
      </c>
      <c r="X380" s="814">
        <f>SUM(X379)</f>
        <v>0</v>
      </c>
      <c r="Y380" s="852">
        <f>IF(SUM(Y379)=0,X380,Y379)</f>
        <v>0</v>
      </c>
      <c r="Z380" s="814">
        <f>SUM(Z379)</f>
        <v>9846</v>
      </c>
      <c r="AA380" s="852">
        <f>IF(SUM(AA379)=0,Z380,AA379)</f>
        <v>9846</v>
      </c>
      <c r="AB380" s="814">
        <f>SUM(AB379)</f>
        <v>18047</v>
      </c>
      <c r="AC380" s="852">
        <f>IF(SUM(AC379)=0,AB380,AC379)</f>
        <v>18047</v>
      </c>
      <c r="AD380" s="852"/>
      <c r="AE380" s="852">
        <v>18047</v>
      </c>
      <c r="AF380" s="852">
        <v>18047</v>
      </c>
      <c r="AG380" s="852">
        <v>447000</v>
      </c>
      <c r="AH380" s="852">
        <v>447000</v>
      </c>
      <c r="AI380" s="814">
        <v>53613</v>
      </c>
      <c r="AJ380" s="814">
        <v>53613</v>
      </c>
      <c r="AK380" s="814">
        <v>10000</v>
      </c>
      <c r="AL380" s="1653">
        <v>10000</v>
      </c>
      <c r="AM380" s="1653">
        <f>AM379</f>
        <v>0</v>
      </c>
      <c r="AN380" s="1653"/>
      <c r="AO380" s="1653">
        <f>AO379</f>
        <v>0</v>
      </c>
      <c r="AP380" s="1653"/>
      <c r="AQ380" s="1653">
        <f>AQ379</f>
        <v>0</v>
      </c>
      <c r="AR380" s="1653"/>
      <c r="AS380" s="1653">
        <f t="shared" si="178"/>
        <v>0</v>
      </c>
      <c r="AT380" s="2266" t="str">
        <f t="shared" si="179"/>
        <v/>
      </c>
      <c r="AU380" s="854">
        <f>SUM(AU379)</f>
        <v>0</v>
      </c>
      <c r="AV380" s="819"/>
      <c r="AW380" s="797">
        <f>SUM(AU380-H380)</f>
        <v>-10000</v>
      </c>
      <c r="AX380" s="805">
        <f>IF(H380&gt;0,AW380/H380,"")</f>
        <v>-1</v>
      </c>
      <c r="AY380" s="807"/>
      <c r="AZ380" s="2136"/>
      <c r="BA380" s="2136"/>
    </row>
    <row r="381" spans="1:54" ht="13.9" hidden="1" customHeight="1" outlineLevel="1" x14ac:dyDescent="0.2">
      <c r="A381" s="855"/>
      <c r="B381" s="827"/>
      <c r="C381" s="827"/>
      <c r="D381" s="827"/>
      <c r="E381" s="827"/>
      <c r="F381" s="832"/>
      <c r="G381" s="832"/>
      <c r="H381" s="832"/>
      <c r="I381" s="832"/>
      <c r="J381" s="883"/>
      <c r="K381" s="857"/>
      <c r="L381" s="864"/>
      <c r="M381" s="864"/>
      <c r="N381" s="1140"/>
      <c r="O381" s="857"/>
      <c r="P381" s="857"/>
      <c r="Q381" s="857"/>
      <c r="R381" s="857"/>
      <c r="S381" s="857"/>
      <c r="T381" s="857"/>
      <c r="U381" s="857"/>
      <c r="V381" s="857"/>
      <c r="W381" s="857"/>
      <c r="X381" s="857"/>
      <c r="Y381" s="857"/>
      <c r="Z381" s="857"/>
      <c r="AA381" s="857"/>
      <c r="AB381" s="857"/>
      <c r="AC381" s="857"/>
      <c r="AD381" s="857"/>
      <c r="AE381" s="857"/>
      <c r="AF381" s="857"/>
      <c r="AG381" s="857"/>
      <c r="AH381" s="857"/>
      <c r="AI381" s="857"/>
      <c r="AJ381" s="857"/>
      <c r="AK381" s="857"/>
      <c r="AL381" s="1654"/>
      <c r="AM381" s="1654"/>
      <c r="AN381" s="1654"/>
      <c r="AO381" s="1654"/>
      <c r="AP381" s="1654"/>
      <c r="AQ381" s="1654"/>
      <c r="AR381" s="1654"/>
      <c r="AS381" s="1654">
        <f t="shared" si="178"/>
        <v>0</v>
      </c>
      <c r="AT381" s="2268" t="str">
        <f t="shared" si="179"/>
        <v/>
      </c>
      <c r="AU381" s="1120"/>
      <c r="AV381" s="834"/>
      <c r="AW381" s="823"/>
      <c r="AX381" s="835"/>
      <c r="AY381" s="836"/>
      <c r="AZ381" s="2136"/>
      <c r="BA381" s="2136"/>
    </row>
    <row r="382" spans="1:54" ht="13.9" hidden="1" customHeight="1" outlineLevel="1" x14ac:dyDescent="0.2">
      <c r="A382" s="808" t="s">
        <v>689</v>
      </c>
      <c r="B382" s="799">
        <v>5600</v>
      </c>
      <c r="C382" s="799">
        <v>1500</v>
      </c>
      <c r="D382" s="799">
        <v>5600</v>
      </c>
      <c r="E382" s="799">
        <v>1500</v>
      </c>
      <c r="F382" s="801">
        <v>5600</v>
      </c>
      <c r="G382" s="801">
        <v>3050</v>
      </c>
      <c r="H382" s="801">
        <v>5600</v>
      </c>
      <c r="I382" s="801">
        <v>1500</v>
      </c>
      <c r="J382" s="884">
        <v>2500</v>
      </c>
      <c r="K382" s="861" t="s">
        <v>201</v>
      </c>
      <c r="L382" s="942">
        <v>1500</v>
      </c>
      <c r="M382" s="942">
        <v>2500</v>
      </c>
      <c r="N382" s="1141">
        <v>2500</v>
      </c>
      <c r="O382" s="859">
        <v>2500</v>
      </c>
      <c r="P382" s="859">
        <v>30000</v>
      </c>
      <c r="Q382" s="859">
        <v>30000</v>
      </c>
      <c r="R382" s="859">
        <v>2500</v>
      </c>
      <c r="S382" s="859"/>
      <c r="T382" s="859">
        <v>2500</v>
      </c>
      <c r="U382" s="859">
        <v>2500</v>
      </c>
      <c r="V382" s="859">
        <v>2500</v>
      </c>
      <c r="W382" s="817">
        <f>V382</f>
        <v>2500</v>
      </c>
      <c r="X382" s="859">
        <v>2500</v>
      </c>
      <c r="Y382" s="817">
        <f>X382</f>
        <v>2500</v>
      </c>
      <c r="Z382" s="859">
        <v>2500</v>
      </c>
      <c r="AA382" s="817">
        <f>Z382</f>
        <v>2500</v>
      </c>
      <c r="AB382" s="859">
        <v>2500</v>
      </c>
      <c r="AC382" s="817">
        <f>AB382</f>
        <v>2500</v>
      </c>
      <c r="AD382" s="817"/>
      <c r="AE382" s="859">
        <v>2500</v>
      </c>
      <c r="AF382" s="817"/>
      <c r="AG382" s="817">
        <v>2500</v>
      </c>
      <c r="AH382" s="817">
        <v>2500</v>
      </c>
      <c r="AI382" s="859">
        <v>2500</v>
      </c>
      <c r="AJ382" s="859">
        <v>2500</v>
      </c>
      <c r="AK382" s="859">
        <v>2500</v>
      </c>
      <c r="AL382" s="1655">
        <v>2500</v>
      </c>
      <c r="AM382" s="1655">
        <v>2500</v>
      </c>
      <c r="AN382" s="1655">
        <v>2500</v>
      </c>
      <c r="AO382" s="1655">
        <v>2500</v>
      </c>
      <c r="AP382" s="1655">
        <v>2500</v>
      </c>
      <c r="AQ382" s="1655">
        <v>2500</v>
      </c>
      <c r="AR382" s="1655">
        <f>'[1]BUDGET DETAIL'!$CO$853</f>
        <v>1850</v>
      </c>
      <c r="AS382" s="1655">
        <f t="shared" si="178"/>
        <v>-650</v>
      </c>
      <c r="AT382" s="2267">
        <f t="shared" si="179"/>
        <v>-0.26</v>
      </c>
      <c r="AU382" s="890"/>
      <c r="AV382" s="819"/>
      <c r="AW382" s="797">
        <f>SUM(AU382-H382)</f>
        <v>-5600</v>
      </c>
      <c r="AX382" s="805">
        <f>IF(H382&gt;0,AW382/H382,"")</f>
        <v>-1</v>
      </c>
      <c r="AY382" s="807"/>
      <c r="AZ382" s="2136"/>
      <c r="BA382" s="2136"/>
    </row>
    <row r="383" spans="1:54" ht="13.9" hidden="1" customHeight="1" outlineLevel="1" x14ac:dyDescent="0.2">
      <c r="A383" s="795" t="s">
        <v>101</v>
      </c>
      <c r="B383" s="799"/>
      <c r="C383" s="799"/>
      <c r="D383" s="799"/>
      <c r="E383" s="799"/>
      <c r="F383" s="801"/>
      <c r="G383" s="801"/>
      <c r="H383" s="801"/>
      <c r="I383" s="801"/>
      <c r="J383" s="1060"/>
      <c r="K383" s="861"/>
      <c r="L383" s="942"/>
      <c r="M383" s="942">
        <v>5000</v>
      </c>
      <c r="N383" s="1141">
        <v>5000</v>
      </c>
      <c r="O383" s="859">
        <v>5000</v>
      </c>
      <c r="P383" s="859">
        <v>5000</v>
      </c>
      <c r="Q383" s="859">
        <v>5000</v>
      </c>
      <c r="R383" s="859"/>
      <c r="S383" s="859"/>
      <c r="T383" s="859"/>
      <c r="U383" s="859"/>
      <c r="V383" s="859"/>
      <c r="W383" s="859"/>
      <c r="X383" s="859"/>
      <c r="Y383" s="859"/>
      <c r="Z383" s="859"/>
      <c r="AA383" s="859"/>
      <c r="AB383" s="859"/>
      <c r="AC383" s="859"/>
      <c r="AD383" s="859"/>
      <c r="AE383" s="859"/>
      <c r="AF383" s="859"/>
      <c r="AG383" s="859"/>
      <c r="AH383" s="859"/>
      <c r="AI383" s="859"/>
      <c r="AJ383" s="859"/>
      <c r="AK383" s="859"/>
      <c r="AL383" s="1655"/>
      <c r="AM383" s="1655"/>
      <c r="AN383" s="1655"/>
      <c r="AO383" s="1655"/>
      <c r="AP383" s="1655"/>
      <c r="AQ383" s="1655"/>
      <c r="AR383" s="1655"/>
      <c r="AS383" s="1655">
        <f t="shared" si="178"/>
        <v>0</v>
      </c>
      <c r="AT383" s="2267" t="str">
        <f t="shared" si="179"/>
        <v/>
      </c>
      <c r="AU383" s="890"/>
      <c r="AV383" s="819"/>
      <c r="AW383" s="797"/>
      <c r="AX383" s="805"/>
      <c r="AY383" s="807"/>
      <c r="AZ383" s="2136"/>
      <c r="BA383" s="2136"/>
    </row>
    <row r="384" spans="1:54" ht="13.9" hidden="1" customHeight="1" outlineLevel="1" x14ac:dyDescent="0.2">
      <c r="A384" s="878" t="s">
        <v>553</v>
      </c>
      <c r="B384" s="810">
        <f t="shared" ref="B384:J384" si="209">SUM(B382)</f>
        <v>5600</v>
      </c>
      <c r="C384" s="810">
        <f t="shared" si="209"/>
        <v>1500</v>
      </c>
      <c r="D384" s="810">
        <f t="shared" si="209"/>
        <v>5600</v>
      </c>
      <c r="E384" s="810">
        <f t="shared" si="209"/>
        <v>1500</v>
      </c>
      <c r="F384" s="811">
        <f t="shared" si="209"/>
        <v>5600</v>
      </c>
      <c r="G384" s="811">
        <f t="shared" si="209"/>
        <v>3050</v>
      </c>
      <c r="H384" s="811">
        <f t="shared" si="209"/>
        <v>5600</v>
      </c>
      <c r="I384" s="811">
        <f t="shared" si="209"/>
        <v>1500</v>
      </c>
      <c r="J384" s="1047">
        <f t="shared" si="209"/>
        <v>2500</v>
      </c>
      <c r="K384" s="852"/>
      <c r="L384" s="815">
        <f>L382</f>
        <v>1500</v>
      </c>
      <c r="M384" s="815">
        <f>SUM(M382:M383)</f>
        <v>7500</v>
      </c>
      <c r="N384" s="1149">
        <f>SUM(N382:N383)</f>
        <v>7500</v>
      </c>
      <c r="O384" s="814">
        <f>SUM(O382:O383)</f>
        <v>7500</v>
      </c>
      <c r="P384" s="814">
        <f>SUM(P382:P383)</f>
        <v>35000</v>
      </c>
      <c r="Q384" s="852">
        <f>IF(SUM(Q382:Q383)=0,P384,SUM(Q382:Q383))</f>
        <v>35000</v>
      </c>
      <c r="R384" s="814">
        <f>SUM(R382:R383)</f>
        <v>2500</v>
      </c>
      <c r="S384" s="852">
        <f>IF(SUM(S382:S383)=0,R384,SUM(S382:S383))</f>
        <v>2500</v>
      </c>
      <c r="T384" s="814">
        <v>2500</v>
      </c>
      <c r="U384" s="814">
        <v>2500</v>
      </c>
      <c r="V384" s="814">
        <f>SUM(V382:V383)</f>
        <v>2500</v>
      </c>
      <c r="W384" s="852">
        <f>IF(SUM(W382:W383)=0,V384,SUM(W382:W383))</f>
        <v>2500</v>
      </c>
      <c r="X384" s="814">
        <f>SUM(X382:X383)</f>
        <v>2500</v>
      </c>
      <c r="Y384" s="852">
        <f>IF(SUM(Y382:Y383)=0,X384,SUM(Y382:Y383))</f>
        <v>2500</v>
      </c>
      <c r="Z384" s="814">
        <f>SUM(Z382:Z383)</f>
        <v>2500</v>
      </c>
      <c r="AA384" s="852">
        <f>IF(SUM(AA382:AA383)=0,Z384,SUM(AA382:AA383))</f>
        <v>2500</v>
      </c>
      <c r="AB384" s="814">
        <f>SUM(AB382:AB383)</f>
        <v>2500</v>
      </c>
      <c r="AC384" s="852">
        <f>IF(SUM(AC382:AC383)=0,AB384,SUM(AC382:AC383))</f>
        <v>2500</v>
      </c>
      <c r="AD384" s="852"/>
      <c r="AE384" s="852">
        <v>2500</v>
      </c>
      <c r="AF384" s="852">
        <v>2500</v>
      </c>
      <c r="AG384" s="852">
        <v>2500</v>
      </c>
      <c r="AH384" s="852">
        <v>2500</v>
      </c>
      <c r="AI384" s="814">
        <v>2500</v>
      </c>
      <c r="AJ384" s="814">
        <v>2500</v>
      </c>
      <c r="AK384" s="814">
        <v>2500</v>
      </c>
      <c r="AL384" s="1653">
        <v>2500</v>
      </c>
      <c r="AM384" s="1653">
        <f t="shared" ref="AM384:AR384" si="210">AM382</f>
        <v>2500</v>
      </c>
      <c r="AN384" s="1653">
        <f t="shared" si="210"/>
        <v>2500</v>
      </c>
      <c r="AO384" s="1653">
        <f t="shared" si="210"/>
        <v>2500</v>
      </c>
      <c r="AP384" s="1653">
        <f t="shared" si="210"/>
        <v>2500</v>
      </c>
      <c r="AQ384" s="1653">
        <f t="shared" si="210"/>
        <v>2500</v>
      </c>
      <c r="AR384" s="1653">
        <f t="shared" si="210"/>
        <v>1850</v>
      </c>
      <c r="AS384" s="1653">
        <f t="shared" si="178"/>
        <v>-650</v>
      </c>
      <c r="AT384" s="2266">
        <f t="shared" si="179"/>
        <v>-0.26</v>
      </c>
      <c r="AU384" s="854">
        <f>SUM(AU382)</f>
        <v>0</v>
      </c>
      <c r="AV384" s="819"/>
      <c r="AW384" s="797">
        <f>SUM(AU384-H384)</f>
        <v>-5600</v>
      </c>
      <c r="AX384" s="805">
        <f>IF(H384&gt;0,AW384/H384,"")</f>
        <v>-1</v>
      </c>
      <c r="AY384" s="807"/>
      <c r="AZ384" s="2136"/>
      <c r="BA384" s="2136"/>
    </row>
    <row r="385" spans="1:54" ht="13.9" hidden="1" customHeight="1" outlineLevel="1" x14ac:dyDescent="0.2">
      <c r="A385" s="808"/>
      <c r="B385" s="799"/>
      <c r="C385" s="799"/>
      <c r="D385" s="799"/>
      <c r="E385" s="799"/>
      <c r="F385" s="801"/>
      <c r="G385" s="801"/>
      <c r="H385" s="801"/>
      <c r="I385" s="801"/>
      <c r="J385" s="884"/>
      <c r="K385" s="970"/>
      <c r="L385" s="901"/>
      <c r="M385" s="901"/>
      <c r="N385" s="1150"/>
      <c r="O385" s="861"/>
      <c r="P385" s="861"/>
      <c r="Q385" s="861"/>
      <c r="R385" s="861"/>
      <c r="S385" s="861"/>
      <c r="T385" s="861"/>
      <c r="U385" s="861"/>
      <c r="V385" s="861"/>
      <c r="W385" s="861"/>
      <c r="X385" s="861"/>
      <c r="Y385" s="861"/>
      <c r="Z385" s="861"/>
      <c r="AA385" s="861"/>
      <c r="AB385" s="861"/>
      <c r="AC385" s="861"/>
      <c r="AD385" s="861"/>
      <c r="AE385" s="861"/>
      <c r="AF385" s="861"/>
      <c r="AG385" s="861"/>
      <c r="AH385" s="861"/>
      <c r="AI385" s="861"/>
      <c r="AJ385" s="861"/>
      <c r="AK385" s="861"/>
      <c r="AL385" s="861"/>
      <c r="AM385" s="861"/>
      <c r="AN385" s="861"/>
      <c r="AO385" s="861"/>
      <c r="AP385" s="861"/>
      <c r="AQ385" s="861"/>
      <c r="AR385" s="861"/>
      <c r="AS385" s="861">
        <f t="shared" si="178"/>
        <v>0</v>
      </c>
      <c r="AT385" s="2248" t="str">
        <f t="shared" si="179"/>
        <v/>
      </c>
      <c r="AU385" s="890"/>
      <c r="AV385" s="819"/>
      <c r="AW385" s="797"/>
      <c r="AX385" s="805"/>
      <c r="AY385" s="807"/>
      <c r="AZ385" s="2136"/>
      <c r="BA385" s="2136"/>
    </row>
    <row r="386" spans="1:54" ht="13.9" hidden="1" customHeight="1" outlineLevel="1" thickBot="1" x14ac:dyDescent="0.25">
      <c r="A386" s="946" t="s">
        <v>822</v>
      </c>
      <c r="B386" s="948">
        <f>SUM($B$376+$B$380+$B$363+$B$384)</f>
        <v>1187579</v>
      </c>
      <c r="C386" s="948">
        <f>SUM($C$376+$C$380+$C$363+$C$384)</f>
        <v>1173479</v>
      </c>
      <c r="D386" s="948">
        <f>SUM($D$376+$D$380+$D$363+$D$384)</f>
        <v>1065810</v>
      </c>
      <c r="E386" s="948">
        <f>SUM($E$376+$E$380+$E$363+$E$384)</f>
        <v>1051710</v>
      </c>
      <c r="F386" s="1151">
        <f>SUM($F$384,$F$380,$F$376,$F$363)</f>
        <v>1078047</v>
      </c>
      <c r="G386" s="1151">
        <f>SUM($G$384,$G$380,$G$376,$G$363)</f>
        <v>1069871.52</v>
      </c>
      <c r="H386" s="1151">
        <f>SUM($H$376+$H$380+$H$363+$H$384)</f>
        <v>1079268</v>
      </c>
      <c r="I386" s="1002">
        <f>SUM(I$363+$I$376+$I$380+$I$384)</f>
        <v>1065167</v>
      </c>
      <c r="J386" s="1002">
        <f>SUM(J$363+$I$376+$I$380+$I$384)</f>
        <v>1094667</v>
      </c>
      <c r="K386" s="1151">
        <f>SUM(K$363+$I$376+$I$380+$I$384)</f>
        <v>594456</v>
      </c>
      <c r="L386" s="1002">
        <f t="shared" ref="L386:S386" si="211">SUM(L$363+L$376+L$380+L$384)</f>
        <v>1074439.3799999999</v>
      </c>
      <c r="M386" s="1002">
        <f t="shared" si="211"/>
        <v>1112580</v>
      </c>
      <c r="N386" s="1152">
        <f t="shared" si="211"/>
        <v>1117578</v>
      </c>
      <c r="O386" s="1071">
        <f t="shared" si="211"/>
        <v>1117578</v>
      </c>
      <c r="P386" s="1071">
        <f t="shared" si="211"/>
        <v>1141042</v>
      </c>
      <c r="Q386" s="1071">
        <f t="shared" si="211"/>
        <v>1141042</v>
      </c>
      <c r="R386" s="1071">
        <f t="shared" si="211"/>
        <v>1187482.5</v>
      </c>
      <c r="S386" s="1071">
        <f t="shared" si="211"/>
        <v>1187482.5</v>
      </c>
      <c r="T386" s="1071">
        <v>670220.32000000007</v>
      </c>
      <c r="U386" s="1071">
        <v>670220.32000000007</v>
      </c>
      <c r="V386" s="1071">
        <f t="shared" ref="V386:AC386" si="212">SUM(V$363+V$376+V$380+V$384)</f>
        <v>669208.75</v>
      </c>
      <c r="W386" s="1071">
        <f t="shared" si="212"/>
        <v>669208.75</v>
      </c>
      <c r="X386" s="1071">
        <f t="shared" si="212"/>
        <v>689219.92</v>
      </c>
      <c r="Y386" s="1071">
        <f t="shared" si="212"/>
        <v>689219.92</v>
      </c>
      <c r="Z386" s="1071">
        <f t="shared" si="212"/>
        <v>644404.75</v>
      </c>
      <c r="AA386" s="1071">
        <f t="shared" si="212"/>
        <v>644404.75</v>
      </c>
      <c r="AB386" s="1071">
        <f t="shared" si="212"/>
        <v>653485.75</v>
      </c>
      <c r="AC386" s="1071">
        <f t="shared" si="212"/>
        <v>653485.75</v>
      </c>
      <c r="AD386" s="1071"/>
      <c r="AE386" s="1071">
        <v>672874.5</v>
      </c>
      <c r="AF386" s="1071">
        <v>672874.5</v>
      </c>
      <c r="AG386" s="1071">
        <v>1139566.26</v>
      </c>
      <c r="AH386" s="1071">
        <v>1139566.26</v>
      </c>
      <c r="AI386" s="1071">
        <v>1289209.26</v>
      </c>
      <c r="AJ386" s="1071">
        <v>1349145.74</v>
      </c>
      <c r="AK386" s="1071">
        <v>1370827.76</v>
      </c>
      <c r="AL386" s="1071">
        <v>1370827.76</v>
      </c>
      <c r="AM386" s="1071">
        <f t="shared" ref="AM386:AQ386" si="213">SUM(AM$363+AM$376+AM$380+AM$384)</f>
        <v>1312062.76</v>
      </c>
      <c r="AN386" s="1071">
        <f t="shared" si="213"/>
        <v>1312064</v>
      </c>
      <c r="AO386" s="1071">
        <f t="shared" si="213"/>
        <v>1096862.76</v>
      </c>
      <c r="AP386" s="1071">
        <f t="shared" si="213"/>
        <v>1096862.76</v>
      </c>
      <c r="AQ386" s="1071">
        <f t="shared" si="213"/>
        <v>1098562.76</v>
      </c>
      <c r="AR386" s="1071">
        <f>AQ386</f>
        <v>1098562.76</v>
      </c>
      <c r="AS386" s="1071">
        <f t="shared" si="178"/>
        <v>1700</v>
      </c>
      <c r="AT386" s="2257">
        <f t="shared" si="179"/>
        <v>1.5498748448712033E-3</v>
      </c>
      <c r="AU386" s="1030">
        <f>SUM($AU$376+$AU$380+$AU$363+$AU$384)</f>
        <v>0</v>
      </c>
      <c r="AV386" s="955"/>
      <c r="AW386" s="956">
        <f>SUM(AU386-H386)</f>
        <v>-1079268</v>
      </c>
      <c r="AX386" s="957">
        <f>IF(H386&gt;0,AW386/H386,"")</f>
        <v>-1</v>
      </c>
      <c r="AY386" s="1729" t="s">
        <v>1079</v>
      </c>
      <c r="AZ386" s="2136"/>
      <c r="BA386" s="2136"/>
      <c r="BB386" s="2129"/>
    </row>
    <row r="387" spans="1:54" ht="13.9" hidden="1" customHeight="1" thickTop="1" x14ac:dyDescent="0.2">
      <c r="A387" s="795" t="s">
        <v>823</v>
      </c>
      <c r="B387" s="799"/>
      <c r="C387" s="799"/>
      <c r="D387" s="799"/>
      <c r="E387" s="801"/>
      <c r="F387" s="801"/>
      <c r="G387" s="801"/>
      <c r="H387" s="801"/>
      <c r="I387" s="799"/>
      <c r="J387" s="884"/>
      <c r="K387" s="859"/>
      <c r="L387" s="865"/>
      <c r="M387" s="865"/>
      <c r="N387" s="865"/>
      <c r="O387" s="859"/>
      <c r="P387" s="859"/>
      <c r="Q387" s="859"/>
      <c r="R387" s="859"/>
      <c r="S387" s="859"/>
      <c r="T387" s="859"/>
      <c r="U387" s="859"/>
      <c r="V387" s="859"/>
      <c r="W387" s="859"/>
      <c r="X387" s="859"/>
      <c r="Y387" s="859"/>
      <c r="Z387" s="859"/>
      <c r="AA387" s="859"/>
      <c r="AB387" s="859"/>
      <c r="AC387" s="859"/>
      <c r="AD387" s="859"/>
      <c r="AE387" s="859"/>
      <c r="AF387" s="859"/>
      <c r="AG387" s="859"/>
      <c r="AH387" s="859"/>
      <c r="AI387" s="859"/>
      <c r="AJ387" s="859"/>
      <c r="AK387" s="859"/>
      <c r="AL387" s="859"/>
      <c r="AM387" s="859"/>
      <c r="AN387" s="859"/>
      <c r="AO387" s="859"/>
      <c r="AP387" s="859"/>
      <c r="AQ387" s="859"/>
      <c r="AR387" s="859"/>
      <c r="AS387" s="859">
        <f t="shared" si="178"/>
        <v>0</v>
      </c>
      <c r="AT387" s="2239" t="str">
        <f t="shared" si="179"/>
        <v/>
      </c>
      <c r="AU387" s="890"/>
      <c r="AV387" s="819"/>
      <c r="AW387" s="797"/>
      <c r="AX387" s="805"/>
      <c r="AY387" s="807"/>
      <c r="AZ387" s="2136"/>
      <c r="BA387" s="2136"/>
    </row>
    <row r="388" spans="1:54" ht="13.9" hidden="1" customHeight="1" outlineLevel="1" x14ac:dyDescent="0.2">
      <c r="A388" s="808" t="s">
        <v>433</v>
      </c>
      <c r="B388" s="799"/>
      <c r="C388" s="799"/>
      <c r="D388" s="799"/>
      <c r="E388" s="801"/>
      <c r="F388" s="801"/>
      <c r="G388" s="801"/>
      <c r="H388" s="801"/>
      <c r="I388" s="799"/>
      <c r="J388" s="884"/>
      <c r="K388" s="817"/>
      <c r="L388" s="893"/>
      <c r="M388" s="893"/>
      <c r="N388" s="893"/>
      <c r="O388" s="817"/>
      <c r="P388" s="817"/>
      <c r="Q388" s="817"/>
      <c r="R388" s="817"/>
      <c r="S388" s="817"/>
      <c r="T388" s="817"/>
      <c r="U388" s="817"/>
      <c r="V388" s="817"/>
      <c r="W388" s="817"/>
      <c r="X388" s="817"/>
      <c r="Y388" s="817"/>
      <c r="Z388" s="817"/>
      <c r="AA388" s="817"/>
      <c r="AB388" s="817"/>
      <c r="AC388" s="817"/>
      <c r="AD388" s="817"/>
      <c r="AE388" s="817"/>
      <c r="AF388" s="817"/>
      <c r="AG388" s="817"/>
      <c r="AH388" s="817"/>
      <c r="AI388" s="817"/>
      <c r="AJ388" s="817"/>
      <c r="AK388" s="817"/>
      <c r="AL388" s="817"/>
      <c r="AM388" s="817"/>
      <c r="AN388" s="817"/>
      <c r="AO388" s="817"/>
      <c r="AP388" s="817"/>
      <c r="AQ388" s="817"/>
      <c r="AR388" s="817"/>
      <c r="AS388" s="817">
        <f t="shared" si="178"/>
        <v>0</v>
      </c>
      <c r="AT388" s="2240" t="str">
        <f t="shared" si="179"/>
        <v/>
      </c>
      <c r="AU388" s="890"/>
      <c r="AV388" s="819"/>
      <c r="AW388" s="797"/>
      <c r="AX388" s="805"/>
      <c r="AY388" s="807"/>
      <c r="AZ388" s="2136"/>
      <c r="BA388" s="2136"/>
    </row>
    <row r="389" spans="1:54" ht="13.9" hidden="1" customHeight="1" outlineLevel="1" x14ac:dyDescent="0.2">
      <c r="A389" s="808" t="s">
        <v>712</v>
      </c>
      <c r="B389" s="799">
        <v>3000</v>
      </c>
      <c r="C389" s="797">
        <v>2500</v>
      </c>
      <c r="D389" s="799">
        <v>3000</v>
      </c>
      <c r="E389" s="797">
        <v>0</v>
      </c>
      <c r="F389" s="801"/>
      <c r="G389" s="801"/>
      <c r="H389" s="801"/>
      <c r="I389" s="797">
        <v>0</v>
      </c>
      <c r="J389" s="839"/>
      <c r="K389" s="817"/>
      <c r="L389" s="893"/>
      <c r="M389" s="893"/>
      <c r="N389" s="893"/>
      <c r="O389" s="817"/>
      <c r="P389" s="817"/>
      <c r="Q389" s="817"/>
      <c r="R389" s="817"/>
      <c r="S389" s="817"/>
      <c r="T389" s="817"/>
      <c r="U389" s="817"/>
      <c r="V389" s="817"/>
      <c r="W389" s="817"/>
      <c r="X389" s="817"/>
      <c r="Y389" s="817"/>
      <c r="Z389" s="817"/>
      <c r="AA389" s="817"/>
      <c r="AB389" s="817"/>
      <c r="AC389" s="817"/>
      <c r="AD389" s="817"/>
      <c r="AE389" s="817"/>
      <c r="AF389" s="817"/>
      <c r="AG389" s="817"/>
      <c r="AH389" s="817"/>
      <c r="AI389" s="817"/>
      <c r="AJ389" s="817"/>
      <c r="AK389" s="817"/>
      <c r="AL389" s="817"/>
      <c r="AM389" s="817"/>
      <c r="AN389" s="817"/>
      <c r="AO389" s="817"/>
      <c r="AP389" s="817"/>
      <c r="AQ389" s="817"/>
      <c r="AR389" s="817"/>
      <c r="AS389" s="817">
        <f t="shared" si="178"/>
        <v>0</v>
      </c>
      <c r="AT389" s="2240" t="str">
        <f t="shared" si="179"/>
        <v/>
      </c>
      <c r="AU389" s="890"/>
      <c r="AV389" s="819"/>
      <c r="AW389" s="797">
        <f>SUM(AU389-H389)</f>
        <v>0</v>
      </c>
      <c r="AX389" s="805" t="str">
        <f>IF(H389&gt;0,AW389/H389,"")</f>
        <v/>
      </c>
      <c r="AY389" s="807"/>
      <c r="AZ389" s="2136"/>
      <c r="BA389" s="2136"/>
    </row>
    <row r="390" spans="1:54" ht="13.9" hidden="1" customHeight="1" outlineLevel="1" x14ac:dyDescent="0.2">
      <c r="A390" s="808" t="s">
        <v>743</v>
      </c>
      <c r="B390" s="799">
        <v>396341</v>
      </c>
      <c r="C390" s="797">
        <v>396341</v>
      </c>
      <c r="D390" s="799">
        <v>427475</v>
      </c>
      <c r="E390" s="797">
        <v>427475</v>
      </c>
      <c r="F390" s="801">
        <v>420927</v>
      </c>
      <c r="G390" s="801">
        <v>420927</v>
      </c>
      <c r="H390" s="801">
        <v>473082</v>
      </c>
      <c r="I390" s="797">
        <v>473082</v>
      </c>
      <c r="J390" s="839">
        <v>518521</v>
      </c>
      <c r="K390" s="861" t="s">
        <v>462</v>
      </c>
      <c r="L390" s="942">
        <v>618800</v>
      </c>
      <c r="M390" s="1153">
        <v>588220</v>
      </c>
      <c r="N390" s="1141">
        <v>643879</v>
      </c>
      <c r="O390" s="859">
        <v>643879</v>
      </c>
      <c r="P390" s="859">
        <v>667094</v>
      </c>
      <c r="Q390" s="865">
        <f>P390</f>
        <v>667094</v>
      </c>
      <c r="R390" s="861">
        <v>733580</v>
      </c>
      <c r="S390" s="859"/>
      <c r="T390" s="859">
        <v>756064</v>
      </c>
      <c r="U390" s="859">
        <v>756064</v>
      </c>
      <c r="V390" s="861">
        <v>796025</v>
      </c>
      <c r="W390" s="817">
        <f>V390</f>
        <v>796025</v>
      </c>
      <c r="X390" s="861">
        <v>884541</v>
      </c>
      <c r="Y390" s="861">
        <v>884541</v>
      </c>
      <c r="Z390" s="861">
        <v>964456</v>
      </c>
      <c r="AA390" s="861">
        <f>Z390</f>
        <v>964456</v>
      </c>
      <c r="AB390" s="861">
        <v>1057155</v>
      </c>
      <c r="AC390" s="859">
        <f>AB390</f>
        <v>1057155</v>
      </c>
      <c r="AD390" s="859"/>
      <c r="AE390" s="859">
        <v>1076261</v>
      </c>
      <c r="AF390" s="843"/>
      <c r="AG390" s="843">
        <v>1208241.3489142857</v>
      </c>
      <c r="AH390" s="843">
        <v>1140341</v>
      </c>
      <c r="AI390" s="859">
        <v>1280179.3877714283</v>
      </c>
      <c r="AJ390" s="859">
        <v>1224339</v>
      </c>
      <c r="AK390" s="859">
        <v>1374477.9425142857</v>
      </c>
      <c r="AL390" s="859">
        <v>1365197</v>
      </c>
      <c r="AM390" s="859">
        <v>1432033</v>
      </c>
      <c r="AN390" s="859">
        <v>1432033</v>
      </c>
      <c r="AO390" s="859">
        <v>1547145.9702818999</v>
      </c>
      <c r="AP390" s="859">
        <v>1547146</v>
      </c>
      <c r="AQ390" s="859">
        <f>AO390*$AH$6</f>
        <v>1717332.0270129091</v>
      </c>
      <c r="AR390" s="859">
        <f>'[1]BUDGET DETAIL'!$CO$923</f>
        <v>1723590</v>
      </c>
      <c r="AS390" s="859">
        <f t="shared" si="178"/>
        <v>176444</v>
      </c>
      <c r="AT390" s="2239">
        <f t="shared" si="179"/>
        <v>0.11404482834845581</v>
      </c>
      <c r="AU390" s="890"/>
      <c r="AV390" s="819"/>
      <c r="AW390" s="797">
        <f>SUM(AU390-H390)</f>
        <v>-473082</v>
      </c>
      <c r="AX390" s="805">
        <f>IF(H390&gt;0,AW390/H390,"")</f>
        <v>-1</v>
      </c>
      <c r="AY390" s="1634"/>
      <c r="AZ390" s="2136"/>
      <c r="BA390" s="2136"/>
      <c r="BB390" s="2144"/>
    </row>
    <row r="391" spans="1:54" ht="13.9" hidden="1" customHeight="1" outlineLevel="1" x14ac:dyDescent="0.2">
      <c r="A391" s="878" t="s">
        <v>744</v>
      </c>
      <c r="B391" s="810">
        <f>SUM(B389:B390)</f>
        <v>399341</v>
      </c>
      <c r="C391" s="810">
        <f>SUM(C389:C390)</f>
        <v>398841</v>
      </c>
      <c r="D391" s="810">
        <f>SUM(D388:D390)</f>
        <v>430475</v>
      </c>
      <c r="E391" s="810">
        <f>SUM(E389:E390)</f>
        <v>427475</v>
      </c>
      <c r="F391" s="811">
        <f>SUM(F390:F390)</f>
        <v>420927</v>
      </c>
      <c r="G391" s="811">
        <f>SUM(G390:G390)</f>
        <v>420927</v>
      </c>
      <c r="H391" s="811">
        <f>SUM(H390:H390)</f>
        <v>473082</v>
      </c>
      <c r="I391" s="811">
        <f>SUM(I390:I390)</f>
        <v>473082</v>
      </c>
      <c r="J391" s="907">
        <f>SUM(J390:J390)</f>
        <v>518521</v>
      </c>
      <c r="K391" s="1048">
        <v>38789</v>
      </c>
      <c r="L391" s="1155">
        <f>SUM(L389:L390)</f>
        <v>618800</v>
      </c>
      <c r="M391" s="1155">
        <f>SUM(M389:M390)</f>
        <v>588220</v>
      </c>
      <c r="N391" s="1156">
        <f>SUM(N389:N390)</f>
        <v>643879</v>
      </c>
      <c r="O391" s="852">
        <f>SUM(O389:O390)</f>
        <v>643879</v>
      </c>
      <c r="P391" s="852">
        <f>SUM(P389:P390)</f>
        <v>667094</v>
      </c>
      <c r="Q391" s="852">
        <f>IF(SUM(Q389:Q390)=0,P391,SUM(Q389:Q390))</f>
        <v>667094</v>
      </c>
      <c r="R391" s="852">
        <f>SUM(R389:R390)</f>
        <v>733580</v>
      </c>
      <c r="S391" s="852">
        <f>IF(SUM(S389:S390)=0,R391,SUM(S389:S390))</f>
        <v>733580</v>
      </c>
      <c r="T391" s="852">
        <v>756064</v>
      </c>
      <c r="U391" s="852">
        <v>756064</v>
      </c>
      <c r="V391" s="852">
        <f>SUM(V389:V390)</f>
        <v>796025</v>
      </c>
      <c r="W391" s="852">
        <f>IF(SUM(W389:W390)=0,V391,SUM(W389:W390))</f>
        <v>796025</v>
      </c>
      <c r="X391" s="852">
        <f>SUM(X389:X390)</f>
        <v>884541</v>
      </c>
      <c r="Y391" s="852">
        <f>IF(SUM(Y389:Y390)=0,X391,SUM(Y389:Y390))</f>
        <v>884541</v>
      </c>
      <c r="Z391" s="852">
        <f>SUM(Z389:Z390)</f>
        <v>964456</v>
      </c>
      <c r="AA391" s="852">
        <f>IF(SUM(AA389:AA390)=0,Z391,SUM(AA389:AA390))</f>
        <v>964456</v>
      </c>
      <c r="AB391" s="852">
        <f>SUM(AB389:AB390)</f>
        <v>1057155</v>
      </c>
      <c r="AC391" s="852">
        <f>IF(SUM(AC389:AC390)=0,AB391,SUM(AC389:AC390))</f>
        <v>1057155</v>
      </c>
      <c r="AD391" s="852"/>
      <c r="AE391" s="852">
        <v>1076261</v>
      </c>
      <c r="AF391" s="852">
        <v>1076261</v>
      </c>
      <c r="AG391" s="852">
        <v>1208241.3489142857</v>
      </c>
      <c r="AH391" s="852">
        <v>1140341</v>
      </c>
      <c r="AI391" s="814">
        <v>1280179.3877714283</v>
      </c>
      <c r="AJ391" s="814">
        <v>1224339</v>
      </c>
      <c r="AK391" s="814">
        <v>1374477.9425142857</v>
      </c>
      <c r="AL391" s="814">
        <v>1365197</v>
      </c>
      <c r="AM391" s="814">
        <f>IF(SUM(AM388:AM390)=0,#REF!,SUM(AM388:AM390))</f>
        <v>1432033</v>
      </c>
      <c r="AN391" s="814">
        <f>IF(SUM(AN388:AN390)=0,#REF!,SUM(AN388:AN390))</f>
        <v>1432033</v>
      </c>
      <c r="AO391" s="814">
        <f>IF(SUM(AO388:AO390)=0,#REF!,SUM(AO388:AO390))</f>
        <v>1547145.9702818999</v>
      </c>
      <c r="AP391" s="814">
        <f>IF(SUM(AP388:AP390)=0,#REF!,SUM(AP388:AP390))</f>
        <v>1547146</v>
      </c>
      <c r="AQ391" s="814">
        <f>IF(SUM(AQ388:AQ390)=0,#REF!,SUM(AQ388:AQ390))</f>
        <v>1717332.0270129091</v>
      </c>
      <c r="AR391" s="814">
        <f>IF(SUM(AR388:AR390)=0,#REF!,SUM(AR388:AR390))</f>
        <v>1723590</v>
      </c>
      <c r="AS391" s="814">
        <f t="shared" si="178"/>
        <v>176444</v>
      </c>
      <c r="AT391" s="2242">
        <f t="shared" si="179"/>
        <v>0.11404482834845581</v>
      </c>
      <c r="AU391" s="854">
        <f>SUM(AU390:AU390)</f>
        <v>0</v>
      </c>
      <c r="AV391" s="819"/>
      <c r="AW391" s="797">
        <f>SUM(AU391-H391)</f>
        <v>-473082</v>
      </c>
      <c r="AX391" s="805">
        <f>IF(H391&gt;0,AW391/H391,"")</f>
        <v>-1</v>
      </c>
      <c r="AY391" s="1154"/>
      <c r="AZ391" s="2136"/>
      <c r="BA391" s="2136"/>
      <c r="BB391" s="2156"/>
    </row>
    <row r="392" spans="1:54" ht="13.9" hidden="1" customHeight="1" outlineLevel="1" x14ac:dyDescent="0.2">
      <c r="A392" s="855" t="s">
        <v>102</v>
      </c>
      <c r="B392" s="827"/>
      <c r="C392" s="824"/>
      <c r="D392" s="827"/>
      <c r="E392" s="824"/>
      <c r="F392" s="832"/>
      <c r="G392" s="832"/>
      <c r="H392" s="832"/>
      <c r="I392" s="827"/>
      <c r="J392" s="1157"/>
      <c r="K392" s="857"/>
      <c r="L392" s="863"/>
      <c r="M392" s="864"/>
      <c r="N392" s="863"/>
      <c r="O392" s="856"/>
      <c r="P392" s="856"/>
      <c r="Q392" s="856"/>
      <c r="R392" s="856"/>
      <c r="S392" s="856"/>
      <c r="T392" s="856"/>
      <c r="U392" s="856"/>
      <c r="V392" s="856"/>
      <c r="W392" s="856"/>
      <c r="X392" s="856"/>
      <c r="Y392" s="856"/>
      <c r="Z392" s="856"/>
      <c r="AA392" s="856"/>
      <c r="AB392" s="856"/>
      <c r="AC392" s="856"/>
      <c r="AD392" s="856"/>
      <c r="AE392" s="856"/>
      <c r="AF392" s="856"/>
      <c r="AG392" s="856"/>
      <c r="AH392" s="856"/>
      <c r="AI392" s="856"/>
      <c r="AJ392" s="856"/>
      <c r="AK392" s="856"/>
      <c r="AL392" s="856"/>
      <c r="AM392" s="856"/>
      <c r="AN392" s="856"/>
      <c r="AO392" s="856"/>
      <c r="AP392" s="856"/>
      <c r="AQ392" s="856"/>
      <c r="AR392" s="856"/>
      <c r="AS392" s="856">
        <f t="shared" si="178"/>
        <v>0</v>
      </c>
      <c r="AT392" s="2243" t="str">
        <f t="shared" si="179"/>
        <v/>
      </c>
      <c r="AU392" s="1120"/>
      <c r="AV392" s="834"/>
      <c r="AW392" s="823"/>
      <c r="AX392" s="835"/>
      <c r="AY392" s="836"/>
      <c r="AZ392" s="2136"/>
      <c r="BA392" s="2136"/>
    </row>
    <row r="393" spans="1:54" ht="13.9" hidden="1" customHeight="1" outlineLevel="1" x14ac:dyDescent="0.2">
      <c r="A393" s="808" t="s">
        <v>745</v>
      </c>
      <c r="B393" s="799"/>
      <c r="C393" s="837"/>
      <c r="D393" s="799"/>
      <c r="E393" s="837"/>
      <c r="F393" s="801"/>
      <c r="G393" s="801"/>
      <c r="H393" s="801"/>
      <c r="I393" s="799"/>
      <c r="J393" s="799"/>
      <c r="K393" s="817"/>
      <c r="L393" s="893"/>
      <c r="M393" s="893"/>
      <c r="N393" s="893"/>
      <c r="O393" s="817"/>
      <c r="P393" s="817"/>
      <c r="Q393" s="817"/>
      <c r="R393" s="817"/>
      <c r="S393" s="817"/>
      <c r="T393" s="817"/>
      <c r="U393" s="817"/>
      <c r="V393" s="817"/>
      <c r="W393" s="817"/>
      <c r="X393" s="817"/>
      <c r="Y393" s="817"/>
      <c r="Z393" s="817"/>
      <c r="AA393" s="817"/>
      <c r="AB393" s="817"/>
      <c r="AC393" s="817"/>
      <c r="AD393" s="817"/>
      <c r="AE393" s="817"/>
      <c r="AF393" s="817"/>
      <c r="AG393" s="817"/>
      <c r="AH393" s="817"/>
      <c r="AI393" s="817"/>
      <c r="AJ393" s="817"/>
      <c r="AK393" s="817"/>
      <c r="AL393" s="817"/>
      <c r="AM393" s="817"/>
      <c r="AN393" s="817"/>
      <c r="AO393" s="817"/>
      <c r="AP393" s="817"/>
      <c r="AQ393" s="817"/>
      <c r="AR393" s="817"/>
      <c r="AS393" s="817">
        <f t="shared" ref="AS393:AS438" si="214">AR393-AP393</f>
        <v>0</v>
      </c>
      <c r="AT393" s="2240" t="str">
        <f t="shared" ref="AT393:AT437" si="215">IF(AP393&gt;0,AS393/AP393,"")</f>
        <v/>
      </c>
      <c r="AU393" s="890"/>
      <c r="AV393" s="819"/>
      <c r="AW393" s="797"/>
      <c r="AX393" s="805"/>
      <c r="AY393" s="807"/>
      <c r="AZ393" s="2136"/>
      <c r="BA393" s="2136"/>
    </row>
    <row r="394" spans="1:54" ht="13.9" hidden="1" customHeight="1" outlineLevel="1" x14ac:dyDescent="0.2">
      <c r="A394" s="808" t="s">
        <v>175</v>
      </c>
      <c r="B394" s="799">
        <v>154668</v>
      </c>
      <c r="C394" s="797">
        <v>154022</v>
      </c>
      <c r="D394" s="797">
        <v>170551</v>
      </c>
      <c r="E394" s="797">
        <v>156318.21</v>
      </c>
      <c r="F394" s="798">
        <v>183751</v>
      </c>
      <c r="G394" s="798">
        <v>181912</v>
      </c>
      <c r="H394" s="798">
        <v>198542</v>
      </c>
      <c r="I394" s="797">
        <f>31778.46+130383.04+1350</f>
        <v>163511.5</v>
      </c>
      <c r="J394" s="839">
        <v>227636</v>
      </c>
      <c r="K394" s="849">
        <v>38794</v>
      </c>
      <c r="L394" s="845">
        <v>259904.27</v>
      </c>
      <c r="M394" s="845">
        <v>292238</v>
      </c>
      <c r="N394" s="1131">
        <v>355390</v>
      </c>
      <c r="O394" s="817">
        <v>315027</v>
      </c>
      <c r="P394" s="817">
        <v>362253</v>
      </c>
      <c r="Q394" s="893">
        <f>P394</f>
        <v>362253</v>
      </c>
      <c r="R394" s="814">
        <v>352941</v>
      </c>
      <c r="S394" s="817"/>
      <c r="T394" s="817">
        <v>388235.10000000003</v>
      </c>
      <c r="U394" s="817">
        <v>388235.10000000003</v>
      </c>
      <c r="V394" s="814">
        <v>427058</v>
      </c>
      <c r="W394" s="817">
        <v>355439</v>
      </c>
      <c r="X394" s="861">
        <v>390813</v>
      </c>
      <c r="Y394" s="861">
        <v>355439</v>
      </c>
      <c r="Z394" s="861">
        <v>369469</v>
      </c>
      <c r="AA394" s="861">
        <f>Z394</f>
        <v>369469</v>
      </c>
      <c r="AB394" s="861">
        <v>399665</v>
      </c>
      <c r="AC394" s="859">
        <f>AB394</f>
        <v>399665</v>
      </c>
      <c r="AD394" s="859"/>
      <c r="AE394" s="859">
        <v>422277</v>
      </c>
      <c r="AF394" s="843"/>
      <c r="AG394" s="843">
        <v>451836.39</v>
      </c>
      <c r="AH394" s="843">
        <v>456503</v>
      </c>
      <c r="AI394" s="859">
        <v>488458.21</v>
      </c>
      <c r="AJ394" s="859">
        <v>461844</v>
      </c>
      <c r="AK394" s="859">
        <v>494173.08</v>
      </c>
      <c r="AL394" s="859">
        <v>465499</v>
      </c>
      <c r="AM394" s="859">
        <f>AL394*$AH$5</f>
        <v>505066.41499999998</v>
      </c>
      <c r="AN394" s="859">
        <v>473612</v>
      </c>
      <c r="AO394" s="859">
        <v>513869.01999999996</v>
      </c>
      <c r="AP394" s="859">
        <v>412500</v>
      </c>
      <c r="AQ394" s="859">
        <f>AP394*$AH$5</f>
        <v>447562.5</v>
      </c>
      <c r="AR394" s="859">
        <f>'[1]BUDGET DETAIL'!$CO$951</f>
        <v>397960</v>
      </c>
      <c r="AS394" s="859">
        <f t="shared" si="214"/>
        <v>-14540</v>
      </c>
      <c r="AT394" s="2239">
        <f t="shared" si="215"/>
        <v>-3.5248484848484848E-2</v>
      </c>
      <c r="AU394" s="844"/>
      <c r="AV394" s="819"/>
      <c r="AW394" s="797">
        <f>SUM(AU394-H394)</f>
        <v>-198542</v>
      </c>
      <c r="AX394" s="805">
        <f>IF(H394&gt;0,AW394/H394,"")</f>
        <v>-1</v>
      </c>
      <c r="AY394" s="1158"/>
      <c r="AZ394" s="2136"/>
      <c r="BA394" s="2136"/>
      <c r="BB394" s="2157"/>
    </row>
    <row r="395" spans="1:54" ht="13.9" hidden="1" customHeight="1" outlineLevel="1" x14ac:dyDescent="0.2">
      <c r="A395" s="808"/>
      <c r="B395" s="799"/>
      <c r="C395" s="797"/>
      <c r="D395" s="797"/>
      <c r="E395" s="797"/>
      <c r="F395" s="798"/>
      <c r="G395" s="798"/>
      <c r="H395" s="798"/>
      <c r="I395" s="797">
        <v>16187</v>
      </c>
      <c r="J395" s="839"/>
      <c r="K395" s="817"/>
      <c r="L395" s="845"/>
      <c r="M395" s="845">
        <v>66883</v>
      </c>
      <c r="N395" s="1131">
        <v>0</v>
      </c>
      <c r="O395" s="817"/>
      <c r="P395" s="817"/>
      <c r="Q395" s="817"/>
      <c r="R395" s="817"/>
      <c r="S395" s="817"/>
      <c r="T395" s="817"/>
      <c r="U395" s="817">
        <v>0</v>
      </c>
      <c r="V395" s="817"/>
      <c r="W395" s="817">
        <f>V395</f>
        <v>0</v>
      </c>
      <c r="X395" s="817"/>
      <c r="Y395" s="817"/>
      <c r="Z395" s="817"/>
      <c r="AA395" s="817"/>
      <c r="AB395" s="817"/>
      <c r="AC395" s="817"/>
      <c r="AD395" s="817"/>
      <c r="AE395" s="817"/>
      <c r="AF395" s="817"/>
      <c r="AG395" s="817"/>
      <c r="AH395" s="817"/>
      <c r="AI395" s="817"/>
      <c r="AJ395" s="817"/>
      <c r="AK395" s="817"/>
      <c r="AL395" s="817"/>
      <c r="AM395" s="817"/>
      <c r="AN395" s="817"/>
      <c r="AO395" s="817"/>
      <c r="AP395" s="817"/>
      <c r="AQ395" s="817"/>
      <c r="AR395" s="817"/>
      <c r="AS395" s="817">
        <f t="shared" si="214"/>
        <v>0</v>
      </c>
      <c r="AT395" s="2240" t="str">
        <f t="shared" si="215"/>
        <v/>
      </c>
      <c r="AU395" s="844"/>
      <c r="AV395" s="819"/>
      <c r="AW395" s="797"/>
      <c r="AX395" s="805"/>
      <c r="AY395" s="1158"/>
      <c r="AZ395" s="2136"/>
      <c r="BA395" s="2136"/>
      <c r="BB395" s="2157"/>
    </row>
    <row r="396" spans="1:54" ht="13.9" hidden="1" customHeight="1" outlineLevel="1" x14ac:dyDescent="0.2">
      <c r="A396" s="808" t="s">
        <v>95</v>
      </c>
      <c r="B396" s="799">
        <v>774439</v>
      </c>
      <c r="C396" s="797">
        <v>719295.58</v>
      </c>
      <c r="D396" s="797">
        <v>818831</v>
      </c>
      <c r="E396" s="797">
        <v>759434.44</v>
      </c>
      <c r="F396" s="798">
        <v>882003</v>
      </c>
      <c r="G396" s="798">
        <v>515449.62</v>
      </c>
      <c r="H396" s="798">
        <v>1040017</v>
      </c>
      <c r="I396" s="797">
        <v>1019170.85</v>
      </c>
      <c r="J396" s="839">
        <v>1171266</v>
      </c>
      <c r="K396" s="814" t="s">
        <v>201</v>
      </c>
      <c r="L396" s="845">
        <v>1234222.55</v>
      </c>
      <c r="M396" s="845">
        <v>1364677</v>
      </c>
      <c r="N396" s="1131">
        <v>1444653</v>
      </c>
      <c r="O396" s="817">
        <v>1444653</v>
      </c>
      <c r="P396" s="817">
        <v>1575476</v>
      </c>
      <c r="Q396" s="893">
        <f>P396</f>
        <v>1575476</v>
      </c>
      <c r="R396" s="814">
        <v>1726577</v>
      </c>
      <c r="S396" s="817"/>
      <c r="T396" s="817">
        <v>1802236</v>
      </c>
      <c r="U396" s="817">
        <v>1802236</v>
      </c>
      <c r="V396" s="814">
        <v>1982459</v>
      </c>
      <c r="W396" s="817">
        <v>1945203</v>
      </c>
      <c r="X396" s="861">
        <v>2128918</v>
      </c>
      <c r="Y396" s="861">
        <v>1945203</v>
      </c>
      <c r="Z396" s="861">
        <v>2016137</v>
      </c>
      <c r="AA396" s="861">
        <f>Z396</f>
        <v>2016137</v>
      </c>
      <c r="AB396" s="861">
        <f>2038793+6855+175266+7200+6000</f>
        <v>2234114</v>
      </c>
      <c r="AC396" s="861">
        <f>AB396</f>
        <v>2234114</v>
      </c>
      <c r="AD396" s="861"/>
      <c r="AE396" s="861">
        <v>2304084</v>
      </c>
      <c r="AF396" s="843"/>
      <c r="AG396" s="843">
        <v>2465369.8800000004</v>
      </c>
      <c r="AH396" s="843">
        <v>2312733</v>
      </c>
      <c r="AI396" s="859">
        <v>2474624.31</v>
      </c>
      <c r="AJ396" s="859">
        <v>2309587</v>
      </c>
      <c r="AK396" s="859">
        <v>2471258.0900000003</v>
      </c>
      <c r="AL396" s="859">
        <v>2318987</v>
      </c>
      <c r="AM396" s="859">
        <f>AL396*$AH$5*0+2483187</f>
        <v>2483187</v>
      </c>
      <c r="AN396" s="859">
        <v>2273187</v>
      </c>
      <c r="AO396" s="859">
        <v>2466407.895</v>
      </c>
      <c r="AP396" s="859">
        <v>2351187</v>
      </c>
      <c r="AQ396" s="859">
        <f>AP396*$AH$5</f>
        <v>2551037.895</v>
      </c>
      <c r="AR396" s="859">
        <f>'[1]BUDGET DETAIL'!$CO$940</f>
        <v>2454367</v>
      </c>
      <c r="AS396" s="859">
        <f t="shared" si="214"/>
        <v>103180</v>
      </c>
      <c r="AT396" s="2239">
        <f t="shared" si="215"/>
        <v>4.388421678071544E-2</v>
      </c>
      <c r="AU396" s="844"/>
      <c r="AV396" s="819"/>
      <c r="AW396" s="797">
        <f>SUM(AU396-H396)</f>
        <v>-1040017</v>
      </c>
      <c r="AX396" s="805">
        <f>IF(H396&gt;0,AW396/H396,"")</f>
        <v>-1</v>
      </c>
      <c r="AY396" s="1634"/>
      <c r="AZ396" s="2136"/>
      <c r="BA396" s="2136"/>
      <c r="BB396" s="2144"/>
    </row>
    <row r="397" spans="1:54" ht="13.9" hidden="1" customHeight="1" outlineLevel="1" x14ac:dyDescent="0.2">
      <c r="A397" s="808" t="s">
        <v>746</v>
      </c>
      <c r="B397" s="799">
        <v>20000</v>
      </c>
      <c r="C397" s="797">
        <v>649.01</v>
      </c>
      <c r="D397" s="797">
        <v>20000</v>
      </c>
      <c r="E397" s="797">
        <v>5083.8999999999996</v>
      </c>
      <c r="F397" s="798">
        <v>20000</v>
      </c>
      <c r="G397" s="798">
        <v>25850.71</v>
      </c>
      <c r="H397" s="798">
        <v>25000</v>
      </c>
      <c r="I397" s="797">
        <v>1335.19</v>
      </c>
      <c r="J397" s="839">
        <v>25000</v>
      </c>
      <c r="K397" s="1159" t="s">
        <v>201</v>
      </c>
      <c r="L397" s="942">
        <v>11604.15</v>
      </c>
      <c r="M397" s="942">
        <v>25000</v>
      </c>
      <c r="N397" s="1141">
        <v>50000</v>
      </c>
      <c r="O397" s="859">
        <v>50000</v>
      </c>
      <c r="P397" s="859">
        <v>50000</v>
      </c>
      <c r="Q397" s="859">
        <v>50000</v>
      </c>
      <c r="R397" s="859">
        <v>100000</v>
      </c>
      <c r="S397" s="859"/>
      <c r="T397" s="859">
        <v>75000</v>
      </c>
      <c r="U397" s="859">
        <v>75000</v>
      </c>
      <c r="V397" s="859">
        <v>100000</v>
      </c>
      <c r="W397" s="817">
        <f>V397</f>
        <v>100000</v>
      </c>
      <c r="X397" s="859">
        <v>75000</v>
      </c>
      <c r="Y397" s="859">
        <v>75000</v>
      </c>
      <c r="Z397" s="859">
        <v>75000</v>
      </c>
      <c r="AA397" s="859">
        <f>Z397</f>
        <v>75000</v>
      </c>
      <c r="AB397" s="859">
        <v>75000</v>
      </c>
      <c r="AC397" s="859">
        <v>60000</v>
      </c>
      <c r="AD397" s="859"/>
      <c r="AE397" s="859">
        <v>60000</v>
      </c>
      <c r="AF397" s="843"/>
      <c r="AG397" s="843">
        <v>60000</v>
      </c>
      <c r="AH397" s="843">
        <v>0</v>
      </c>
      <c r="AI397" s="859">
        <v>60000</v>
      </c>
      <c r="AJ397" s="859">
        <v>0</v>
      </c>
      <c r="AK397" s="859"/>
      <c r="AL397" s="859"/>
      <c r="AM397" s="859"/>
      <c r="AN397" s="859"/>
      <c r="AO397" s="859"/>
      <c r="AP397" s="859"/>
      <c r="AQ397" s="859"/>
      <c r="AR397" s="859"/>
      <c r="AS397" s="859">
        <f t="shared" si="214"/>
        <v>0</v>
      </c>
      <c r="AT397" s="2239" t="str">
        <f t="shared" si="215"/>
        <v/>
      </c>
      <c r="AU397" s="844"/>
      <c r="AV397" s="819"/>
      <c r="AW397" s="797">
        <f>SUM(AU397-H397)</f>
        <v>-25000</v>
      </c>
      <c r="AX397" s="805">
        <f>IF(H397&gt;0,AW397/H397,"")</f>
        <v>-1</v>
      </c>
      <c r="AY397" s="1160"/>
      <c r="AZ397" s="2136"/>
      <c r="BA397" s="2136"/>
      <c r="BB397" s="2158"/>
    </row>
    <row r="398" spans="1:54" ht="13.9" hidden="1" customHeight="1" outlineLevel="1" x14ac:dyDescent="0.2">
      <c r="A398" s="878" t="s">
        <v>744</v>
      </c>
      <c r="B398" s="810">
        <f>SUM(B394:B397)</f>
        <v>949107</v>
      </c>
      <c r="C398" s="810">
        <f>SUM(C394:C397)</f>
        <v>873966.59</v>
      </c>
      <c r="D398" s="810">
        <f t="shared" ref="D398:O398" si="216">SUM(D394:D397)</f>
        <v>1009382</v>
      </c>
      <c r="E398" s="810">
        <f t="shared" si="216"/>
        <v>920836.54999999993</v>
      </c>
      <c r="F398" s="810">
        <f t="shared" si="216"/>
        <v>1085754</v>
      </c>
      <c r="G398" s="810">
        <f t="shared" si="216"/>
        <v>723212.33</v>
      </c>
      <c r="H398" s="810">
        <f t="shared" si="216"/>
        <v>1263559</v>
      </c>
      <c r="I398" s="810">
        <f t="shared" si="216"/>
        <v>1200204.54</v>
      </c>
      <c r="J398" s="813">
        <f t="shared" si="216"/>
        <v>1423902</v>
      </c>
      <c r="K398" s="852"/>
      <c r="L398" s="879">
        <f t="shared" si="216"/>
        <v>1505730.97</v>
      </c>
      <c r="M398" s="879">
        <f t="shared" si="216"/>
        <v>1748798</v>
      </c>
      <c r="N398" s="1138">
        <f t="shared" si="216"/>
        <v>1850043</v>
      </c>
      <c r="O398" s="881">
        <f t="shared" si="216"/>
        <v>1809680</v>
      </c>
      <c r="P398" s="881">
        <f>SUM(P394:P397)</f>
        <v>1987729</v>
      </c>
      <c r="Q398" s="852">
        <f>IF(SUM(Q394:Q397)=0,P398,SUM(Q394:Q397))</f>
        <v>1987729</v>
      </c>
      <c r="R398" s="881">
        <f>SUM(R394:R397)</f>
        <v>2179518</v>
      </c>
      <c r="S398" s="852">
        <f>IF(SUM(S394:S397)=0,R398,SUM(S394:S397))</f>
        <v>2179518</v>
      </c>
      <c r="T398" s="852">
        <v>2265471.1</v>
      </c>
      <c r="U398" s="852">
        <v>2265471.1</v>
      </c>
      <c r="V398" s="881">
        <f>SUM(V394:V397)</f>
        <v>2509517</v>
      </c>
      <c r="W398" s="852">
        <f>IF(SUM(W394:W397)=0,V398,SUM(W394:W397))</f>
        <v>2400642</v>
      </c>
      <c r="X398" s="881">
        <f>SUM(X394:X397)</f>
        <v>2594731</v>
      </c>
      <c r="Y398" s="852">
        <f>IF(SUM(Y394:Y397)=0,X398,SUM(Y394:Y397))</f>
        <v>2375642</v>
      </c>
      <c r="Z398" s="881">
        <f>SUM(Z394:Z397)</f>
        <v>2460606</v>
      </c>
      <c r="AA398" s="852">
        <f>IF(SUM(AA394:AA397)=0,Z398,SUM(AA394:AA397))</f>
        <v>2460606</v>
      </c>
      <c r="AB398" s="881">
        <f>SUM(AB394:AB397)</f>
        <v>2708779</v>
      </c>
      <c r="AC398" s="852">
        <f>IF(SUM(AC394:AC397)=0,AB398,SUM(AC394:AC397))</f>
        <v>2693779</v>
      </c>
      <c r="AD398" s="852"/>
      <c r="AE398" s="852">
        <v>2786361</v>
      </c>
      <c r="AF398" s="852">
        <v>2786361</v>
      </c>
      <c r="AG398" s="852">
        <v>2977206.2700000005</v>
      </c>
      <c r="AH398" s="852">
        <v>2769236</v>
      </c>
      <c r="AI398" s="814">
        <v>3023082.52</v>
      </c>
      <c r="AJ398" s="814">
        <v>2771431</v>
      </c>
      <c r="AK398" s="861">
        <v>2965431.1700000004</v>
      </c>
      <c r="AL398" s="861">
        <v>2784486</v>
      </c>
      <c r="AM398" s="861">
        <f t="shared" ref="AM398:AR398" si="217">SUM(AM394:AM396)</f>
        <v>2988253.415</v>
      </c>
      <c r="AN398" s="861">
        <f t="shared" si="217"/>
        <v>2746799</v>
      </c>
      <c r="AO398" s="861">
        <f t="shared" si="217"/>
        <v>2980276.915</v>
      </c>
      <c r="AP398" s="861">
        <f t="shared" si="217"/>
        <v>2763687</v>
      </c>
      <c r="AQ398" s="861">
        <f t="shared" si="217"/>
        <v>2998600.395</v>
      </c>
      <c r="AR398" s="861">
        <f t="shared" si="217"/>
        <v>2852327</v>
      </c>
      <c r="AS398" s="861">
        <f t="shared" si="214"/>
        <v>88640</v>
      </c>
      <c r="AT398" s="2248">
        <f t="shared" si="215"/>
        <v>3.2073096555434825E-2</v>
      </c>
      <c r="AU398" s="854">
        <f>SUM(AU394:AU397)</f>
        <v>0</v>
      </c>
      <c r="AV398" s="819"/>
      <c r="AW398" s="797">
        <f>SUM(AU398-H398)</f>
        <v>-1263559</v>
      </c>
      <c r="AX398" s="805">
        <f>IF(H398&gt;0,AW398/H398,"")</f>
        <v>-1</v>
      </c>
      <c r="AY398" s="1158"/>
      <c r="AZ398" s="2136"/>
      <c r="BA398" s="2136"/>
      <c r="BB398" s="2157"/>
    </row>
    <row r="399" spans="1:54" ht="13.9" hidden="1" customHeight="1" outlineLevel="1" x14ac:dyDescent="0.2">
      <c r="A399" s="821"/>
      <c r="B399" s="910"/>
      <c r="C399" s="895"/>
      <c r="D399" s="910"/>
      <c r="E399" s="895"/>
      <c r="F399" s="911"/>
      <c r="G399" s="911"/>
      <c r="H399" s="911"/>
      <c r="I399" s="910"/>
      <c r="J399" s="909"/>
      <c r="K399" s="1161"/>
      <c r="L399" s="1162"/>
      <c r="M399" s="1163"/>
      <c r="N399" s="1162"/>
      <c r="O399" s="1164"/>
      <c r="P399" s="1164"/>
      <c r="Q399" s="1164"/>
      <c r="R399" s="1164"/>
      <c r="S399" s="1164"/>
      <c r="T399" s="1164"/>
      <c r="U399" s="1164"/>
      <c r="V399" s="1164"/>
      <c r="W399" s="1164"/>
      <c r="X399" s="1164"/>
      <c r="Y399" s="1164"/>
      <c r="Z399" s="1164"/>
      <c r="AA399" s="1164"/>
      <c r="AB399" s="1164"/>
      <c r="AC399" s="1164"/>
      <c r="AD399" s="1164"/>
      <c r="AE399" s="1164"/>
      <c r="AF399" s="1164"/>
      <c r="AG399" s="1164"/>
      <c r="AH399" s="1164"/>
      <c r="AI399" s="1164"/>
      <c r="AJ399" s="1164"/>
      <c r="AK399" s="1164"/>
      <c r="AL399" s="1164"/>
      <c r="AM399" s="1164"/>
      <c r="AN399" s="1164"/>
      <c r="AO399" s="1164"/>
      <c r="AP399" s="1164"/>
      <c r="AQ399" s="1164"/>
      <c r="AR399" s="1164"/>
      <c r="AS399" s="1164">
        <f t="shared" si="214"/>
        <v>0</v>
      </c>
      <c r="AT399" s="2269" t="str">
        <f t="shared" si="215"/>
        <v/>
      </c>
      <c r="AU399" s="1036"/>
      <c r="AV399" s="834"/>
      <c r="AW399" s="823"/>
      <c r="AX399" s="835"/>
      <c r="AY399" s="900"/>
      <c r="AZ399" s="2136"/>
      <c r="BA399" s="2136"/>
      <c r="BB399" s="2146"/>
    </row>
    <row r="400" spans="1:54" ht="16.5" hidden="1" customHeight="1" outlineLevel="1" x14ac:dyDescent="0.2">
      <c r="A400" s="808" t="s">
        <v>922</v>
      </c>
      <c r="B400" s="847"/>
      <c r="C400" s="867"/>
      <c r="D400" s="847"/>
      <c r="E400" s="867"/>
      <c r="F400" s="914"/>
      <c r="G400" s="914"/>
      <c r="H400" s="914"/>
      <c r="I400" s="847"/>
      <c r="J400" s="866"/>
      <c r="K400" s="817"/>
      <c r="L400" s="893"/>
      <c r="M400" s="893"/>
      <c r="N400" s="893"/>
      <c r="O400" s="817"/>
      <c r="P400" s="817"/>
      <c r="Q400" s="817"/>
      <c r="R400" s="817"/>
      <c r="S400" s="817"/>
      <c r="T400" s="817"/>
      <c r="U400" s="817"/>
      <c r="V400" s="817"/>
      <c r="W400" s="817"/>
      <c r="X400" s="817"/>
      <c r="Y400" s="817"/>
      <c r="Z400" s="817"/>
      <c r="AA400" s="817"/>
      <c r="AB400" s="817"/>
      <c r="AC400" s="817"/>
      <c r="AD400" s="817"/>
      <c r="AE400" s="817"/>
      <c r="AF400" s="817"/>
      <c r="AG400" s="817"/>
      <c r="AH400" s="817"/>
      <c r="AI400" s="817"/>
      <c r="AJ400" s="817"/>
      <c r="AK400" s="817"/>
      <c r="AL400" s="817"/>
      <c r="AM400" s="817"/>
      <c r="AN400" s="817"/>
      <c r="AO400" s="817"/>
      <c r="AP400" s="817"/>
      <c r="AQ400" s="817"/>
      <c r="AR400" s="817"/>
      <c r="AS400" s="817">
        <f t="shared" si="214"/>
        <v>0</v>
      </c>
      <c r="AT400" s="2240" t="str">
        <f t="shared" si="215"/>
        <v/>
      </c>
      <c r="AU400" s="854"/>
      <c r="AV400" s="819"/>
      <c r="AW400" s="797"/>
      <c r="AX400" s="805"/>
      <c r="AY400" s="903"/>
      <c r="AZ400" s="2136"/>
      <c r="BA400" s="2136"/>
      <c r="BB400" s="2146"/>
    </row>
    <row r="401" spans="1:54" ht="14.25" hidden="1" customHeight="1" outlineLevel="1" x14ac:dyDescent="0.2">
      <c r="A401" s="1165" t="s">
        <v>582</v>
      </c>
      <c r="B401" s="847"/>
      <c r="C401" s="867"/>
      <c r="D401" s="847"/>
      <c r="E401" s="867"/>
      <c r="F401" s="914"/>
      <c r="G401" s="914"/>
      <c r="H401" s="914"/>
      <c r="I401" s="847"/>
      <c r="J401" s="866"/>
      <c r="K401" s="817"/>
      <c r="L401" s="893"/>
      <c r="M401" s="893"/>
      <c r="N401" s="893"/>
      <c r="O401" s="817"/>
      <c r="P401" s="817"/>
      <c r="Q401" s="817"/>
      <c r="R401" s="817"/>
      <c r="S401" s="817"/>
      <c r="T401" s="817"/>
      <c r="U401" s="817"/>
      <c r="V401" s="817"/>
      <c r="W401" s="817"/>
      <c r="X401" s="817"/>
      <c r="Y401" s="817"/>
      <c r="Z401" s="817"/>
      <c r="AA401" s="817"/>
      <c r="AB401" s="817"/>
      <c r="AC401" s="817"/>
      <c r="AD401" s="817"/>
      <c r="AE401" s="814">
        <v>100000</v>
      </c>
      <c r="AF401" s="1166">
        <v>100000</v>
      </c>
      <c r="AG401" s="1166">
        <v>100000</v>
      </c>
      <c r="AH401" s="1515">
        <v>25000</v>
      </c>
      <c r="AI401" s="814">
        <v>0</v>
      </c>
      <c r="AJ401" s="814">
        <v>91000</v>
      </c>
      <c r="AK401" s="814">
        <v>91000</v>
      </c>
      <c r="AL401" s="814">
        <v>85000</v>
      </c>
      <c r="AM401" s="814">
        <v>50000</v>
      </c>
      <c r="AN401" s="814">
        <v>75000</v>
      </c>
      <c r="AO401" s="814">
        <v>75000</v>
      </c>
      <c r="AP401" s="814">
        <f>25000</f>
        <v>25000</v>
      </c>
      <c r="AQ401" s="814">
        <v>25000</v>
      </c>
      <c r="AR401" s="814">
        <f>IF(BA401="yes",AZ401,0)</f>
        <v>80000</v>
      </c>
      <c r="AS401" s="814">
        <f t="shared" si="214"/>
        <v>55000</v>
      </c>
      <c r="AT401" s="2242">
        <f t="shared" si="215"/>
        <v>2.2000000000000002</v>
      </c>
      <c r="AU401" s="854"/>
      <c r="AV401" s="819"/>
      <c r="AW401" s="797"/>
      <c r="AX401" s="805"/>
      <c r="AY401" s="1643"/>
      <c r="AZ401" s="2136">
        <v>80000</v>
      </c>
      <c r="BA401" s="2321" t="s">
        <v>2506</v>
      </c>
      <c r="BB401" s="2942">
        <v>44998</v>
      </c>
    </row>
    <row r="402" spans="1:54" ht="13.9" hidden="1" customHeight="1" outlineLevel="1" x14ac:dyDescent="0.2">
      <c r="A402" s="821"/>
      <c r="B402" s="910"/>
      <c r="C402" s="895"/>
      <c r="D402" s="910"/>
      <c r="E402" s="895"/>
      <c r="F402" s="911"/>
      <c r="G402" s="911"/>
      <c r="H402" s="911"/>
      <c r="I402" s="910"/>
      <c r="J402" s="909"/>
      <c r="K402" s="1164"/>
      <c r="L402" s="1162"/>
      <c r="M402" s="1162"/>
      <c r="N402" s="1162"/>
      <c r="O402" s="1164"/>
      <c r="P402" s="1164"/>
      <c r="Q402" s="1164"/>
      <c r="R402" s="1164"/>
      <c r="S402" s="1164"/>
      <c r="T402" s="1164"/>
      <c r="U402" s="1164"/>
      <c r="V402" s="1164"/>
      <c r="W402" s="1164"/>
      <c r="X402" s="1164"/>
      <c r="Y402" s="1164"/>
      <c r="Z402" s="1164"/>
      <c r="AA402" s="1164"/>
      <c r="AB402" s="1164"/>
      <c r="AC402" s="1164"/>
      <c r="AD402" s="1164"/>
      <c r="AE402" s="1164"/>
      <c r="AF402" s="1164"/>
      <c r="AG402" s="1164"/>
      <c r="AH402" s="1164"/>
      <c r="AI402" s="1164"/>
      <c r="AJ402" s="1164"/>
      <c r="AK402" s="1164"/>
      <c r="AL402" s="1164"/>
      <c r="AM402" s="1164"/>
      <c r="AN402" s="1164"/>
      <c r="AO402" s="1164"/>
      <c r="AP402" s="1164"/>
      <c r="AQ402" s="1164"/>
      <c r="AR402" s="1164"/>
      <c r="AS402" s="1164">
        <f t="shared" si="214"/>
        <v>0</v>
      </c>
      <c r="AT402" s="2269" t="str">
        <f t="shared" si="215"/>
        <v/>
      </c>
      <c r="AU402" s="1036"/>
      <c r="AV402" s="834"/>
      <c r="AW402" s="823"/>
      <c r="AX402" s="835"/>
      <c r="AY402" s="900"/>
      <c r="AZ402" s="2136"/>
      <c r="BA402" s="2136"/>
      <c r="BB402" s="2146"/>
    </row>
    <row r="403" spans="1:54" ht="13.9" hidden="1" customHeight="1" outlineLevel="1" x14ac:dyDescent="0.2">
      <c r="A403" s="1624" t="s">
        <v>980</v>
      </c>
      <c r="B403" s="847"/>
      <c r="C403" s="867"/>
      <c r="D403" s="847"/>
      <c r="E403" s="867"/>
      <c r="F403" s="914"/>
      <c r="G403" s="914"/>
      <c r="H403" s="914"/>
      <c r="I403" s="847"/>
      <c r="J403" s="866"/>
      <c r="K403" s="817"/>
      <c r="L403" s="893"/>
      <c r="M403" s="893"/>
      <c r="N403" s="893"/>
      <c r="O403" s="817"/>
      <c r="P403" s="817"/>
      <c r="Q403" s="817"/>
      <c r="R403" s="817"/>
      <c r="S403" s="817"/>
      <c r="T403" s="817"/>
      <c r="U403" s="817"/>
      <c r="V403" s="817"/>
      <c r="W403" s="817"/>
      <c r="X403" s="817"/>
      <c r="Y403" s="817"/>
      <c r="Z403" s="817"/>
      <c r="AA403" s="817"/>
      <c r="AB403" s="817"/>
      <c r="AC403" s="817"/>
      <c r="AD403" s="817"/>
      <c r="AE403" s="817"/>
      <c r="AF403" s="817"/>
      <c r="AG403" s="817"/>
      <c r="AH403" s="817"/>
      <c r="AI403" s="817"/>
      <c r="AJ403" s="817"/>
      <c r="AK403" s="817"/>
      <c r="AL403" s="817"/>
      <c r="AM403" s="817"/>
      <c r="AN403" s="817"/>
      <c r="AO403" s="817"/>
      <c r="AP403" s="817"/>
      <c r="AQ403" s="817"/>
      <c r="AR403" s="817"/>
      <c r="AS403" s="817">
        <f t="shared" si="214"/>
        <v>0</v>
      </c>
      <c r="AT403" s="2240" t="str">
        <f t="shared" si="215"/>
        <v/>
      </c>
      <c r="AU403" s="854"/>
      <c r="AV403" s="819"/>
      <c r="AW403" s="797"/>
      <c r="AX403" s="805"/>
      <c r="AY403" s="903"/>
      <c r="AZ403" s="2136"/>
      <c r="BA403" s="2136"/>
      <c r="BB403" s="2129" t="s">
        <v>1173</v>
      </c>
    </row>
    <row r="404" spans="1:54" ht="13.9" hidden="1" customHeight="1" outlineLevel="1" x14ac:dyDescent="0.2">
      <c r="A404" s="1542" t="s">
        <v>746</v>
      </c>
      <c r="B404" s="847"/>
      <c r="C404" s="867"/>
      <c r="D404" s="847"/>
      <c r="E404" s="867"/>
      <c r="F404" s="914"/>
      <c r="G404" s="914"/>
      <c r="H404" s="914"/>
      <c r="I404" s="847"/>
      <c r="J404" s="866"/>
      <c r="K404" s="817"/>
      <c r="L404" s="893"/>
      <c r="M404" s="893"/>
      <c r="N404" s="893"/>
      <c r="O404" s="817"/>
      <c r="P404" s="817"/>
      <c r="Q404" s="817"/>
      <c r="R404" s="817"/>
      <c r="S404" s="817"/>
      <c r="T404" s="817"/>
      <c r="U404" s="817"/>
      <c r="V404" s="817"/>
      <c r="W404" s="817"/>
      <c r="X404" s="817"/>
      <c r="Y404" s="817"/>
      <c r="Z404" s="817"/>
      <c r="AA404" s="817"/>
      <c r="AB404" s="817"/>
      <c r="AC404" s="817"/>
      <c r="AD404" s="817"/>
      <c r="AE404" s="817"/>
      <c r="AF404" s="817"/>
      <c r="AG404" s="817"/>
      <c r="AH404" s="817"/>
      <c r="AI404" s="817"/>
      <c r="AJ404" s="817">
        <v>15000</v>
      </c>
      <c r="AK404" s="817">
        <v>15000</v>
      </c>
      <c r="AL404" s="817">
        <v>15000</v>
      </c>
      <c r="AM404" s="817">
        <f>AL404</f>
        <v>15000</v>
      </c>
      <c r="AN404" s="817">
        <v>0</v>
      </c>
      <c r="AO404" s="817">
        <f>AN404</f>
        <v>0</v>
      </c>
      <c r="AP404" s="817"/>
      <c r="AQ404" s="817">
        <f>AP404</f>
        <v>0</v>
      </c>
      <c r="AR404" s="817"/>
      <c r="AS404" s="817">
        <f t="shared" si="214"/>
        <v>0</v>
      </c>
      <c r="AT404" s="2240" t="str">
        <f t="shared" si="215"/>
        <v/>
      </c>
      <c r="AU404" s="854"/>
      <c r="AV404" s="819"/>
      <c r="AW404" s="797"/>
      <c r="AX404" s="805"/>
      <c r="AY404" s="903"/>
      <c r="AZ404" s="2136"/>
      <c r="BA404" s="2136"/>
      <c r="BB404" s="2129" t="s">
        <v>1173</v>
      </c>
    </row>
    <row r="405" spans="1:54" ht="13.9" hidden="1" customHeight="1" outlineLevel="1" x14ac:dyDescent="0.2">
      <c r="A405" s="1542" t="s">
        <v>981</v>
      </c>
      <c r="B405" s="847"/>
      <c r="C405" s="867"/>
      <c r="D405" s="847"/>
      <c r="E405" s="867"/>
      <c r="F405" s="914"/>
      <c r="G405" s="914"/>
      <c r="H405" s="914"/>
      <c r="I405" s="847"/>
      <c r="J405" s="866"/>
      <c r="K405" s="817"/>
      <c r="L405" s="893"/>
      <c r="M405" s="893"/>
      <c r="N405" s="893"/>
      <c r="O405" s="817"/>
      <c r="P405" s="817"/>
      <c r="Q405" s="817"/>
      <c r="R405" s="817"/>
      <c r="S405" s="817"/>
      <c r="T405" s="817"/>
      <c r="U405" s="817"/>
      <c r="V405" s="817"/>
      <c r="W405" s="817"/>
      <c r="X405" s="817"/>
      <c r="Y405" s="817"/>
      <c r="Z405" s="817"/>
      <c r="AA405" s="817"/>
      <c r="AB405" s="817"/>
      <c r="AC405" s="817"/>
      <c r="AD405" s="817"/>
      <c r="AE405" s="817"/>
      <c r="AF405" s="817"/>
      <c r="AG405" s="817"/>
      <c r="AH405" s="817"/>
      <c r="AI405" s="817"/>
      <c r="AJ405" s="817">
        <v>40000</v>
      </c>
      <c r="AK405" s="817">
        <v>40000</v>
      </c>
      <c r="AL405" s="817">
        <v>0</v>
      </c>
      <c r="AM405" s="817">
        <f t="shared" ref="AM405:AQ406" si="218">AL405</f>
        <v>0</v>
      </c>
      <c r="AN405" s="817"/>
      <c r="AO405" s="817">
        <f t="shared" si="218"/>
        <v>0</v>
      </c>
      <c r="AP405" s="817"/>
      <c r="AQ405" s="817">
        <f t="shared" si="218"/>
        <v>0</v>
      </c>
      <c r="AR405" s="817"/>
      <c r="AS405" s="817">
        <f t="shared" si="214"/>
        <v>0</v>
      </c>
      <c r="AT405" s="2240" t="str">
        <f t="shared" si="215"/>
        <v/>
      </c>
      <c r="AU405" s="854"/>
      <c r="AV405" s="819"/>
      <c r="AW405" s="797"/>
      <c r="AX405" s="805"/>
      <c r="AY405" s="1677"/>
      <c r="AZ405" s="2136"/>
      <c r="BA405" s="2136"/>
      <c r="BB405" s="2129" t="s">
        <v>1173</v>
      </c>
    </row>
    <row r="406" spans="1:54" ht="13.9" hidden="1" customHeight="1" outlineLevel="1" x14ac:dyDescent="0.2">
      <c r="A406" s="1542" t="s">
        <v>982</v>
      </c>
      <c r="B406" s="847"/>
      <c r="C406" s="867"/>
      <c r="D406" s="847"/>
      <c r="E406" s="867"/>
      <c r="F406" s="914"/>
      <c r="G406" s="914"/>
      <c r="H406" s="914"/>
      <c r="I406" s="847"/>
      <c r="J406" s="866"/>
      <c r="K406" s="817"/>
      <c r="L406" s="893"/>
      <c r="M406" s="893"/>
      <c r="N406" s="893"/>
      <c r="O406" s="817"/>
      <c r="P406" s="817"/>
      <c r="Q406" s="817"/>
      <c r="R406" s="817"/>
      <c r="S406" s="817"/>
      <c r="T406" s="817"/>
      <c r="U406" s="817"/>
      <c r="V406" s="817"/>
      <c r="W406" s="817"/>
      <c r="X406" s="817"/>
      <c r="Y406" s="817"/>
      <c r="Z406" s="817"/>
      <c r="AA406" s="817"/>
      <c r="AB406" s="817"/>
      <c r="AC406" s="817"/>
      <c r="AD406" s="817"/>
      <c r="AE406" s="817"/>
      <c r="AF406" s="817"/>
      <c r="AG406" s="817"/>
      <c r="AH406" s="817"/>
      <c r="AI406" s="817"/>
      <c r="AJ406" s="817">
        <v>15000</v>
      </c>
      <c r="AK406" s="817">
        <v>15000</v>
      </c>
      <c r="AL406" s="817">
        <v>0</v>
      </c>
      <c r="AM406" s="817">
        <f t="shared" si="218"/>
        <v>0</v>
      </c>
      <c r="AN406" s="817">
        <v>20000</v>
      </c>
      <c r="AO406" s="817">
        <v>20000</v>
      </c>
      <c r="AP406" s="817">
        <v>0</v>
      </c>
      <c r="AQ406" s="817">
        <f t="shared" si="218"/>
        <v>0</v>
      </c>
      <c r="AR406" s="817"/>
      <c r="AS406" s="817">
        <f t="shared" si="214"/>
        <v>0</v>
      </c>
      <c r="AT406" s="2240" t="str">
        <f t="shared" si="215"/>
        <v/>
      </c>
      <c r="AU406" s="854"/>
      <c r="AV406" s="819"/>
      <c r="AW406" s="797"/>
      <c r="AX406" s="805"/>
      <c r="AY406" s="903"/>
      <c r="AZ406" s="2136"/>
      <c r="BA406" s="2136"/>
      <c r="BB406" s="2129" t="s">
        <v>1173</v>
      </c>
    </row>
    <row r="407" spans="1:54" ht="13.9" hidden="1" customHeight="1" outlineLevel="1" x14ac:dyDescent="0.2">
      <c r="A407" s="1165" t="s">
        <v>582</v>
      </c>
      <c r="B407" s="847"/>
      <c r="C407" s="867"/>
      <c r="D407" s="847"/>
      <c r="E407" s="867"/>
      <c r="F407" s="914"/>
      <c r="G407" s="914"/>
      <c r="H407" s="914"/>
      <c r="I407" s="847"/>
      <c r="J407" s="866"/>
      <c r="K407" s="817"/>
      <c r="L407" s="893"/>
      <c r="M407" s="893"/>
      <c r="N407" s="893"/>
      <c r="O407" s="817"/>
      <c r="P407" s="817"/>
      <c r="Q407" s="817"/>
      <c r="R407" s="817"/>
      <c r="S407" s="817"/>
      <c r="T407" s="817"/>
      <c r="U407" s="817"/>
      <c r="V407" s="817"/>
      <c r="W407" s="817"/>
      <c r="X407" s="817"/>
      <c r="Y407" s="817"/>
      <c r="Z407" s="817"/>
      <c r="AA407" s="817"/>
      <c r="AB407" s="817"/>
      <c r="AC407" s="817"/>
      <c r="AD407" s="817"/>
      <c r="AE407" s="817"/>
      <c r="AF407" s="817"/>
      <c r="AG407" s="817"/>
      <c r="AH407" s="817"/>
      <c r="AI407" s="817"/>
      <c r="AJ407" s="814">
        <v>70000</v>
      </c>
      <c r="AK407" s="814">
        <v>70000</v>
      </c>
      <c r="AL407" s="814">
        <v>15000</v>
      </c>
      <c r="AM407" s="814">
        <f>SUM(AM404:AM406)</f>
        <v>15000</v>
      </c>
      <c r="AN407" s="814">
        <f>SUM(AN404:AN406)</f>
        <v>20000</v>
      </c>
      <c r="AO407" s="814">
        <f>SUM(AO404:AO406)</f>
        <v>20000</v>
      </c>
      <c r="AP407" s="814">
        <f>SUM(AP404:AP406)</f>
        <v>0</v>
      </c>
      <c r="AQ407" s="814">
        <f>SUM(AQ404:AQ406)</f>
        <v>0</v>
      </c>
      <c r="AR407" s="814"/>
      <c r="AS407" s="814">
        <f t="shared" si="214"/>
        <v>0</v>
      </c>
      <c r="AT407" s="2242" t="str">
        <f t="shared" si="215"/>
        <v/>
      </c>
      <c r="AU407" s="854"/>
      <c r="AV407" s="819"/>
      <c r="AW407" s="797"/>
      <c r="AX407" s="805"/>
      <c r="AY407" s="903"/>
      <c r="AZ407" s="2136"/>
      <c r="BA407" s="2136"/>
      <c r="BB407" s="2129" t="s">
        <v>1173</v>
      </c>
    </row>
    <row r="408" spans="1:54" ht="13.9" hidden="1" customHeight="1" outlineLevel="1" x14ac:dyDescent="0.2">
      <c r="A408" s="821"/>
      <c r="B408" s="910"/>
      <c r="C408" s="895"/>
      <c r="D408" s="910"/>
      <c r="E408" s="895"/>
      <c r="F408" s="911"/>
      <c r="G408" s="911"/>
      <c r="H408" s="911"/>
      <c r="I408" s="910"/>
      <c r="J408" s="909"/>
      <c r="K408" s="1164"/>
      <c r="L408" s="1162"/>
      <c r="M408" s="1162"/>
      <c r="N408" s="1162"/>
      <c r="O408" s="1164"/>
      <c r="P408" s="1164"/>
      <c r="Q408" s="1164"/>
      <c r="R408" s="1164"/>
      <c r="S408" s="1164"/>
      <c r="T408" s="1164"/>
      <c r="U408" s="1164"/>
      <c r="V408" s="1164"/>
      <c r="W408" s="1164"/>
      <c r="X408" s="1164"/>
      <c r="Y408" s="1164"/>
      <c r="Z408" s="1164"/>
      <c r="AA408" s="1164"/>
      <c r="AB408" s="1164"/>
      <c r="AC408" s="1164"/>
      <c r="AD408" s="1164"/>
      <c r="AE408" s="1164"/>
      <c r="AF408" s="1164"/>
      <c r="AG408" s="1164"/>
      <c r="AH408" s="1164"/>
      <c r="AI408" s="1164"/>
      <c r="AJ408" s="1164"/>
      <c r="AK408" s="1164"/>
      <c r="AL408" s="1164"/>
      <c r="AM408" s="1164"/>
      <c r="AN408" s="1164"/>
      <c r="AO408" s="1164"/>
      <c r="AP408" s="1164"/>
      <c r="AQ408" s="1164"/>
      <c r="AR408" s="1164"/>
      <c r="AS408" s="1164">
        <f t="shared" si="214"/>
        <v>0</v>
      </c>
      <c r="AT408" s="2269" t="str">
        <f t="shared" si="215"/>
        <v/>
      </c>
      <c r="AU408" s="1036"/>
      <c r="AV408" s="834"/>
      <c r="AW408" s="823"/>
      <c r="AX408" s="835"/>
      <c r="AY408" s="900"/>
      <c r="AZ408" s="2136"/>
      <c r="BA408" s="2136"/>
      <c r="BB408" s="2129" t="s">
        <v>1173</v>
      </c>
    </row>
    <row r="409" spans="1:54" ht="13.9" hidden="1" customHeight="1" outlineLevel="1" x14ac:dyDescent="0.2">
      <c r="A409" s="1624" t="s">
        <v>549</v>
      </c>
      <c r="B409" s="847">
        <v>4000</v>
      </c>
      <c r="C409" s="867">
        <v>4000</v>
      </c>
      <c r="D409" s="847">
        <v>4000</v>
      </c>
      <c r="E409" s="867">
        <v>0</v>
      </c>
      <c r="F409" s="914">
        <v>0</v>
      </c>
      <c r="G409" s="914">
        <v>0</v>
      </c>
      <c r="H409" s="914">
        <v>0</v>
      </c>
      <c r="I409" s="847">
        <v>0</v>
      </c>
      <c r="J409" s="866">
        <v>0</v>
      </c>
      <c r="K409" s="817">
        <v>0</v>
      </c>
      <c r="L409" s="893"/>
      <c r="M409" s="893"/>
      <c r="N409" s="893"/>
      <c r="O409" s="817"/>
      <c r="P409" s="817"/>
      <c r="Q409" s="817"/>
      <c r="R409" s="817"/>
      <c r="S409" s="817"/>
      <c r="T409" s="817"/>
      <c r="U409" s="817"/>
      <c r="V409" s="817"/>
      <c r="W409" s="817"/>
      <c r="X409" s="817"/>
      <c r="Y409" s="817"/>
      <c r="Z409" s="817"/>
      <c r="AA409" s="817"/>
      <c r="AB409" s="817"/>
      <c r="AC409" s="817"/>
      <c r="AD409" s="817"/>
      <c r="AE409" s="817"/>
      <c r="AF409" s="817"/>
      <c r="AG409" s="817"/>
      <c r="AH409" s="817"/>
      <c r="AI409" s="817"/>
      <c r="AJ409" s="817"/>
      <c r="AK409" s="817"/>
      <c r="AL409" s="817"/>
      <c r="AM409" s="817"/>
      <c r="AN409" s="817"/>
      <c r="AO409" s="817"/>
      <c r="AP409" s="817"/>
      <c r="AQ409" s="817"/>
      <c r="AR409" s="817"/>
      <c r="AS409" s="817">
        <f t="shared" si="214"/>
        <v>0</v>
      </c>
      <c r="AT409" s="2240" t="str">
        <f t="shared" si="215"/>
        <v/>
      </c>
      <c r="AU409" s="854">
        <v>0</v>
      </c>
      <c r="AV409" s="819"/>
      <c r="AW409" s="797">
        <f>SUM(AU409-H409)</f>
        <v>0</v>
      </c>
      <c r="AX409" s="805" t="str">
        <f>IF(H409&gt;0,AW409/H409,"")</f>
        <v/>
      </c>
      <c r="AY409" s="903"/>
      <c r="AZ409" s="2136"/>
      <c r="BA409" s="2136"/>
      <c r="BB409" s="2146"/>
    </row>
    <row r="410" spans="1:54" ht="13.9" hidden="1" customHeight="1" outlineLevel="1" x14ac:dyDescent="0.2">
      <c r="A410" s="795" t="s">
        <v>681</v>
      </c>
      <c r="B410" s="847">
        <f t="shared" ref="B410:J410" si="219">SUM(B409)</f>
        <v>4000</v>
      </c>
      <c r="C410" s="847">
        <f t="shared" si="219"/>
        <v>4000</v>
      </c>
      <c r="D410" s="847">
        <f t="shared" si="219"/>
        <v>4000</v>
      </c>
      <c r="E410" s="847">
        <f t="shared" si="219"/>
        <v>0</v>
      </c>
      <c r="F410" s="914">
        <f t="shared" si="219"/>
        <v>0</v>
      </c>
      <c r="G410" s="914">
        <f t="shared" si="219"/>
        <v>0</v>
      </c>
      <c r="H410" s="914">
        <f t="shared" si="219"/>
        <v>0</v>
      </c>
      <c r="I410" s="847">
        <f t="shared" si="219"/>
        <v>0</v>
      </c>
      <c r="J410" s="847">
        <f t="shared" si="219"/>
        <v>0</v>
      </c>
      <c r="K410" s="861">
        <v>0</v>
      </c>
      <c r="L410" s="901">
        <f>L409</f>
        <v>0</v>
      </c>
      <c r="M410" s="901"/>
      <c r="N410" s="901">
        <v>0</v>
      </c>
      <c r="O410" s="861">
        <v>0</v>
      </c>
      <c r="P410" s="861">
        <v>0</v>
      </c>
      <c r="Q410" s="861">
        <v>0</v>
      </c>
      <c r="R410" s="861">
        <v>0</v>
      </c>
      <c r="S410" s="861">
        <v>0</v>
      </c>
      <c r="T410" s="861">
        <v>0</v>
      </c>
      <c r="U410" s="861">
        <v>0</v>
      </c>
      <c r="V410" s="861">
        <v>0</v>
      </c>
      <c r="W410" s="861">
        <v>0</v>
      </c>
      <c r="X410" s="861">
        <v>0</v>
      </c>
      <c r="Y410" s="861">
        <v>0</v>
      </c>
      <c r="Z410" s="861">
        <v>0</v>
      </c>
      <c r="AA410" s="861">
        <v>0</v>
      </c>
      <c r="AB410" s="861">
        <v>0</v>
      </c>
      <c r="AC410" s="861">
        <v>0</v>
      </c>
      <c r="AD410" s="861"/>
      <c r="AE410" s="861"/>
      <c r="AF410" s="861"/>
      <c r="AG410" s="861"/>
      <c r="AH410" s="861"/>
      <c r="AI410" s="861"/>
      <c r="AJ410" s="861"/>
      <c r="AK410" s="861"/>
      <c r="AL410" s="861"/>
      <c r="AM410" s="861"/>
      <c r="AN410" s="861"/>
      <c r="AO410" s="861"/>
      <c r="AP410" s="861"/>
      <c r="AQ410" s="861"/>
      <c r="AR410" s="861"/>
      <c r="AS410" s="861">
        <f t="shared" si="214"/>
        <v>0</v>
      </c>
      <c r="AT410" s="2248" t="str">
        <f t="shared" si="215"/>
        <v/>
      </c>
      <c r="AU410" s="854">
        <f>SUM(AU409)</f>
        <v>0</v>
      </c>
      <c r="AV410" s="819"/>
      <c r="AW410" s="797">
        <f>SUM(AU410-H410)</f>
        <v>0</v>
      </c>
      <c r="AX410" s="805" t="str">
        <f>IF(H410&gt;0,AW410/H410,"")</f>
        <v/>
      </c>
      <c r="AY410" s="1044"/>
      <c r="AZ410" s="2136"/>
      <c r="BA410" s="2136"/>
      <c r="BB410" s="1031"/>
    </row>
    <row r="411" spans="1:54" ht="13.9" hidden="1" customHeight="1" outlineLevel="1" x14ac:dyDescent="0.2">
      <c r="A411" s="808"/>
      <c r="B411" s="796"/>
      <c r="C411" s="867"/>
      <c r="D411" s="797"/>
      <c r="E411" s="867"/>
      <c r="F411" s="798"/>
      <c r="G411" s="798"/>
      <c r="I411" s="867"/>
      <c r="J411" s="866"/>
      <c r="K411" s="862"/>
      <c r="L411" s="901"/>
      <c r="M411" s="901"/>
      <c r="N411" s="901"/>
      <c r="O411" s="861"/>
      <c r="P411" s="861"/>
      <c r="Q411" s="861"/>
      <c r="R411" s="861"/>
      <c r="S411" s="861"/>
      <c r="T411" s="861"/>
      <c r="U411" s="861"/>
      <c r="V411" s="861"/>
      <c r="W411" s="861"/>
      <c r="X411" s="861"/>
      <c r="Y411" s="861"/>
      <c r="Z411" s="861"/>
      <c r="AA411" s="861"/>
      <c r="AB411" s="861"/>
      <c r="AC411" s="861"/>
      <c r="AD411" s="861"/>
      <c r="AE411" s="861"/>
      <c r="AF411" s="861"/>
      <c r="AG411" s="861"/>
      <c r="AH411" s="861"/>
      <c r="AI411" s="861"/>
      <c r="AJ411" s="861"/>
      <c r="AK411" s="861"/>
      <c r="AL411" s="861"/>
      <c r="AM411" s="861"/>
      <c r="AN411" s="861"/>
      <c r="AO411" s="861"/>
      <c r="AP411" s="861"/>
      <c r="AQ411" s="861"/>
      <c r="AR411" s="861"/>
      <c r="AS411" s="861">
        <f t="shared" si="214"/>
        <v>0</v>
      </c>
      <c r="AT411" s="2248" t="str">
        <f t="shared" si="215"/>
        <v/>
      </c>
      <c r="AU411" s="803"/>
      <c r="AV411" s="819"/>
      <c r="AW411" s="823"/>
      <c r="AX411" s="835"/>
      <c r="AY411" s="807"/>
      <c r="AZ411" s="2136"/>
      <c r="BA411" s="2136"/>
    </row>
    <row r="412" spans="1:54" ht="13.9" hidden="1" customHeight="1" outlineLevel="1" thickBot="1" x14ac:dyDescent="0.25">
      <c r="A412" s="946" t="s">
        <v>682</v>
      </c>
      <c r="B412" s="1167">
        <f>SUM($B$391+$B$398+$B$410)</f>
        <v>1352448</v>
      </c>
      <c r="C412" s="1168">
        <f>SUM($C$391+$C$398+$C$410)</f>
        <v>1276807.5899999999</v>
      </c>
      <c r="D412" s="1168">
        <f>SUM($D$391+$D$398+$D$410)</f>
        <v>1443857</v>
      </c>
      <c r="E412" s="1168">
        <f>SUM($E$391+$E$398+$E$410)</f>
        <v>1348311.5499999998</v>
      </c>
      <c r="F412" s="1169">
        <f>SUM($F$391+$F$398+$F$410)</f>
        <v>1506681</v>
      </c>
      <c r="G412" s="1169">
        <f>SUM($G$391+$G$398+$G$410)</f>
        <v>1144139.33</v>
      </c>
      <c r="H412" s="1151">
        <f>SUM($H$391+$H$398+$H$410)</f>
        <v>1736641</v>
      </c>
      <c r="I412" s="949">
        <f>SUM($I$391+$I$398+$I$410)</f>
        <v>1673286.54</v>
      </c>
      <c r="J412" s="950">
        <f>SUM(J$391+J$398+J$410)</f>
        <v>1942423</v>
      </c>
      <c r="K412" s="950">
        <f>SUM(K$391+K$398+K$410)</f>
        <v>38789</v>
      </c>
      <c r="L412" s="951">
        <f>SUM(L$391+L$398+L$410)</f>
        <v>2124530.9699999997</v>
      </c>
      <c r="M412" s="951">
        <f>SUM(M390+M398+M410)</f>
        <v>2337018</v>
      </c>
      <c r="N412" s="1170">
        <f>SUM(N391+N398+N410)</f>
        <v>2493922</v>
      </c>
      <c r="O412" s="1129">
        <f t="shared" ref="O412:W412" si="220">O391+O398</f>
        <v>2453559</v>
      </c>
      <c r="P412" s="1129">
        <f t="shared" si="220"/>
        <v>2654823</v>
      </c>
      <c r="Q412" s="1129">
        <f t="shared" si="220"/>
        <v>2654823</v>
      </c>
      <c r="R412" s="1129">
        <f t="shared" si="220"/>
        <v>2913098</v>
      </c>
      <c r="S412" s="1129">
        <f t="shared" si="220"/>
        <v>2913098</v>
      </c>
      <c r="T412" s="1129">
        <v>3021535.1</v>
      </c>
      <c r="U412" s="1129">
        <v>3021535.1</v>
      </c>
      <c r="V412" s="1129">
        <f t="shared" si="220"/>
        <v>3305542</v>
      </c>
      <c r="W412" s="1129">
        <f t="shared" si="220"/>
        <v>3196667</v>
      </c>
      <c r="X412" s="1129">
        <f t="shared" ref="X412:AC412" si="221">X391+X398</f>
        <v>3479272</v>
      </c>
      <c r="Y412" s="1129">
        <f t="shared" si="221"/>
        <v>3260183</v>
      </c>
      <c r="Z412" s="1129">
        <f t="shared" si="221"/>
        <v>3425062</v>
      </c>
      <c r="AA412" s="1129">
        <f t="shared" si="221"/>
        <v>3425062</v>
      </c>
      <c r="AB412" s="1129">
        <f t="shared" si="221"/>
        <v>3765934</v>
      </c>
      <c r="AC412" s="1129">
        <f t="shared" si="221"/>
        <v>3750934</v>
      </c>
      <c r="AD412" s="1129"/>
      <c r="AE412" s="1129">
        <v>3962622</v>
      </c>
      <c r="AF412" s="1129">
        <v>3962622</v>
      </c>
      <c r="AG412" s="1129">
        <v>4285447.6189142857</v>
      </c>
      <c r="AH412" s="1129">
        <v>3934577</v>
      </c>
      <c r="AI412" s="1129">
        <v>4303261.9077714281</v>
      </c>
      <c r="AJ412" s="1129">
        <v>4156770</v>
      </c>
      <c r="AK412" s="1129">
        <v>4500909.1125142863</v>
      </c>
      <c r="AL412" s="1129">
        <v>4249683</v>
      </c>
      <c r="AM412" s="1129">
        <f t="shared" ref="AM412:AR412" si="222">AM391+AM398+AM401+AM407</f>
        <v>4485286.415</v>
      </c>
      <c r="AN412" s="1129">
        <f t="shared" si="222"/>
        <v>4273832</v>
      </c>
      <c r="AO412" s="1129">
        <f t="shared" si="222"/>
        <v>4622422.8852818999</v>
      </c>
      <c r="AP412" s="1129">
        <f t="shared" si="222"/>
        <v>4335833</v>
      </c>
      <c r="AQ412" s="1129">
        <f t="shared" si="222"/>
        <v>4740932.4220129093</v>
      </c>
      <c r="AR412" s="1129">
        <f t="shared" si="222"/>
        <v>4655917</v>
      </c>
      <c r="AS412" s="1129">
        <f t="shared" si="214"/>
        <v>320084</v>
      </c>
      <c r="AT412" s="2251">
        <f t="shared" si="215"/>
        <v>7.3822953974472721E-2</v>
      </c>
      <c r="AU412" s="1171">
        <f>SUM($AU$391+$AU$398+$AU$410)</f>
        <v>0</v>
      </c>
      <c r="AV412" s="1172"/>
      <c r="AW412" s="797">
        <f>SUM(AU412-H412)</f>
        <v>-1736641</v>
      </c>
      <c r="AX412" s="1173">
        <f>IF(H412&gt;0,AW412/H412,"")</f>
        <v>-1</v>
      </c>
      <c r="AY412" s="873" t="s">
        <v>732</v>
      </c>
      <c r="AZ412" s="2136"/>
      <c r="BA412" s="2136"/>
    </row>
    <row r="413" spans="1:54" ht="13.9" hidden="1" customHeight="1" collapsed="1" thickTop="1" thickBot="1" x14ac:dyDescent="0.25">
      <c r="A413" s="946" t="s">
        <v>540</v>
      </c>
      <c r="B413" s="947">
        <f>SUM($B$120+$B$170+$B$183+$B$247+$B$296+$B$350+$B$386+$B$412)</f>
        <v>11599138</v>
      </c>
      <c r="C413" s="948">
        <f>SUM($C$120+$C$170+$C$183+$C$247+$C$296+$C$350+$C$386+$C$412)</f>
        <v>11528669.6</v>
      </c>
      <c r="D413" s="948">
        <f>SUM($D$120+$D$170+$D$183+$D$247+$D$296+$D$350+$D$386+$D$412)</f>
        <v>11708815</v>
      </c>
      <c r="E413" s="948">
        <f>SUM($E$120+$E$170+$E$183+$E$247+$E$296+$E$350+$E$386+$E$412)</f>
        <v>11656431.34</v>
      </c>
      <c r="F413" s="1151">
        <f>SUM($F$120+$F$170+$F$183+$F$247+$F$296+$F$350+$F$386+$F$412)</f>
        <v>12073719</v>
      </c>
      <c r="G413" s="1151">
        <f>SUM($G$120+$G$170+$G$183+$G$247+$G$296+$G$350+$G$386+$G$412)</f>
        <v>11786586.909999998</v>
      </c>
      <c r="H413" s="1151">
        <f>SUM($H$120+$H$170+$H$183+$H$247+$H$296+$H$350+$H$386+$H$412)</f>
        <v>12748778</v>
      </c>
      <c r="I413" s="949">
        <f>SUM($I$120+$I$170+$I$183+$I$247+$I$296+$I$350+$I$386+$I$412)</f>
        <v>12432747.07</v>
      </c>
      <c r="J413" s="1174">
        <f t="shared" ref="J413:S413" si="223">SUM(J$120+J$170+J$183+J$247+J$296+J$350+J$386+J$412)</f>
        <v>13638500.800000001</v>
      </c>
      <c r="K413" s="1174" t="e">
        <f t="shared" si="223"/>
        <v>#VALUE!</v>
      </c>
      <c r="L413" s="1175">
        <f t="shared" si="223"/>
        <v>14210670.539999999</v>
      </c>
      <c r="M413" s="1175">
        <f t="shared" si="223"/>
        <v>14937613.489</v>
      </c>
      <c r="N413" s="1176" t="e">
        <f t="shared" si="223"/>
        <v>#REF!</v>
      </c>
      <c r="O413" s="1176">
        <f t="shared" si="223"/>
        <v>14370306</v>
      </c>
      <c r="P413" s="1176" t="e">
        <f t="shared" si="223"/>
        <v>#REF!</v>
      </c>
      <c r="Q413" s="1176">
        <f t="shared" si="223"/>
        <v>14657572</v>
      </c>
      <c r="R413" s="1176" t="e">
        <f t="shared" si="223"/>
        <v>#REF!</v>
      </c>
      <c r="S413" s="1176" t="e">
        <f t="shared" si="223"/>
        <v>#REF!</v>
      </c>
      <c r="T413" s="1176">
        <v>14984649.040000001</v>
      </c>
      <c r="U413" s="1176">
        <v>14987745.040000001</v>
      </c>
      <c r="V413" s="1176" t="e">
        <f>SUM(V$120+V$170+V$183+S$65+V$296+V$350+V$386+V$412)</f>
        <v>#REF!</v>
      </c>
      <c r="W413" s="1176">
        <f t="shared" ref="W413:AC413" si="224">SUM(W$120+W$170+W$183+W$247+W$296+W$350+W$386+W$412)</f>
        <v>15452593.782400001</v>
      </c>
      <c r="X413" s="1176" t="e">
        <f t="shared" si="224"/>
        <v>#REF!</v>
      </c>
      <c r="Y413" s="1176">
        <f t="shared" si="224"/>
        <v>16293521.92</v>
      </c>
      <c r="Z413" s="1176" t="e">
        <f t="shared" si="224"/>
        <v>#REF!</v>
      </c>
      <c r="AA413" s="1176">
        <f t="shared" si="224"/>
        <v>17168561.75</v>
      </c>
      <c r="AB413" s="1176">
        <f t="shared" si="224"/>
        <v>17978572.190000001</v>
      </c>
      <c r="AC413" s="1176">
        <f t="shared" si="224"/>
        <v>18152478.75</v>
      </c>
      <c r="AD413" s="1176"/>
      <c r="AE413" s="1176">
        <v>18858985.509999998</v>
      </c>
      <c r="AF413" s="1176">
        <v>15854265.219999999</v>
      </c>
      <c r="AG413" s="1176">
        <v>20074498.268914286</v>
      </c>
      <c r="AH413" s="1176">
        <v>19835040.259999998</v>
      </c>
      <c r="AI413" s="1176">
        <v>21304994.547771428</v>
      </c>
      <c r="AJ413" s="1176">
        <v>21409558.199999999</v>
      </c>
      <c r="AK413" s="1176">
        <v>22117354.296314288</v>
      </c>
      <c r="AL413" s="1176">
        <v>21942108.760000002</v>
      </c>
      <c r="AM413" s="1176">
        <f t="shared" ref="AM413:AR413" si="225">SUM(AM$120+AM$170+AM$183+AM$247+AM$296+AM$350+AM$386+AM$412)</f>
        <v>22477788.280000001</v>
      </c>
      <c r="AN413" s="1176">
        <f t="shared" si="225"/>
        <v>22227921.305</v>
      </c>
      <c r="AO413" s="1176">
        <f t="shared" si="225"/>
        <v>22763140.064431906</v>
      </c>
      <c r="AP413" s="1176">
        <f t="shared" si="225"/>
        <v>22730418.394150004</v>
      </c>
      <c r="AQ413" s="1176">
        <f t="shared" si="225"/>
        <v>23699138.175187413</v>
      </c>
      <c r="AR413" s="1176">
        <f t="shared" si="225"/>
        <v>23553500.760000002</v>
      </c>
      <c r="AS413" s="1176">
        <f t="shared" si="214"/>
        <v>823082.36584999785</v>
      </c>
      <c r="AT413" s="2270">
        <f t="shared" si="215"/>
        <v>3.6210612210368719E-2</v>
      </c>
      <c r="AU413" s="1030">
        <f>SUM($AU$120+$AU$170+$AU$183+$AU$247+$AU$296+$AU$350+$AU$386+$AU$412)</f>
        <v>0</v>
      </c>
      <c r="AV413" s="955"/>
      <c r="AW413" s="956">
        <f>SUM(AU413-H413)</f>
        <v>-12748778</v>
      </c>
      <c r="AX413" s="957">
        <f>IF(H413&gt;0,AW413/H413,"")</f>
        <v>-1</v>
      </c>
      <c r="AY413" s="958" t="s">
        <v>541</v>
      </c>
      <c r="AZ413" s="2136"/>
      <c r="BA413" s="2136"/>
    </row>
    <row r="414" spans="1:54" ht="13.9" hidden="1" customHeight="1" thickTop="1" x14ac:dyDescent="0.2">
      <c r="A414" s="714" t="s">
        <v>164</v>
      </c>
      <c r="J414" s="1177" t="s">
        <v>542</v>
      </c>
      <c r="K414" s="1178"/>
      <c r="L414" s="1080"/>
      <c r="M414" s="1080"/>
      <c r="N414" s="1080"/>
      <c r="O414" s="1178" t="s">
        <v>27</v>
      </c>
      <c r="P414" s="1178"/>
      <c r="Q414" s="1178"/>
      <c r="R414" s="1178"/>
      <c r="S414" s="1178"/>
      <c r="T414" s="1178"/>
      <c r="U414" s="1178"/>
      <c r="V414" s="1178"/>
      <c r="W414" s="1178"/>
      <c r="X414" s="1178"/>
      <c r="Y414" s="1178"/>
      <c r="Z414" s="1178"/>
      <c r="AA414" s="1178"/>
      <c r="AB414" s="1178"/>
      <c r="AC414" s="1178"/>
      <c r="AD414" s="1178"/>
      <c r="AE414" s="1178"/>
      <c r="AF414" s="1178"/>
      <c r="AG414" s="1178"/>
      <c r="AH414" s="1178"/>
      <c r="AI414" s="1178"/>
      <c r="AJ414" s="1178"/>
      <c r="AK414" s="1178"/>
      <c r="AL414" s="1178"/>
      <c r="AM414" s="1178"/>
      <c r="AN414" s="1178"/>
      <c r="AO414" s="1178"/>
      <c r="AP414" s="1178"/>
      <c r="AQ414" s="1178"/>
      <c r="AR414" s="1178"/>
      <c r="AS414" s="1178">
        <f t="shared" si="214"/>
        <v>0</v>
      </c>
      <c r="AT414" s="2271" t="str">
        <f t="shared" si="215"/>
        <v/>
      </c>
      <c r="AU414" s="803"/>
      <c r="AW414" s="715"/>
      <c r="AX414" s="806"/>
      <c r="AZ414" s="2136"/>
      <c r="BA414" s="2136"/>
    </row>
    <row r="415" spans="1:54" ht="13.9" hidden="1" customHeight="1" x14ac:dyDescent="0.2">
      <c r="B415" s="826"/>
      <c r="C415" s="826"/>
      <c r="D415" s="826"/>
      <c r="E415" s="826"/>
      <c r="F415" s="826"/>
      <c r="J415" s="1177"/>
      <c r="K415" s="1031"/>
      <c r="L415" s="1080"/>
      <c r="M415" s="1080"/>
      <c r="N415" s="1080"/>
      <c r="O415" s="1031">
        <f>O413-130059</f>
        <v>14240247</v>
      </c>
      <c r="P415" s="1031"/>
      <c r="Q415" s="1031"/>
      <c r="R415" s="1031"/>
      <c r="S415" s="1031"/>
      <c r="T415" s="1031"/>
      <c r="U415" s="1031"/>
      <c r="V415" s="1031"/>
      <c r="W415" s="1031"/>
      <c r="X415" s="1031"/>
      <c r="Y415" s="1031"/>
      <c r="Z415" s="1031"/>
      <c r="AA415" s="1031"/>
      <c r="AB415" s="1031"/>
      <c r="AC415" s="1031"/>
      <c r="AD415" s="1031"/>
      <c r="AE415" s="1031"/>
      <c r="AF415" s="1031"/>
      <c r="AG415" s="1031"/>
      <c r="AH415" s="1031"/>
      <c r="AI415" s="1031"/>
      <c r="AJ415" s="1031"/>
      <c r="AK415" s="1031"/>
      <c r="AL415" s="1031"/>
      <c r="AM415" s="1031"/>
      <c r="AN415" s="1031"/>
      <c r="AO415" s="1031"/>
      <c r="AP415" s="1031"/>
      <c r="AQ415" s="1031"/>
      <c r="AR415" s="1031"/>
      <c r="AS415" s="1031">
        <f t="shared" si="214"/>
        <v>0</v>
      </c>
      <c r="AT415" s="2271" t="str">
        <f t="shared" si="215"/>
        <v/>
      </c>
      <c r="AU415" s="803"/>
      <c r="AW415" s="715"/>
      <c r="AX415" s="806"/>
      <c r="AZ415" s="2136"/>
      <c r="BA415" s="2136"/>
    </row>
    <row r="416" spans="1:54" ht="13.9" hidden="1" customHeight="1" x14ac:dyDescent="0.2">
      <c r="A416" s="1179" t="s">
        <v>171</v>
      </c>
      <c r="B416" s="823"/>
      <c r="C416" s="823"/>
      <c r="D416" s="823"/>
      <c r="E416" s="825"/>
      <c r="F416" s="825"/>
      <c r="G416" s="1180"/>
      <c r="H416" s="1180"/>
      <c r="I416" s="1180"/>
      <c r="J416" s="1181"/>
      <c r="K416" s="1182"/>
      <c r="L416" s="1183"/>
      <c r="M416" s="1183"/>
      <c r="N416" s="1183"/>
      <c r="O416" s="1182"/>
      <c r="P416" s="1182"/>
      <c r="Q416" s="1182"/>
      <c r="R416" s="1182"/>
      <c r="S416" s="1182"/>
      <c r="T416" s="1182"/>
      <c r="U416" s="1182"/>
      <c r="V416" s="1182"/>
      <c r="W416" s="1182"/>
      <c r="X416" s="1182"/>
      <c r="Y416" s="1182"/>
      <c r="Z416" s="1182"/>
      <c r="AA416" s="1182"/>
      <c r="AB416" s="1182"/>
      <c r="AC416" s="1182"/>
      <c r="AD416" s="1182"/>
      <c r="AE416" s="1182"/>
      <c r="AF416" s="1182"/>
      <c r="AG416" s="1182"/>
      <c r="AH416" s="1182"/>
      <c r="AI416" s="1182"/>
      <c r="AJ416" s="1182"/>
      <c r="AK416" s="1182"/>
      <c r="AL416" s="1182"/>
      <c r="AM416" s="1182"/>
      <c r="AN416" s="1182"/>
      <c r="AO416" s="1182"/>
      <c r="AP416" s="1182"/>
      <c r="AQ416" s="1182"/>
      <c r="AR416" s="1182"/>
      <c r="AS416" s="1182">
        <f t="shared" si="214"/>
        <v>0</v>
      </c>
      <c r="AT416" s="2272" t="str">
        <f t="shared" si="215"/>
        <v/>
      </c>
      <c r="AU416" s="1184"/>
      <c r="AV416" s="1185"/>
      <c r="AW416" s="1186"/>
      <c r="AX416" s="1187"/>
      <c r="AY416" s="1188"/>
      <c r="AZ416" s="2136"/>
      <c r="BA416" s="2136"/>
    </row>
    <row r="417" spans="1:54" ht="13.9" hidden="1" customHeight="1" outlineLevel="1" x14ac:dyDescent="0.2">
      <c r="A417" s="1040" t="s">
        <v>567</v>
      </c>
      <c r="B417" s="799">
        <v>54553</v>
      </c>
      <c r="C417" s="797">
        <v>54553</v>
      </c>
      <c r="D417" s="797">
        <v>56190</v>
      </c>
      <c r="E417" s="797">
        <v>55396.37</v>
      </c>
      <c r="F417" s="798">
        <v>56190</v>
      </c>
      <c r="G417" s="798">
        <v>56190</v>
      </c>
      <c r="H417" s="798">
        <v>57460</v>
      </c>
      <c r="I417" s="798"/>
      <c r="J417" s="839">
        <v>60336</v>
      </c>
      <c r="K417" s="817"/>
      <c r="L417" s="876">
        <v>61687</v>
      </c>
      <c r="M417" s="876">
        <v>63333</v>
      </c>
      <c r="N417" s="1189">
        <v>67371</v>
      </c>
      <c r="O417" s="817">
        <f>N417</f>
        <v>67371</v>
      </c>
      <c r="P417" s="817">
        <v>67371</v>
      </c>
      <c r="Q417" s="817">
        <v>67371</v>
      </c>
      <c r="R417" s="817">
        <v>67371</v>
      </c>
      <c r="S417" s="817">
        <v>67371</v>
      </c>
      <c r="T417" s="817">
        <v>73092</v>
      </c>
      <c r="U417" s="817">
        <v>73092</v>
      </c>
      <c r="V417" s="817">
        <v>77240</v>
      </c>
      <c r="W417" s="817">
        <f>V417</f>
        <v>77240</v>
      </c>
      <c r="X417" s="817">
        <v>81073</v>
      </c>
      <c r="Y417" s="817">
        <v>81073</v>
      </c>
      <c r="Z417" s="817">
        <v>85299</v>
      </c>
      <c r="AA417" s="817">
        <f>Z417</f>
        <v>85299</v>
      </c>
      <c r="AB417" s="817">
        <v>91410</v>
      </c>
      <c r="AC417" s="817">
        <f>AB417</f>
        <v>91410</v>
      </c>
      <c r="AD417" s="817"/>
      <c r="AE417" s="817">
        <v>95391.2</v>
      </c>
      <c r="AF417" s="843"/>
      <c r="AG417" s="843">
        <v>100159</v>
      </c>
      <c r="AH417" s="817">
        <v>100159</v>
      </c>
      <c r="AI417" s="817">
        <v>105670</v>
      </c>
      <c r="AJ417" s="817">
        <v>105670</v>
      </c>
      <c r="AK417" s="817">
        <v>105670</v>
      </c>
      <c r="AL417" s="817">
        <v>108113</v>
      </c>
      <c r="AM417" s="817">
        <f>AL417</f>
        <v>108113</v>
      </c>
      <c r="AN417" s="817">
        <v>109493</v>
      </c>
      <c r="AO417" s="817">
        <v>109493</v>
      </c>
      <c r="AP417" s="817">
        <v>111664</v>
      </c>
      <c r="AQ417" s="817"/>
      <c r="AR417" s="817">
        <f>'[2]WATER 061'!$BX$8</f>
        <v>116544</v>
      </c>
      <c r="AS417" s="817">
        <f t="shared" si="214"/>
        <v>4880</v>
      </c>
      <c r="AT417" s="2240">
        <f t="shared" si="215"/>
        <v>4.3702536179968478E-2</v>
      </c>
      <c r="AU417" s="854"/>
      <c r="AV417" s="819"/>
      <c r="AW417" s="797">
        <f t="shared" ref="AW417:AW422" si="226">SUM(AU417-H417)</f>
        <v>-57460</v>
      </c>
      <c r="AX417" s="805">
        <f t="shared" ref="AX417:AX422" si="227">IF(H417&gt;0,AW417/H417,"")</f>
        <v>-1</v>
      </c>
      <c r="AY417" s="931"/>
      <c r="AZ417" s="2136"/>
      <c r="BA417" s="2136"/>
      <c r="BB417" s="2148"/>
    </row>
    <row r="418" spans="1:54" ht="13.9" hidden="1" customHeight="1" outlineLevel="1" x14ac:dyDescent="0.2">
      <c r="A418" s="808" t="s">
        <v>558</v>
      </c>
      <c r="B418" s="799">
        <v>129645</v>
      </c>
      <c r="C418" s="797">
        <v>124049.68</v>
      </c>
      <c r="D418" s="797">
        <v>135073</v>
      </c>
      <c r="E418" s="797">
        <v>114571.18</v>
      </c>
      <c r="F418" s="798">
        <v>135073</v>
      </c>
      <c r="G418" s="798">
        <v>124316.24</v>
      </c>
      <c r="H418" s="798">
        <v>136960</v>
      </c>
      <c r="I418" s="798"/>
      <c r="J418" s="839">
        <v>147282</v>
      </c>
      <c r="K418" s="817"/>
      <c r="L418" s="876">
        <v>140355.51</v>
      </c>
      <c r="M418" s="840">
        <v>155121</v>
      </c>
      <c r="N418" s="1189">
        <v>159639</v>
      </c>
      <c r="O418" s="817">
        <f>N418</f>
        <v>159639</v>
      </c>
      <c r="P418" s="817">
        <v>156766</v>
      </c>
      <c r="Q418" s="817">
        <v>156766</v>
      </c>
      <c r="R418" s="817">
        <v>146234</v>
      </c>
      <c r="S418" s="817">
        <v>146234</v>
      </c>
      <c r="T418" s="817">
        <v>148082</v>
      </c>
      <c r="U418" s="817">
        <v>148082</v>
      </c>
      <c r="V418" s="817">
        <v>155791</v>
      </c>
      <c r="W418" s="817">
        <f>V418</f>
        <v>155791</v>
      </c>
      <c r="X418" s="817">
        <v>177577</v>
      </c>
      <c r="Y418" s="817">
        <v>177577</v>
      </c>
      <c r="Z418" s="817">
        <v>192667</v>
      </c>
      <c r="AA418" s="817">
        <f>Z418</f>
        <v>192667</v>
      </c>
      <c r="AB418" s="817">
        <v>199275</v>
      </c>
      <c r="AC418" s="817">
        <f>AB418</f>
        <v>199275</v>
      </c>
      <c r="AD418" s="817"/>
      <c r="AE418" s="817">
        <v>200729.88</v>
      </c>
      <c r="AF418" s="843"/>
      <c r="AG418" s="843">
        <v>202380</v>
      </c>
      <c r="AH418" s="817">
        <v>202380</v>
      </c>
      <c r="AI418" s="817">
        <v>272717</v>
      </c>
      <c r="AJ418" s="817">
        <v>272717</v>
      </c>
      <c r="AK418" s="817">
        <v>272717</v>
      </c>
      <c r="AL418" s="817">
        <v>253442</v>
      </c>
      <c r="AM418" s="817">
        <f>AL418</f>
        <v>253442</v>
      </c>
      <c r="AN418" s="817">
        <v>256682</v>
      </c>
      <c r="AO418" s="817">
        <v>256682</v>
      </c>
      <c r="AP418" s="817">
        <v>285549.25</v>
      </c>
      <c r="AQ418" s="817"/>
      <c r="AR418" s="817">
        <f>'[3]WATER 061'!$BX$19</f>
        <v>280340</v>
      </c>
      <c r="AS418" s="817">
        <f t="shared" si="214"/>
        <v>-5209.25</v>
      </c>
      <c r="AT418" s="2240">
        <f t="shared" si="215"/>
        <v>-1.8242912562368839E-2</v>
      </c>
      <c r="AU418" s="854"/>
      <c r="AV418" s="819"/>
      <c r="AW418" s="797">
        <f t="shared" si="226"/>
        <v>-136960</v>
      </c>
      <c r="AX418" s="805">
        <f t="shared" si="227"/>
        <v>-1</v>
      </c>
      <c r="AY418" s="931"/>
      <c r="AZ418" s="2136"/>
      <c r="BA418" s="2136"/>
      <c r="BB418" s="2148"/>
    </row>
    <row r="419" spans="1:54" ht="13.9" hidden="1" customHeight="1" outlineLevel="1" x14ac:dyDescent="0.2">
      <c r="A419" s="808" t="s">
        <v>820</v>
      </c>
      <c r="B419" s="799">
        <v>203553</v>
      </c>
      <c r="C419" s="797">
        <f>SUM(161118.9+1659.5)</f>
        <v>162778.4</v>
      </c>
      <c r="D419" s="797">
        <v>194203</v>
      </c>
      <c r="E419" s="797">
        <v>184167.07</v>
      </c>
      <c r="F419" s="798">
        <v>193398</v>
      </c>
      <c r="G419" s="798">
        <f>180793.14+8691.37</f>
        <v>189484.51</v>
      </c>
      <c r="H419" s="798">
        <v>198238</v>
      </c>
      <c r="I419" s="798"/>
      <c r="J419" s="839">
        <v>214452</v>
      </c>
      <c r="K419" s="817"/>
      <c r="L419" s="845">
        <v>263938.78000000003</v>
      </c>
      <c r="M419" s="845">
        <v>224143</v>
      </c>
      <c r="N419" s="1131">
        <v>221284</v>
      </c>
      <c r="O419" s="817">
        <f>N419</f>
        <v>221284</v>
      </c>
      <c r="P419" s="817">
        <v>232940</v>
      </c>
      <c r="Q419" s="817">
        <v>232940</v>
      </c>
      <c r="R419" s="817">
        <v>232130</v>
      </c>
      <c r="S419" s="817">
        <v>232130</v>
      </c>
      <c r="T419" s="817">
        <v>265330</v>
      </c>
      <c r="U419" s="817">
        <v>265330</v>
      </c>
      <c r="V419" s="817">
        <v>273054</v>
      </c>
      <c r="W419" s="817">
        <f>V419</f>
        <v>273054</v>
      </c>
      <c r="X419" s="817">
        <v>296980</v>
      </c>
      <c r="Y419" s="817">
        <v>296980</v>
      </c>
      <c r="Z419" s="817">
        <v>305780</v>
      </c>
      <c r="AA419" s="817">
        <f>Z419</f>
        <v>305780</v>
      </c>
      <c r="AB419" s="817">
        <v>323630</v>
      </c>
      <c r="AC419" s="817">
        <f>AB419</f>
        <v>323630</v>
      </c>
      <c r="AD419" s="817"/>
      <c r="AE419" s="817">
        <v>349180</v>
      </c>
      <c r="AF419" s="843"/>
      <c r="AG419" s="843">
        <v>349180</v>
      </c>
      <c r="AH419" s="817">
        <v>349180</v>
      </c>
      <c r="AI419" s="817">
        <v>415824</v>
      </c>
      <c r="AJ419" s="817">
        <v>415824</v>
      </c>
      <c r="AK419" s="817"/>
      <c r="AL419" s="817">
        <v>410455</v>
      </c>
      <c r="AM419" s="817">
        <f>AL419</f>
        <v>410455</v>
      </c>
      <c r="AN419" s="817">
        <v>434930</v>
      </c>
      <c r="AO419" s="817">
        <v>434930</v>
      </c>
      <c r="AP419" s="817">
        <v>419550</v>
      </c>
      <c r="AQ419" s="817"/>
      <c r="AR419" s="817">
        <f>'[3]WATER 061'!$BX$71</f>
        <v>441350</v>
      </c>
      <c r="AS419" s="817">
        <f t="shared" si="214"/>
        <v>21800</v>
      </c>
      <c r="AT419" s="2240">
        <f t="shared" si="215"/>
        <v>5.1960433798117031E-2</v>
      </c>
      <c r="AU419" s="854"/>
      <c r="AV419" s="819"/>
      <c r="AW419" s="797">
        <f t="shared" si="226"/>
        <v>-198238</v>
      </c>
      <c r="AX419" s="805">
        <f t="shared" si="227"/>
        <v>-1</v>
      </c>
      <c r="AY419" s="820"/>
      <c r="AZ419" s="2136"/>
      <c r="BA419" s="2136"/>
      <c r="BB419" s="2143"/>
    </row>
    <row r="420" spans="1:54" ht="13.9" hidden="1" customHeight="1" outlineLevel="1" x14ac:dyDescent="0.2">
      <c r="A420" s="808" t="s">
        <v>543</v>
      </c>
      <c r="B420" s="799">
        <v>0</v>
      </c>
      <c r="C420" s="797">
        <v>0</v>
      </c>
      <c r="D420" s="797">
        <v>0</v>
      </c>
      <c r="E420" s="797">
        <v>0</v>
      </c>
      <c r="F420" s="798"/>
      <c r="G420" s="798"/>
      <c r="H420" s="798"/>
      <c r="I420" s="798"/>
      <c r="J420" s="839">
        <v>0</v>
      </c>
      <c r="K420" s="817"/>
      <c r="L420" s="893"/>
      <c r="M420" s="893"/>
      <c r="N420" s="1131"/>
      <c r="O420" s="817"/>
      <c r="P420" s="817"/>
      <c r="Q420" s="817"/>
      <c r="R420" s="817"/>
      <c r="S420" s="817"/>
      <c r="T420" s="817"/>
      <c r="U420" s="817"/>
      <c r="V420" s="817"/>
      <c r="W420" s="817"/>
      <c r="X420" s="817"/>
      <c r="Y420" s="817"/>
      <c r="Z420" s="817"/>
      <c r="AA420" s="817"/>
      <c r="AB420" s="817"/>
      <c r="AC420" s="817"/>
      <c r="AD420" s="817"/>
      <c r="AE420" s="817"/>
      <c r="AF420" s="843"/>
      <c r="AG420" s="843"/>
      <c r="AH420" s="817"/>
      <c r="AI420" s="817"/>
      <c r="AJ420" s="817"/>
      <c r="AK420" s="817"/>
      <c r="AL420" s="817"/>
      <c r="AM420" s="817"/>
      <c r="AN420" s="817"/>
      <c r="AO420" s="817"/>
      <c r="AP420" s="817"/>
      <c r="AQ420" s="817"/>
      <c r="AR420" s="817"/>
      <c r="AS420" s="817">
        <f t="shared" si="214"/>
        <v>0</v>
      </c>
      <c r="AT420" s="2240" t="str">
        <f t="shared" si="215"/>
        <v/>
      </c>
      <c r="AU420" s="854"/>
      <c r="AV420" s="819"/>
      <c r="AW420" s="797">
        <f t="shared" si="226"/>
        <v>0</v>
      </c>
      <c r="AX420" s="805" t="str">
        <f t="shared" si="227"/>
        <v/>
      </c>
      <c r="AY420" s="820"/>
      <c r="AZ420" s="2136"/>
      <c r="BA420" s="2136"/>
      <c r="BB420" s="2143"/>
    </row>
    <row r="421" spans="1:54" ht="13.9" hidden="1" customHeight="1" outlineLevel="1" x14ac:dyDescent="0.2">
      <c r="A421" s="808" t="s">
        <v>750</v>
      </c>
      <c r="B421" s="799">
        <v>0</v>
      </c>
      <c r="C421" s="797">
        <v>0</v>
      </c>
      <c r="D421" s="797">
        <v>0</v>
      </c>
      <c r="E421" s="797">
        <v>0</v>
      </c>
      <c r="F421" s="798"/>
      <c r="G421" s="798"/>
      <c r="H421" s="798"/>
      <c r="I421" s="798"/>
      <c r="J421" s="839"/>
      <c r="K421" s="817"/>
      <c r="L421" s="893"/>
      <c r="M421" s="893"/>
      <c r="N421" s="1131"/>
      <c r="O421" s="817"/>
      <c r="P421" s="817"/>
      <c r="Q421" s="817"/>
      <c r="R421" s="817"/>
      <c r="S421" s="817"/>
      <c r="T421" s="817"/>
      <c r="U421" s="817"/>
      <c r="V421" s="817"/>
      <c r="W421" s="817"/>
      <c r="X421" s="817"/>
      <c r="Y421" s="817"/>
      <c r="Z421" s="817"/>
      <c r="AA421" s="817"/>
      <c r="AB421" s="817"/>
      <c r="AC421" s="817"/>
      <c r="AD421" s="817"/>
      <c r="AE421" s="817"/>
      <c r="AF421" s="843"/>
      <c r="AG421" s="843"/>
      <c r="AH421" s="817"/>
      <c r="AI421" s="817"/>
      <c r="AJ421" s="817"/>
      <c r="AK421" s="817"/>
      <c r="AL421" s="817"/>
      <c r="AM421" s="817"/>
      <c r="AN421" s="817"/>
      <c r="AO421" s="817"/>
      <c r="AP421" s="817"/>
      <c r="AQ421" s="817"/>
      <c r="AR421" s="817"/>
      <c r="AS421" s="817">
        <f t="shared" si="214"/>
        <v>0</v>
      </c>
      <c r="AT421" s="2240" t="str">
        <f t="shared" si="215"/>
        <v/>
      </c>
      <c r="AU421" s="854"/>
      <c r="AV421" s="819"/>
      <c r="AW421" s="797">
        <f t="shared" si="226"/>
        <v>0</v>
      </c>
      <c r="AX421" s="805" t="str">
        <f t="shared" si="227"/>
        <v/>
      </c>
      <c r="AY421" s="820"/>
      <c r="AZ421" s="2136"/>
      <c r="BA421" s="2136"/>
      <c r="BB421" s="2143"/>
    </row>
    <row r="422" spans="1:54" ht="13.9" hidden="1" customHeight="1" outlineLevel="1" x14ac:dyDescent="0.2">
      <c r="A422" s="808" t="s">
        <v>751</v>
      </c>
      <c r="B422" s="799">
        <v>80000</v>
      </c>
      <c r="C422" s="797">
        <v>80000</v>
      </c>
      <c r="D422" s="797">
        <v>5000</v>
      </c>
      <c r="E422" s="797">
        <v>5000</v>
      </c>
      <c r="F422" s="798">
        <v>5500</v>
      </c>
      <c r="G422" s="798">
        <v>5500</v>
      </c>
      <c r="H422" s="798">
        <v>5500</v>
      </c>
      <c r="I422" s="798"/>
      <c r="J422" s="839">
        <v>6000</v>
      </c>
      <c r="K422" s="817"/>
      <c r="L422" s="1190">
        <f>J422</f>
        <v>6000</v>
      </c>
      <c r="M422" s="1190">
        <v>6500</v>
      </c>
      <c r="N422" s="1131">
        <v>7000</v>
      </c>
      <c r="O422" s="817">
        <f t="shared" ref="O422:Q423" si="228">N422</f>
        <v>7000</v>
      </c>
      <c r="P422" s="817">
        <f t="shared" si="228"/>
        <v>7000</v>
      </c>
      <c r="Q422" s="817">
        <f t="shared" si="228"/>
        <v>7000</v>
      </c>
      <c r="R422" s="1191">
        <v>82500</v>
      </c>
      <c r="S422" s="1191">
        <v>83300</v>
      </c>
      <c r="T422" s="1191">
        <v>83500</v>
      </c>
      <c r="U422" s="1191">
        <v>83500</v>
      </c>
      <c r="V422" s="1191">
        <v>84000</v>
      </c>
      <c r="W422" s="817">
        <f>V422</f>
        <v>84000</v>
      </c>
      <c r="X422" s="1191">
        <v>83500</v>
      </c>
      <c r="Y422" s="1191">
        <v>83500</v>
      </c>
      <c r="Z422" s="1191">
        <v>84000</v>
      </c>
      <c r="AA422" s="817">
        <f>Z422</f>
        <v>84000</v>
      </c>
      <c r="AB422" s="1191">
        <v>79500</v>
      </c>
      <c r="AC422" s="817">
        <f>AB422</f>
        <v>79500</v>
      </c>
      <c r="AD422" s="817"/>
      <c r="AE422" s="817">
        <v>79500</v>
      </c>
      <c r="AF422" s="843"/>
      <c r="AG422" s="843">
        <v>152500</v>
      </c>
      <c r="AH422" s="817">
        <v>152500</v>
      </c>
      <c r="AI422" s="817">
        <v>529000</v>
      </c>
      <c r="AJ422" s="817">
        <v>529000</v>
      </c>
      <c r="AK422" s="817">
        <v>529000</v>
      </c>
      <c r="AL422" s="817">
        <v>655000</v>
      </c>
      <c r="AM422" s="817">
        <f>AL422</f>
        <v>655000</v>
      </c>
      <c r="AN422" s="817">
        <v>659300</v>
      </c>
      <c r="AO422" s="817">
        <v>659300</v>
      </c>
      <c r="AP422" s="817">
        <v>652300</v>
      </c>
      <c r="AQ422" s="817"/>
      <c r="AR422" s="817">
        <f>'[3]WATER 061'!$BX$73</f>
        <v>650500</v>
      </c>
      <c r="AS422" s="817">
        <f t="shared" si="214"/>
        <v>-1800</v>
      </c>
      <c r="AT422" s="2240">
        <f t="shared" si="215"/>
        <v>-2.7594665031427257E-3</v>
      </c>
      <c r="AU422" s="854"/>
      <c r="AV422" s="819"/>
      <c r="AW422" s="797">
        <f t="shared" si="226"/>
        <v>-5500</v>
      </c>
      <c r="AX422" s="805">
        <f t="shared" si="227"/>
        <v>-1</v>
      </c>
      <c r="AY422" s="820"/>
      <c r="AZ422" s="2136"/>
      <c r="BA422" s="2136"/>
      <c r="BB422" s="2159"/>
    </row>
    <row r="423" spans="1:54" ht="13.9" hidden="1" customHeight="1" outlineLevel="1" x14ac:dyDescent="0.2">
      <c r="A423" s="808" t="s">
        <v>138</v>
      </c>
      <c r="B423" s="799"/>
      <c r="C423" s="797"/>
      <c r="D423" s="797"/>
      <c r="E423" s="797"/>
      <c r="F423" s="798"/>
      <c r="G423" s="798"/>
      <c r="H423" s="798"/>
      <c r="I423" s="798"/>
      <c r="J423" s="839"/>
      <c r="K423" s="817"/>
      <c r="L423" s="1190">
        <v>0</v>
      </c>
      <c r="M423" s="1190">
        <f>15000</f>
        <v>15000</v>
      </c>
      <c r="N423" s="1131">
        <v>15000</v>
      </c>
      <c r="O423" s="817">
        <f t="shared" si="228"/>
        <v>15000</v>
      </c>
      <c r="P423" s="817">
        <f t="shared" si="228"/>
        <v>15000</v>
      </c>
      <c r="Q423" s="817">
        <f t="shared" si="228"/>
        <v>15000</v>
      </c>
      <c r="R423" s="1191">
        <v>0</v>
      </c>
      <c r="S423" s="1191">
        <f>R423</f>
        <v>0</v>
      </c>
      <c r="T423" s="1191">
        <v>0</v>
      </c>
      <c r="U423" s="1191">
        <v>0</v>
      </c>
      <c r="V423" s="1191">
        <v>0</v>
      </c>
      <c r="W423" s="1191">
        <f>V423</f>
        <v>0</v>
      </c>
      <c r="X423" s="1191">
        <v>0</v>
      </c>
      <c r="Y423" s="1191">
        <v>0</v>
      </c>
      <c r="Z423" s="1191">
        <v>0</v>
      </c>
      <c r="AA423" s="1191">
        <v>0</v>
      </c>
      <c r="AB423" s="1191">
        <v>55000</v>
      </c>
      <c r="AC423" s="817">
        <f>AB423</f>
        <v>55000</v>
      </c>
      <c r="AD423" s="817"/>
      <c r="AE423" s="817">
        <v>207000</v>
      </c>
      <c r="AF423" s="843"/>
      <c r="AG423" s="843"/>
      <c r="AH423" s="817"/>
      <c r="AI423" s="817"/>
      <c r="AJ423" s="817"/>
      <c r="AK423" s="817"/>
      <c r="AL423" s="817"/>
      <c r="AM423" s="817"/>
      <c r="AN423" s="817"/>
      <c r="AO423" s="817"/>
      <c r="AP423" s="817"/>
      <c r="AQ423" s="817"/>
      <c r="AR423" s="817"/>
      <c r="AS423" s="817">
        <f t="shared" si="214"/>
        <v>0</v>
      </c>
      <c r="AT423" s="2240" t="str">
        <f t="shared" si="215"/>
        <v/>
      </c>
      <c r="AU423" s="854"/>
      <c r="AV423" s="819"/>
      <c r="AW423" s="797"/>
      <c r="AX423" s="805"/>
      <c r="AY423" s="820"/>
      <c r="AZ423" s="2136"/>
      <c r="BA423" s="2136"/>
      <c r="BB423" s="2159"/>
    </row>
    <row r="424" spans="1:54" ht="13.9" hidden="1" customHeight="1" outlineLevel="1" x14ac:dyDescent="0.2">
      <c r="A424" s="808" t="s">
        <v>752</v>
      </c>
      <c r="B424" s="799">
        <v>8946</v>
      </c>
      <c r="C424" s="797">
        <v>8945.6299999999992</v>
      </c>
      <c r="D424" s="797">
        <v>6015</v>
      </c>
      <c r="E424" s="797">
        <v>6014.38</v>
      </c>
      <c r="F424" s="798">
        <v>5802</v>
      </c>
      <c r="G424" s="798">
        <v>5801.88</v>
      </c>
      <c r="H424" s="798">
        <v>5582</v>
      </c>
      <c r="I424" s="798"/>
      <c r="J424" s="839">
        <v>5361.88</v>
      </c>
      <c r="K424" s="817"/>
      <c r="L424" s="1190">
        <v>5122</v>
      </c>
      <c r="M424" s="1190">
        <v>4882</v>
      </c>
      <c r="N424" s="1131">
        <v>4622</v>
      </c>
      <c r="O424" s="817">
        <f t="shared" ref="O424:O429" si="229">N424</f>
        <v>4622</v>
      </c>
      <c r="P424" s="817">
        <v>4565</v>
      </c>
      <c r="Q424" s="817">
        <v>4565</v>
      </c>
      <c r="R424" s="1191">
        <v>23947</v>
      </c>
      <c r="S424" s="1191">
        <v>36576</v>
      </c>
      <c r="T424" s="1191">
        <v>34077</v>
      </c>
      <c r="U424" s="1191">
        <v>34077</v>
      </c>
      <c r="V424" s="1191">
        <v>31572</v>
      </c>
      <c r="W424" s="817">
        <f>V424</f>
        <v>31572</v>
      </c>
      <c r="X424" s="1191">
        <v>28211</v>
      </c>
      <c r="Y424" s="1191">
        <v>28212</v>
      </c>
      <c r="Z424" s="1191">
        <v>24872</v>
      </c>
      <c r="AA424" s="817">
        <f t="shared" ref="AA424:AC429" si="230">Z424</f>
        <v>24872</v>
      </c>
      <c r="AB424" s="1191">
        <v>23191</v>
      </c>
      <c r="AC424" s="817">
        <f t="shared" si="230"/>
        <v>23191</v>
      </c>
      <c r="AD424" s="817"/>
      <c r="AE424" s="817">
        <v>21192</v>
      </c>
      <c r="AF424" s="843"/>
      <c r="AG424" s="843">
        <v>68578</v>
      </c>
      <c r="AH424" s="817">
        <v>68578</v>
      </c>
      <c r="AI424" s="817">
        <v>342695</v>
      </c>
      <c r="AJ424" s="817">
        <v>342695</v>
      </c>
      <c r="AK424" s="817">
        <v>342695</v>
      </c>
      <c r="AL424" s="817">
        <v>404125</v>
      </c>
      <c r="AM424" s="817">
        <f>AL424</f>
        <v>404125</v>
      </c>
      <c r="AN424" s="817">
        <v>366886</v>
      </c>
      <c r="AO424" s="817">
        <v>366886</v>
      </c>
      <c r="AP424" s="817">
        <v>337856</v>
      </c>
      <c r="AQ424" s="817"/>
      <c r="AR424" s="817">
        <f>'[3]WATER 061'!$BX$74</f>
        <v>310221</v>
      </c>
      <c r="AS424" s="817">
        <f t="shared" si="214"/>
        <v>-27635</v>
      </c>
      <c r="AT424" s="2240">
        <f t="shared" si="215"/>
        <v>-8.1795202689903396E-2</v>
      </c>
      <c r="AU424" s="854"/>
      <c r="AV424" s="819"/>
      <c r="AW424" s="797">
        <f>SUM(AU424-H424)</f>
        <v>-5582</v>
      </c>
      <c r="AX424" s="805">
        <f>IF(H424&gt;0,AW424/H424,"")</f>
        <v>-1</v>
      </c>
      <c r="AY424" s="820"/>
      <c r="AZ424" s="2136"/>
      <c r="BA424" s="2136"/>
      <c r="BB424" s="2159"/>
    </row>
    <row r="425" spans="1:54" ht="13.9" hidden="1" customHeight="1" outlineLevel="1" x14ac:dyDescent="0.2">
      <c r="A425" s="808" t="s">
        <v>137</v>
      </c>
      <c r="B425" s="799"/>
      <c r="C425" s="797"/>
      <c r="D425" s="797"/>
      <c r="E425" s="797"/>
      <c r="F425" s="798"/>
      <c r="G425" s="798"/>
      <c r="H425" s="798"/>
      <c r="I425" s="798"/>
      <c r="J425" s="839">
        <v>2000</v>
      </c>
      <c r="K425" s="1192"/>
      <c r="L425" s="1190">
        <v>35</v>
      </c>
      <c r="M425" s="1190">
        <v>2000</v>
      </c>
      <c r="N425" s="1131">
        <v>2000</v>
      </c>
      <c r="O425" s="817">
        <f t="shared" si="229"/>
        <v>2000</v>
      </c>
      <c r="P425" s="817">
        <f>O425</f>
        <v>2000</v>
      </c>
      <c r="Q425" s="817">
        <f>P425</f>
        <v>2000</v>
      </c>
      <c r="R425" s="817">
        <v>0</v>
      </c>
      <c r="S425" s="817">
        <f>R425</f>
        <v>0</v>
      </c>
      <c r="T425" s="817">
        <v>0</v>
      </c>
      <c r="U425" s="817">
        <v>0</v>
      </c>
      <c r="V425" s="817">
        <v>5000</v>
      </c>
      <c r="W425" s="817">
        <f>V425</f>
        <v>5000</v>
      </c>
      <c r="X425" s="817">
        <v>5000</v>
      </c>
      <c r="Y425" s="817">
        <v>5000</v>
      </c>
      <c r="Z425" s="817">
        <v>5000</v>
      </c>
      <c r="AA425" s="817">
        <f t="shared" si="230"/>
        <v>5000</v>
      </c>
      <c r="AB425" s="817">
        <v>5000</v>
      </c>
      <c r="AC425" s="817">
        <f t="shared" si="230"/>
        <v>5000</v>
      </c>
      <c r="AD425" s="817"/>
      <c r="AE425" s="817">
        <v>5000</v>
      </c>
      <c r="AF425" s="843">
        <v>0</v>
      </c>
      <c r="AG425" s="843">
        <v>5000</v>
      </c>
      <c r="AH425" s="817">
        <v>5000</v>
      </c>
      <c r="AI425" s="817">
        <v>5000</v>
      </c>
      <c r="AJ425" s="817">
        <v>5000</v>
      </c>
      <c r="AK425" s="817">
        <v>5000</v>
      </c>
      <c r="AL425" s="817"/>
      <c r="AM425" s="817">
        <f>AL425</f>
        <v>0</v>
      </c>
      <c r="AN425" s="817"/>
      <c r="AO425" s="817">
        <f>AN425</f>
        <v>0</v>
      </c>
      <c r="AP425" s="817"/>
      <c r="AQ425" s="817"/>
      <c r="AR425" s="817"/>
      <c r="AS425" s="817">
        <f t="shared" si="214"/>
        <v>0</v>
      </c>
      <c r="AT425" s="2240" t="str">
        <f t="shared" si="215"/>
        <v/>
      </c>
      <c r="AU425" s="854"/>
      <c r="AV425" s="819"/>
      <c r="AW425" s="797"/>
      <c r="AX425" s="805"/>
      <c r="AY425" s="820"/>
      <c r="AZ425" s="2136"/>
      <c r="BA425" s="2136"/>
      <c r="BB425" s="2143"/>
    </row>
    <row r="426" spans="1:54" ht="13.9" hidden="1" customHeight="1" outlineLevel="1" x14ac:dyDescent="0.2">
      <c r="A426" s="808" t="s">
        <v>753</v>
      </c>
      <c r="B426" s="799">
        <v>0</v>
      </c>
      <c r="C426" s="797">
        <v>0</v>
      </c>
      <c r="D426" s="797">
        <v>0</v>
      </c>
      <c r="E426" s="797"/>
      <c r="F426" s="798"/>
      <c r="G426" s="798"/>
      <c r="H426" s="798"/>
      <c r="I426" s="798"/>
      <c r="J426" s="839">
        <v>25000</v>
      </c>
      <c r="K426" s="817"/>
      <c r="L426" s="1190">
        <v>20512.86</v>
      </c>
      <c r="M426" s="1190">
        <v>19000</v>
      </c>
      <c r="N426" s="1131">
        <v>40000</v>
      </c>
      <c r="O426" s="817">
        <f t="shared" si="229"/>
        <v>40000</v>
      </c>
      <c r="P426" s="817">
        <f>O426</f>
        <v>40000</v>
      </c>
      <c r="Q426" s="817">
        <f>P426</f>
        <v>40000</v>
      </c>
      <c r="R426" s="1191">
        <v>0</v>
      </c>
      <c r="S426" s="1191">
        <f>R426</f>
        <v>0</v>
      </c>
      <c r="T426" s="1191">
        <v>0</v>
      </c>
      <c r="U426" s="1191">
        <v>0</v>
      </c>
      <c r="V426" s="1191">
        <v>20000</v>
      </c>
      <c r="W426" s="1191">
        <f>V426</f>
        <v>20000</v>
      </c>
      <c r="X426" s="1191">
        <v>38000</v>
      </c>
      <c r="Y426" s="1191">
        <v>38000</v>
      </c>
      <c r="Z426" s="1191">
        <v>11508</v>
      </c>
      <c r="AA426" s="817">
        <f t="shared" si="230"/>
        <v>11508</v>
      </c>
      <c r="AB426" s="1191">
        <v>11598</v>
      </c>
      <c r="AC426" s="817">
        <f t="shared" si="230"/>
        <v>11598</v>
      </c>
      <c r="AD426" s="817"/>
      <c r="AE426" s="817">
        <v>29450</v>
      </c>
      <c r="AF426" s="817"/>
      <c r="AG426" s="817">
        <v>377634</v>
      </c>
      <c r="AH426" s="817">
        <v>377634</v>
      </c>
      <c r="AI426" s="817">
        <v>115375</v>
      </c>
      <c r="AJ426" s="817">
        <v>115375</v>
      </c>
      <c r="AK426" s="817">
        <v>115375</v>
      </c>
      <c r="AL426" s="817"/>
      <c r="AM426" s="817">
        <f>AL426</f>
        <v>0</v>
      </c>
      <c r="AN426" s="817"/>
      <c r="AO426" s="817">
        <f>AN426</f>
        <v>0</v>
      </c>
      <c r="AP426" s="817"/>
      <c r="AQ426" s="817"/>
      <c r="AR426" s="817">
        <f>SUM('[3]WATER 061'!$BX$76:$BX$77)</f>
        <v>45000</v>
      </c>
      <c r="AS426" s="817">
        <f t="shared" si="214"/>
        <v>45000</v>
      </c>
      <c r="AT426" s="2240" t="str">
        <f t="shared" si="215"/>
        <v/>
      </c>
      <c r="AU426" s="854"/>
      <c r="AV426" s="819"/>
      <c r="AW426" s="797">
        <f>SUM(AU426-H426)</f>
        <v>0</v>
      </c>
      <c r="AX426" s="805" t="str">
        <f>IF(H426&gt;0,AW426/H426,"")</f>
        <v/>
      </c>
      <c r="AY426" s="807"/>
      <c r="AZ426" s="2136"/>
      <c r="BA426" s="2136"/>
    </row>
    <row r="427" spans="1:54" ht="13.9" hidden="1" customHeight="1" outlineLevel="1" x14ac:dyDescent="0.2">
      <c r="A427" s="808" t="s">
        <v>334</v>
      </c>
      <c r="B427" s="799"/>
      <c r="C427" s="797"/>
      <c r="D427" s="797"/>
      <c r="E427" s="797"/>
      <c r="F427" s="798"/>
      <c r="G427" s="798"/>
      <c r="H427" s="798"/>
      <c r="I427" s="798"/>
      <c r="J427" s="839"/>
      <c r="K427" s="817"/>
      <c r="L427" s="815">
        <f>SUM(L422:L426)</f>
        <v>31669.86</v>
      </c>
      <c r="M427" s="1193">
        <f>SUM(M422:M426)</f>
        <v>47382</v>
      </c>
      <c r="N427" s="1149">
        <f>SUM(N422:N426)</f>
        <v>68622</v>
      </c>
      <c r="O427" s="817">
        <f t="shared" si="229"/>
        <v>68622</v>
      </c>
      <c r="P427" s="817">
        <v>68565</v>
      </c>
      <c r="Q427" s="817">
        <v>68565</v>
      </c>
      <c r="R427" s="1194">
        <f>SUM(R422:R426)</f>
        <v>106447</v>
      </c>
      <c r="S427" s="1195">
        <f>SUM(S422:S426)</f>
        <v>119876</v>
      </c>
      <c r="T427" s="1195">
        <v>117577</v>
      </c>
      <c r="U427" s="1195">
        <v>117577</v>
      </c>
      <c r="V427" s="1195">
        <f>SUM(V422:V426)</f>
        <v>140572</v>
      </c>
      <c r="W427" s="1195">
        <f>SUM(W422:W426)</f>
        <v>140572</v>
      </c>
      <c r="X427" s="1195">
        <f>SUM(X422:X426)</f>
        <v>154711</v>
      </c>
      <c r="Y427" s="1195">
        <f>SUM(Y422:Y426)</f>
        <v>154712</v>
      </c>
      <c r="Z427" s="1195">
        <f>SUM(Z422:Z426)</f>
        <v>125380</v>
      </c>
      <c r="AA427" s="1195">
        <f t="shared" si="230"/>
        <v>125380</v>
      </c>
      <c r="AB427" s="1195">
        <f>SUM(AB422:AB426)</f>
        <v>174289</v>
      </c>
      <c r="AC427" s="1195">
        <f>SUM(AC422:AC426)</f>
        <v>174289</v>
      </c>
      <c r="AD427" s="1195"/>
      <c r="AE427" s="1195">
        <v>342142</v>
      </c>
      <c r="AF427" s="1195">
        <v>0</v>
      </c>
      <c r="AG427" s="1195">
        <v>603712</v>
      </c>
      <c r="AH427" s="1195">
        <v>603712</v>
      </c>
      <c r="AI427" s="1195">
        <v>992070</v>
      </c>
      <c r="AJ427" s="1195">
        <v>992070</v>
      </c>
      <c r="AK427" s="1195">
        <v>992070</v>
      </c>
      <c r="AL427" s="1195">
        <v>1059125</v>
      </c>
      <c r="AM427" s="1195">
        <f t="shared" ref="AM427:AN427" si="231">SUM(AM422:AM426)</f>
        <v>1059125</v>
      </c>
      <c r="AN427" s="1195">
        <f t="shared" si="231"/>
        <v>1026186</v>
      </c>
      <c r="AO427" s="1195">
        <f t="shared" ref="AO427:AR427" si="232">SUM(AO422:AO426)</f>
        <v>1026186</v>
      </c>
      <c r="AP427" s="1195">
        <f t="shared" si="232"/>
        <v>990156</v>
      </c>
      <c r="AQ427" s="1195"/>
      <c r="AR427" s="1195">
        <f t="shared" si="232"/>
        <v>1005721</v>
      </c>
      <c r="AS427" s="1195">
        <f t="shared" si="214"/>
        <v>15565</v>
      </c>
      <c r="AT427" s="2273">
        <f t="shared" si="215"/>
        <v>1.571974517146793E-2</v>
      </c>
      <c r="AU427" s="854"/>
      <c r="AV427" s="819"/>
      <c r="AW427" s="797"/>
      <c r="AX427" s="805"/>
      <c r="AY427" s="807"/>
      <c r="AZ427" s="2136"/>
      <c r="BA427" s="2136"/>
    </row>
    <row r="428" spans="1:54" ht="13.9" hidden="1" customHeight="1" outlineLevel="1" x14ac:dyDescent="0.2">
      <c r="A428" s="808" t="s">
        <v>754</v>
      </c>
      <c r="B428" s="799">
        <v>50000</v>
      </c>
      <c r="C428" s="797">
        <v>0</v>
      </c>
      <c r="D428" s="797">
        <v>125000</v>
      </c>
      <c r="E428" s="797">
        <v>0</v>
      </c>
      <c r="F428" s="798">
        <v>121882</v>
      </c>
      <c r="G428" s="798">
        <v>0</v>
      </c>
      <c r="H428" s="798">
        <v>125000</v>
      </c>
      <c r="I428" s="798"/>
      <c r="J428" s="839">
        <v>125000</v>
      </c>
      <c r="K428" s="817"/>
      <c r="L428" s="845">
        <v>0</v>
      </c>
      <c r="M428" s="845">
        <v>100000</v>
      </c>
      <c r="N428" s="1131">
        <v>100000</v>
      </c>
      <c r="O428" s="817">
        <f t="shared" si="229"/>
        <v>100000</v>
      </c>
      <c r="P428" s="817">
        <f>O428</f>
        <v>100000</v>
      </c>
      <c r="Q428" s="817">
        <f>P428</f>
        <v>100000</v>
      </c>
      <c r="R428" s="817">
        <v>102515</v>
      </c>
      <c r="S428" s="817">
        <v>88000</v>
      </c>
      <c r="T428" s="817">
        <v>94000</v>
      </c>
      <c r="U428" s="817">
        <v>94000</v>
      </c>
      <c r="V428" s="817">
        <v>130000</v>
      </c>
      <c r="W428" s="817">
        <f>V428</f>
        <v>130000</v>
      </c>
      <c r="X428" s="817">
        <v>130000</v>
      </c>
      <c r="Y428" s="817">
        <v>130000</v>
      </c>
      <c r="Z428" s="817">
        <v>295000</v>
      </c>
      <c r="AA428" s="817">
        <f t="shared" si="230"/>
        <v>295000</v>
      </c>
      <c r="AB428" s="817">
        <v>356000</v>
      </c>
      <c r="AC428" s="817">
        <f t="shared" si="230"/>
        <v>356000</v>
      </c>
      <c r="AD428" s="817"/>
      <c r="AE428" s="817">
        <v>145000</v>
      </c>
      <c r="AF428" s="843"/>
      <c r="AG428" s="843">
        <v>0</v>
      </c>
      <c r="AH428" s="843"/>
      <c r="AI428" s="817">
        <v>50000</v>
      </c>
      <c r="AJ428" s="817">
        <v>50000</v>
      </c>
      <c r="AK428" s="817">
        <v>50000</v>
      </c>
      <c r="AL428" s="817">
        <v>50000</v>
      </c>
      <c r="AM428" s="817">
        <f>AL428</f>
        <v>50000</v>
      </c>
      <c r="AN428" s="817">
        <v>125000</v>
      </c>
      <c r="AO428" s="817">
        <v>125000</v>
      </c>
      <c r="AP428" s="817">
        <v>125000</v>
      </c>
      <c r="AQ428" s="817"/>
      <c r="AR428" s="817">
        <f>'[3]WATER 061'!$BX$82</f>
        <v>150000</v>
      </c>
      <c r="AS428" s="817">
        <f t="shared" si="214"/>
        <v>25000</v>
      </c>
      <c r="AT428" s="2240">
        <f t="shared" si="215"/>
        <v>0.2</v>
      </c>
      <c r="AU428" s="854"/>
      <c r="AV428" s="819"/>
      <c r="AW428" s="797">
        <f>SUM(AU428-H428)</f>
        <v>-125000</v>
      </c>
      <c r="AX428" s="805">
        <f>IF(H428&gt;0,AW428/H428,"")</f>
        <v>-1</v>
      </c>
      <c r="AY428" s="807"/>
      <c r="AZ428" s="2136"/>
      <c r="BA428" s="2136"/>
    </row>
    <row r="429" spans="1:54" ht="13.9" hidden="1" customHeight="1" outlineLevel="1" x14ac:dyDescent="0.2">
      <c r="A429" s="808" t="s">
        <v>662</v>
      </c>
      <c r="B429" s="799">
        <v>85000</v>
      </c>
      <c r="C429" s="797">
        <v>0</v>
      </c>
      <c r="D429" s="797">
        <v>85000</v>
      </c>
      <c r="E429" s="797">
        <v>0</v>
      </c>
      <c r="F429" s="798">
        <v>75000</v>
      </c>
      <c r="G429" s="798">
        <v>0</v>
      </c>
      <c r="H429" s="798">
        <v>75000</v>
      </c>
      <c r="I429" s="798"/>
      <c r="J429" s="839">
        <v>75000</v>
      </c>
      <c r="K429" s="817"/>
      <c r="L429" s="845">
        <v>0</v>
      </c>
      <c r="M429" s="845">
        <v>75000</v>
      </c>
      <c r="N429" s="1131">
        <v>75000</v>
      </c>
      <c r="O429" s="817">
        <f t="shared" si="229"/>
        <v>75000</v>
      </c>
      <c r="P429" s="817">
        <f>O429</f>
        <v>75000</v>
      </c>
      <c r="Q429" s="817">
        <f>P429</f>
        <v>75000</v>
      </c>
      <c r="R429" s="817">
        <f>Q429</f>
        <v>75000</v>
      </c>
      <c r="S429" s="817">
        <v>75000</v>
      </c>
      <c r="T429" s="817">
        <v>75000</v>
      </c>
      <c r="U429" s="817">
        <v>75000</v>
      </c>
      <c r="V429" s="817">
        <v>76500</v>
      </c>
      <c r="W429" s="817">
        <f>V429</f>
        <v>76500</v>
      </c>
      <c r="X429" s="817">
        <v>51500</v>
      </c>
      <c r="Y429" s="817">
        <v>51500</v>
      </c>
      <c r="Z429" s="817">
        <v>51500</v>
      </c>
      <c r="AA429" s="817">
        <f t="shared" si="230"/>
        <v>51500</v>
      </c>
      <c r="AB429" s="817">
        <v>52000</v>
      </c>
      <c r="AC429" s="817">
        <f t="shared" si="230"/>
        <v>52000</v>
      </c>
      <c r="AD429" s="817"/>
      <c r="AE429" s="817">
        <v>190000</v>
      </c>
      <c r="AF429" s="817"/>
      <c r="AG429" s="817">
        <v>300000</v>
      </c>
      <c r="AH429" s="817">
        <v>300000</v>
      </c>
      <c r="AI429" s="817">
        <v>100000</v>
      </c>
      <c r="AJ429" s="817">
        <v>100000</v>
      </c>
      <c r="AK429" s="817">
        <v>100000</v>
      </c>
      <c r="AL429" s="817">
        <v>230000</v>
      </c>
      <c r="AM429" s="817">
        <f>AL429</f>
        <v>230000</v>
      </c>
      <c r="AN429" s="817">
        <v>155000</v>
      </c>
      <c r="AO429" s="817">
        <v>155000</v>
      </c>
      <c r="AP429" s="817">
        <v>125000</v>
      </c>
      <c r="AQ429" s="817"/>
      <c r="AR429" s="817">
        <f>'[3]WATER 061'!$BX$81</f>
        <v>130000</v>
      </c>
      <c r="AS429" s="817">
        <f t="shared" si="214"/>
        <v>5000</v>
      </c>
      <c r="AT429" s="2240">
        <f t="shared" si="215"/>
        <v>0.04</v>
      </c>
      <c r="AU429" s="854"/>
      <c r="AV429" s="819"/>
      <c r="AW429" s="797">
        <f>SUM(AU429-H429)</f>
        <v>-75000</v>
      </c>
      <c r="AX429" s="805">
        <f>IF(H429&gt;0,AW429/H429,"")</f>
        <v>-1</v>
      </c>
      <c r="AY429" s="807"/>
      <c r="AZ429" s="2136"/>
      <c r="BA429" s="2136"/>
    </row>
    <row r="430" spans="1:54" ht="13.9" hidden="1" customHeight="1" outlineLevel="1" x14ac:dyDescent="0.2">
      <c r="A430" s="808" t="s">
        <v>729</v>
      </c>
      <c r="B430" s="796"/>
      <c r="C430" s="799"/>
      <c r="D430" s="797"/>
      <c r="E430" s="799"/>
      <c r="F430" s="798"/>
      <c r="G430" s="798"/>
      <c r="H430" s="823"/>
      <c r="I430" s="823"/>
      <c r="J430" s="884"/>
      <c r="K430" s="859"/>
      <c r="L430" s="865">
        <v>0</v>
      </c>
      <c r="M430" s="865"/>
      <c r="N430" s="1141"/>
      <c r="O430" s="859"/>
      <c r="P430" s="859"/>
      <c r="Q430" s="859"/>
      <c r="R430" s="859"/>
      <c r="S430" s="859"/>
      <c r="T430" s="859"/>
      <c r="U430" s="859"/>
      <c r="V430" s="859"/>
      <c r="W430" s="859"/>
      <c r="X430" s="859"/>
      <c r="Y430" s="859"/>
      <c r="Z430" s="859"/>
      <c r="AA430" s="859"/>
      <c r="AB430" s="859"/>
      <c r="AC430" s="859"/>
      <c r="AD430" s="859"/>
      <c r="AE430" s="859"/>
      <c r="AF430" s="859"/>
      <c r="AG430" s="859">
        <v>56710</v>
      </c>
      <c r="AH430" s="859">
        <v>56710</v>
      </c>
      <c r="AI430" s="859"/>
      <c r="AJ430" s="859"/>
      <c r="AK430" s="859"/>
      <c r="AL430" s="859"/>
      <c r="AM430" s="859"/>
      <c r="AN430" s="859"/>
      <c r="AO430" s="859"/>
      <c r="AP430" s="859"/>
      <c r="AQ430" s="859"/>
      <c r="AR430" s="859"/>
      <c r="AS430" s="859">
        <f t="shared" si="214"/>
        <v>0</v>
      </c>
      <c r="AT430" s="2239" t="str">
        <f t="shared" si="215"/>
        <v/>
      </c>
      <c r="AU430" s="854"/>
      <c r="AV430" s="819"/>
      <c r="AW430" s="797">
        <f>SUM(AU430-H430)</f>
        <v>0</v>
      </c>
      <c r="AX430" s="805" t="str">
        <f>IF(F430&gt;0,AW430/F430,"")</f>
        <v/>
      </c>
      <c r="AY430" s="807"/>
      <c r="AZ430" s="2136"/>
      <c r="BA430" s="2136"/>
    </row>
    <row r="431" spans="1:54" ht="13.9" hidden="1" customHeight="1" outlineLevel="1" thickBot="1" x14ac:dyDescent="0.25">
      <c r="A431" s="946" t="s">
        <v>420</v>
      </c>
      <c r="B431" s="947">
        <f t="shared" ref="B431:I431" si="233">SUM(B417:B430)</f>
        <v>611697</v>
      </c>
      <c r="C431" s="948">
        <f t="shared" si="233"/>
        <v>430326.70999999996</v>
      </c>
      <c r="D431" s="948">
        <f t="shared" si="233"/>
        <v>606481</v>
      </c>
      <c r="E431" s="948">
        <f t="shared" si="233"/>
        <v>365149</v>
      </c>
      <c r="F431" s="1106">
        <f t="shared" si="233"/>
        <v>592845</v>
      </c>
      <c r="G431" s="1106">
        <f t="shared" si="233"/>
        <v>381292.63</v>
      </c>
      <c r="H431" s="948">
        <f t="shared" si="233"/>
        <v>603740</v>
      </c>
      <c r="I431" s="949">
        <f t="shared" si="233"/>
        <v>0</v>
      </c>
      <c r="J431" s="950">
        <f>SUM(J417:J429)</f>
        <v>660431.88</v>
      </c>
      <c r="K431" s="950">
        <f>SUM(K417:K429)</f>
        <v>0</v>
      </c>
      <c r="L431" s="951">
        <f>SUM(L417:L419)+SUM(L427:L430)</f>
        <v>497651.15</v>
      </c>
      <c r="M431" s="951">
        <f>SUM(M417:M419)+SUM(M427:M430)</f>
        <v>664979</v>
      </c>
      <c r="N431" s="1170">
        <f>SUM(N417:N419)+SUM(N427:N430)</f>
        <v>691916</v>
      </c>
      <c r="O431" s="1170">
        <f>SUM(O417:O419)+SUM(O427:O430)</f>
        <v>691916</v>
      </c>
      <c r="P431" s="1170">
        <f>SUM(P417:P419)+SUM(P427:P430)</f>
        <v>700642</v>
      </c>
      <c r="Q431" s="1170">
        <f>IF(SUM(Q417:Q419)+SUM(Q427:Q430)=0,P431,SUM(Q417:Q419)+SUM(Q427:Q430))</f>
        <v>700642</v>
      </c>
      <c r="R431" s="1170">
        <f>SUM(R417:R419)+SUM(R427:R430)</f>
        <v>729697</v>
      </c>
      <c r="S431" s="1170">
        <f>IF(SUM(S417:S419)+SUM(S427:S430)=0,R431,SUM(S417:S419)+SUM(S427:S430))</f>
        <v>728611</v>
      </c>
      <c r="T431" s="1170">
        <v>773081</v>
      </c>
      <c r="U431" s="1170">
        <v>773081</v>
      </c>
      <c r="V431" s="1170">
        <f>SUM(V417:V419)+SUM(V427:V430)</f>
        <v>853157</v>
      </c>
      <c r="W431" s="1170">
        <f>IF(SUM(W417:W419)+SUM(W427:W430)=0,V431,SUM(W417:W419)+SUM(W427:W430))</f>
        <v>853157</v>
      </c>
      <c r="X431" s="1170">
        <f>SUM(X417:X419)+SUM(X427:X430)</f>
        <v>891841</v>
      </c>
      <c r="Y431" s="1170">
        <f>IF(SUM(Y417:Y419)+SUM(Y427:Y430)=0,X431,SUM(Y417:Y419)+SUM(Y427:Y430))</f>
        <v>891842</v>
      </c>
      <c r="Z431" s="1170">
        <f>SUM(Z417:Z419)+SUM(Z427:Z430)</f>
        <v>1055626</v>
      </c>
      <c r="AA431" s="1170">
        <f>IF(SUM(AA417:AA419)+SUM(AA427:AA430)=0,Z431,SUM(AA417:AA419)+SUM(AA427:AA430))</f>
        <v>1055626</v>
      </c>
      <c r="AB431" s="1170">
        <f>SUM(AB417:AB419)+SUM(AB427:AB430)</f>
        <v>1196604</v>
      </c>
      <c r="AC431" s="1170">
        <f>IF(SUM(AC417:AC419)+SUM(AC427:AC430)=0,AB431,SUM(AC417:AC419)+SUM(AC427:AC430))</f>
        <v>1196604</v>
      </c>
      <c r="AD431" s="1170"/>
      <c r="AE431" s="1170">
        <v>1322443.08</v>
      </c>
      <c r="AF431" s="1170">
        <v>1322443.08</v>
      </c>
      <c r="AG431" s="1170">
        <v>1612141</v>
      </c>
      <c r="AH431" s="1170">
        <v>1612141</v>
      </c>
      <c r="AI431" s="1170">
        <v>1936281</v>
      </c>
      <c r="AJ431" s="1170">
        <v>1936281</v>
      </c>
      <c r="AK431" s="1170">
        <v>1520457</v>
      </c>
      <c r="AL431" s="1170">
        <v>2111135</v>
      </c>
      <c r="AM431" s="1170">
        <f>IF(SUM(AM417:AM419)+SUM(AM427:AM430)=0,AL431,SUM(AM417:AM419)+SUM(AM427:AM430))</f>
        <v>2111135</v>
      </c>
      <c r="AN431" s="1170">
        <f>IF(SUM(AN417:AN419)+SUM(AN427:AN430)=0,AM431,SUM(AN417:AN419)+SUM(AN427:AN430))</f>
        <v>2107291</v>
      </c>
      <c r="AO431" s="1170">
        <f>IF(SUM(AO417:AO419)+SUM(AO427:AO430)=0,AN431,SUM(AO417:AO419)+SUM(AO427:AO430))</f>
        <v>2107291</v>
      </c>
      <c r="AP431" s="1170">
        <f>IF(SUM(AP417:AP419)+SUM(AP427:AP430)=0,AO431,SUM(AP417:AP419)+SUM(AP427:AP430))</f>
        <v>2056919.25</v>
      </c>
      <c r="AQ431" s="1170"/>
      <c r="AR431" s="1170">
        <f>IF(SUM(AR417:AR419)+SUM(AR427:AR430)=0,AQ431,SUM(AR417:AR419)+SUM(AR427:AR430))</f>
        <v>2123955</v>
      </c>
      <c r="AS431" s="1170">
        <f t="shared" si="214"/>
        <v>67035.75</v>
      </c>
      <c r="AT431" s="2251">
        <f t="shared" si="215"/>
        <v>3.2590365421491387E-2</v>
      </c>
      <c r="AU431" s="1196">
        <f>SUM(AU417:AU429)</f>
        <v>0</v>
      </c>
      <c r="AV431" s="955"/>
      <c r="AW431" s="956">
        <f>SUM(AU431-H431)</f>
        <v>-603740</v>
      </c>
      <c r="AX431" s="957">
        <f>IF(H431&gt;0,AW431/H431,"")</f>
        <v>-1</v>
      </c>
      <c r="AY431" s="1197" t="s">
        <v>140</v>
      </c>
      <c r="AZ431" s="2136"/>
      <c r="BA431" s="2136"/>
    </row>
    <row r="432" spans="1:54" ht="13.9" hidden="1" customHeight="1" thickTop="1" x14ac:dyDescent="0.2">
      <c r="A432" s="1198"/>
      <c r="C432" s="1199"/>
      <c r="E432" s="1199"/>
      <c r="G432" s="1199"/>
      <c r="I432" s="1199"/>
      <c r="J432" s="915"/>
      <c r="K432" s="1200"/>
      <c r="L432" s="1201"/>
      <c r="M432" s="1201"/>
      <c r="N432" s="1201"/>
      <c r="O432" s="1200"/>
      <c r="P432" s="1200"/>
      <c r="Q432" s="1200"/>
      <c r="R432" s="1200"/>
      <c r="S432" s="1200"/>
      <c r="T432" s="1200"/>
      <c r="U432" s="1200"/>
      <c r="V432" s="1200"/>
      <c r="W432" s="1200"/>
      <c r="X432" s="1200" t="s">
        <v>164</v>
      </c>
      <c r="Y432" s="1200"/>
      <c r="Z432" s="1200"/>
      <c r="AA432" s="1200"/>
      <c r="AB432" s="1200"/>
      <c r="AC432" s="1200"/>
      <c r="AD432" s="1200"/>
      <c r="AE432" s="1200"/>
      <c r="AF432" s="1200"/>
      <c r="AG432" s="1200"/>
      <c r="AH432" s="1200"/>
      <c r="AI432" s="1200"/>
      <c r="AJ432" s="1200"/>
      <c r="AK432" s="1200"/>
      <c r="AL432" s="1200"/>
      <c r="AM432" s="1200"/>
      <c r="AN432" s="1200"/>
      <c r="AO432" s="1200"/>
      <c r="AP432" s="1200"/>
      <c r="AQ432" s="1200"/>
      <c r="AR432" s="1200"/>
      <c r="AS432" s="1200">
        <f t="shared" si="214"/>
        <v>0</v>
      </c>
      <c r="AT432" s="2274" t="str">
        <f t="shared" si="215"/>
        <v/>
      </c>
      <c r="AU432" s="803"/>
      <c r="AW432" s="715"/>
      <c r="AX432" s="806"/>
      <c r="AY432" s="1202"/>
      <c r="AZ432" s="2136"/>
      <c r="BA432" s="2136"/>
    </row>
    <row r="433" spans="1:54" ht="13.9" hidden="1" customHeight="1" collapsed="1" thickBot="1" x14ac:dyDescent="0.25">
      <c r="A433" s="1018" t="s">
        <v>421</v>
      </c>
      <c r="B433" s="1019">
        <v>59516</v>
      </c>
      <c r="C433" s="1019">
        <v>59099</v>
      </c>
      <c r="D433" s="1019">
        <v>82051</v>
      </c>
      <c r="E433" s="1019">
        <v>66443.429999999993</v>
      </c>
      <c r="F433" s="1065">
        <v>56565</v>
      </c>
      <c r="G433" s="1065">
        <v>54388</v>
      </c>
      <c r="H433" s="1065">
        <v>46517</v>
      </c>
      <c r="I433" s="1066">
        <v>45166</v>
      </c>
      <c r="J433" s="1203">
        <v>23751</v>
      </c>
      <c r="K433" s="1027"/>
      <c r="L433" s="1025">
        <v>36289.19</v>
      </c>
      <c r="M433" s="1204">
        <v>44922</v>
      </c>
      <c r="N433" s="1205">
        <v>47579</v>
      </c>
      <c r="O433" s="1027">
        <f>N433</f>
        <v>47579</v>
      </c>
      <c r="P433" s="1027">
        <v>88184</v>
      </c>
      <c r="Q433" s="1027">
        <f>P433</f>
        <v>88184</v>
      </c>
      <c r="R433" s="1206">
        <f>76238</f>
        <v>76238</v>
      </c>
      <c r="S433" s="1027">
        <f>75400+838</f>
        <v>76238</v>
      </c>
      <c r="T433" s="1207">
        <v>65469</v>
      </c>
      <c r="U433" s="1207">
        <v>65469</v>
      </c>
      <c r="V433" s="1206">
        <v>65469</v>
      </c>
      <c r="W433" s="1027">
        <v>50948</v>
      </c>
      <c r="X433" s="1027">
        <v>232000</v>
      </c>
      <c r="Y433" s="1027">
        <f>151373+37391</f>
        <v>188764</v>
      </c>
      <c r="Z433" s="1027">
        <f>123904+25247+22912+3338</f>
        <v>175401</v>
      </c>
      <c r="AA433" s="1027">
        <f>Z433</f>
        <v>175401</v>
      </c>
      <c r="AB433" s="1027">
        <v>191263</v>
      </c>
      <c r="AC433" s="1027">
        <f>AB433</f>
        <v>191263</v>
      </c>
      <c r="AD433" s="1027"/>
      <c r="AE433" s="1027">
        <v>230942</v>
      </c>
      <c r="AF433" s="1027">
        <v>191263</v>
      </c>
      <c r="AG433" s="1027">
        <v>260101</v>
      </c>
      <c r="AH433" s="1027">
        <v>260101</v>
      </c>
      <c r="AI433" s="1027">
        <v>302815</v>
      </c>
      <c r="AJ433" s="1027">
        <v>302815</v>
      </c>
      <c r="AK433" s="1027">
        <v>311899.45</v>
      </c>
      <c r="AL433" s="1027">
        <v>311899.45</v>
      </c>
      <c r="AM433" s="1027">
        <f>AL433*$AK$4</f>
        <v>321256.43350000004</v>
      </c>
      <c r="AN433" s="1027">
        <v>419370</v>
      </c>
      <c r="AO433" s="1027">
        <v>431951.10000000003</v>
      </c>
      <c r="AP433" s="1027">
        <v>442571</v>
      </c>
      <c r="AQ433" s="1027"/>
      <c r="AR433" s="1027">
        <f>'[1]BUDGET DETAIL'!$CO$522</f>
        <v>486828</v>
      </c>
      <c r="AS433" s="1027">
        <f t="shared" si="214"/>
        <v>44257</v>
      </c>
      <c r="AT433" s="2258">
        <f t="shared" si="215"/>
        <v>9.9999774047553946E-2</v>
      </c>
      <c r="AU433" s="1030"/>
      <c r="AV433" s="955"/>
      <c r="AW433" s="956">
        <f>SUM(AU433-H433)</f>
        <v>-46517</v>
      </c>
      <c r="AX433" s="957">
        <f>IF(H433&gt;0,AW433/H433,"")</f>
        <v>-1</v>
      </c>
      <c r="AY433" s="1197"/>
      <c r="AZ433" s="2136"/>
      <c r="BA433" s="2136"/>
    </row>
    <row r="434" spans="1:54" ht="13.9" hidden="1" customHeight="1" thickTop="1" thickBot="1" x14ac:dyDescent="0.25">
      <c r="A434" s="1208"/>
      <c r="B434" s="762"/>
      <c r="C434" s="1209"/>
      <c r="D434" s="762"/>
      <c r="E434" s="1209"/>
      <c r="F434" s="1209"/>
      <c r="G434" s="1209"/>
      <c r="H434" s="762"/>
      <c r="I434" s="1209"/>
      <c r="J434" s="1210"/>
      <c r="K434" s="1211"/>
      <c r="L434" s="1212"/>
      <c r="M434" s="1213"/>
      <c r="N434" s="1212"/>
      <c r="O434" s="1211"/>
      <c r="P434" s="1211"/>
      <c r="Q434" s="1211"/>
      <c r="R434" s="1211"/>
      <c r="S434" s="1211"/>
      <c r="T434" s="1211"/>
      <c r="U434" s="1211"/>
      <c r="V434" s="1211"/>
      <c r="W434" s="1211"/>
      <c r="X434" s="1211"/>
      <c r="Y434" s="1211"/>
      <c r="Z434" s="1211"/>
      <c r="AA434" s="1211"/>
      <c r="AB434" s="1211"/>
      <c r="AC434" s="1211"/>
      <c r="AD434" s="1211"/>
      <c r="AE434" s="1211"/>
      <c r="AF434" s="1211"/>
      <c r="AG434" s="1211"/>
      <c r="AH434" s="1211"/>
      <c r="AI434" s="1211"/>
      <c r="AJ434" s="1211"/>
      <c r="AK434" s="1211"/>
      <c r="AL434" s="1211"/>
      <c r="AM434" s="1211"/>
      <c r="AN434" s="1211"/>
      <c r="AO434" s="1211"/>
      <c r="AP434" s="1211"/>
      <c r="AQ434" s="1211"/>
      <c r="AR434" s="1211"/>
      <c r="AS434" s="1211">
        <f t="shared" si="214"/>
        <v>0</v>
      </c>
      <c r="AT434" s="2275" t="str">
        <f t="shared" si="215"/>
        <v/>
      </c>
      <c r="AU434" s="1214"/>
      <c r="AV434" s="763"/>
      <c r="AW434" s="762"/>
      <c r="AX434" s="1215"/>
      <c r="AY434" s="1216"/>
      <c r="AZ434" s="2136"/>
      <c r="BA434" s="2136"/>
    </row>
    <row r="435" spans="1:54" ht="13.9" hidden="1" customHeight="1" collapsed="1" x14ac:dyDescent="0.2">
      <c r="A435" s="1217" t="s">
        <v>422</v>
      </c>
      <c r="B435" s="797"/>
      <c r="C435" s="867"/>
      <c r="D435" s="797"/>
      <c r="E435" s="867"/>
      <c r="F435" s="1218"/>
      <c r="G435" s="1218"/>
      <c r="H435" s="797"/>
      <c r="I435" s="1218"/>
      <c r="J435" s="847"/>
      <c r="K435" s="861"/>
      <c r="L435" s="901"/>
      <c r="M435" s="1219"/>
      <c r="N435" s="901"/>
      <c r="O435" s="861"/>
      <c r="P435" s="861"/>
      <c r="Q435" s="861"/>
      <c r="R435" s="861"/>
      <c r="S435" s="861"/>
      <c r="T435" s="861"/>
      <c r="U435" s="861"/>
      <c r="V435" s="861"/>
      <c r="W435" s="861"/>
      <c r="X435" s="861"/>
      <c r="Y435" s="861"/>
      <c r="Z435" s="861"/>
      <c r="AA435" s="861"/>
      <c r="AB435" s="861"/>
      <c r="AC435" s="861"/>
      <c r="AD435" s="861"/>
      <c r="AE435" s="861"/>
      <c r="AF435" s="861"/>
      <c r="AG435" s="861"/>
      <c r="AH435" s="861"/>
      <c r="AI435" s="861"/>
      <c r="AJ435" s="861"/>
      <c r="AK435" s="861"/>
      <c r="AL435" s="861"/>
      <c r="AM435" s="861"/>
      <c r="AN435" s="861"/>
      <c r="AO435" s="861"/>
      <c r="AP435" s="861"/>
      <c r="AQ435" s="861"/>
      <c r="AR435" s="861"/>
      <c r="AS435" s="861">
        <f t="shared" si="214"/>
        <v>0</v>
      </c>
      <c r="AT435" s="2248" t="str">
        <f t="shared" si="215"/>
        <v/>
      </c>
      <c r="AU435" s="844"/>
      <c r="AV435" s="819"/>
      <c r="AW435" s="797"/>
      <c r="AX435" s="805"/>
      <c r="AY435" s="1202"/>
      <c r="AZ435" s="2136"/>
      <c r="BA435" s="2136"/>
      <c r="BB435" s="2129" t="s">
        <v>896</v>
      </c>
    </row>
    <row r="436" spans="1:54" ht="13.9" hidden="1" customHeight="1" x14ac:dyDescent="0.2">
      <c r="A436" s="1217" t="s">
        <v>423</v>
      </c>
      <c r="B436" s="797">
        <v>3427360</v>
      </c>
      <c r="C436" s="1220">
        <v>3427360</v>
      </c>
      <c r="D436" s="797">
        <v>3684035</v>
      </c>
      <c r="E436" s="1220">
        <v>3684035</v>
      </c>
      <c r="F436" s="1221">
        <v>4046631</v>
      </c>
      <c r="G436" s="1221">
        <v>4046631</v>
      </c>
      <c r="H436" s="797">
        <v>4332816</v>
      </c>
      <c r="I436" s="1221">
        <v>4271964</v>
      </c>
      <c r="J436" s="1222">
        <v>4603105</v>
      </c>
      <c r="K436" s="861" t="s">
        <v>462</v>
      </c>
      <c r="L436" s="1101">
        <f>5065314</f>
        <v>5065314</v>
      </c>
      <c r="M436" s="1101">
        <v>5400305</v>
      </c>
      <c r="N436" s="1141">
        <v>5542369</v>
      </c>
      <c r="O436" s="861">
        <f>N436</f>
        <v>5542369</v>
      </c>
      <c r="P436" s="861">
        <v>5697246</v>
      </c>
      <c r="Q436" s="861">
        <f>P436</f>
        <v>5697246</v>
      </c>
      <c r="R436" s="1223">
        <f>6197599-314828</f>
        <v>5882771</v>
      </c>
      <c r="S436" s="861">
        <f>6121408-S437</f>
        <v>5806580</v>
      </c>
      <c r="T436" s="861">
        <v>5951744.4999999991</v>
      </c>
      <c r="U436" s="861">
        <v>5871969</v>
      </c>
      <c r="V436" s="1223">
        <v>5939690</v>
      </c>
      <c r="W436" s="861">
        <f>V436</f>
        <v>5939690</v>
      </c>
      <c r="X436" s="1223">
        <v>6133337</v>
      </c>
      <c r="Y436" s="1223">
        <f>X436</f>
        <v>6133337</v>
      </c>
      <c r="Z436" s="1223">
        <f>Y436*(1+5/100)</f>
        <v>6440003.8500000006</v>
      </c>
      <c r="AA436" s="1223">
        <v>6632904</v>
      </c>
      <c r="AB436" s="1223">
        <v>6739123</v>
      </c>
      <c r="AC436" s="1223">
        <f>AB436</f>
        <v>6739123</v>
      </c>
      <c r="AD436" s="1223"/>
      <c r="AE436" s="1224">
        <v>6910111</v>
      </c>
      <c r="AF436" s="1223"/>
      <c r="AG436" s="1223">
        <v>7286699</v>
      </c>
      <c r="AH436" s="1223">
        <v>7286699</v>
      </c>
      <c r="AI436" s="1224">
        <v>7408262</v>
      </c>
      <c r="AJ436" s="1224">
        <v>7408262</v>
      </c>
      <c r="AK436" s="1671">
        <v>7745304.9999999721</v>
      </c>
      <c r="AL436" s="1224">
        <v>7745304.9999999721</v>
      </c>
      <c r="AM436" s="1224">
        <f>$AK$3*AL436</f>
        <v>7956003.3820884116</v>
      </c>
      <c r="AN436" s="1224">
        <v>8394366</v>
      </c>
      <c r="AO436" s="1224">
        <v>8625211.0650000013</v>
      </c>
      <c r="AP436" s="1224">
        <f>8776843+1</f>
        <v>8776844</v>
      </c>
      <c r="AQ436" s="2278">
        <f>$AK$3*AP436</f>
        <v>9015603.7170986328</v>
      </c>
      <c r="AR436" s="1671">
        <f>8876259+ IF(BA436="yes",AZ436,0)</f>
        <v>8876259</v>
      </c>
      <c r="AS436" s="1224">
        <f t="shared" si="214"/>
        <v>99415</v>
      </c>
      <c r="AT436" s="2276">
        <f>AR436/AP436-1</f>
        <v>1.1326964453281851E-2</v>
      </c>
      <c r="AU436" s="844"/>
      <c r="AV436" s="819"/>
      <c r="AW436" s="797">
        <f>SUM(AU436-H436)</f>
        <v>-4332816</v>
      </c>
      <c r="AX436" s="805">
        <f>IF(H436&gt;0,AW436/H436,"")</f>
        <v>-1</v>
      </c>
      <c r="AY436" s="2277">
        <f>AQ436/AP436-1</f>
        <v>2.7203367987243876E-2</v>
      </c>
      <c r="AZ436" s="2136">
        <f>9123180-AR436</f>
        <v>246921</v>
      </c>
      <c r="BA436" s="2321" t="s">
        <v>1176</v>
      </c>
      <c r="BB436" s="2129"/>
    </row>
    <row r="437" spans="1:54" ht="13.9" hidden="1" customHeight="1" x14ac:dyDescent="0.2">
      <c r="A437" s="1226" t="s">
        <v>424</v>
      </c>
      <c r="B437" s="822">
        <v>591425</v>
      </c>
      <c r="C437" s="827">
        <v>591425</v>
      </c>
      <c r="D437" s="823">
        <v>565080</v>
      </c>
      <c r="E437" s="827">
        <v>565080</v>
      </c>
      <c r="F437" s="832">
        <v>768639</v>
      </c>
      <c r="G437" s="832">
        <v>443898.25</v>
      </c>
      <c r="H437" s="823">
        <v>476216</v>
      </c>
      <c r="I437" s="832">
        <v>476215</v>
      </c>
      <c r="J437" s="1227">
        <v>485609.5</v>
      </c>
      <c r="K437" s="1159">
        <v>38797</v>
      </c>
      <c r="L437" s="1101">
        <v>327268</v>
      </c>
      <c r="M437" s="1101">
        <v>334829</v>
      </c>
      <c r="N437" s="1141">
        <v>328085</v>
      </c>
      <c r="O437" s="861">
        <f>N437</f>
        <v>328085</v>
      </c>
      <c r="P437" s="861">
        <v>315815</v>
      </c>
      <c r="Q437" s="861">
        <f>P437</f>
        <v>315815</v>
      </c>
      <c r="R437" s="861">
        <v>314827.90000000002</v>
      </c>
      <c r="S437" s="861">
        <v>314828</v>
      </c>
      <c r="T437" s="861">
        <v>314827.90000000002</v>
      </c>
      <c r="U437" s="861">
        <v>301102</v>
      </c>
      <c r="V437" s="861">
        <v>298002</v>
      </c>
      <c r="W437" s="861">
        <f>V437</f>
        <v>298002</v>
      </c>
      <c r="X437" s="861">
        <v>288183</v>
      </c>
      <c r="Y437" s="861">
        <f>X437</f>
        <v>288183</v>
      </c>
      <c r="Z437" s="861">
        <v>290597</v>
      </c>
      <c r="AA437" s="861">
        <v>290597</v>
      </c>
      <c r="AB437" s="861">
        <v>286226</v>
      </c>
      <c r="AC437" s="861">
        <f>AB437</f>
        <v>286226</v>
      </c>
      <c r="AD437" s="861"/>
      <c r="AE437" s="861">
        <v>297356</v>
      </c>
      <c r="AF437" s="861"/>
      <c r="AG437" s="861">
        <v>292713.78999999998</v>
      </c>
      <c r="AH437" s="861">
        <v>292713.78999999998</v>
      </c>
      <c r="AI437" s="861">
        <v>285306</v>
      </c>
      <c r="AJ437" s="861">
        <v>285306</v>
      </c>
      <c r="AK437" s="861">
        <v>80537.2696</v>
      </c>
      <c r="AL437" s="861">
        <v>80537.2696</v>
      </c>
      <c r="AM437" s="1686">
        <f>'LONG-TERM DEBT'!AE172</f>
        <v>83809.82699999999</v>
      </c>
      <c r="AN437" s="861">
        <v>82467</v>
      </c>
      <c r="AO437" s="861">
        <f>'LONG-TERM DEBT'!AF172</f>
        <v>228708.37499999997</v>
      </c>
      <c r="AP437" s="861"/>
      <c r="AQ437" s="861"/>
      <c r="AR437" s="861"/>
      <c r="AS437" s="861">
        <f t="shared" si="214"/>
        <v>0</v>
      </c>
      <c r="AT437" s="2248" t="str">
        <f t="shared" si="215"/>
        <v/>
      </c>
      <c r="AU437" s="833"/>
      <c r="AV437" s="834"/>
      <c r="AW437" s="797">
        <f>SUM(AU437-H437)</f>
        <v>-476216</v>
      </c>
      <c r="AX437" s="805">
        <f>IF(H437&gt;0,AW437/H437,"")</f>
        <v>-1</v>
      </c>
      <c r="AY437" s="1228"/>
      <c r="AZ437" s="2136"/>
      <c r="BA437" s="2136"/>
      <c r="BB437" s="2129" t="s">
        <v>896</v>
      </c>
    </row>
    <row r="438" spans="1:54" ht="13.9" hidden="1" customHeight="1" thickBot="1" x14ac:dyDescent="0.25">
      <c r="A438" s="1229" t="s">
        <v>290</v>
      </c>
      <c r="B438" s="948">
        <f>SUM(B436:B437)</f>
        <v>4018785</v>
      </c>
      <c r="C438" s="948">
        <f>SUM(C436:C437)</f>
        <v>4018785</v>
      </c>
      <c r="D438" s="948">
        <f t="shared" ref="D438:I438" si="234">SUM(D436:D437)</f>
        <v>4249115</v>
      </c>
      <c r="E438" s="948">
        <f t="shared" si="234"/>
        <v>4249115</v>
      </c>
      <c r="F438" s="948">
        <f t="shared" si="234"/>
        <v>4815270</v>
      </c>
      <c r="G438" s="948">
        <v>4490529.25</v>
      </c>
      <c r="H438" s="948">
        <f t="shared" si="234"/>
        <v>4809032</v>
      </c>
      <c r="I438" s="949">
        <f t="shared" si="234"/>
        <v>4748179</v>
      </c>
      <c r="J438" s="1230">
        <f t="shared" ref="J438:P438" si="235">SUM(J436:J437)</f>
        <v>5088714.5</v>
      </c>
      <c r="K438" s="1230">
        <f t="shared" si="235"/>
        <v>38797</v>
      </c>
      <c r="L438" s="1130">
        <f t="shared" si="235"/>
        <v>5392582</v>
      </c>
      <c r="M438" s="1130">
        <f t="shared" si="235"/>
        <v>5735134</v>
      </c>
      <c r="N438" s="1170">
        <f t="shared" si="235"/>
        <v>5870454</v>
      </c>
      <c r="O438" s="1170">
        <f t="shared" si="235"/>
        <v>5870454</v>
      </c>
      <c r="P438" s="1170">
        <f t="shared" si="235"/>
        <v>6013061</v>
      </c>
      <c r="Q438" s="1231">
        <f>SUM(Q436,Q437)</f>
        <v>6013061</v>
      </c>
      <c r="R438" s="1170">
        <f>SUM(R436:R437)</f>
        <v>6197598.9000000004</v>
      </c>
      <c r="S438" s="1170">
        <f>SUM(S436:S437)</f>
        <v>6121408</v>
      </c>
      <c r="T438" s="1170">
        <v>6266572.3999999994</v>
      </c>
      <c r="U438" s="1170">
        <v>6173071</v>
      </c>
      <c r="V438" s="1170">
        <f t="shared" ref="V438:AA438" si="236">SUM(V436:V437)</f>
        <v>6237692</v>
      </c>
      <c r="W438" s="1170">
        <f t="shared" si="236"/>
        <v>6237692</v>
      </c>
      <c r="X438" s="1170">
        <f t="shared" si="236"/>
        <v>6421520</v>
      </c>
      <c r="Y438" s="1170">
        <f t="shared" si="236"/>
        <v>6421520</v>
      </c>
      <c r="Z438" s="1170">
        <f t="shared" si="236"/>
        <v>6730600.8500000006</v>
      </c>
      <c r="AA438" s="1170">
        <f t="shared" si="236"/>
        <v>6923501</v>
      </c>
      <c r="AB438" s="1170">
        <f t="shared" ref="AB438:AC438" si="237">SUM(AB436:AB437)</f>
        <v>7025349</v>
      </c>
      <c r="AC438" s="1170">
        <f t="shared" si="237"/>
        <v>7025349</v>
      </c>
      <c r="AD438" s="1170"/>
      <c r="AE438" s="1170">
        <v>7207467</v>
      </c>
      <c r="AF438" s="1170">
        <v>0</v>
      </c>
      <c r="AG438" s="1170">
        <v>7579412.79</v>
      </c>
      <c r="AH438" s="1170">
        <v>7579412.79</v>
      </c>
      <c r="AI438" s="1170">
        <v>7693568</v>
      </c>
      <c r="AJ438" s="1170">
        <v>7693568</v>
      </c>
      <c r="AK438" s="1170">
        <v>7825842.2695999723</v>
      </c>
      <c r="AL438" s="1170">
        <v>7825842.2695999723</v>
      </c>
      <c r="AM438" s="1170">
        <f>SUM(AM436:AM437)</f>
        <v>8039813.2090884112</v>
      </c>
      <c r="AN438" s="1170">
        <f>SUM(AN436:AN437)</f>
        <v>8476833</v>
      </c>
      <c r="AO438" s="1170">
        <f>SUM(AO436:AO437)</f>
        <v>8853919.4400000013</v>
      </c>
      <c r="AP438" s="1170">
        <f>SUM(AP436:AP437)</f>
        <v>8776844</v>
      </c>
      <c r="AQ438" s="1170">
        <f t="shared" ref="AQ438:AR438" si="238">SUM(AQ436:AQ437)</f>
        <v>9015603.7170986328</v>
      </c>
      <c r="AR438" s="1170">
        <f t="shared" si="238"/>
        <v>8876259</v>
      </c>
      <c r="AS438" s="1170">
        <f t="shared" si="214"/>
        <v>99415</v>
      </c>
      <c r="AT438" s="2251">
        <v>2.7203367987243876E-2</v>
      </c>
      <c r="AU438" s="1196">
        <f>SUM(AU436:AU437)</f>
        <v>0</v>
      </c>
      <c r="AV438" s="955"/>
      <c r="AW438" s="956">
        <f>SUM(AU438-H438)</f>
        <v>-4809032</v>
      </c>
      <c r="AX438" s="957">
        <f>IF(H438&gt;0,AW438/H438,"")</f>
        <v>-1</v>
      </c>
      <c r="AY438" s="1197"/>
      <c r="AZ438" s="2136"/>
      <c r="BA438" s="2136"/>
      <c r="BB438" s="2129" t="s">
        <v>896</v>
      </c>
    </row>
    <row r="439" spans="1:54" ht="13.9" hidden="1" customHeight="1" collapsed="1" thickTop="1" x14ac:dyDescent="0.2">
      <c r="A439" s="1232"/>
      <c r="G439" s="1233"/>
      <c r="H439" s="1233"/>
      <c r="K439" s="1178"/>
      <c r="L439" s="1080"/>
      <c r="M439" s="1080"/>
      <c r="N439" s="1080"/>
      <c r="O439" s="1178"/>
      <c r="P439" s="1178"/>
      <c r="Q439" s="1178"/>
      <c r="R439" s="1178"/>
      <c r="S439" s="1178"/>
      <c r="T439" s="1178"/>
      <c r="U439" s="1178"/>
      <c r="V439" s="1178"/>
      <c r="W439" s="1178"/>
      <c r="X439" s="1178"/>
      <c r="Y439" s="1178"/>
      <c r="Z439" s="1178"/>
      <c r="AA439" s="1178"/>
      <c r="AB439" s="1178"/>
      <c r="AC439" s="1178"/>
      <c r="AD439" s="1178"/>
      <c r="AE439" s="1178"/>
      <c r="AF439" s="1178"/>
      <c r="AG439" s="1178"/>
      <c r="AH439" s="1178"/>
      <c r="AI439" s="1178"/>
      <c r="AJ439" s="1178"/>
      <c r="AK439" s="1178"/>
      <c r="AL439" s="1721"/>
      <c r="AM439" s="1178"/>
      <c r="AN439" s="1178"/>
      <c r="AO439" s="1178"/>
      <c r="AP439" s="1178"/>
      <c r="AQ439" s="1178"/>
      <c r="AR439" s="1178"/>
      <c r="AT439" s="1178"/>
      <c r="AU439" s="803"/>
      <c r="AW439" s="715"/>
      <c r="AX439" s="806"/>
      <c r="AZ439" s="2136" t="str">
        <f>IF('Vote track budget'!G439+'Vote track budget'!J439=0,"",'Vote track budget'!G439+'Vote track budget'!J439)</f>
        <v/>
      </c>
      <c r="BA439" s="2136"/>
    </row>
    <row r="440" spans="1:54" ht="13.9" hidden="1" customHeight="1" x14ac:dyDescent="0.2">
      <c r="A440" s="1198"/>
      <c r="K440" s="1178"/>
      <c r="L440" s="1080"/>
      <c r="M440" s="1080"/>
      <c r="N440" s="1080"/>
      <c r="O440" s="1178"/>
      <c r="P440" s="1178"/>
      <c r="Q440" s="1178"/>
      <c r="R440" s="1178"/>
      <c r="S440" s="1178"/>
      <c r="T440" s="1178"/>
      <c r="U440" s="1178"/>
      <c r="V440" s="1178"/>
      <c r="W440" s="1178"/>
      <c r="X440" s="1178"/>
      <c r="Y440" s="1178"/>
      <c r="Z440" s="1178"/>
      <c r="AA440" s="1178"/>
      <c r="AB440" s="1178"/>
      <c r="AC440" s="1178"/>
      <c r="AD440" s="1178"/>
      <c r="AE440" s="1178"/>
      <c r="AF440" s="1178"/>
      <c r="AG440" s="1178"/>
      <c r="AH440" s="1178"/>
      <c r="AI440" s="1178"/>
      <c r="AJ440" s="1178"/>
      <c r="AK440" s="1178"/>
      <c r="AL440" s="1722"/>
      <c r="AM440" s="1178"/>
      <c r="AN440" s="1178"/>
      <c r="AO440" s="1178"/>
      <c r="AP440" s="1178"/>
      <c r="AQ440" s="1178"/>
      <c r="AR440" s="1178"/>
      <c r="AT440" s="1178"/>
      <c r="AU440" s="803"/>
      <c r="AW440" s="715"/>
      <c r="AX440" s="806"/>
      <c r="AY440" s="1234"/>
      <c r="AZ440" s="2136"/>
      <c r="BA440" s="2136"/>
      <c r="BB440" s="2160"/>
    </row>
    <row r="441" spans="1:54" ht="14.25" hidden="1" customHeight="1" x14ac:dyDescent="0.2">
      <c r="A441" s="1235"/>
      <c r="B441" s="833"/>
      <c r="C441" s="833"/>
      <c r="D441" s="826"/>
      <c r="E441" s="833"/>
      <c r="F441" s="833"/>
      <c r="G441" s="833"/>
      <c r="H441" s="833"/>
      <c r="I441" s="833"/>
      <c r="J441" s="1236"/>
      <c r="K441" s="1237"/>
      <c r="L441" s="1041"/>
      <c r="M441" s="1080"/>
      <c r="N441" s="1080"/>
      <c r="O441" s="1237"/>
      <c r="P441" s="1237"/>
      <c r="Q441" s="1237"/>
      <c r="R441" s="1237"/>
      <c r="S441" s="1237"/>
      <c r="T441" s="1237"/>
      <c r="U441" s="1237"/>
      <c r="V441" s="1237"/>
      <c r="W441" s="1237"/>
      <c r="X441" s="1237"/>
      <c r="Y441" s="1237"/>
      <c r="Z441" s="1237"/>
      <c r="AA441" s="1237"/>
      <c r="AB441" s="1237"/>
      <c r="AC441" s="1237"/>
      <c r="AD441" s="1237"/>
      <c r="AE441" s="1237"/>
      <c r="AF441" s="1237"/>
      <c r="AG441" s="1237"/>
      <c r="AH441" s="1237"/>
      <c r="AI441" s="1237"/>
      <c r="AJ441" s="1237"/>
      <c r="AK441" s="1237"/>
      <c r="AL441" s="1237"/>
      <c r="AM441" s="1237"/>
      <c r="AN441" s="1237"/>
      <c r="AO441" s="1237"/>
      <c r="AP441" s="1237"/>
      <c r="AQ441" s="1237"/>
      <c r="AR441" s="1237"/>
      <c r="AT441" s="1237"/>
      <c r="AU441" s="833"/>
      <c r="AV441" s="1238"/>
      <c r="AW441" s="826"/>
      <c r="AX441" s="1239"/>
      <c r="AY441" s="1240"/>
      <c r="AZ441" s="2136"/>
      <c r="BA441" s="2136"/>
    </row>
    <row r="442" spans="1:54" ht="14.25" hidden="1" customHeight="1" x14ac:dyDescent="0.2">
      <c r="A442" s="1241" t="s">
        <v>291</v>
      </c>
      <c r="B442" s="1242"/>
      <c r="C442" s="1243"/>
      <c r="D442" s="1242"/>
      <c r="E442" s="1244"/>
      <c r="F442" s="1244"/>
      <c r="G442" s="1244" t="s">
        <v>58</v>
      </c>
      <c r="H442" s="1244" t="s">
        <v>58</v>
      </c>
      <c r="I442" s="1244"/>
      <c r="J442" s="1244" t="s">
        <v>326</v>
      </c>
      <c r="K442" s="1245" t="s">
        <v>326</v>
      </c>
      <c r="L442" s="1246" t="s">
        <v>271</v>
      </c>
      <c r="M442" s="1247" t="s">
        <v>389</v>
      </c>
      <c r="N442" s="1248" t="s">
        <v>181</v>
      </c>
      <c r="O442" s="1245" t="s">
        <v>181</v>
      </c>
      <c r="P442" s="1248" t="s">
        <v>190</v>
      </c>
      <c r="Q442" s="1245" t="s">
        <v>190</v>
      </c>
      <c r="R442" s="1248" t="s">
        <v>204</v>
      </c>
      <c r="S442" s="1245" t="s">
        <v>204</v>
      </c>
      <c r="T442" s="1245" t="s">
        <v>763</v>
      </c>
      <c r="U442" s="1245" t="s">
        <v>763</v>
      </c>
      <c r="V442" s="1248" t="s">
        <v>269</v>
      </c>
      <c r="W442" s="1245" t="s">
        <v>270</v>
      </c>
      <c r="X442" s="1248" t="s">
        <v>736</v>
      </c>
      <c r="Y442" s="1245" t="s">
        <v>736</v>
      </c>
      <c r="Z442" s="1248" t="s">
        <v>737</v>
      </c>
      <c r="AA442" s="1245" t="s">
        <v>737</v>
      </c>
      <c r="AB442" s="1248" t="s">
        <v>48</v>
      </c>
      <c r="AC442" s="1245" t="s">
        <v>48</v>
      </c>
      <c r="AD442" s="1248" t="s">
        <v>875</v>
      </c>
      <c r="AE442" s="1245" t="s">
        <v>875</v>
      </c>
      <c r="AF442" s="1249" t="s">
        <v>939</v>
      </c>
      <c r="AG442" s="1246"/>
      <c r="AH442" s="1246" t="s">
        <v>940</v>
      </c>
      <c r="AI442" s="1245" t="s">
        <v>983</v>
      </c>
      <c r="AJ442" s="1245" t="s">
        <v>983</v>
      </c>
      <c r="AK442" s="1245"/>
      <c r="AL442" s="1245"/>
      <c r="AM442" s="1245"/>
      <c r="AN442" s="1245"/>
      <c r="AO442" s="1245"/>
      <c r="AP442" s="1245"/>
      <c r="AQ442" s="1245"/>
      <c r="AR442" s="1245"/>
      <c r="AT442" s="1245" t="s">
        <v>1006</v>
      </c>
      <c r="AU442" s="1524" t="s">
        <v>941</v>
      </c>
      <c r="AV442" s="1250"/>
      <c r="AW442" s="1251"/>
      <c r="AX442" s="1252"/>
      <c r="AY442" s="1253"/>
      <c r="AZ442" s="2136"/>
      <c r="BA442" s="2136"/>
      <c r="BB442" s="2161"/>
    </row>
    <row r="443" spans="1:54" ht="14.25" hidden="1" customHeight="1" x14ac:dyDescent="0.2">
      <c r="A443" s="1254" t="s">
        <v>153</v>
      </c>
      <c r="B443" s="1255"/>
      <c r="C443" s="1256"/>
      <c r="D443" s="1255"/>
      <c r="E443" s="1257"/>
      <c r="F443" s="1257"/>
      <c r="G443" s="1257" t="s">
        <v>59</v>
      </c>
      <c r="H443" s="1257" t="s">
        <v>319</v>
      </c>
      <c r="I443" s="1257"/>
      <c r="J443" s="1258" t="s">
        <v>59</v>
      </c>
      <c r="K443" s="1259" t="s">
        <v>59</v>
      </c>
      <c r="L443" s="1260" t="s">
        <v>59</v>
      </c>
      <c r="M443" s="1261" t="s">
        <v>59</v>
      </c>
      <c r="N443" s="1262" t="s">
        <v>59</v>
      </c>
      <c r="O443" s="1259" t="s">
        <v>319</v>
      </c>
      <c r="P443" s="1262" t="s">
        <v>59</v>
      </c>
      <c r="Q443" s="1259" t="s">
        <v>319</v>
      </c>
      <c r="R443" s="1262" t="s">
        <v>59</v>
      </c>
      <c r="S443" s="1259" t="s">
        <v>319</v>
      </c>
      <c r="T443" s="1259" t="s">
        <v>59</v>
      </c>
      <c r="U443" s="1259" t="s">
        <v>319</v>
      </c>
      <c r="V443" s="1262" t="s">
        <v>59</v>
      </c>
      <c r="W443" s="1259" t="s">
        <v>319</v>
      </c>
      <c r="X443" s="1262" t="s">
        <v>59</v>
      </c>
      <c r="Y443" s="1259" t="s">
        <v>319</v>
      </c>
      <c r="Z443" s="1262" t="s">
        <v>59</v>
      </c>
      <c r="AA443" s="1259" t="s">
        <v>319</v>
      </c>
      <c r="AB443" s="1262" t="s">
        <v>59</v>
      </c>
      <c r="AC443" s="1259" t="s">
        <v>319</v>
      </c>
      <c r="AD443" s="1262" t="s">
        <v>59</v>
      </c>
      <c r="AE443" s="1259" t="s">
        <v>319</v>
      </c>
      <c r="AF443" s="1260" t="s">
        <v>59</v>
      </c>
      <c r="AG443" s="1260"/>
      <c r="AH443" s="1260" t="s">
        <v>319</v>
      </c>
      <c r="AI443" s="1259" t="s">
        <v>59</v>
      </c>
      <c r="AJ443" s="1259" t="s">
        <v>319</v>
      </c>
      <c r="AK443" s="1259"/>
      <c r="AL443" s="1259"/>
      <c r="AM443" s="1259"/>
      <c r="AN443" s="1259"/>
      <c r="AO443" s="1259"/>
      <c r="AP443" s="1259"/>
      <c r="AQ443" s="1259"/>
      <c r="AR443" s="1259"/>
      <c r="AT443" s="1259" t="s">
        <v>319</v>
      </c>
      <c r="AU443" s="1263"/>
      <c r="AV443" s="1264"/>
      <c r="AW443" s="1265"/>
      <c r="AX443" s="1266"/>
      <c r="AY443" s="1267"/>
      <c r="AZ443" s="2136"/>
      <c r="BA443" s="2136"/>
      <c r="BB443" s="1257"/>
    </row>
    <row r="444" spans="1:54" ht="14.25" hidden="1" customHeight="1" x14ac:dyDescent="0.2">
      <c r="A444" s="1198"/>
      <c r="B444" s="1268"/>
      <c r="C444" s="1269"/>
      <c r="D444" s="797"/>
      <c r="E444" s="1270"/>
      <c r="F444" s="872"/>
      <c r="G444" s="872"/>
      <c r="H444" s="872"/>
      <c r="I444" s="1270"/>
      <c r="J444" s="1271"/>
      <c r="K444" s="1272"/>
      <c r="L444" s="1273"/>
      <c r="M444" s="865"/>
      <c r="N444" s="865"/>
      <c r="O444" s="1272"/>
      <c r="P444" s="1272"/>
      <c r="Q444" s="1272"/>
      <c r="R444" s="1272"/>
      <c r="S444" s="1272"/>
      <c r="T444" s="1272"/>
      <c r="U444" s="1272"/>
      <c r="V444" s="1272"/>
      <c r="W444" s="1272"/>
      <c r="X444" s="1272"/>
      <c r="Y444" s="1272"/>
      <c r="Z444" s="1272"/>
      <c r="AA444" s="1272"/>
      <c r="AB444" s="1272"/>
      <c r="AC444" s="1272"/>
      <c r="AD444" s="1272"/>
      <c r="AE444" s="1272"/>
      <c r="AF444" s="870"/>
      <c r="AG444" s="870"/>
      <c r="AH444" s="870"/>
      <c r="AI444" s="1272"/>
      <c r="AJ444" s="859"/>
      <c r="AK444" s="859"/>
      <c r="AL444" s="859"/>
      <c r="AM444" s="859"/>
      <c r="AN444" s="859"/>
      <c r="AO444" s="859"/>
      <c r="AP444" s="859"/>
      <c r="AQ444" s="859"/>
      <c r="AR444" s="859"/>
      <c r="AT444" s="859"/>
      <c r="AU444" s="1274"/>
      <c r="AV444" s="1225"/>
      <c r="AW444" s="797"/>
      <c r="AX444" s="805"/>
      <c r="AY444" s="807"/>
      <c r="AZ444" s="2136"/>
      <c r="BA444" s="2136"/>
      <c r="BB444" s="2162"/>
    </row>
    <row r="445" spans="1:54" ht="14.25" hidden="1" customHeight="1" x14ac:dyDescent="0.2">
      <c r="A445" s="714" t="s">
        <v>154</v>
      </c>
      <c r="B445" s="797"/>
      <c r="C445" s="797"/>
      <c r="D445" s="797"/>
      <c r="E445" s="797"/>
      <c r="F445" s="844"/>
      <c r="G445" s="844">
        <f>SUM(H115)</f>
        <v>340677</v>
      </c>
      <c r="H445" s="844">
        <f>SUM(H116)</f>
        <v>289369</v>
      </c>
      <c r="I445" s="797"/>
      <c r="J445" s="798">
        <f>SUM(J115)</f>
        <v>427939</v>
      </c>
      <c r="K445" s="817">
        <v>397258.31800000009</v>
      </c>
      <c r="L445" s="893">
        <f>L115</f>
        <v>449457.33</v>
      </c>
      <c r="M445" s="1275">
        <f>M115</f>
        <v>474034.489</v>
      </c>
      <c r="N445" s="1275">
        <f>O115</f>
        <v>474647</v>
      </c>
      <c r="O445" s="798">
        <f>SUM(O116)</f>
        <v>222649</v>
      </c>
      <c r="P445" s="1275">
        <f>Q115</f>
        <v>468330</v>
      </c>
      <c r="Q445" s="798">
        <f>SUM(Q116)</f>
        <v>203931</v>
      </c>
      <c r="R445" s="1275">
        <f>R115</f>
        <v>470479</v>
      </c>
      <c r="S445" s="798" t="e">
        <f>SUM(R116)</f>
        <v>#REF!</v>
      </c>
      <c r="T445" s="798">
        <v>495890</v>
      </c>
      <c r="U445" s="798">
        <v>219536</v>
      </c>
      <c r="V445" s="1275">
        <f>W115</f>
        <v>506106</v>
      </c>
      <c r="W445" s="798">
        <f>SUM(W116)</f>
        <v>225913</v>
      </c>
      <c r="X445" s="1275">
        <f>Y115</f>
        <v>524736</v>
      </c>
      <c r="Y445" s="798">
        <f>SUM(Y116)</f>
        <v>234860</v>
      </c>
      <c r="Z445" s="1275">
        <f>AA115</f>
        <v>570505</v>
      </c>
      <c r="AA445" s="798">
        <f>SUM(AA116)</f>
        <v>271747</v>
      </c>
      <c r="AB445" s="1275">
        <f>AC115</f>
        <v>582776</v>
      </c>
      <c r="AC445" s="798">
        <f>SUM(AC116)</f>
        <v>280725</v>
      </c>
      <c r="AD445" s="1275">
        <f>AE115</f>
        <v>524767</v>
      </c>
      <c r="AE445" s="798">
        <f>AE116</f>
        <v>352152</v>
      </c>
      <c r="AF445" s="1275">
        <f>AH115</f>
        <v>613306</v>
      </c>
      <c r="AG445" s="1275"/>
      <c r="AH445" s="798">
        <f>AH116</f>
        <v>315309</v>
      </c>
      <c r="AI445" s="1628">
        <f>AJ115</f>
        <v>645503</v>
      </c>
      <c r="AJ445" s="1628">
        <f>AJ116</f>
        <v>336211</v>
      </c>
      <c r="AK445" s="1628">
        <f>AL115</f>
        <v>660577</v>
      </c>
      <c r="AL445" s="1628">
        <f>AL116</f>
        <v>344972</v>
      </c>
      <c r="AM445" s="1628">
        <f>AN115</f>
        <v>673633</v>
      </c>
      <c r="AN445" s="1628">
        <f>AN116</f>
        <v>357468</v>
      </c>
      <c r="AO445" s="1628">
        <f>AP115</f>
        <v>696788</v>
      </c>
      <c r="AP445" s="1628">
        <f>AP116</f>
        <v>379811</v>
      </c>
      <c r="AQ445" s="1628"/>
      <c r="AR445" s="1628"/>
      <c r="AS445" s="2238">
        <f t="shared" ref="AS445:AS450" si="239">AR445-AQ445</f>
        <v>0</v>
      </c>
      <c r="AT445" s="1628">
        <f t="shared" ref="AT445:AT450" si="240">AS445/(AF445+AH445)</f>
        <v>0</v>
      </c>
      <c r="AU445" s="1525">
        <f>(AF445+AH445)/(AD445+AE445)-1</f>
        <v>5.8951853021772749E-2</v>
      </c>
      <c r="AV445" s="1276"/>
      <c r="AW445" s="797"/>
      <c r="AX445" s="805"/>
      <c r="AY445" s="807"/>
      <c r="AZ445" s="2136"/>
      <c r="BA445" s="2136"/>
      <c r="BB445" s="2162"/>
    </row>
    <row r="446" spans="1:54" ht="14.25" hidden="1" customHeight="1" x14ac:dyDescent="0.2">
      <c r="A446" s="714" t="s">
        <v>284</v>
      </c>
      <c r="B446" s="797"/>
      <c r="C446" s="797"/>
      <c r="D446" s="797"/>
      <c r="E446" s="797"/>
      <c r="F446" s="844"/>
      <c r="G446" s="844">
        <f>SUM(H167)</f>
        <v>309647</v>
      </c>
      <c r="H446" s="844">
        <f>SUM(H168)</f>
        <v>1280029</v>
      </c>
      <c r="I446" s="797"/>
      <c r="J446" s="798">
        <f>SUM(J167)</f>
        <v>323520</v>
      </c>
      <c r="K446" s="817">
        <v>320174.99799999996</v>
      </c>
      <c r="L446" s="893">
        <f>L167</f>
        <v>320612.28999999998</v>
      </c>
      <c r="M446" s="1275">
        <f>M167</f>
        <v>331357</v>
      </c>
      <c r="N446" s="1275">
        <f>O167</f>
        <v>329646</v>
      </c>
      <c r="O446" s="798">
        <f>SUM(O168)</f>
        <v>1472304</v>
      </c>
      <c r="P446" s="1275">
        <f>Q167</f>
        <v>330579</v>
      </c>
      <c r="Q446" s="798">
        <f>SUM(Q168)</f>
        <v>1542621</v>
      </c>
      <c r="R446" s="1275">
        <f>R167</f>
        <v>338165</v>
      </c>
      <c r="S446" s="798">
        <f>SUM(R168)</f>
        <v>1519114</v>
      </c>
      <c r="T446" s="798">
        <v>344395</v>
      </c>
      <c r="U446" s="798">
        <v>1532304</v>
      </c>
      <c r="V446" s="1275">
        <f>W167</f>
        <v>347131</v>
      </c>
      <c r="W446" s="798">
        <f>SUM(W168)</f>
        <v>1424622</v>
      </c>
      <c r="X446" s="1275">
        <f>Y167</f>
        <v>366928</v>
      </c>
      <c r="Y446" s="798">
        <f>SUM(Y168)</f>
        <v>1500864</v>
      </c>
      <c r="Z446" s="1275">
        <f>AA167</f>
        <v>380335</v>
      </c>
      <c r="AA446" s="798">
        <f>SUM(AA168)</f>
        <v>1705001</v>
      </c>
      <c r="AB446" s="1275">
        <f>AC167</f>
        <v>351779</v>
      </c>
      <c r="AC446" s="798">
        <f>SUM(AC168)</f>
        <v>1839280</v>
      </c>
      <c r="AD446" s="1275">
        <f>AE167</f>
        <v>356031</v>
      </c>
      <c r="AE446" s="798">
        <f>AE168</f>
        <v>1846419</v>
      </c>
      <c r="AF446" s="1275">
        <f>AH167</f>
        <v>377659</v>
      </c>
      <c r="AG446" s="1275"/>
      <c r="AH446" s="798">
        <f>AH168</f>
        <v>1972588</v>
      </c>
      <c r="AI446" s="1628">
        <f>AJ167</f>
        <v>386670</v>
      </c>
      <c r="AJ446" s="1628">
        <f>AJ168</f>
        <v>2024903.46</v>
      </c>
      <c r="AK446" s="1628">
        <f>AL167</f>
        <v>475674</v>
      </c>
      <c r="AL446" s="1628">
        <f>AL168</f>
        <v>2101612</v>
      </c>
      <c r="AM446" s="1628">
        <f>AN167</f>
        <v>507103</v>
      </c>
      <c r="AN446" s="1628">
        <f>AN168</f>
        <v>2123176</v>
      </c>
      <c r="AO446" s="1628">
        <f>AP167</f>
        <v>521662</v>
      </c>
      <c r="AP446" s="1628">
        <f>AP168</f>
        <v>2257908</v>
      </c>
      <c r="AQ446" s="1628"/>
      <c r="AR446" s="1628"/>
      <c r="AS446" s="2238">
        <f t="shared" si="239"/>
        <v>0</v>
      </c>
      <c r="AT446" s="1628">
        <f t="shared" si="240"/>
        <v>0</v>
      </c>
      <c r="AU446" s="1525">
        <f>(AF446+AH446)/(AD446+AE446)-1</f>
        <v>6.7105723171922094E-2</v>
      </c>
      <c r="AV446" s="1276"/>
      <c r="AW446" s="797"/>
      <c r="AX446" s="805"/>
      <c r="AY446" s="807"/>
      <c r="AZ446" s="2136"/>
      <c r="BA446" s="2136"/>
      <c r="BB446" s="2162"/>
    </row>
    <row r="447" spans="1:54" ht="14.25" hidden="1" customHeight="1" x14ac:dyDescent="0.2">
      <c r="A447" s="714" t="s">
        <v>285</v>
      </c>
      <c r="B447" s="797"/>
      <c r="C447" s="797"/>
      <c r="D447" s="797"/>
      <c r="E447" s="797"/>
      <c r="F447" s="844"/>
      <c r="G447" s="844">
        <f>SUM(H243)</f>
        <v>67792</v>
      </c>
      <c r="H447" s="844">
        <f>SUM(H244)</f>
        <v>239818</v>
      </c>
      <c r="I447" s="797"/>
      <c r="J447" s="798">
        <f>SUM(J243)</f>
        <v>69973</v>
      </c>
      <c r="K447" s="817">
        <v>70096.928</v>
      </c>
      <c r="L447" s="893">
        <f>L243</f>
        <v>72093</v>
      </c>
      <c r="M447" s="1275">
        <f>M243</f>
        <v>74012</v>
      </c>
      <c r="N447" s="1275">
        <f>O243</f>
        <v>75983</v>
      </c>
      <c r="O447" s="798">
        <f>SUM(O244)</f>
        <v>263750</v>
      </c>
      <c r="P447" s="1275">
        <f>Q243</f>
        <v>75983</v>
      </c>
      <c r="Q447" s="798">
        <f>SUM(Q244)</f>
        <v>269000</v>
      </c>
      <c r="R447" s="1275">
        <f>R243</f>
        <v>75983</v>
      </c>
      <c r="S447" s="798">
        <f>SUM(R244)</f>
        <v>269650</v>
      </c>
      <c r="T447" s="798">
        <v>77983</v>
      </c>
      <c r="U447" s="798">
        <v>269991</v>
      </c>
      <c r="V447" s="1275">
        <f>W243</f>
        <v>79763</v>
      </c>
      <c r="W447" s="798">
        <f>SUM(W244)</f>
        <v>275692</v>
      </c>
      <c r="X447" s="1275">
        <f>Y243</f>
        <v>81323</v>
      </c>
      <c r="Y447" s="798">
        <f>SUM(Y244)</f>
        <v>291989</v>
      </c>
      <c r="Z447" s="1275">
        <f>AA243</f>
        <v>90244</v>
      </c>
      <c r="AA447" s="798">
        <f>SUM(AA244)</f>
        <v>314612</v>
      </c>
      <c r="AB447" s="1275">
        <f>AC243</f>
        <v>96900</v>
      </c>
      <c r="AC447" s="798">
        <f>SUM(AC244)</f>
        <v>328012</v>
      </c>
      <c r="AD447" s="1275">
        <f>AE243</f>
        <v>100883</v>
      </c>
      <c r="AE447" s="798">
        <f>AE244</f>
        <v>335368</v>
      </c>
      <c r="AF447" s="1275">
        <f>AH243</f>
        <v>193696</v>
      </c>
      <c r="AG447" s="1275"/>
      <c r="AH447" s="798">
        <f>AH244</f>
        <v>486646</v>
      </c>
      <c r="AI447" s="1628">
        <f>AJ243</f>
        <v>204382</v>
      </c>
      <c r="AJ447" s="1628">
        <f>AJ244</f>
        <v>523479</v>
      </c>
      <c r="AK447" s="1628">
        <f>AL243</f>
        <v>189667</v>
      </c>
      <c r="AL447" s="1628">
        <f>AL244</f>
        <v>536911</v>
      </c>
      <c r="AM447" s="1628">
        <f>AN243</f>
        <v>110285</v>
      </c>
      <c r="AN447" s="1628">
        <f>AN244</f>
        <v>552927</v>
      </c>
      <c r="AO447" s="1628">
        <f>AP243</f>
        <v>111664</v>
      </c>
      <c r="AP447" s="1628">
        <f>AP244</f>
        <v>579350</v>
      </c>
      <c r="AQ447" s="1628"/>
      <c r="AR447" s="1628"/>
      <c r="AS447" s="2238">
        <f t="shared" si="239"/>
        <v>0</v>
      </c>
      <c r="AT447" s="1628">
        <f t="shared" si="240"/>
        <v>0</v>
      </c>
      <c r="AU447" s="1525">
        <f>(AF447+AH447)/(AD447+AE447)-1</f>
        <v>0.55951963433894703</v>
      </c>
      <c r="AV447" s="1276"/>
      <c r="AW447" s="797"/>
      <c r="AX447" s="805"/>
      <c r="AY447" s="807"/>
      <c r="AZ447" s="2136"/>
      <c r="BA447" s="2136"/>
      <c r="BB447" s="2162"/>
    </row>
    <row r="448" spans="1:54" ht="14.25" hidden="1" customHeight="1" x14ac:dyDescent="0.2">
      <c r="A448" s="714" t="s">
        <v>273</v>
      </c>
      <c r="B448" s="797"/>
      <c r="C448" s="797"/>
      <c r="D448" s="797"/>
      <c r="E448" s="797"/>
      <c r="F448" s="844"/>
      <c r="G448" s="844">
        <f>SUM(H291)</f>
        <v>83227</v>
      </c>
      <c r="H448" s="844">
        <f>SUM(H292)</f>
        <v>42431</v>
      </c>
      <c r="I448" s="797"/>
      <c r="J448" s="798">
        <f>SUM(J291)</f>
        <v>94275</v>
      </c>
      <c r="K448" s="817">
        <v>89264.076000000001</v>
      </c>
      <c r="L448" s="893">
        <f>L291</f>
        <v>95733</v>
      </c>
      <c r="M448" s="1275">
        <f>M291</f>
        <v>103347</v>
      </c>
      <c r="N448" s="1275">
        <f>O291</f>
        <v>105036</v>
      </c>
      <c r="O448" s="798">
        <f>SUM(O292)</f>
        <v>48116</v>
      </c>
      <c r="P448" s="1275">
        <f>Q291</f>
        <v>106137</v>
      </c>
      <c r="Q448" s="798">
        <f>SUM(Q292)</f>
        <v>47658</v>
      </c>
      <c r="R448" s="1275">
        <f>R291</f>
        <v>106137</v>
      </c>
      <c r="S448" s="798">
        <f>SUM(R292)</f>
        <v>47658</v>
      </c>
      <c r="T448" s="798">
        <v>104658</v>
      </c>
      <c r="U448" s="798">
        <v>56140</v>
      </c>
      <c r="V448" s="1275">
        <f>W291</f>
        <v>107948</v>
      </c>
      <c r="W448" s="798">
        <f>SUM(W292)</f>
        <v>58415</v>
      </c>
      <c r="X448" s="1275">
        <f>Y291</f>
        <v>111363</v>
      </c>
      <c r="Y448" s="798">
        <f>SUM(Y292)</f>
        <v>59761</v>
      </c>
      <c r="Z448" s="1275">
        <f>AA291</f>
        <v>118258</v>
      </c>
      <c r="AA448" s="798">
        <f>SUM(AA292)</f>
        <v>67653</v>
      </c>
      <c r="AB448" s="1275">
        <f>AC291</f>
        <v>129491</v>
      </c>
      <c r="AC448" s="798">
        <f>SUM(AC292)</f>
        <v>69747</v>
      </c>
      <c r="AD448" s="1275">
        <f>AE291</f>
        <v>136990</v>
      </c>
      <c r="AE448" s="798">
        <f>AE292</f>
        <v>72098</v>
      </c>
      <c r="AF448" s="1275">
        <f>AH291</f>
        <v>141463</v>
      </c>
      <c r="AG448" s="1275"/>
      <c r="AH448" s="798">
        <f>AH292</f>
        <v>75715</v>
      </c>
      <c r="AI448" s="1628">
        <f>AJ291</f>
        <v>147177</v>
      </c>
      <c r="AJ448" s="1628">
        <f>AJ292</f>
        <v>85305</v>
      </c>
      <c r="AK448" s="1628">
        <f>AL291</f>
        <v>137935</v>
      </c>
      <c r="AL448" s="1628">
        <f>AL292</f>
        <v>86456</v>
      </c>
      <c r="AM448" s="1628">
        <f>AN291</f>
        <v>138770</v>
      </c>
      <c r="AN448" s="1628">
        <f>AN292</f>
        <v>91163</v>
      </c>
      <c r="AO448" s="1628">
        <f>AP291</f>
        <v>141526</v>
      </c>
      <c r="AP448" s="1628">
        <f>AP292</f>
        <v>93819</v>
      </c>
      <c r="AQ448" s="1628"/>
      <c r="AR448" s="1628"/>
      <c r="AS448" s="2238">
        <f t="shared" si="239"/>
        <v>0</v>
      </c>
      <c r="AT448" s="1628">
        <f t="shared" si="240"/>
        <v>0</v>
      </c>
      <c r="AU448" s="1525">
        <f>(AF448+AH448)/(AD448+AE448)-1</f>
        <v>3.8691842669115406E-2</v>
      </c>
      <c r="AV448" s="1276"/>
      <c r="AW448" s="797"/>
      <c r="AX448" s="805"/>
      <c r="AY448" s="807"/>
      <c r="AZ448" s="2136"/>
      <c r="BA448" s="2136"/>
      <c r="BB448" s="2162"/>
    </row>
    <row r="449" spans="1:54" ht="14.25" hidden="1" customHeight="1" x14ac:dyDescent="0.2">
      <c r="A449" s="714" t="s">
        <v>274</v>
      </c>
      <c r="B449" s="797"/>
      <c r="C449" s="797"/>
      <c r="D449" s="797"/>
      <c r="E449" s="797"/>
      <c r="F449" s="798"/>
      <c r="G449" s="798">
        <f>SUM(H343)</f>
        <v>223347</v>
      </c>
      <c r="H449" s="798">
        <f>SUM(H344)</f>
        <v>243946</v>
      </c>
      <c r="I449" s="797"/>
      <c r="J449" s="798">
        <f>SUM(J343)</f>
        <v>233181</v>
      </c>
      <c r="K449" s="817">
        <v>230940.79800000001</v>
      </c>
      <c r="L449" s="893">
        <f>L343</f>
        <v>240178.98</v>
      </c>
      <c r="M449" s="1275">
        <f>M343</f>
        <v>248667</v>
      </c>
      <c r="N449" s="1275">
        <f>O343</f>
        <v>255257</v>
      </c>
      <c r="O449" s="798">
        <f>SUM(O344)</f>
        <v>275590</v>
      </c>
      <c r="P449" s="1275">
        <f>Q343</f>
        <v>255907</v>
      </c>
      <c r="Q449" s="798">
        <f>SUM(Q344)</f>
        <v>275157</v>
      </c>
      <c r="R449" s="1275">
        <f>R343</f>
        <v>250571</v>
      </c>
      <c r="S449" s="798">
        <f>SUM(R344)</f>
        <v>275507</v>
      </c>
      <c r="T449" s="798">
        <v>262236</v>
      </c>
      <c r="U449" s="798">
        <v>275528</v>
      </c>
      <c r="V449" s="1275">
        <f>W343</f>
        <v>272394</v>
      </c>
      <c r="W449" s="798">
        <f>SUM(W344)</f>
        <v>285541</v>
      </c>
      <c r="X449" s="1275">
        <f>Y343</f>
        <v>281072</v>
      </c>
      <c r="Y449" s="798">
        <f>SUM(Y344)</f>
        <v>299696</v>
      </c>
      <c r="Z449" s="1275">
        <f>AA343</f>
        <v>302773</v>
      </c>
      <c r="AA449" s="798">
        <f>SUM(AA344)</f>
        <v>327202</v>
      </c>
      <c r="AB449" s="1275">
        <f>AC343</f>
        <v>317126</v>
      </c>
      <c r="AC449" s="798">
        <f>SUM(AC344)</f>
        <v>340960</v>
      </c>
      <c r="AD449" s="1275">
        <f>AE343</f>
        <v>330049</v>
      </c>
      <c r="AE449" s="798">
        <f>AE344</f>
        <v>344786</v>
      </c>
      <c r="AF449" s="1275">
        <f>AH343</f>
        <v>254916</v>
      </c>
      <c r="AG449" s="1275"/>
      <c r="AH449" s="798">
        <f>AH344</f>
        <v>197688</v>
      </c>
      <c r="AI449" s="1628">
        <f>AJ343</f>
        <v>269152</v>
      </c>
      <c r="AJ449" s="1628">
        <f>AJ344</f>
        <v>209038</v>
      </c>
      <c r="AK449" s="1628">
        <f>AL343</f>
        <v>275451</v>
      </c>
      <c r="AL449" s="1628">
        <f>AL344</f>
        <v>213240</v>
      </c>
      <c r="AM449" s="1628">
        <f>AN343</f>
        <v>269846</v>
      </c>
      <c r="AN449" s="1628">
        <f>AN344</f>
        <v>249059</v>
      </c>
      <c r="AO449" s="1628">
        <f>AP343</f>
        <v>269364</v>
      </c>
      <c r="AP449" s="1628">
        <f>AP344</f>
        <v>252597</v>
      </c>
      <c r="AQ449" s="1628"/>
      <c r="AR449" s="1628"/>
      <c r="AS449" s="2238">
        <f t="shared" si="239"/>
        <v>0</v>
      </c>
      <c r="AT449" s="1628">
        <f t="shared" si="240"/>
        <v>0</v>
      </c>
      <c r="AU449" s="1525">
        <f>(AF449+AH449)/(AD449+AE449)-1</f>
        <v>-0.32931160950454552</v>
      </c>
      <c r="AV449" s="1276"/>
      <c r="AW449" s="797"/>
      <c r="AX449" s="805"/>
      <c r="AY449" s="807"/>
      <c r="AZ449" s="2136"/>
      <c r="BA449" s="2136"/>
      <c r="BB449" s="2162"/>
    </row>
    <row r="450" spans="1:54" ht="14.25" hidden="1" customHeight="1" x14ac:dyDescent="0.2">
      <c r="A450" s="714" t="s">
        <v>139</v>
      </c>
      <c r="B450" s="797"/>
      <c r="C450" s="797"/>
      <c r="D450" s="797"/>
      <c r="E450" s="797"/>
      <c r="F450" s="798"/>
      <c r="G450" s="798">
        <f>SUM(H417)</f>
        <v>57460</v>
      </c>
      <c r="H450" s="798">
        <f>SUM(H418)</f>
        <v>136960</v>
      </c>
      <c r="I450" s="797"/>
      <c r="J450" s="798">
        <f>SUM(J417)</f>
        <v>60336</v>
      </c>
      <c r="K450" s="817">
        <v>59413.64</v>
      </c>
      <c r="L450" s="893">
        <f>L417</f>
        <v>61687</v>
      </c>
      <c r="M450" s="1275">
        <f>M417</f>
        <v>63333</v>
      </c>
      <c r="N450" s="1275">
        <f>O417</f>
        <v>67371</v>
      </c>
      <c r="O450" s="798">
        <f>O418</f>
        <v>159639</v>
      </c>
      <c r="P450" s="1275">
        <f>Q417</f>
        <v>67371</v>
      </c>
      <c r="Q450" s="798">
        <f>Q418</f>
        <v>156766</v>
      </c>
      <c r="R450" s="1275">
        <f>R417</f>
        <v>67371</v>
      </c>
      <c r="S450" s="798">
        <f>R418</f>
        <v>146234</v>
      </c>
      <c r="T450" s="798">
        <v>73092</v>
      </c>
      <c r="U450" s="798">
        <v>148082</v>
      </c>
      <c r="V450" s="1275">
        <f>W417</f>
        <v>77240</v>
      </c>
      <c r="W450" s="798">
        <f>W418</f>
        <v>155791</v>
      </c>
      <c r="X450" s="1275">
        <f>Y417</f>
        <v>81073</v>
      </c>
      <c r="Y450" s="798">
        <f>Y418</f>
        <v>177577</v>
      </c>
      <c r="Z450" s="1275">
        <f>AA417</f>
        <v>85299</v>
      </c>
      <c r="AA450" s="798">
        <f>AA418</f>
        <v>192667</v>
      </c>
      <c r="AB450" s="1275">
        <f>AC417</f>
        <v>91410</v>
      </c>
      <c r="AC450" s="798">
        <f>AC418</f>
        <v>199275</v>
      </c>
      <c r="AD450" s="1275">
        <f>AE418</f>
        <v>200729.88</v>
      </c>
      <c r="AE450" s="798">
        <f>AE419</f>
        <v>349180</v>
      </c>
      <c r="AF450" s="1275">
        <f>AH418</f>
        <v>202380</v>
      </c>
      <c r="AG450" s="1275"/>
      <c r="AH450" s="1625">
        <f>AH419</f>
        <v>349180</v>
      </c>
      <c r="AI450" s="1625">
        <f>AJ418</f>
        <v>272717</v>
      </c>
      <c r="AJ450" s="1625">
        <f>AJ419</f>
        <v>415824</v>
      </c>
      <c r="AK450" s="1625">
        <f>AL418</f>
        <v>253442</v>
      </c>
      <c r="AL450" s="1625">
        <f>AL419</f>
        <v>410455</v>
      </c>
      <c r="AM450" s="1625">
        <f>AN418</f>
        <v>256682</v>
      </c>
      <c r="AN450" s="1625">
        <f>AN419</f>
        <v>434930</v>
      </c>
      <c r="AO450" s="1625">
        <f>AP418</f>
        <v>285549.25</v>
      </c>
      <c r="AP450" s="1625">
        <f>AP419</f>
        <v>419550</v>
      </c>
      <c r="AQ450" s="1625"/>
      <c r="AR450" s="1625"/>
      <c r="AS450" s="2238">
        <f t="shared" si="239"/>
        <v>0</v>
      </c>
      <c r="AT450" s="1625">
        <f t="shared" si="240"/>
        <v>0</v>
      </c>
      <c r="AU450" s="1114"/>
      <c r="AV450" s="1276"/>
      <c r="AW450" s="797"/>
      <c r="AX450" s="805"/>
      <c r="AY450" s="807"/>
      <c r="AZ450" s="2136"/>
      <c r="BA450" s="2136"/>
    </row>
    <row r="451" spans="1:54" ht="14.25" hidden="1" customHeight="1" x14ac:dyDescent="0.2">
      <c r="A451" s="1277" t="s">
        <v>821</v>
      </c>
      <c r="B451" s="870"/>
      <c r="C451" s="870"/>
      <c r="D451" s="870"/>
      <c r="E451" s="1278"/>
      <c r="F451" s="871"/>
      <c r="G451" s="871">
        <f>SUM(G445:G450)</f>
        <v>1082150</v>
      </c>
      <c r="H451" s="871">
        <f>SUM(H445:H450)</f>
        <v>2232553</v>
      </c>
      <c r="I451" s="1278"/>
      <c r="J451" s="870">
        <f t="shared" ref="J451:Q451" si="241">SUM(J445:J450)</f>
        <v>1209224</v>
      </c>
      <c r="K451" s="870">
        <f t="shared" si="241"/>
        <v>1167148.7579999999</v>
      </c>
      <c r="L451" s="1279">
        <f t="shared" si="241"/>
        <v>1239761.6000000001</v>
      </c>
      <c r="M451" s="1279">
        <f t="shared" si="241"/>
        <v>1294750.4890000001</v>
      </c>
      <c r="N451" s="1279">
        <f t="shared" si="241"/>
        <v>1307940</v>
      </c>
      <c r="O451" s="1279">
        <f t="shared" si="241"/>
        <v>2442048</v>
      </c>
      <c r="P451" s="1279">
        <f t="shared" si="241"/>
        <v>1304307</v>
      </c>
      <c r="Q451" s="1279">
        <f t="shared" si="241"/>
        <v>2495133</v>
      </c>
      <c r="R451" s="1279">
        <f t="shared" ref="R451:W451" si="242">SUM(R445:R450)</f>
        <v>1308706</v>
      </c>
      <c r="S451" s="1279" t="e">
        <f t="shared" si="242"/>
        <v>#REF!</v>
      </c>
      <c r="T451" s="1279">
        <v>1358254</v>
      </c>
      <c r="U451" s="1279">
        <v>2501581</v>
      </c>
      <c r="V451" s="1279">
        <f t="shared" si="242"/>
        <v>1390582</v>
      </c>
      <c r="W451" s="1279">
        <f t="shared" si="242"/>
        <v>2425974</v>
      </c>
      <c r="X451" s="1279">
        <f t="shared" ref="X451:AC451" si="243">SUM(X445:X450)</f>
        <v>1446495</v>
      </c>
      <c r="Y451" s="1279">
        <f t="shared" si="243"/>
        <v>2564747</v>
      </c>
      <c r="Z451" s="1279">
        <f t="shared" si="243"/>
        <v>1547414</v>
      </c>
      <c r="AA451" s="1279">
        <f t="shared" si="243"/>
        <v>2878882</v>
      </c>
      <c r="AB451" s="1279">
        <f t="shared" si="243"/>
        <v>1569482</v>
      </c>
      <c r="AC451" s="1279">
        <f t="shared" si="243"/>
        <v>3057999</v>
      </c>
      <c r="AD451" s="1279">
        <f t="shared" ref="AD451:AE451" si="244">SUM(AD445:AD450)</f>
        <v>1649449.88</v>
      </c>
      <c r="AE451" s="1279">
        <f t="shared" si="244"/>
        <v>3300003</v>
      </c>
      <c r="AF451" s="1626">
        <f>SUM(AF445:AF450)</f>
        <v>1783420</v>
      </c>
      <c r="AG451" s="1638"/>
      <c r="AH451" s="1627">
        <f>SUM(AH445:AH450)</f>
        <v>3397126</v>
      </c>
      <c r="AI451" s="1627">
        <f t="shared" ref="AI451:AJ451" si="245">SUM(AI445:AI450)</f>
        <v>1925601</v>
      </c>
      <c r="AJ451" s="1627">
        <f t="shared" si="245"/>
        <v>3594760.46</v>
      </c>
      <c r="AK451" s="1627">
        <f t="shared" ref="AK451:AP451" si="246">SUM(AK445:AK450)</f>
        <v>1992746</v>
      </c>
      <c r="AL451" s="1627">
        <f t="shared" si="246"/>
        <v>3693646</v>
      </c>
      <c r="AM451" s="1627">
        <f t="shared" si="246"/>
        <v>1956319</v>
      </c>
      <c r="AN451" s="1627">
        <f t="shared" si="246"/>
        <v>3808723</v>
      </c>
      <c r="AO451" s="1627">
        <f t="shared" si="246"/>
        <v>2026553.25</v>
      </c>
      <c r="AP451" s="1627">
        <f t="shared" si="246"/>
        <v>3983035</v>
      </c>
      <c r="AQ451" s="1640"/>
      <c r="AR451" s="1640"/>
      <c r="AT451" s="1640">
        <f>AF451/(AB451+AE451)</f>
        <v>0.36624406893131412</v>
      </c>
      <c r="AU451" s="1268"/>
      <c r="AV451" s="1280"/>
      <c r="AW451" s="870"/>
      <c r="AX451" s="1173"/>
      <c r="AY451" s="873"/>
      <c r="AZ451" s="873"/>
      <c r="BA451" s="2314"/>
      <c r="BB451" s="2163"/>
    </row>
    <row r="452" spans="1:54" ht="14.25" hidden="1" customHeight="1" thickBot="1" x14ac:dyDescent="0.25">
      <c r="A452" s="1281" t="s">
        <v>388</v>
      </c>
      <c r="B452" s="1282"/>
      <c r="C452" s="1283"/>
      <c r="D452" s="1283"/>
      <c r="E452" s="1283"/>
      <c r="F452" s="1283"/>
      <c r="G452" s="1283"/>
      <c r="H452" s="1283">
        <f>SUM(G451:H451)</f>
        <v>3314703</v>
      </c>
      <c r="I452" s="1283"/>
      <c r="J452" s="1283"/>
      <c r="K452" s="1284"/>
      <c r="L452" s="1285">
        <f>(L451-J451)/J451</f>
        <v>2.5253881828346189E-2</v>
      </c>
      <c r="M452" s="1285">
        <f>(M451-L451)/L451</f>
        <v>4.4354405718002525E-2</v>
      </c>
      <c r="N452" s="1285">
        <f>(N451-M451)/M451</f>
        <v>1.0186913318091776E-2</v>
      </c>
      <c r="O452" s="1286">
        <f>(O451-AT451)/AT451</f>
        <v>6667814.8287335569</v>
      </c>
      <c r="P452" s="1285">
        <f t="shared" ref="P452:AB452" si="247">(P451-N451)/N451</f>
        <v>-2.7776503509335292E-3</v>
      </c>
      <c r="Q452" s="1286">
        <f t="shared" si="247"/>
        <v>2.1737901957701079E-2</v>
      </c>
      <c r="R452" s="1285">
        <f t="shared" si="247"/>
        <v>3.3726722313075067E-3</v>
      </c>
      <c r="S452" s="1286" t="e">
        <f t="shared" si="247"/>
        <v>#REF!</v>
      </c>
      <c r="T452" s="1285">
        <f t="shared" si="247"/>
        <v>3.7860298646143598E-2</v>
      </c>
      <c r="U452" s="1286" t="e">
        <f t="shared" si="247"/>
        <v>#REF!</v>
      </c>
      <c r="V452" s="1285">
        <f t="shared" si="247"/>
        <v>2.3801144704893192E-2</v>
      </c>
      <c r="W452" s="1286">
        <f t="shared" si="247"/>
        <v>-3.0223686540631706E-2</v>
      </c>
      <c r="X452" s="1285">
        <f t="shared" si="247"/>
        <v>4.0208344419818465E-2</v>
      </c>
      <c r="Y452" s="1286">
        <f t="shared" si="247"/>
        <v>5.7203003824443294E-2</v>
      </c>
      <c r="Z452" s="1285">
        <f t="shared" si="247"/>
        <v>6.9767956335832479E-2</v>
      </c>
      <c r="AA452" s="1286">
        <f t="shared" si="247"/>
        <v>0.12248186663245926</v>
      </c>
      <c r="AB452" s="1285">
        <f t="shared" si="247"/>
        <v>1.4261212577888012E-2</v>
      </c>
      <c r="AC452" s="1286">
        <f>(AC451-AA451)/AA451</f>
        <v>6.221755528708714E-2</v>
      </c>
      <c r="AD452" s="1286">
        <f>(AD451-AB451)/AB451</f>
        <v>5.0951766251540243E-2</v>
      </c>
      <c r="AE452" s="1286">
        <f>(AE451-AC451)/AC451</f>
        <v>7.9138024570969454E-2</v>
      </c>
      <c r="AF452" s="1520">
        <f>AF451/SUM(AD445:AD449)-1</f>
        <v>0.23103153128278753</v>
      </c>
      <c r="AG452" s="1520"/>
      <c r="AH452" s="1520">
        <f>AH451/SUM(AE445:AE449)-1</f>
        <v>0.15124695720482051</v>
      </c>
      <c r="AI452" s="1286"/>
      <c r="AJ452" s="1561"/>
      <c r="AK452" s="1561"/>
      <c r="AL452" s="1561"/>
      <c r="AM452" s="1561"/>
      <c r="AN452" s="1561"/>
      <c r="AO452" s="1561"/>
      <c r="AP452" s="1561"/>
      <c r="AQ452" s="1561"/>
      <c r="AR452" s="1561"/>
      <c r="AT452" s="1561"/>
      <c r="AU452" s="1287"/>
      <c r="AV452" s="1288"/>
      <c r="AW452" s="1289"/>
      <c r="AX452" s="1289"/>
      <c r="AY452" s="1197"/>
      <c r="AZ452" s="1197"/>
      <c r="BA452" s="1197"/>
      <c r="BB452" s="2164"/>
    </row>
    <row r="453" spans="1:54" ht="14.25" hidden="1" customHeight="1" thickTop="1" x14ac:dyDescent="0.2">
      <c r="K453" s="1031"/>
      <c r="L453" s="1080"/>
      <c r="M453" s="1080"/>
      <c r="N453" s="1080"/>
      <c r="O453" s="1031"/>
      <c r="P453" s="1031"/>
      <c r="Q453" s="1031"/>
      <c r="R453" s="1031"/>
      <c r="S453" s="1031"/>
      <c r="T453" s="1031"/>
      <c r="U453" s="1031"/>
      <c r="V453" s="1031"/>
      <c r="W453" s="1031"/>
      <c r="X453" s="1031"/>
      <c r="Y453" s="1031"/>
      <c r="Z453" s="1031"/>
      <c r="AA453" s="1031"/>
      <c r="AB453" s="1031"/>
      <c r="AC453" s="1031"/>
      <c r="AD453" s="1031"/>
      <c r="AE453" s="1031"/>
      <c r="AI453" s="1031"/>
      <c r="AJ453" s="1031"/>
      <c r="AK453" s="1031"/>
      <c r="AL453" s="1031"/>
      <c r="AM453" s="1031"/>
      <c r="AN453" s="1031"/>
      <c r="AO453" s="1031"/>
      <c r="AP453" s="1031"/>
      <c r="AQ453" s="1031"/>
      <c r="AR453" s="1031"/>
      <c r="AT453" s="1631"/>
      <c r="AU453" s="869"/>
      <c r="AV453" s="1225"/>
      <c r="AX453" s="1042"/>
      <c r="AY453" s="722"/>
      <c r="AZ453" s="722"/>
      <c r="BA453" s="722"/>
      <c r="BB453" s="2165"/>
    </row>
    <row r="454" spans="1:54" ht="14.25" hidden="1" customHeight="1" x14ac:dyDescent="0.2">
      <c r="A454" s="1290" t="s">
        <v>256</v>
      </c>
      <c r="B454" s="1291"/>
      <c r="C454" s="1291"/>
      <c r="D454" s="1291"/>
      <c r="E454" s="1291"/>
      <c r="F454" s="1291"/>
      <c r="G454" s="1291"/>
      <c r="H454" s="1291"/>
      <c r="I454" s="1291"/>
      <c r="J454" s="1292"/>
      <c r="K454" s="1292"/>
      <c r="L454" s="1293">
        <f>SUM(L115,L167,L224,L250,L270,L299,L316,L324)</f>
        <v>1178074.6000000001</v>
      </c>
      <c r="M454" s="1294">
        <f>SUM(M115,M167,M224,M250,M270,M299,M316,M324)</f>
        <v>1231417.4890000001</v>
      </c>
      <c r="N454" s="1294">
        <f>SUM(O115,O167,O224,O250,O270,O299,O316,O324)</f>
        <v>1240569</v>
      </c>
      <c r="O454" s="1294"/>
      <c r="P454" s="1294"/>
      <c r="Q454" s="1294"/>
      <c r="R454" s="1294"/>
      <c r="S454" s="1294"/>
      <c r="T454" s="1294"/>
      <c r="U454" s="1294"/>
      <c r="V454" s="1294"/>
      <c r="W454" s="1294"/>
      <c r="X454" s="1294"/>
      <c r="Y454" s="1294"/>
      <c r="Z454" s="1294"/>
      <c r="AA454" s="1294"/>
      <c r="AB454" s="1294"/>
      <c r="AC454" s="1294"/>
      <c r="AD454" s="1294"/>
      <c r="AE454" s="1294"/>
      <c r="AF454" s="1294"/>
      <c r="AG454" s="1294"/>
      <c r="AH454" s="1294"/>
      <c r="AI454" s="1294"/>
      <c r="AJ454" s="1294"/>
      <c r="AK454" s="1294"/>
      <c r="AL454" s="1294"/>
      <c r="AM454" s="1294"/>
      <c r="AN454" s="1294"/>
      <c r="AO454" s="1294"/>
      <c r="AP454" s="1294"/>
      <c r="AQ454" s="1294"/>
      <c r="AR454" s="1294"/>
      <c r="AT454" s="2183"/>
      <c r="AU454" s="1295"/>
      <c r="AV454" s="1296"/>
      <c r="AW454" s="1296"/>
      <c r="AX454" s="1297"/>
      <c r="AY454" s="1298"/>
      <c r="AZ454" s="1298"/>
      <c r="BA454" s="2315"/>
      <c r="BB454" s="2166"/>
    </row>
    <row r="455" spans="1:54" ht="14.25" hidden="1" customHeight="1" x14ac:dyDescent="0.2">
      <c r="A455" s="1299" t="s">
        <v>172</v>
      </c>
      <c r="B455" s="1300"/>
      <c r="C455" s="1300"/>
      <c r="D455" s="1300"/>
      <c r="E455" s="1300"/>
      <c r="F455" s="1300"/>
      <c r="G455" s="1300"/>
      <c r="H455" s="1300"/>
      <c r="I455" s="1300"/>
      <c r="J455" s="1301"/>
      <c r="K455" s="1301"/>
      <c r="L455" s="1301">
        <f>SUM(L116,L141,L251,L271,L300)</f>
        <v>436796.45000000007</v>
      </c>
      <c r="M455" s="1301">
        <f>SUM(M116,M141,M251,M271,M300)</f>
        <v>494657</v>
      </c>
      <c r="N455" s="1301">
        <f>SUM(N116,N141,N251,N271,N300)</f>
        <v>404354</v>
      </c>
      <c r="O455" s="1301"/>
      <c r="P455" s="1301"/>
      <c r="Q455" s="1301"/>
      <c r="R455" s="1301"/>
      <c r="S455" s="1301"/>
      <c r="T455" s="1301"/>
      <c r="U455" s="1301"/>
      <c r="V455" s="1301"/>
      <c r="W455" s="1301"/>
      <c r="X455" s="1301"/>
      <c r="Y455" s="1301"/>
      <c r="Z455" s="1301"/>
      <c r="AA455" s="1301"/>
      <c r="AB455" s="1301"/>
      <c r="AC455" s="1301"/>
      <c r="AD455" s="1301"/>
      <c r="AE455" s="1301"/>
      <c r="AF455" s="1301"/>
      <c r="AG455" s="1301"/>
      <c r="AH455" s="1301"/>
      <c r="AI455" s="1301"/>
      <c r="AJ455" s="1301"/>
      <c r="AK455" s="1301"/>
      <c r="AL455" s="1301"/>
      <c r="AM455" s="1301"/>
      <c r="AN455" s="1301"/>
      <c r="AO455" s="1301"/>
      <c r="AP455" s="1301"/>
      <c r="AQ455" s="1301"/>
      <c r="AR455" s="1301"/>
      <c r="AT455" s="2184"/>
      <c r="AU455" s="1302"/>
      <c r="AV455" s="1303"/>
      <c r="AW455" s="1303"/>
      <c r="AX455" s="778"/>
      <c r="AY455" s="1304"/>
      <c r="AZ455" s="1304"/>
      <c r="BA455" s="1304"/>
      <c r="BB455" s="2166"/>
    </row>
    <row r="456" spans="1:54" ht="14.25" hidden="1" customHeight="1" thickBot="1" x14ac:dyDescent="0.25">
      <c r="A456" s="1305" t="s">
        <v>173</v>
      </c>
      <c r="B456" s="1306"/>
      <c r="C456" s="1306"/>
      <c r="D456" s="1306"/>
      <c r="E456" s="1306"/>
      <c r="F456" s="1306"/>
      <c r="G456" s="1306"/>
      <c r="H456" s="1306"/>
      <c r="I456" s="1306"/>
      <c r="J456" s="1307"/>
      <c r="K456" s="1307"/>
      <c r="L456" s="1307">
        <f>SUM(L124,L131,L225,L233,L317,L325)</f>
        <v>1765628.9700000002</v>
      </c>
      <c r="M456" s="1307">
        <f>SUM(M124,M131,M225,M233,M317,M325)</f>
        <v>1872584</v>
      </c>
      <c r="N456" s="1307">
        <f>SUM(O124,O131,O225,O233,O317,O325)</f>
        <v>1841936</v>
      </c>
      <c r="O456" s="1307"/>
      <c r="P456" s="1307"/>
      <c r="Q456" s="1307"/>
      <c r="R456" s="1307"/>
      <c r="S456" s="1307"/>
      <c r="T456" s="1307"/>
      <c r="U456" s="1307"/>
      <c r="V456" s="1307"/>
      <c r="W456" s="1307"/>
      <c r="X456" s="1307"/>
      <c r="Y456" s="1307"/>
      <c r="Z456" s="1307"/>
      <c r="AA456" s="1307"/>
      <c r="AB456" s="1307"/>
      <c r="AC456" s="1307"/>
      <c r="AD456" s="1307"/>
      <c r="AE456" s="1307"/>
      <c r="AF456" s="1307"/>
      <c r="AG456" s="1307"/>
      <c r="AH456" s="1307"/>
      <c r="AI456" s="1307"/>
      <c r="AJ456" s="1307"/>
      <c r="AK456" s="1307"/>
      <c r="AL456" s="1307"/>
      <c r="AM456" s="1307"/>
      <c r="AN456" s="1307"/>
      <c r="AO456" s="1307"/>
      <c r="AP456" s="1307"/>
      <c r="AQ456" s="1307"/>
      <c r="AR456" s="1307"/>
      <c r="AT456" s="2185"/>
      <c r="AU456" s="1308"/>
      <c r="AV456" s="1309"/>
      <c r="AW456" s="1309"/>
      <c r="AX456" s="1310"/>
      <c r="AY456" s="1311"/>
      <c r="AZ456" s="1311"/>
      <c r="BA456" s="2315"/>
      <c r="BB456" s="2166"/>
    </row>
    <row r="458" spans="1:54" ht="14.25" customHeight="1" x14ac:dyDescent="0.2">
      <c r="J458" s="715"/>
      <c r="K458" s="715"/>
      <c r="L458" s="715"/>
      <c r="M458" s="715"/>
      <c r="N458" s="1629">
        <v>2010</v>
      </c>
      <c r="O458" s="1629">
        <f>IF(N458=0,M458+1,0)</f>
        <v>0</v>
      </c>
      <c r="P458" s="1629">
        <f>IF(O458=0,N458+1,0)</f>
        <v>2011</v>
      </c>
      <c r="Q458" s="1629">
        <f t="shared" ref="Q458:AF458" si="248">IF(P458=0,O458+1,0)</f>
        <v>0</v>
      </c>
      <c r="R458" s="1629">
        <f t="shared" si="248"/>
        <v>2012</v>
      </c>
      <c r="S458" s="1629">
        <f t="shared" si="248"/>
        <v>0</v>
      </c>
      <c r="T458" s="1629">
        <f t="shared" si="248"/>
        <v>2013</v>
      </c>
      <c r="U458" s="1629">
        <f t="shared" si="248"/>
        <v>0</v>
      </c>
      <c r="V458" s="1629">
        <f t="shared" si="248"/>
        <v>2014</v>
      </c>
      <c r="W458" s="1629">
        <f t="shared" si="248"/>
        <v>0</v>
      </c>
      <c r="X458" s="1629">
        <f t="shared" si="248"/>
        <v>2015</v>
      </c>
      <c r="Y458" s="1629">
        <f t="shared" si="248"/>
        <v>0</v>
      </c>
      <c r="Z458" s="1629">
        <f t="shared" si="248"/>
        <v>2016</v>
      </c>
      <c r="AA458" s="1629">
        <f t="shared" si="248"/>
        <v>0</v>
      </c>
      <c r="AB458" s="1629">
        <f t="shared" si="248"/>
        <v>2017</v>
      </c>
      <c r="AC458" s="1629">
        <f t="shared" si="248"/>
        <v>0</v>
      </c>
      <c r="AD458" s="1629">
        <f t="shared" si="248"/>
        <v>2018</v>
      </c>
      <c r="AE458" s="1629">
        <f t="shared" si="248"/>
        <v>0</v>
      </c>
      <c r="AF458" s="1629">
        <f t="shared" si="248"/>
        <v>2019</v>
      </c>
      <c r="AG458" s="1629"/>
      <c r="AH458" s="1629">
        <f>IF(AF458=0,AE458+1,0)</f>
        <v>0</v>
      </c>
      <c r="AI458" s="1629">
        <f>IF(AH458=0,AF458+1,0)</f>
        <v>2020</v>
      </c>
      <c r="AJ458" s="1629"/>
      <c r="AK458" s="1629"/>
      <c r="AL458" s="1629"/>
      <c r="AM458" s="1629"/>
      <c r="AN458" s="1629"/>
      <c r="AO458" s="1629"/>
      <c r="AP458" s="1629"/>
      <c r="AQ458" s="1629"/>
      <c r="AR458" s="1629"/>
      <c r="AT458" s="1629" t="s">
        <v>984</v>
      </c>
      <c r="AU458" s="1631" t="s">
        <v>985</v>
      </c>
      <c r="AV458" s="715"/>
      <c r="AW458" s="869"/>
      <c r="AY458" s="1225"/>
      <c r="AZ458" s="2137"/>
      <c r="BA458" s="2137"/>
    </row>
    <row r="459" spans="1:54" ht="14.25" customHeight="1" x14ac:dyDescent="0.2">
      <c r="A459" s="714" t="str">
        <f>A445</f>
        <v xml:space="preserve">   GENERAL GOVERNMENT</v>
      </c>
      <c r="J459" s="715"/>
      <c r="K459" s="715"/>
      <c r="L459" s="715"/>
      <c r="M459" s="715"/>
      <c r="N459" s="1080">
        <f>IF(N$458&gt;0,N445+O445,"")</f>
        <v>697296</v>
      </c>
      <c r="O459" s="1080" t="str">
        <f t="shared" ref="O459:AE464" si="249">IF(O$458&gt;0,O445+P445,"")</f>
        <v/>
      </c>
      <c r="P459" s="1080">
        <f t="shared" si="249"/>
        <v>672261</v>
      </c>
      <c r="Q459" s="1080" t="str">
        <f t="shared" si="249"/>
        <v/>
      </c>
      <c r="R459" s="1080" t="e">
        <f t="shared" si="249"/>
        <v>#REF!</v>
      </c>
      <c r="S459" s="1080" t="str">
        <f t="shared" si="249"/>
        <v/>
      </c>
      <c r="T459" s="1080">
        <f t="shared" si="249"/>
        <v>715426</v>
      </c>
      <c r="U459" s="1080" t="str">
        <f t="shared" si="249"/>
        <v/>
      </c>
      <c r="V459" s="1080">
        <f t="shared" si="249"/>
        <v>732019</v>
      </c>
      <c r="W459" s="1080" t="str">
        <f t="shared" si="249"/>
        <v/>
      </c>
      <c r="X459" s="1080">
        <f t="shared" si="249"/>
        <v>759596</v>
      </c>
      <c r="Y459" s="1080" t="str">
        <f t="shared" si="249"/>
        <v/>
      </c>
      <c r="Z459" s="1080">
        <f t="shared" si="249"/>
        <v>842252</v>
      </c>
      <c r="AA459" s="1080" t="str">
        <f t="shared" si="249"/>
        <v/>
      </c>
      <c r="AB459" s="1080">
        <f t="shared" si="249"/>
        <v>863501</v>
      </c>
      <c r="AC459" s="1080" t="str">
        <f t="shared" si="249"/>
        <v/>
      </c>
      <c r="AD459" s="1080">
        <f t="shared" si="249"/>
        <v>876919</v>
      </c>
      <c r="AE459" s="1080" t="str">
        <f t="shared" si="249"/>
        <v/>
      </c>
      <c r="AF459" s="1080">
        <f>IF(AF$458&gt;0,AF445+AH445,"")</f>
        <v>928615</v>
      </c>
      <c r="AG459" s="1080"/>
      <c r="AH459" s="1080" t="str">
        <f t="shared" ref="AH459:AH463" si="250">IF(AH$458&gt;0,AH445+AI445,"")</f>
        <v/>
      </c>
      <c r="AI459" s="1080">
        <f>IF(AI$458&gt;0,AI445+AJ445,"")</f>
        <v>981714</v>
      </c>
      <c r="AJ459" s="1031"/>
      <c r="AK459" s="1031"/>
      <c r="AL459" s="1031"/>
      <c r="AM459" s="1031"/>
      <c r="AN459" s="1031"/>
      <c r="AO459" s="1031"/>
      <c r="AP459" s="1031"/>
      <c r="AQ459" s="1031"/>
      <c r="AR459" s="1031"/>
      <c r="AS459" s="2142">
        <f>AI459/N459</f>
        <v>1.4078870379293729</v>
      </c>
      <c r="AT459" s="1031"/>
      <c r="AU459" s="1031"/>
      <c r="AV459" s="715"/>
      <c r="AW459" s="869"/>
      <c r="AY459" s="1225"/>
      <c r="AZ459" s="2137">
        <f>AZ183+AZ436</f>
        <v>1417817</v>
      </c>
      <c r="BA459" s="2137"/>
    </row>
    <row r="460" spans="1:54" ht="14.25" customHeight="1" x14ac:dyDescent="0.2">
      <c r="A460" s="714" t="str">
        <f t="shared" ref="A460:A464" si="251">A446</f>
        <v xml:space="preserve">   PUBLIC SAFETY</v>
      </c>
      <c r="J460" s="715"/>
      <c r="K460" s="715"/>
      <c r="L460" s="715"/>
      <c r="M460" s="715"/>
      <c r="N460" s="1080">
        <f t="shared" ref="N460:AC463" si="252">IF(N$458&gt;0,N446+O446,"")</f>
        <v>1801950</v>
      </c>
      <c r="O460" s="1080" t="str">
        <f t="shared" si="252"/>
        <v/>
      </c>
      <c r="P460" s="1080">
        <f t="shared" si="252"/>
        <v>1873200</v>
      </c>
      <c r="Q460" s="1080" t="str">
        <f t="shared" si="252"/>
        <v/>
      </c>
      <c r="R460" s="1080">
        <f t="shared" si="252"/>
        <v>1857279</v>
      </c>
      <c r="S460" s="1080" t="str">
        <f t="shared" si="252"/>
        <v/>
      </c>
      <c r="T460" s="1080">
        <f t="shared" si="252"/>
        <v>1876699</v>
      </c>
      <c r="U460" s="1080" t="str">
        <f t="shared" si="252"/>
        <v/>
      </c>
      <c r="V460" s="1080">
        <f t="shared" si="252"/>
        <v>1771753</v>
      </c>
      <c r="W460" s="1080" t="str">
        <f t="shared" si="252"/>
        <v/>
      </c>
      <c r="X460" s="1080">
        <f t="shared" si="252"/>
        <v>1867792</v>
      </c>
      <c r="Y460" s="1080" t="str">
        <f t="shared" si="252"/>
        <v/>
      </c>
      <c r="Z460" s="1080">
        <f t="shared" si="252"/>
        <v>2085336</v>
      </c>
      <c r="AA460" s="1080" t="str">
        <f t="shared" si="252"/>
        <v/>
      </c>
      <c r="AB460" s="1080">
        <f t="shared" si="252"/>
        <v>2191059</v>
      </c>
      <c r="AC460" s="1080" t="str">
        <f t="shared" si="252"/>
        <v/>
      </c>
      <c r="AD460" s="1080">
        <f t="shared" si="249"/>
        <v>2202450</v>
      </c>
      <c r="AE460" s="1080" t="str">
        <f t="shared" si="249"/>
        <v/>
      </c>
      <c r="AF460" s="1080">
        <f>IF(AF$458&gt;0,AF446+AH446,"")</f>
        <v>2350247</v>
      </c>
      <c r="AG460" s="1080"/>
      <c r="AH460" s="1080" t="str">
        <f t="shared" si="250"/>
        <v/>
      </c>
      <c r="AI460" s="1080">
        <f>IF(AI$458&gt;0,AI446+AJ446,"")</f>
        <v>2411573.46</v>
      </c>
      <c r="AJ460" s="1031"/>
      <c r="AK460" s="1031"/>
      <c r="AL460" s="1031"/>
      <c r="AM460" s="1031"/>
      <c r="AN460" s="1031"/>
      <c r="AO460" s="1031"/>
      <c r="AP460" s="1031"/>
      <c r="AQ460" s="1031"/>
      <c r="AR460" s="1031"/>
      <c r="AS460" s="2142">
        <f>AI460/N460</f>
        <v>1.3383131940397901</v>
      </c>
      <c r="AT460" s="1031"/>
      <c r="AU460" s="1031"/>
      <c r="AV460" s="715"/>
      <c r="AW460" s="869"/>
      <c r="AY460" s="1225"/>
      <c r="AZ460" s="2137"/>
      <c r="BA460" s="2137"/>
    </row>
    <row r="461" spans="1:54" ht="14.25" customHeight="1" x14ac:dyDescent="0.2">
      <c r="A461" s="714" t="str">
        <f t="shared" si="251"/>
        <v xml:space="preserve">   PUBLIC WORKS</v>
      </c>
      <c r="J461" s="715"/>
      <c r="K461" s="715"/>
      <c r="L461" s="715"/>
      <c r="M461" s="715"/>
      <c r="N461" s="1080">
        <f t="shared" si="252"/>
        <v>339733</v>
      </c>
      <c r="O461" s="1080" t="str">
        <f t="shared" si="249"/>
        <v/>
      </c>
      <c r="P461" s="1080">
        <f t="shared" si="249"/>
        <v>344983</v>
      </c>
      <c r="Q461" s="1080" t="str">
        <f t="shared" si="249"/>
        <v/>
      </c>
      <c r="R461" s="1080">
        <f t="shared" si="249"/>
        <v>345633</v>
      </c>
      <c r="S461" s="1080" t="str">
        <f t="shared" si="249"/>
        <v/>
      </c>
      <c r="T461" s="1080">
        <f t="shared" si="249"/>
        <v>347974</v>
      </c>
      <c r="U461" s="1080" t="str">
        <f t="shared" si="249"/>
        <v/>
      </c>
      <c r="V461" s="1080">
        <f t="shared" si="249"/>
        <v>355455</v>
      </c>
      <c r="W461" s="1080" t="str">
        <f t="shared" si="249"/>
        <v/>
      </c>
      <c r="X461" s="1080">
        <f t="shared" si="249"/>
        <v>373312</v>
      </c>
      <c r="Y461" s="1080" t="str">
        <f t="shared" si="249"/>
        <v/>
      </c>
      <c r="Z461" s="1080">
        <f t="shared" si="249"/>
        <v>404856</v>
      </c>
      <c r="AA461" s="1080" t="str">
        <f t="shared" si="249"/>
        <v/>
      </c>
      <c r="AB461" s="1080">
        <f t="shared" si="249"/>
        <v>424912</v>
      </c>
      <c r="AC461" s="1080" t="str">
        <f t="shared" si="249"/>
        <v/>
      </c>
      <c r="AD461" s="1080">
        <f t="shared" si="249"/>
        <v>436251</v>
      </c>
      <c r="AE461" s="1080" t="str">
        <f t="shared" si="249"/>
        <v/>
      </c>
      <c r="AF461" s="1080">
        <f>IF(AF$458&gt;0,AF447+AH447,"")</f>
        <v>680342</v>
      </c>
      <c r="AG461" s="1080"/>
      <c r="AH461" s="1080" t="str">
        <f t="shared" si="250"/>
        <v/>
      </c>
      <c r="AI461" s="1080">
        <f>IF(AI$458&gt;0,AI447+AJ447,"")</f>
        <v>727861</v>
      </c>
      <c r="AJ461" s="1031"/>
      <c r="AK461" s="1031"/>
      <c r="AL461" s="1031"/>
      <c r="AM461" s="1031"/>
      <c r="AN461" s="1031"/>
      <c r="AO461" s="1031"/>
      <c r="AP461" s="1031"/>
      <c r="AQ461" s="1031"/>
      <c r="AR461" s="1031"/>
      <c r="AS461" s="2142">
        <f>AI461/N461</f>
        <v>2.1424501005201142</v>
      </c>
      <c r="AT461" s="1031"/>
      <c r="AU461" s="733"/>
      <c r="AV461" s="715"/>
      <c r="AW461" s="869"/>
      <c r="AY461" s="1225"/>
      <c r="AZ461" s="2137">
        <f>SUBTOTAL(109,AZ82:AZ213)</f>
        <v>25106</v>
      </c>
      <c r="BA461" s="2137"/>
    </row>
    <row r="462" spans="1:54" ht="14.25" customHeight="1" x14ac:dyDescent="0.2">
      <c r="A462" s="714" t="str">
        <f t="shared" si="251"/>
        <v xml:space="preserve">   HUMAN SERVICES</v>
      </c>
      <c r="L462" s="1093"/>
      <c r="M462" s="1093"/>
      <c r="N462" s="1080">
        <f t="shared" si="252"/>
        <v>153152</v>
      </c>
      <c r="O462" s="1080" t="str">
        <f t="shared" si="249"/>
        <v/>
      </c>
      <c r="P462" s="1080">
        <f t="shared" si="249"/>
        <v>153795</v>
      </c>
      <c r="Q462" s="1080" t="str">
        <f t="shared" si="249"/>
        <v/>
      </c>
      <c r="R462" s="1080">
        <f t="shared" si="249"/>
        <v>153795</v>
      </c>
      <c r="S462" s="1080" t="str">
        <f t="shared" si="249"/>
        <v/>
      </c>
      <c r="T462" s="1080">
        <f t="shared" si="249"/>
        <v>160798</v>
      </c>
      <c r="U462" s="1080" t="str">
        <f t="shared" si="249"/>
        <v/>
      </c>
      <c r="V462" s="1080">
        <f t="shared" si="249"/>
        <v>166363</v>
      </c>
      <c r="W462" s="1080" t="str">
        <f t="shared" si="249"/>
        <v/>
      </c>
      <c r="X462" s="1080">
        <f t="shared" si="249"/>
        <v>171124</v>
      </c>
      <c r="Y462" s="1080" t="str">
        <f t="shared" si="249"/>
        <v/>
      </c>
      <c r="Z462" s="1080">
        <f t="shared" si="249"/>
        <v>185911</v>
      </c>
      <c r="AA462" s="1080" t="str">
        <f t="shared" si="249"/>
        <v/>
      </c>
      <c r="AB462" s="1080">
        <f t="shared" si="249"/>
        <v>199238</v>
      </c>
      <c r="AC462" s="1080" t="str">
        <f t="shared" si="249"/>
        <v/>
      </c>
      <c r="AD462" s="1080">
        <f t="shared" si="249"/>
        <v>209088</v>
      </c>
      <c r="AE462" s="1080" t="str">
        <f t="shared" si="249"/>
        <v/>
      </c>
      <c r="AF462" s="1080">
        <f>IF(AF$458&gt;0,AF448+AH448,"")</f>
        <v>217178</v>
      </c>
      <c r="AG462" s="1080"/>
      <c r="AH462" s="1080" t="str">
        <f t="shared" si="250"/>
        <v/>
      </c>
      <c r="AI462" s="1080">
        <f>IF(AI$458&gt;0,AI448+AJ448,"")</f>
        <v>232482</v>
      </c>
      <c r="AS462" s="2142">
        <f>AI462/N462</f>
        <v>1.5179821353949019</v>
      </c>
      <c r="AU462" s="733"/>
      <c r="AV462" s="715"/>
      <c r="AW462" s="869"/>
      <c r="AY462" s="1225"/>
      <c r="AZ462" s="2137"/>
      <c r="BA462" s="2137"/>
    </row>
    <row r="463" spans="1:54" ht="14.25" customHeight="1" x14ac:dyDescent="0.2">
      <c r="A463" s="714" t="str">
        <f t="shared" si="251"/>
        <v xml:space="preserve">   CULTURE &amp; RECREATION</v>
      </c>
      <c r="L463" s="1093"/>
      <c r="M463" s="1093"/>
      <c r="N463" s="1080">
        <f t="shared" si="252"/>
        <v>530847</v>
      </c>
      <c r="O463" s="1080" t="str">
        <f t="shared" si="249"/>
        <v/>
      </c>
      <c r="P463" s="1080">
        <f t="shared" si="249"/>
        <v>531064</v>
      </c>
      <c r="Q463" s="1080" t="str">
        <f t="shared" si="249"/>
        <v/>
      </c>
      <c r="R463" s="1080">
        <f t="shared" si="249"/>
        <v>526078</v>
      </c>
      <c r="S463" s="1080" t="str">
        <f t="shared" si="249"/>
        <v/>
      </c>
      <c r="T463" s="1080">
        <f t="shared" si="249"/>
        <v>537764</v>
      </c>
      <c r="U463" s="1080" t="str">
        <f t="shared" si="249"/>
        <v/>
      </c>
      <c r="V463" s="1080">
        <f t="shared" si="249"/>
        <v>557935</v>
      </c>
      <c r="W463" s="1080" t="str">
        <f t="shared" si="249"/>
        <v/>
      </c>
      <c r="X463" s="1080">
        <f t="shared" si="249"/>
        <v>580768</v>
      </c>
      <c r="Y463" s="1080" t="str">
        <f t="shared" si="249"/>
        <v/>
      </c>
      <c r="Z463" s="1080">
        <f t="shared" si="249"/>
        <v>629975</v>
      </c>
      <c r="AA463" s="1080" t="str">
        <f t="shared" si="249"/>
        <v/>
      </c>
      <c r="AB463" s="1080">
        <f t="shared" si="249"/>
        <v>658086</v>
      </c>
      <c r="AC463" s="1080" t="str">
        <f t="shared" si="249"/>
        <v/>
      </c>
      <c r="AD463" s="1080">
        <f t="shared" si="249"/>
        <v>674835</v>
      </c>
      <c r="AE463" s="1080" t="str">
        <f t="shared" si="249"/>
        <v/>
      </c>
      <c r="AF463" s="1080">
        <f>IF(AF$458&gt;0,AF449+AH449,"")</f>
        <v>452604</v>
      </c>
      <c r="AG463" s="1080"/>
      <c r="AH463" s="1080" t="str">
        <f t="shared" si="250"/>
        <v/>
      </c>
      <c r="AI463" s="1080">
        <f>IF(AI$458&gt;0,AI449+AJ449,"")</f>
        <v>478190</v>
      </c>
      <c r="AS463" s="2142">
        <f>AI463/N463</f>
        <v>0.90080569354258389</v>
      </c>
      <c r="AU463" s="733"/>
      <c r="AV463" s="715"/>
      <c r="AW463" s="869"/>
      <c r="AY463" s="1225"/>
      <c r="AZ463" s="2137"/>
      <c r="BA463" s="2137"/>
    </row>
    <row r="464" spans="1:54" ht="14.25" customHeight="1" x14ac:dyDescent="0.2">
      <c r="A464" s="714" t="str">
        <f t="shared" si="251"/>
        <v xml:space="preserve">   WATER ENTERPRISE</v>
      </c>
      <c r="L464" s="1093"/>
      <c r="M464" s="1093">
        <v>0</v>
      </c>
      <c r="N464" s="1080">
        <f>IF(N$458&gt;0,N450+O450,"")*$M$464</f>
        <v>0</v>
      </c>
      <c r="O464" s="1080" t="str">
        <f t="shared" si="249"/>
        <v/>
      </c>
      <c r="P464" s="1080">
        <f>IF(P$458&gt;0,P450+Q450,"")*$M$464</f>
        <v>0</v>
      </c>
      <c r="Q464" s="1080" t="str">
        <f t="shared" si="249"/>
        <v/>
      </c>
      <c r="R464" s="1080">
        <f>IF(R$458&gt;0,R450+S450,"")*$M$464</f>
        <v>0</v>
      </c>
      <c r="S464" s="1080" t="str">
        <f t="shared" si="249"/>
        <v/>
      </c>
      <c r="T464" s="1080">
        <f>IF(T$458&gt;0,T450+U450,"")*$M$464</f>
        <v>0</v>
      </c>
      <c r="U464" s="1080" t="str">
        <f t="shared" si="249"/>
        <v/>
      </c>
      <c r="V464" s="1080">
        <f>IF(V$458&gt;0,V450+W450,"")*$M$464</f>
        <v>0</v>
      </c>
      <c r="W464" s="1080" t="str">
        <f t="shared" si="249"/>
        <v/>
      </c>
      <c r="X464" s="1080">
        <f>IF(X$458&gt;0,X450+Y450,"")*$M$464</f>
        <v>0</v>
      </c>
      <c r="Y464" s="1080" t="str">
        <f t="shared" si="249"/>
        <v/>
      </c>
      <c r="Z464" s="1080">
        <f>IF(Z$458&gt;0,Z450+AA450,"")*$M$464</f>
        <v>0</v>
      </c>
      <c r="AA464" s="1080" t="str">
        <f t="shared" si="249"/>
        <v/>
      </c>
      <c r="AB464" s="1080">
        <f>IF(AB$458&gt;0,AB450+AC450,"")*$M$464</f>
        <v>0</v>
      </c>
      <c r="AC464" s="1080" t="str">
        <f t="shared" si="249"/>
        <v/>
      </c>
      <c r="AD464" s="1080">
        <f>IF(AD$458&gt;0,AD450+AE450,"")*$M$464</f>
        <v>0</v>
      </c>
      <c r="AE464" s="1080" t="str">
        <f t="shared" si="249"/>
        <v/>
      </c>
      <c r="AF464" s="1080">
        <f>IF(AF$458&gt;0,AF450+AH450,"")*$M$464</f>
        <v>0</v>
      </c>
      <c r="AG464" s="1080"/>
      <c r="AH464" s="1080" t="str">
        <f>IF(AH$458&gt;0,AH450+AI450,"")</f>
        <v/>
      </c>
      <c r="AI464" s="1080">
        <f>IF(AI$458&gt;0,AI450+AJ450,"")*$M$464</f>
        <v>0</v>
      </c>
      <c r="AS464" s="2142" t="e">
        <f>AI464/N464*M464</f>
        <v>#DIV/0!</v>
      </c>
      <c r="AU464" s="733"/>
      <c r="AV464" s="715"/>
      <c r="AW464" s="869"/>
      <c r="AY464" s="1225"/>
      <c r="AZ464" s="2137"/>
      <c r="BA464" s="2137"/>
    </row>
    <row r="465" spans="1:53" ht="14.25" customHeight="1" x14ac:dyDescent="0.2">
      <c r="L465" s="1093"/>
      <c r="M465" s="1093"/>
      <c r="N465" s="1093"/>
      <c r="O465" s="1093"/>
      <c r="P465" s="1093"/>
      <c r="Q465" s="1093"/>
      <c r="R465" s="1093"/>
      <c r="S465" s="1093"/>
      <c r="T465" s="1093"/>
      <c r="U465" s="1093"/>
      <c r="V465" s="1093"/>
      <c r="W465" s="1093"/>
      <c r="X465" s="1093"/>
      <c r="Y465" s="1093"/>
      <c r="Z465" s="1093"/>
      <c r="AA465" s="1093"/>
      <c r="AB465" s="1093"/>
      <c r="AC465" s="1093"/>
      <c r="AD465" s="1093"/>
      <c r="AE465" s="1093"/>
      <c r="AF465" s="1093"/>
      <c r="AG465" s="1093"/>
      <c r="AH465" s="1093"/>
      <c r="AI465" s="1093"/>
      <c r="AU465" s="733"/>
      <c r="AV465" s="715"/>
      <c r="AW465" s="869"/>
      <c r="AY465" s="1225"/>
      <c r="AZ465" s="2137"/>
      <c r="BA465" s="2137"/>
    </row>
    <row r="466" spans="1:53" ht="14.25" customHeight="1" x14ac:dyDescent="0.2">
      <c r="A466" s="1632" t="s">
        <v>986</v>
      </c>
      <c r="L466" s="1093"/>
      <c r="M466" s="1093"/>
      <c r="N466" s="1093">
        <f>SUM(N459:N464)</f>
        <v>3522978</v>
      </c>
      <c r="O466" s="1093">
        <f t="shared" ref="O466:AI466" si="253">SUM(O459:O464)</f>
        <v>0</v>
      </c>
      <c r="P466" s="1093">
        <f t="shared" si="253"/>
        <v>3575303</v>
      </c>
      <c r="Q466" s="1093">
        <f t="shared" si="253"/>
        <v>0</v>
      </c>
      <c r="R466" s="1093" t="e">
        <f t="shared" si="253"/>
        <v>#REF!</v>
      </c>
      <c r="S466" s="1093">
        <f t="shared" si="253"/>
        <v>0</v>
      </c>
      <c r="T466" s="1093">
        <f t="shared" si="253"/>
        <v>3638661</v>
      </c>
      <c r="U466" s="1093">
        <f t="shared" si="253"/>
        <v>0</v>
      </c>
      <c r="V466" s="1093">
        <f t="shared" si="253"/>
        <v>3583525</v>
      </c>
      <c r="W466" s="1093">
        <f t="shared" si="253"/>
        <v>0</v>
      </c>
      <c r="X466" s="1093">
        <f t="shared" si="253"/>
        <v>3752592</v>
      </c>
      <c r="Y466" s="1093">
        <f t="shared" si="253"/>
        <v>0</v>
      </c>
      <c r="Z466" s="1093">
        <f t="shared" si="253"/>
        <v>4148330</v>
      </c>
      <c r="AA466" s="1093">
        <f t="shared" si="253"/>
        <v>0</v>
      </c>
      <c r="AB466" s="1093">
        <f t="shared" si="253"/>
        <v>4336796</v>
      </c>
      <c r="AC466" s="1093">
        <f t="shared" si="253"/>
        <v>0</v>
      </c>
      <c r="AD466" s="1093">
        <f t="shared" si="253"/>
        <v>4399543</v>
      </c>
      <c r="AE466" s="1093">
        <f t="shared" si="253"/>
        <v>0</v>
      </c>
      <c r="AF466" s="1093">
        <f t="shared" si="253"/>
        <v>4628986</v>
      </c>
      <c r="AG466" s="1093"/>
      <c r="AH466" s="1093">
        <f t="shared" si="253"/>
        <v>0</v>
      </c>
      <c r="AI466" s="1093">
        <f t="shared" si="253"/>
        <v>4831820.46</v>
      </c>
      <c r="AS466" s="2142">
        <f>AI466/N466</f>
        <v>1.3715159333949858</v>
      </c>
      <c r="AT466" s="733">
        <f>POWER(AS466,1/10)-1</f>
        <v>3.2095978216124754E-2</v>
      </c>
      <c r="AU466" s="1630">
        <f>POWER(AI466/X466,0.2)-1</f>
        <v>5.1855029807705177E-2</v>
      </c>
      <c r="AV466" s="715"/>
      <c r="AW466" s="869"/>
      <c r="AY466" s="1225"/>
      <c r="AZ466" s="2137"/>
      <c r="BA466" s="2137"/>
    </row>
    <row r="467" spans="1:53" ht="14.25" customHeight="1" x14ac:dyDescent="0.2">
      <c r="A467" s="1632" t="s">
        <v>987</v>
      </c>
      <c r="N467" s="733">
        <f>O183</f>
        <v>5784941</v>
      </c>
      <c r="X467" s="733">
        <f>Y183</f>
        <v>6866919</v>
      </c>
      <c r="AI467" s="733">
        <f>AI183</f>
        <v>8913230.1999999993</v>
      </c>
      <c r="AS467" s="2142">
        <f>AI467/N467</f>
        <v>1.5407642359706002</v>
      </c>
      <c r="AT467" s="733">
        <f>POWER(AS467,1/10)-1</f>
        <v>4.4175788468687971E-2</v>
      </c>
      <c r="AU467" s="1630">
        <f>POWER(AI467/X467,0.2)-1</f>
        <v>5.3548758566873023E-2</v>
      </c>
      <c r="AV467" s="715"/>
      <c r="AW467" s="869"/>
      <c r="AY467" s="1225"/>
      <c r="AZ467" s="2137"/>
      <c r="BA467" s="2137"/>
    </row>
    <row r="468" spans="1:53" ht="14.25" customHeight="1" x14ac:dyDescent="0.2">
      <c r="A468" s="1632" t="s">
        <v>928</v>
      </c>
      <c r="N468" s="1633">
        <f>O438</f>
        <v>5870454</v>
      </c>
      <c r="X468" s="733">
        <f>Y438</f>
        <v>6421520</v>
      </c>
      <c r="AI468" s="733">
        <f>AI438</f>
        <v>7693568</v>
      </c>
      <c r="AS468" s="2142">
        <f>AI468/N468</f>
        <v>1.3105575820881996</v>
      </c>
      <c r="AT468" s="733">
        <f>POWER(AS468,1/10)-1</f>
        <v>2.741431089066948E-2</v>
      </c>
      <c r="AU468" s="1630">
        <f>POWER(AI468/X468,0.2)-1</f>
        <v>3.6807168921082045E-2</v>
      </c>
      <c r="AV468" s="715"/>
      <c r="AW468" s="869"/>
      <c r="AY468" s="1225"/>
      <c r="AZ468" s="2137"/>
      <c r="BA468" s="2137"/>
    </row>
    <row r="1048532" spans="45:45" ht="14.25" customHeight="1" x14ac:dyDescent="0.2">
      <c r="AS1048532" s="2210"/>
    </row>
    <row r="1048533" spans="45:45" ht="14.25" customHeight="1" x14ac:dyDescent="0.2">
      <c r="AS1048533" s="2210"/>
    </row>
    <row r="1048534" spans="45:45" ht="14.25" customHeight="1" x14ac:dyDescent="0.2">
      <c r="AS1048534" s="2208"/>
    </row>
    <row r="1048535" spans="45:45" ht="14.25" customHeight="1" x14ac:dyDescent="0.2">
      <c r="AS1048535" s="2209"/>
    </row>
    <row r="1048536" spans="45:45" ht="14.25" customHeight="1" x14ac:dyDescent="0.2">
      <c r="AS1048536" s="2210"/>
    </row>
    <row r="1048537" spans="45:45" ht="14.25" customHeight="1" x14ac:dyDescent="0.2">
      <c r="AS1048537" s="2210"/>
    </row>
    <row r="1048538" spans="45:45" ht="14.25" customHeight="1" x14ac:dyDescent="0.2">
      <c r="AS1048538" s="2211"/>
    </row>
    <row r="1048539" spans="45:45" ht="14.25" customHeight="1" x14ac:dyDescent="0.2">
      <c r="AS1048539" s="2208"/>
    </row>
    <row r="1048540" spans="45:45" ht="14.25" customHeight="1" x14ac:dyDescent="0.2">
      <c r="AS1048540" s="2209"/>
    </row>
    <row r="1048541" spans="45:45" ht="14.25" customHeight="1" x14ac:dyDescent="0.2">
      <c r="AS1048541" s="2210"/>
    </row>
    <row r="1048542" spans="45:45" ht="14.25" customHeight="1" x14ac:dyDescent="0.2">
      <c r="AS1048542" s="2210"/>
    </row>
    <row r="1048543" spans="45:45" ht="14.25" customHeight="1" x14ac:dyDescent="0.2">
      <c r="AS1048543" s="2210"/>
    </row>
    <row r="1048544" spans="45:45" ht="14.25" customHeight="1" x14ac:dyDescent="0.2">
      <c r="AS1048544" s="2210"/>
    </row>
    <row r="1048545" spans="45:45" ht="14.25" customHeight="1" x14ac:dyDescent="0.2">
      <c r="AS1048545" s="2208"/>
    </row>
    <row r="1048546" spans="45:45" ht="14.25" customHeight="1" x14ac:dyDescent="0.2">
      <c r="AS1048546" s="2209"/>
    </row>
    <row r="1048547" spans="45:45" ht="14.25" customHeight="1" x14ac:dyDescent="0.2">
      <c r="AS1048547" s="2210"/>
    </row>
    <row r="1048548" spans="45:45" ht="14.25" customHeight="1" x14ac:dyDescent="0.2">
      <c r="AS1048548" s="2210"/>
    </row>
    <row r="1048549" spans="45:45" ht="14.25" customHeight="1" x14ac:dyDescent="0.2">
      <c r="AS1048549" s="2210"/>
    </row>
    <row r="1048550" spans="45:45" ht="14.25" customHeight="1" x14ac:dyDescent="0.2">
      <c r="AS1048550" s="2210"/>
    </row>
    <row r="1048551" spans="45:45" ht="14.25" customHeight="1" x14ac:dyDescent="0.2">
      <c r="AS1048551" s="2208"/>
    </row>
    <row r="1048552" spans="45:45" ht="14.25" customHeight="1" x14ac:dyDescent="0.2">
      <c r="AS1048552" s="2212"/>
    </row>
    <row r="1048553" spans="45:45" ht="14.25" customHeight="1" x14ac:dyDescent="0.2">
      <c r="AS1048553" s="2213"/>
    </row>
    <row r="1048554" spans="45:45" ht="14.25" customHeight="1" x14ac:dyDescent="0.2">
      <c r="AS1048554" s="2210"/>
    </row>
    <row r="1048555" spans="45:45" ht="14.25" customHeight="1" x14ac:dyDescent="0.2">
      <c r="AS1048555" s="2210"/>
    </row>
    <row r="1048556" spans="45:45" ht="14.25" customHeight="1" x14ac:dyDescent="0.2">
      <c r="AS1048556" s="2210"/>
    </row>
    <row r="1048557" spans="45:45" ht="14.25" customHeight="1" x14ac:dyDescent="0.2">
      <c r="AS1048557" s="2210"/>
    </row>
    <row r="1048558" spans="45:45" ht="14.25" customHeight="1" x14ac:dyDescent="0.2">
      <c r="AS1048558" s="2208"/>
    </row>
    <row r="1048559" spans="45:45" ht="14.25" customHeight="1" x14ac:dyDescent="0.2">
      <c r="AS1048559" s="2209"/>
    </row>
    <row r="1048560" spans="45:45" ht="14.25" customHeight="1" x14ac:dyDescent="0.2">
      <c r="AS1048560" s="2210"/>
    </row>
    <row r="1048561" spans="45:45" ht="14.25" customHeight="1" x14ac:dyDescent="0.2">
      <c r="AS1048561" s="2211"/>
    </row>
    <row r="1048562" spans="45:45" ht="14.25" customHeight="1" x14ac:dyDescent="0.2">
      <c r="AS1048562" s="2210"/>
    </row>
    <row r="1048563" spans="45:45" ht="14.25" customHeight="1" x14ac:dyDescent="0.2">
      <c r="AS1048563" s="2214"/>
    </row>
    <row r="1048564" spans="45:45" ht="14.25" customHeight="1" x14ac:dyDescent="0.2">
      <c r="AS1048564" s="2212"/>
    </row>
    <row r="1048565" spans="45:45" ht="14.25" customHeight="1" x14ac:dyDescent="0.2">
      <c r="AS1048565" s="2213"/>
    </row>
    <row r="1048566" spans="45:45" ht="14.25" customHeight="1" x14ac:dyDescent="0.2">
      <c r="AS1048566" s="2210"/>
    </row>
    <row r="1048567" spans="45:45" ht="14.25" customHeight="1" x14ac:dyDescent="0.2">
      <c r="AS1048567" s="2208"/>
    </row>
    <row r="1048568" spans="45:45" ht="14.25" customHeight="1" x14ac:dyDescent="0.2">
      <c r="AS1048568" s="2209"/>
    </row>
    <row r="1048569" spans="45:45" ht="14.25" customHeight="1" x14ac:dyDescent="0.2">
      <c r="AS1048569" s="2210"/>
    </row>
    <row r="1048570" spans="45:45" ht="14.25" customHeight="1" x14ac:dyDescent="0.2">
      <c r="AS1048570" s="2210"/>
    </row>
    <row r="1048571" spans="45:45" ht="14.25" customHeight="1" x14ac:dyDescent="0.2">
      <c r="AS1048571" s="2210"/>
    </row>
    <row r="1048572" spans="45:45" ht="14.25" customHeight="1" x14ac:dyDescent="0.2">
      <c r="AS1048572" s="2210"/>
    </row>
    <row r="1048573" spans="45:45" ht="14.25" customHeight="1" x14ac:dyDescent="0.2">
      <c r="AS1048573" s="2208"/>
    </row>
    <row r="1048574" spans="45:45" ht="14.25" customHeight="1" x14ac:dyDescent="0.2">
      <c r="AS1048574" s="2209"/>
    </row>
  </sheetData>
  <autoFilter ref="A11:BB456">
    <filterColumn colId="53">
      <filters>
        <dateGroupItem year="2023" month="3" day="27" dateTimeGrouping="day"/>
      </filters>
    </filterColumn>
  </autoFilter>
  <phoneticPr fontId="39" type="noConversion"/>
  <printOptions gridLines="1"/>
  <pageMargins left="0.23622047244094491" right="0.23622047244094491" top="0.70866141732283472" bottom="0" header="0.19685039370078741" footer="0"/>
  <pageSetup scale="81" fitToHeight="0" orientation="landscape" horizontalDpi="300" verticalDpi="300" r:id="rId1"/>
  <headerFooter alignWithMargins="0">
    <oddHeader xml:space="preserve">&amp;L29-Mar-2022
&amp;A&amp;CTOWN OF TOPSFIELD FINANCE COMMITTEE
BUDGET WORKSHEETS
&amp;R&amp;"Arial,Bold"&amp;12VERSION 2.5
FY 2023
</oddHeader>
    <oddFooter xml:space="preserve">&amp;R
</oddFooter>
  </headerFooter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101"/>
  <sheetViews>
    <sheetView topLeftCell="A18" workbookViewId="0">
      <selection activeCell="E50" sqref="E50"/>
    </sheetView>
  </sheetViews>
  <sheetFormatPr defaultColWidth="8.85546875" defaultRowHeight="11.25" x14ac:dyDescent="0.2"/>
  <cols>
    <col min="1" max="1" width="5" style="108" customWidth="1"/>
    <col min="2" max="2" width="47.85546875" style="87" customWidth="1"/>
    <col min="3" max="3" width="12.7109375" style="108" customWidth="1"/>
    <col min="4" max="4" width="10.140625" style="127" customWidth="1"/>
    <col min="5" max="5" width="10.28515625" style="127" customWidth="1"/>
    <col min="6" max="6" width="13.42578125" style="127" bestFit="1" customWidth="1"/>
    <col min="7" max="7" width="11.42578125" style="127" customWidth="1"/>
    <col min="8" max="8" width="9.140625" style="127" customWidth="1"/>
    <col min="9" max="9" width="9.42578125" style="127" customWidth="1"/>
    <col min="10" max="10" width="41.85546875" style="86" customWidth="1"/>
    <col min="11" max="12" width="8.85546875" style="108"/>
    <col min="13" max="14" width="9.5703125" style="108" bestFit="1" customWidth="1"/>
    <col min="15" max="16384" width="8.85546875" style="108"/>
  </cols>
  <sheetData>
    <row r="1" spans="1:17" ht="12" x14ac:dyDescent="0.2">
      <c r="C1" s="514" t="s">
        <v>79</v>
      </c>
      <c r="D1" s="487"/>
      <c r="E1" s="487"/>
      <c r="F1" s="487"/>
      <c r="G1" s="487"/>
      <c r="H1" s="487"/>
      <c r="I1" s="488"/>
      <c r="J1" s="511"/>
      <c r="N1" s="493"/>
      <c r="O1" s="493"/>
      <c r="P1" s="493"/>
      <c r="Q1" s="504"/>
    </row>
    <row r="2" spans="1:17" ht="12.75" x14ac:dyDescent="0.2">
      <c r="B2" s="1635"/>
      <c r="C2" s="503" t="s">
        <v>402</v>
      </c>
      <c r="D2" s="491"/>
      <c r="E2" s="492"/>
      <c r="F2" s="492"/>
      <c r="G2" s="492"/>
      <c r="H2" s="492"/>
      <c r="I2" s="493"/>
      <c r="J2" s="512"/>
      <c r="N2" s="493"/>
      <c r="O2" s="493"/>
      <c r="P2" s="493"/>
      <c r="Q2" s="504"/>
    </row>
    <row r="3" spans="1:17" ht="12.75" thickBot="1" x14ac:dyDescent="0.25">
      <c r="C3" s="503" t="s">
        <v>99</v>
      </c>
      <c r="D3" s="491"/>
      <c r="E3" s="492"/>
      <c r="F3" s="492"/>
      <c r="G3" s="497"/>
      <c r="H3" s="497"/>
      <c r="I3" s="498"/>
      <c r="J3" s="513"/>
      <c r="N3" s="493"/>
      <c r="O3" s="493"/>
      <c r="P3" s="493"/>
      <c r="Q3" s="504"/>
    </row>
    <row r="4" spans="1:17" s="86" customFormat="1" ht="10.5" thickBot="1" x14ac:dyDescent="0.25">
      <c r="A4" s="83"/>
      <c r="B4" s="83"/>
      <c r="C4" s="84" t="s">
        <v>425</v>
      </c>
      <c r="D4" s="85"/>
      <c r="E4" s="387"/>
      <c r="F4" s="515"/>
      <c r="G4" s="85"/>
      <c r="H4" s="84" t="s">
        <v>426</v>
      </c>
      <c r="I4" s="516"/>
      <c r="J4" s="510"/>
    </row>
    <row r="5" spans="1:17" s="86" customFormat="1" ht="10.5" thickBot="1" x14ac:dyDescent="0.25">
      <c r="A5" s="88" t="s">
        <v>164</v>
      </c>
      <c r="B5" s="89" t="s">
        <v>164</v>
      </c>
      <c r="C5" s="90" t="s">
        <v>427</v>
      </c>
      <c r="D5" s="90" t="s">
        <v>428</v>
      </c>
      <c r="E5" s="94" t="s">
        <v>429</v>
      </c>
      <c r="F5" s="384" t="s">
        <v>289</v>
      </c>
      <c r="G5" s="90" t="s">
        <v>149</v>
      </c>
      <c r="H5" s="92" t="s">
        <v>279</v>
      </c>
      <c r="I5" s="92"/>
      <c r="J5" s="93"/>
    </row>
    <row r="6" spans="1:17" s="86" customFormat="1" ht="9.75" x14ac:dyDescent="0.2">
      <c r="A6" s="88" t="s">
        <v>280</v>
      </c>
      <c r="B6" s="89" t="s">
        <v>314</v>
      </c>
      <c r="C6" s="89" t="s">
        <v>315</v>
      </c>
      <c r="D6" s="91" t="s">
        <v>316</v>
      </c>
      <c r="E6" s="94" t="s">
        <v>317</v>
      </c>
      <c r="F6" s="385" t="s">
        <v>318</v>
      </c>
      <c r="G6" s="91" t="s">
        <v>568</v>
      </c>
      <c r="H6" s="90" t="s">
        <v>569</v>
      </c>
      <c r="I6" s="90" t="s">
        <v>575</v>
      </c>
      <c r="J6" s="93"/>
    </row>
    <row r="7" spans="1:17" s="86" customFormat="1" ht="9.75" x14ac:dyDescent="0.2">
      <c r="A7" s="88" t="s">
        <v>280</v>
      </c>
      <c r="B7" s="89" t="s">
        <v>39</v>
      </c>
      <c r="C7" s="89" t="s">
        <v>795</v>
      </c>
      <c r="D7" s="91" t="s">
        <v>771</v>
      </c>
      <c r="E7" s="94" t="s">
        <v>772</v>
      </c>
      <c r="F7" s="385" t="s">
        <v>773</v>
      </c>
      <c r="G7" s="91" t="s">
        <v>658</v>
      </c>
      <c r="H7" s="91" t="s">
        <v>659</v>
      </c>
      <c r="I7" s="91" t="s">
        <v>661</v>
      </c>
      <c r="J7" s="94" t="s">
        <v>164</v>
      </c>
    </row>
    <row r="8" spans="1:17" s="86" customFormat="1" ht="9.75" x14ac:dyDescent="0.2">
      <c r="A8" s="88" t="s">
        <v>839</v>
      </c>
      <c r="B8" s="95" t="s">
        <v>989</v>
      </c>
      <c r="C8" s="89" t="s">
        <v>840</v>
      </c>
      <c r="D8" s="91" t="s">
        <v>841</v>
      </c>
      <c r="E8" s="388" t="s">
        <v>438</v>
      </c>
      <c r="F8" s="385" t="s">
        <v>310</v>
      </c>
      <c r="G8" s="91" t="s">
        <v>311</v>
      </c>
      <c r="H8" s="91" t="s">
        <v>310</v>
      </c>
      <c r="I8" s="91" t="s">
        <v>570</v>
      </c>
      <c r="J8" s="94" t="s">
        <v>571</v>
      </c>
    </row>
    <row r="9" spans="1:17" s="86" customFormat="1" ht="10.5" thickBot="1" x14ac:dyDescent="0.25">
      <c r="A9" s="96" t="s">
        <v>572</v>
      </c>
      <c r="B9" s="97"/>
      <c r="C9" s="98" t="s">
        <v>675</v>
      </c>
      <c r="D9" s="99"/>
      <c r="E9" s="389"/>
      <c r="F9" s="386" t="s">
        <v>676</v>
      </c>
      <c r="G9" s="101" t="s">
        <v>677</v>
      </c>
      <c r="H9" s="100" t="s">
        <v>609</v>
      </c>
      <c r="I9" s="100"/>
      <c r="J9" s="102" t="s">
        <v>610</v>
      </c>
    </row>
    <row r="10" spans="1:17" x14ac:dyDescent="0.2">
      <c r="A10" s="104">
        <v>2</v>
      </c>
      <c r="B10" s="105" t="s">
        <v>885</v>
      </c>
      <c r="C10" s="106">
        <f>SUM(D10:H10)</f>
        <v>120178</v>
      </c>
      <c r="D10" s="104"/>
      <c r="E10" s="393"/>
      <c r="F10" s="394">
        <v>120178</v>
      </c>
      <c r="G10" s="392"/>
      <c r="H10" s="393"/>
      <c r="I10" s="393"/>
      <c r="J10" s="380" t="s">
        <v>947</v>
      </c>
      <c r="L10" s="86"/>
      <c r="M10" s="86"/>
      <c r="N10" s="86"/>
    </row>
    <row r="11" spans="1:17" ht="26.1" customHeight="1" x14ac:dyDescent="0.2">
      <c r="A11" s="106">
        <v>3</v>
      </c>
      <c r="B11" s="109" t="s">
        <v>613</v>
      </c>
      <c r="C11" s="394">
        <f>SUM(D11:G11)</f>
        <v>23553500.760000002</v>
      </c>
      <c r="D11" s="394">
        <f>BUDGET!AR413 -SUM(E11:G11)</f>
        <v>23553500.760000002</v>
      </c>
      <c r="E11" s="394"/>
      <c r="F11" s="394"/>
      <c r="H11" s="396"/>
      <c r="I11" s="396"/>
      <c r="J11" s="605"/>
      <c r="L11" s="86"/>
      <c r="M11" s="86"/>
      <c r="N11" s="86"/>
    </row>
    <row r="12" spans="1:17" x14ac:dyDescent="0.2">
      <c r="A12" s="106">
        <v>4</v>
      </c>
      <c r="B12" s="109" t="s">
        <v>721</v>
      </c>
      <c r="C12" s="394">
        <f>SUM(D12:G12)</f>
        <v>2123955</v>
      </c>
      <c r="D12" s="394"/>
      <c r="E12" s="396"/>
      <c r="F12" s="394"/>
      <c r="G12" s="395">
        <f>BUDGET!AR431</f>
        <v>2123955</v>
      </c>
      <c r="H12" s="396"/>
      <c r="I12" s="396"/>
      <c r="J12" s="107"/>
      <c r="L12" s="86"/>
      <c r="M12" s="86"/>
      <c r="N12" s="86"/>
    </row>
    <row r="13" spans="1:17" x14ac:dyDescent="0.2">
      <c r="A13" s="106">
        <v>5</v>
      </c>
      <c r="B13" s="109" t="s">
        <v>117</v>
      </c>
      <c r="C13" s="394">
        <f t="shared" ref="C13" si="0">SUM(D13:G13)</f>
        <v>8876259</v>
      </c>
      <c r="D13" s="394">
        <f>BUDGET!AR438</f>
        <v>8876259</v>
      </c>
      <c r="E13" s="396"/>
      <c r="F13" s="394"/>
      <c r="G13" s="395"/>
      <c r="H13" s="396"/>
      <c r="I13" s="396"/>
      <c r="J13" s="107"/>
      <c r="L13" s="86"/>
      <c r="M13" s="86"/>
      <c r="N13" s="86"/>
    </row>
    <row r="14" spans="1:17" x14ac:dyDescent="0.2">
      <c r="A14" s="106">
        <v>6</v>
      </c>
      <c r="B14" s="109" t="s">
        <v>116</v>
      </c>
      <c r="C14" s="394">
        <f>SUM(D14:G14)</f>
        <v>485391</v>
      </c>
      <c r="D14" s="394">
        <v>485391</v>
      </c>
      <c r="E14" s="396"/>
      <c r="F14" s="394"/>
      <c r="G14" s="395"/>
      <c r="H14" s="396"/>
      <c r="I14" s="396"/>
      <c r="J14" s="107"/>
      <c r="L14" s="86"/>
      <c r="M14" s="86"/>
      <c r="N14" s="86"/>
    </row>
    <row r="15" spans="1:17" x14ac:dyDescent="0.2">
      <c r="A15" s="106">
        <v>7</v>
      </c>
      <c r="B15" s="109" t="s">
        <v>1000</v>
      </c>
      <c r="C15" s="394">
        <f t="shared" ref="C15:C18" si="1">SUM(D15:G15)</f>
        <v>0</v>
      </c>
      <c r="D15" s="394"/>
      <c r="E15" s="396"/>
      <c r="F15" s="394"/>
      <c r="G15" s="395"/>
      <c r="H15" s="396"/>
      <c r="I15" s="396"/>
      <c r="J15" s="107"/>
      <c r="L15" s="86"/>
      <c r="M15" s="86"/>
      <c r="N15" s="86"/>
    </row>
    <row r="16" spans="1:17" x14ac:dyDescent="0.2">
      <c r="A16" s="106">
        <v>8</v>
      </c>
      <c r="B16" s="109" t="s">
        <v>881</v>
      </c>
      <c r="C16" s="2888">
        <f t="shared" si="1"/>
        <v>0</v>
      </c>
      <c r="D16" s="394"/>
      <c r="E16" s="569"/>
      <c r="F16" s="394"/>
      <c r="G16" s="395"/>
      <c r="H16" s="396"/>
      <c r="I16" s="396"/>
      <c r="J16" s="107"/>
      <c r="L16" s="86"/>
      <c r="M16" s="86"/>
      <c r="N16" s="86"/>
    </row>
    <row r="17" spans="1:14" x14ac:dyDescent="0.2">
      <c r="A17" s="106">
        <v>9</v>
      </c>
      <c r="B17" s="109" t="s">
        <v>815</v>
      </c>
      <c r="C17" s="2888">
        <f t="shared" si="1"/>
        <v>21525</v>
      </c>
      <c r="D17" s="394"/>
      <c r="E17" s="2891">
        <v>21525</v>
      </c>
      <c r="F17" s="394"/>
      <c r="G17" s="395"/>
      <c r="H17" s="396"/>
      <c r="I17" s="396"/>
      <c r="J17" s="107"/>
      <c r="L17" s="86"/>
      <c r="M17" s="86"/>
      <c r="N17" s="86"/>
    </row>
    <row r="18" spans="1:14" x14ac:dyDescent="0.2">
      <c r="A18" s="106">
        <v>10</v>
      </c>
      <c r="B18" s="109" t="s">
        <v>816</v>
      </c>
      <c r="C18" s="2888">
        <f t="shared" si="1"/>
        <v>1500</v>
      </c>
      <c r="D18" s="394"/>
      <c r="E18" s="2891">
        <v>1500</v>
      </c>
      <c r="F18" s="394"/>
      <c r="G18" s="395"/>
      <c r="H18" s="396"/>
      <c r="I18" s="396"/>
      <c r="J18" s="107"/>
      <c r="L18" s="86"/>
      <c r="M18" s="86"/>
      <c r="N18" s="86"/>
    </row>
    <row r="19" spans="1:14" x14ac:dyDescent="0.2">
      <c r="A19" s="106"/>
      <c r="B19" s="109"/>
      <c r="C19" s="2888"/>
      <c r="D19" s="394"/>
      <c r="E19" s="2892"/>
      <c r="F19" s="394"/>
      <c r="G19" s="395"/>
      <c r="H19" s="396"/>
      <c r="I19" s="396"/>
      <c r="J19" s="107"/>
      <c r="L19" s="86"/>
      <c r="M19" s="86"/>
      <c r="N19" s="86"/>
    </row>
    <row r="20" spans="1:14" x14ac:dyDescent="0.2">
      <c r="A20" s="106">
        <v>11</v>
      </c>
      <c r="B20" s="109" t="s">
        <v>1175</v>
      </c>
      <c r="C20" s="2889">
        <f>SUM(D20:G20)</f>
        <v>8000</v>
      </c>
      <c r="D20" s="394"/>
      <c r="E20" s="2892">
        <v>8000</v>
      </c>
      <c r="F20" s="394"/>
      <c r="G20" s="2317"/>
      <c r="H20" s="396"/>
      <c r="I20" s="396"/>
      <c r="J20" s="107"/>
      <c r="L20" s="86"/>
      <c r="M20" s="86"/>
      <c r="N20" s="86"/>
    </row>
    <row r="21" spans="1:14" x14ac:dyDescent="0.2">
      <c r="A21" s="106">
        <v>12</v>
      </c>
      <c r="B21" s="87" t="s">
        <v>1080</v>
      </c>
      <c r="C21" s="2888">
        <f>SUM(D21:G21)</f>
        <v>30000</v>
      </c>
      <c r="D21" s="394"/>
      <c r="E21" s="2893">
        <v>30000</v>
      </c>
      <c r="F21" s="394"/>
      <c r="G21" s="395"/>
      <c r="H21" s="396"/>
      <c r="I21" s="396"/>
      <c r="J21" s="107" t="s">
        <v>1081</v>
      </c>
      <c r="L21" s="86"/>
      <c r="M21" s="86"/>
      <c r="N21" s="86"/>
    </row>
    <row r="22" spans="1:14" x14ac:dyDescent="0.2">
      <c r="A22" s="106">
        <v>13</v>
      </c>
      <c r="B22" s="109" t="s">
        <v>1165</v>
      </c>
      <c r="C22" s="2889">
        <f>SUM(D22:G22)</f>
        <v>130000</v>
      </c>
      <c r="D22" s="394"/>
      <c r="E22" s="2892">
        <v>130000</v>
      </c>
      <c r="F22" s="394"/>
      <c r="G22" s="2316"/>
      <c r="H22" s="396"/>
      <c r="I22" s="396"/>
      <c r="J22" s="107"/>
      <c r="L22" s="86"/>
      <c r="M22" s="86"/>
      <c r="N22" s="86"/>
    </row>
    <row r="23" spans="1:14" x14ac:dyDescent="0.2">
      <c r="A23" s="106">
        <v>14</v>
      </c>
      <c r="B23" s="109" t="s">
        <v>1166</v>
      </c>
      <c r="C23" s="2889">
        <f>SUM(E23:G23)</f>
        <v>11000</v>
      </c>
      <c r="D23" s="607"/>
      <c r="E23" s="2894">
        <v>11000</v>
      </c>
      <c r="F23" s="394"/>
      <c r="G23" s="2316"/>
      <c r="H23" s="396"/>
      <c r="I23" s="396"/>
      <c r="J23" s="107"/>
      <c r="L23" s="86"/>
      <c r="M23" s="86"/>
      <c r="N23" s="86"/>
    </row>
    <row r="24" spans="1:14" x14ac:dyDescent="0.2">
      <c r="A24" s="106">
        <v>15</v>
      </c>
      <c r="B24" s="109" t="s">
        <v>1167</v>
      </c>
      <c r="C24" s="2889">
        <f>SUM(E24:G24)</f>
        <v>480000</v>
      </c>
      <c r="D24" s="607"/>
      <c r="E24" s="2888">
        <v>140000</v>
      </c>
      <c r="F24" s="394">
        <f>200000+100000+40000</f>
        <v>340000</v>
      </c>
      <c r="G24" s="569"/>
      <c r="H24" s="396"/>
      <c r="I24" s="396"/>
      <c r="J24" s="553"/>
      <c r="L24" s="86"/>
      <c r="M24" s="86"/>
      <c r="N24" s="86"/>
    </row>
    <row r="25" spans="1:14" x14ac:dyDescent="0.2">
      <c r="A25" s="106">
        <v>16</v>
      </c>
      <c r="B25" s="109" t="s">
        <v>1082</v>
      </c>
      <c r="C25" s="2889">
        <f>SUM(E25:G25)</f>
        <v>243000</v>
      </c>
      <c r="E25" s="2894">
        <v>243000</v>
      </c>
      <c r="F25" s="1676"/>
      <c r="G25" s="569"/>
      <c r="H25" s="396"/>
      <c r="I25" s="396"/>
      <c r="J25" s="553"/>
      <c r="L25" s="86"/>
      <c r="M25" s="86"/>
      <c r="N25" s="86"/>
    </row>
    <row r="26" spans="1:14" x14ac:dyDescent="0.2">
      <c r="A26" s="106">
        <v>17</v>
      </c>
      <c r="B26" s="109" t="s">
        <v>2532</v>
      </c>
      <c r="C26" s="2889">
        <f>SUM(D26:G26)</f>
        <v>45000</v>
      </c>
      <c r="D26" s="569"/>
      <c r="E26" s="2894">
        <v>45000</v>
      </c>
      <c r="F26" s="394"/>
      <c r="G26" s="569"/>
      <c r="H26" s="396"/>
      <c r="I26" s="396"/>
      <c r="J26" s="553"/>
      <c r="L26" s="86"/>
      <c r="M26" s="86"/>
      <c r="N26" s="86"/>
    </row>
    <row r="27" spans="1:14" x14ac:dyDescent="0.2">
      <c r="A27" s="106">
        <v>18</v>
      </c>
      <c r="B27" s="109" t="s">
        <v>1168</v>
      </c>
      <c r="C27" s="2889">
        <f>SUM(D27:G27)</f>
        <v>800000</v>
      </c>
      <c r="E27" s="2894"/>
      <c r="F27" s="394"/>
      <c r="G27" s="569">
        <v>800000</v>
      </c>
      <c r="H27" s="394"/>
      <c r="I27" s="396">
        <v>3000000</v>
      </c>
      <c r="J27" s="381"/>
      <c r="L27" s="86"/>
      <c r="M27" s="86"/>
      <c r="N27" s="86"/>
    </row>
    <row r="28" spans="1:14" x14ac:dyDescent="0.2">
      <c r="A28" s="106">
        <v>19</v>
      </c>
      <c r="B28" s="109" t="s">
        <v>1169</v>
      </c>
      <c r="C28" s="2889">
        <f>SUM(D28:G28)</f>
        <v>90000</v>
      </c>
      <c r="E28" s="2894"/>
      <c r="F28" s="394"/>
      <c r="G28" s="569">
        <v>90000</v>
      </c>
      <c r="H28" s="394"/>
      <c r="I28" s="396"/>
      <c r="J28" s="381"/>
      <c r="L28" s="86"/>
      <c r="M28" s="86"/>
      <c r="N28" s="86"/>
    </row>
    <row r="29" spans="1:14" x14ac:dyDescent="0.2">
      <c r="A29" s="106">
        <v>20</v>
      </c>
      <c r="B29" s="109" t="s">
        <v>1170</v>
      </c>
      <c r="C29" s="2889">
        <f>SUM(D29:G29)</f>
        <v>150000</v>
      </c>
      <c r="D29" s="569"/>
      <c r="E29" s="2894"/>
      <c r="F29" s="569"/>
      <c r="G29" s="2318">
        <v>150000</v>
      </c>
      <c r="H29" s="394"/>
      <c r="I29" s="396"/>
      <c r="J29" s="381"/>
      <c r="L29" s="86"/>
      <c r="M29" s="86"/>
      <c r="N29" s="86"/>
    </row>
    <row r="30" spans="1:14" x14ac:dyDescent="0.2">
      <c r="A30" s="106">
        <v>21</v>
      </c>
      <c r="B30" s="87" t="s">
        <v>1171</v>
      </c>
      <c r="C30" s="2889">
        <f>SUM(D30:G30)</f>
        <v>25000</v>
      </c>
      <c r="D30" s="569"/>
      <c r="E30" s="2894">
        <v>25000</v>
      </c>
      <c r="F30" s="394"/>
      <c r="G30" s="572"/>
      <c r="H30" s="396"/>
      <c r="I30" s="396"/>
      <c r="J30" s="107"/>
      <c r="L30" s="86"/>
      <c r="M30" s="86"/>
      <c r="N30" s="86"/>
    </row>
    <row r="31" spans="1:14" x14ac:dyDescent="0.2">
      <c r="A31" s="106">
        <v>22</v>
      </c>
      <c r="B31" s="109" t="s">
        <v>2522</v>
      </c>
      <c r="C31" s="479">
        <f>SUM(D31:I31)</f>
        <v>0</v>
      </c>
      <c r="D31" s="569"/>
      <c r="E31" s="569"/>
      <c r="F31" s="394"/>
      <c r="G31" s="569"/>
      <c r="H31" s="396"/>
      <c r="I31" s="396"/>
      <c r="J31" s="107"/>
      <c r="L31" s="86"/>
      <c r="M31" s="86"/>
      <c r="N31" s="86"/>
    </row>
    <row r="32" spans="1:14" x14ac:dyDescent="0.2">
      <c r="A32" s="106">
        <v>23</v>
      </c>
      <c r="B32" s="109" t="s">
        <v>2523</v>
      </c>
      <c r="C32" s="479">
        <f>SUM(D32:I32)</f>
        <v>0</v>
      </c>
      <c r="D32" s="569"/>
      <c r="E32" s="569"/>
      <c r="F32" s="394"/>
      <c r="G32" s="569"/>
      <c r="H32" s="396"/>
      <c r="I32" s="396"/>
      <c r="J32" s="107"/>
      <c r="L32" s="86"/>
      <c r="M32" s="86"/>
      <c r="N32" s="86"/>
    </row>
    <row r="33" spans="1:14" x14ac:dyDescent="0.2">
      <c r="A33" s="106">
        <v>24</v>
      </c>
      <c r="B33" s="109" t="s">
        <v>2524</v>
      </c>
      <c r="C33" s="479"/>
      <c r="D33" s="569"/>
      <c r="E33" s="1636"/>
      <c r="F33" s="394"/>
      <c r="G33" s="572"/>
      <c r="H33" s="396"/>
      <c r="I33" s="396"/>
      <c r="J33" s="107"/>
      <c r="L33" s="86"/>
      <c r="M33" s="86"/>
      <c r="N33" s="86"/>
    </row>
    <row r="34" spans="1:14" x14ac:dyDescent="0.2">
      <c r="A34" s="106">
        <v>25</v>
      </c>
      <c r="B34" s="109" t="s">
        <v>2525</v>
      </c>
      <c r="C34" s="479">
        <f>SUM(D34:I34)</f>
        <v>0</v>
      </c>
      <c r="D34" s="569"/>
      <c r="E34" s="569"/>
      <c r="F34" s="394"/>
      <c r="G34" s="569"/>
      <c r="H34" s="396"/>
      <c r="I34" s="396"/>
      <c r="J34" s="107"/>
      <c r="L34" s="86"/>
      <c r="M34" s="86"/>
      <c r="N34" s="86"/>
    </row>
    <row r="35" spans="1:14" x14ac:dyDescent="0.2">
      <c r="A35" s="106">
        <v>26</v>
      </c>
      <c r="B35" s="109" t="s">
        <v>2526</v>
      </c>
      <c r="C35" s="479">
        <f>SUM(D35:I35)</f>
        <v>0</v>
      </c>
      <c r="D35" s="569"/>
      <c r="E35" s="569"/>
      <c r="F35" s="394"/>
      <c r="G35" s="569"/>
      <c r="H35" s="396"/>
      <c r="I35" s="396"/>
      <c r="J35" s="107"/>
      <c r="L35" s="86"/>
      <c r="M35" s="86"/>
      <c r="N35" s="86"/>
    </row>
    <row r="36" spans="1:14" x14ac:dyDescent="0.2">
      <c r="A36" s="106">
        <v>27</v>
      </c>
      <c r="B36" s="109" t="s">
        <v>2527</v>
      </c>
      <c r="C36" s="479">
        <v>0</v>
      </c>
      <c r="D36" s="569"/>
      <c r="E36" s="569"/>
      <c r="F36" s="394">
        <v>0</v>
      </c>
      <c r="G36" s="572"/>
      <c r="H36" s="396"/>
      <c r="I36" s="396"/>
      <c r="J36" s="107"/>
      <c r="L36" s="86"/>
      <c r="M36" s="86"/>
      <c r="N36" s="86"/>
    </row>
    <row r="37" spans="1:14" x14ac:dyDescent="0.2">
      <c r="A37" s="106">
        <v>28</v>
      </c>
      <c r="B37" s="109" t="s">
        <v>2516</v>
      </c>
      <c r="C37" s="479">
        <f>SUM(D37:G37)</f>
        <v>0</v>
      </c>
      <c r="D37" s="569"/>
      <c r="E37" s="2895"/>
      <c r="F37" s="569"/>
      <c r="G37" s="572"/>
      <c r="H37" s="396"/>
      <c r="I37" s="396"/>
      <c r="J37" s="107"/>
      <c r="L37" s="123"/>
    </row>
    <row r="38" spans="1:14" x14ac:dyDescent="0.2">
      <c r="A38" s="106">
        <v>29</v>
      </c>
      <c r="B38" s="109" t="s">
        <v>2528</v>
      </c>
      <c r="C38" s="479">
        <f>SUM(D38:I38)</f>
        <v>0</v>
      </c>
      <c r="D38" s="569"/>
      <c r="E38" s="569"/>
      <c r="F38" s="569"/>
      <c r="G38" s="569"/>
      <c r="H38" s="396"/>
      <c r="I38" s="396"/>
      <c r="J38" s="107"/>
      <c r="L38" s="123"/>
    </row>
    <row r="39" spans="1:14" x14ac:dyDescent="0.2">
      <c r="A39" s="106">
        <v>30</v>
      </c>
      <c r="B39" s="109" t="s">
        <v>2529</v>
      </c>
      <c r="C39" s="479">
        <f>SUM(D39:I39)</f>
        <v>0</v>
      </c>
      <c r="D39" s="569"/>
      <c r="E39" s="569"/>
      <c r="F39" s="569"/>
      <c r="G39" s="569"/>
      <c r="H39" s="396"/>
      <c r="I39" s="396"/>
      <c r="J39" s="107"/>
      <c r="L39" s="123"/>
    </row>
    <row r="40" spans="1:14" x14ac:dyDescent="0.2">
      <c r="A40" s="106">
        <v>31</v>
      </c>
      <c r="B40" s="109" t="s">
        <v>2519</v>
      </c>
      <c r="C40" s="479">
        <f>SUM(D40:I40)</f>
        <v>0</v>
      </c>
      <c r="D40" s="569"/>
      <c r="E40" s="569"/>
      <c r="F40" s="569"/>
      <c r="G40" s="569"/>
      <c r="H40" s="396"/>
      <c r="I40" s="396"/>
      <c r="J40" s="107"/>
      <c r="L40" s="123"/>
    </row>
    <row r="41" spans="1:14" x14ac:dyDescent="0.2">
      <c r="A41" s="106">
        <v>32</v>
      </c>
      <c r="B41" s="109" t="s">
        <v>1083</v>
      </c>
      <c r="C41" s="2889">
        <f>SUM(D41:G41)</f>
        <v>15000</v>
      </c>
      <c r="D41" s="569"/>
      <c r="E41" s="2894">
        <v>15000</v>
      </c>
      <c r="F41" s="569"/>
      <c r="G41" s="572"/>
      <c r="H41" s="396"/>
      <c r="I41" s="396"/>
      <c r="J41" s="107"/>
      <c r="L41" s="123"/>
    </row>
    <row r="42" spans="1:14" x14ac:dyDescent="0.2">
      <c r="A42" s="106">
        <v>33</v>
      </c>
      <c r="B42" s="109" t="s">
        <v>2517</v>
      </c>
      <c r="C42" s="479">
        <f>SUM(D42:I42)</f>
        <v>0</v>
      </c>
      <c r="D42" s="569"/>
      <c r="E42" s="569"/>
      <c r="F42" s="569"/>
      <c r="G42" s="569"/>
      <c r="H42" s="396"/>
      <c r="I42" s="396"/>
      <c r="J42" s="107"/>
      <c r="L42" s="123"/>
    </row>
    <row r="43" spans="1:14" x14ac:dyDescent="0.2">
      <c r="A43" s="106">
        <v>34</v>
      </c>
      <c r="B43" s="109" t="s">
        <v>1172</v>
      </c>
      <c r="C43" s="2889">
        <f>SUM(D43:G43)</f>
        <v>131437</v>
      </c>
      <c r="D43" s="569"/>
      <c r="E43" s="2894">
        <f>131437*J43</f>
        <v>131437</v>
      </c>
      <c r="F43" s="569"/>
      <c r="G43" s="572"/>
      <c r="H43" s="396"/>
      <c r="I43" s="396"/>
      <c r="J43" s="107">
        <v>1</v>
      </c>
      <c r="L43" s="123"/>
    </row>
    <row r="44" spans="1:14" x14ac:dyDescent="0.2">
      <c r="A44" s="106">
        <v>35</v>
      </c>
      <c r="B44" s="109" t="s">
        <v>2518</v>
      </c>
      <c r="C44" s="479">
        <f>SUM(D44:I44)</f>
        <v>0</v>
      </c>
      <c r="D44" s="569"/>
      <c r="E44" s="569"/>
      <c r="F44" s="569"/>
      <c r="G44" s="569"/>
      <c r="H44" s="396"/>
      <c r="I44" s="396"/>
      <c r="J44" s="107"/>
      <c r="L44" s="123"/>
    </row>
    <row r="45" spans="1:14" x14ac:dyDescent="0.2">
      <c r="A45" s="106">
        <v>36</v>
      </c>
      <c r="B45" s="109" t="s">
        <v>2530</v>
      </c>
      <c r="C45" s="479">
        <f>SUM(D45:I45)</f>
        <v>0</v>
      </c>
      <c r="D45" s="569"/>
      <c r="E45" s="569"/>
      <c r="F45" s="569"/>
      <c r="G45" s="569"/>
      <c r="H45" s="396"/>
      <c r="I45" s="396"/>
      <c r="J45" s="381"/>
      <c r="L45" s="123"/>
    </row>
    <row r="46" spans="1:14" x14ac:dyDescent="0.2">
      <c r="A46" s="106">
        <v>37</v>
      </c>
      <c r="B46" s="109" t="s">
        <v>2536</v>
      </c>
      <c r="C46" s="479">
        <f>SUM(D46:G46)</f>
        <v>0</v>
      </c>
      <c r="D46" s="569"/>
      <c r="E46" s="2895"/>
      <c r="F46" s="569"/>
      <c r="G46" s="572"/>
      <c r="H46" s="396"/>
      <c r="I46" s="396"/>
      <c r="J46" s="107"/>
      <c r="L46" s="123"/>
    </row>
    <row r="47" spans="1:14" x14ac:dyDescent="0.2">
      <c r="A47" s="106">
        <v>38</v>
      </c>
      <c r="B47" s="109" t="s">
        <v>2520</v>
      </c>
      <c r="C47" s="479">
        <f>SUM(D47:I47)</f>
        <v>0</v>
      </c>
      <c r="D47" s="569"/>
      <c r="E47" s="569"/>
      <c r="F47" s="569"/>
      <c r="G47" s="569"/>
      <c r="H47" s="396"/>
      <c r="I47" s="396"/>
      <c r="J47" s="107"/>
      <c r="L47" s="123"/>
    </row>
    <row r="48" spans="1:14" x14ac:dyDescent="0.2">
      <c r="A48" s="106">
        <v>39</v>
      </c>
      <c r="B48" s="87" t="s">
        <v>1043</v>
      </c>
      <c r="C48" s="479">
        <f>SUM(D48:G48)</f>
        <v>380000</v>
      </c>
      <c r="D48" s="569"/>
      <c r="E48" s="2894">
        <v>380000</v>
      </c>
      <c r="F48" s="569"/>
      <c r="G48" s="572"/>
      <c r="H48" s="396"/>
      <c r="I48" s="396"/>
      <c r="J48" s="107"/>
      <c r="L48" s="123"/>
    </row>
    <row r="49" spans="1:12" x14ac:dyDescent="0.2">
      <c r="A49" s="106">
        <v>40</v>
      </c>
      <c r="B49" s="109" t="s">
        <v>1042</v>
      </c>
      <c r="C49" s="479">
        <f>SUM(E49:G49)</f>
        <v>300000</v>
      </c>
      <c r="E49" s="2894">
        <v>300000</v>
      </c>
      <c r="F49" s="569"/>
      <c r="G49" s="572"/>
      <c r="H49" s="396"/>
      <c r="I49" s="396"/>
      <c r="J49" s="107"/>
      <c r="L49" s="123"/>
    </row>
    <row r="50" spans="1:12" x14ac:dyDescent="0.2">
      <c r="A50" s="106">
        <v>41</v>
      </c>
      <c r="B50" s="109" t="s">
        <v>1041</v>
      </c>
      <c r="C50" s="479">
        <f>SUM(E50:G50)</f>
        <v>25000</v>
      </c>
      <c r="D50" s="569"/>
      <c r="E50" s="2894">
        <v>25000</v>
      </c>
      <c r="F50" s="569"/>
      <c r="G50" s="572"/>
      <c r="H50" s="396"/>
      <c r="I50" s="396"/>
      <c r="J50" s="107"/>
      <c r="L50" s="123"/>
    </row>
    <row r="51" spans="1:12" x14ac:dyDescent="0.2">
      <c r="A51" s="106">
        <v>42</v>
      </c>
      <c r="B51" s="109" t="s">
        <v>1114</v>
      </c>
      <c r="C51" s="479">
        <f t="shared" ref="C51:C58" si="2">SUM(D51:I51)</f>
        <v>0</v>
      </c>
      <c r="D51" s="569"/>
      <c r="E51" s="569"/>
      <c r="F51" s="569"/>
      <c r="G51" s="572"/>
      <c r="H51" s="396"/>
      <c r="I51" s="396"/>
      <c r="J51" s="107"/>
      <c r="L51" s="123"/>
    </row>
    <row r="52" spans="1:12" x14ac:dyDescent="0.2">
      <c r="A52" s="106"/>
      <c r="B52" s="109"/>
      <c r="C52" s="479">
        <f t="shared" si="2"/>
        <v>0</v>
      </c>
      <c r="D52" s="569"/>
      <c r="E52" s="394"/>
      <c r="F52" s="394"/>
      <c r="G52" s="569"/>
      <c r="H52" s="396"/>
      <c r="I52" s="396"/>
      <c r="J52" s="107"/>
      <c r="L52" s="123"/>
    </row>
    <row r="53" spans="1:12" x14ac:dyDescent="0.2">
      <c r="A53" s="106"/>
      <c r="B53" s="109"/>
      <c r="C53" s="479">
        <f t="shared" si="2"/>
        <v>0</v>
      </c>
      <c r="E53" s="394"/>
      <c r="F53" s="394"/>
      <c r="G53" s="395"/>
      <c r="H53" s="396"/>
      <c r="I53" s="396"/>
      <c r="J53" s="107"/>
      <c r="L53" s="123"/>
    </row>
    <row r="54" spans="1:12" x14ac:dyDescent="0.2">
      <c r="A54" s="106"/>
      <c r="B54" s="109"/>
      <c r="C54" s="479">
        <f t="shared" si="2"/>
        <v>0</v>
      </c>
      <c r="D54" s="150"/>
      <c r="E54" s="394">
        <f>100000*0</f>
        <v>0</v>
      </c>
      <c r="F54" s="394"/>
      <c r="G54" s="108"/>
      <c r="H54" s="396"/>
      <c r="I54" s="409">
        <v>0</v>
      </c>
      <c r="J54" s="107"/>
      <c r="L54" s="123"/>
    </row>
    <row r="55" spans="1:12" x14ac:dyDescent="0.2">
      <c r="A55" s="106"/>
      <c r="B55" s="109"/>
      <c r="C55" s="479">
        <f t="shared" si="2"/>
        <v>0</v>
      </c>
      <c r="D55" s="150"/>
      <c r="E55" s="394"/>
      <c r="F55" s="394"/>
      <c r="G55" s="460"/>
      <c r="H55" s="396"/>
      <c r="I55" s="396"/>
      <c r="J55" s="107"/>
      <c r="L55" s="123"/>
    </row>
    <row r="56" spans="1:12" x14ac:dyDescent="0.2">
      <c r="A56" s="106"/>
      <c r="B56" s="109"/>
      <c r="C56" s="479">
        <f t="shared" si="2"/>
        <v>0</v>
      </c>
      <c r="E56" s="396"/>
      <c r="F56" s="394"/>
      <c r="G56" s="533">
        <v>0</v>
      </c>
      <c r="H56" s="396"/>
      <c r="I56" s="396"/>
      <c r="J56" s="107"/>
      <c r="L56" s="123"/>
    </row>
    <row r="57" spans="1:12" x14ac:dyDescent="0.2">
      <c r="A57" s="106"/>
      <c r="B57" s="109"/>
      <c r="C57" s="479">
        <f t="shared" si="2"/>
        <v>0</v>
      </c>
      <c r="E57" s="396"/>
      <c r="F57" s="394"/>
      <c r="G57" s="395"/>
      <c r="H57" s="396"/>
      <c r="I57" s="396"/>
      <c r="J57" s="416"/>
      <c r="L57" s="123"/>
    </row>
    <row r="58" spans="1:12" x14ac:dyDescent="0.2">
      <c r="A58" s="106"/>
      <c r="B58" s="109"/>
      <c r="C58" s="479">
        <f t="shared" si="2"/>
        <v>0</v>
      </c>
      <c r="D58" s="150"/>
      <c r="E58" s="396"/>
      <c r="F58" s="394"/>
      <c r="G58" s="395"/>
      <c r="H58" s="396"/>
      <c r="I58" s="396"/>
      <c r="J58" s="107"/>
      <c r="L58" s="123"/>
    </row>
    <row r="59" spans="1:12" x14ac:dyDescent="0.2">
      <c r="A59" s="606"/>
      <c r="B59" s="109"/>
      <c r="C59" s="479" t="str">
        <f>IF(SUM(D59:G59)=0," ",SUM(D59:G59))</f>
        <v xml:space="preserve"> </v>
      </c>
      <c r="D59" s="569"/>
      <c r="E59" s="396"/>
      <c r="F59" s="607"/>
      <c r="G59" s="612"/>
      <c r="H59" s="396"/>
      <c r="I59" s="396"/>
      <c r="J59" s="107"/>
      <c r="L59" s="123"/>
    </row>
    <row r="60" spans="1:12" x14ac:dyDescent="0.2">
      <c r="A60" s="106"/>
      <c r="B60" s="109" t="s">
        <v>324</v>
      </c>
      <c r="C60" s="579">
        <f>SUM(C23:C33)</f>
        <v>1844000</v>
      </c>
      <c r="D60" s="579">
        <f>SUM(D23:D33)</f>
        <v>0</v>
      </c>
      <c r="E60" s="579">
        <f>SUM(E23:E33)</f>
        <v>464000</v>
      </c>
      <c r="F60" s="579">
        <f>SUM(F23:F33)</f>
        <v>340000</v>
      </c>
      <c r="G60" s="579">
        <f>SUM(G23:G33)</f>
        <v>1040000</v>
      </c>
      <c r="H60" s="396"/>
      <c r="I60" s="396"/>
      <c r="J60" s="107" t="s">
        <v>50</v>
      </c>
    </row>
    <row r="61" spans="1:12" ht="12" thickBot="1" x14ac:dyDescent="0.25">
      <c r="A61" s="391"/>
      <c r="B61" s="390"/>
      <c r="C61" s="415"/>
      <c r="D61" s="164"/>
      <c r="E61" s="580"/>
      <c r="F61" s="397"/>
      <c r="G61" s="414"/>
      <c r="H61" s="396"/>
      <c r="I61" s="396"/>
      <c r="J61" s="381"/>
    </row>
    <row r="62" spans="1:12" ht="12" thickBot="1" x14ac:dyDescent="0.25">
      <c r="A62" s="111"/>
      <c r="B62" s="383" t="s">
        <v>493</v>
      </c>
      <c r="C62" s="415">
        <f>SUM(D62:G62)</f>
        <v>38045745.760000005</v>
      </c>
      <c r="D62" s="163">
        <f>SUM(D10:D59)</f>
        <v>32915150.760000002</v>
      </c>
      <c r="E62" s="581">
        <f>SUM(E10:E59)</f>
        <v>1506462</v>
      </c>
      <c r="F62" s="415">
        <f>SUM(F10:F59)</f>
        <v>460178</v>
      </c>
      <c r="G62" s="163">
        <f>SUM(G10:G59)</f>
        <v>3163955</v>
      </c>
      <c r="H62" s="415">
        <f>SUM(H10:H59)</f>
        <v>0</v>
      </c>
      <c r="I62" s="382"/>
      <c r="J62" s="112"/>
    </row>
    <row r="63" spans="1:12" x14ac:dyDescent="0.2">
      <c r="A63" s="106"/>
      <c r="B63" s="589" t="s">
        <v>494</v>
      </c>
      <c r="C63" s="106">
        <f>-(C11+C13 +C10)</f>
        <v>-32549937.760000002</v>
      </c>
      <c r="D63" s="106" t="s">
        <v>164</v>
      </c>
      <c r="E63" s="396"/>
      <c r="F63" s="106"/>
      <c r="G63" s="106"/>
      <c r="H63" s="106"/>
      <c r="I63" s="106"/>
      <c r="J63" s="107"/>
    </row>
    <row r="64" spans="1:12" x14ac:dyDescent="0.2">
      <c r="A64" s="106"/>
      <c r="B64" s="590" t="s">
        <v>495</v>
      </c>
      <c r="C64" s="110">
        <f>C62+C63</f>
        <v>5495808.0000000037</v>
      </c>
      <c r="D64" s="106">
        <f>SUM(C14:C59)+C10+C12</f>
        <v>5615986</v>
      </c>
      <c r="E64" s="396"/>
      <c r="F64" s="106"/>
      <c r="G64" s="106"/>
      <c r="H64" s="114"/>
      <c r="I64" s="114"/>
      <c r="J64" s="115" t="s">
        <v>515</v>
      </c>
      <c r="L64" s="108" t="s">
        <v>876</v>
      </c>
    </row>
    <row r="65" spans="1:10" x14ac:dyDescent="0.2">
      <c r="A65" s="106"/>
      <c r="B65" s="584" t="s">
        <v>798</v>
      </c>
      <c r="C65" s="2190"/>
      <c r="D65" s="2190"/>
      <c r="E65" s="396"/>
      <c r="F65" s="106"/>
      <c r="G65" s="106"/>
      <c r="H65" s="106"/>
      <c r="I65" s="106"/>
      <c r="J65" s="115"/>
    </row>
    <row r="66" spans="1:10" x14ac:dyDescent="0.2">
      <c r="A66" s="116">
        <v>2</v>
      </c>
      <c r="B66" s="107" t="s">
        <v>481</v>
      </c>
      <c r="C66" s="2193">
        <f>SUM(D66:I66)</f>
        <v>0</v>
      </c>
      <c r="D66" s="2194"/>
      <c r="E66" s="2195"/>
      <c r="F66" s="106"/>
      <c r="G66" s="106"/>
      <c r="H66" s="106"/>
      <c r="I66" s="106"/>
      <c r="J66" s="107"/>
    </row>
    <row r="67" spans="1:10" x14ac:dyDescent="0.2">
      <c r="A67" s="106">
        <v>3</v>
      </c>
      <c r="B67" s="107" t="s">
        <v>482</v>
      </c>
      <c r="C67" s="2193">
        <f t="shared" ref="C67:C75" si="3">SUM(D67:I67)</f>
        <v>0</v>
      </c>
      <c r="D67" s="2190"/>
      <c r="E67" s="396"/>
      <c r="F67" s="116"/>
      <c r="G67" s="106"/>
      <c r="H67" s="106"/>
      <c r="I67" s="106"/>
      <c r="J67" s="107"/>
    </row>
    <row r="68" spans="1:10" x14ac:dyDescent="0.2">
      <c r="A68" s="106">
        <v>4</v>
      </c>
      <c r="B68" s="591" t="s">
        <v>1102</v>
      </c>
      <c r="C68" s="2193">
        <f t="shared" si="3"/>
        <v>0</v>
      </c>
      <c r="D68" s="2190"/>
      <c r="E68" s="582"/>
      <c r="F68" s="1684"/>
      <c r="G68" s="106"/>
      <c r="H68" s="106"/>
      <c r="I68" s="106"/>
      <c r="J68" s="417"/>
    </row>
    <row r="69" spans="1:10" x14ac:dyDescent="0.2">
      <c r="A69" s="106">
        <v>5</v>
      </c>
      <c r="B69" s="591" t="s">
        <v>1001</v>
      </c>
      <c r="C69" s="2193">
        <f t="shared" si="3"/>
        <v>0</v>
      </c>
      <c r="D69" s="2190"/>
      <c r="E69" s="582"/>
      <c r="F69" s="116"/>
      <c r="G69" s="106"/>
      <c r="H69" s="106"/>
      <c r="I69" s="106"/>
      <c r="J69" s="417"/>
    </row>
    <row r="70" spans="1:10" x14ac:dyDescent="0.2">
      <c r="A70" s="106">
        <v>6</v>
      </c>
      <c r="B70" s="591" t="s">
        <v>997</v>
      </c>
      <c r="C70" s="2193">
        <f t="shared" si="3"/>
        <v>0</v>
      </c>
      <c r="D70" s="2191"/>
      <c r="F70" s="116"/>
      <c r="G70" s="106"/>
      <c r="H70" s="106"/>
      <c r="I70" s="106"/>
      <c r="J70" s="417"/>
    </row>
    <row r="71" spans="1:10" x14ac:dyDescent="0.2">
      <c r="A71" s="106">
        <v>7</v>
      </c>
      <c r="B71" s="591" t="s">
        <v>1002</v>
      </c>
      <c r="C71" s="2193">
        <f t="shared" si="3"/>
        <v>0</v>
      </c>
      <c r="D71" s="2191"/>
      <c r="E71" s="607"/>
      <c r="F71" s="116"/>
      <c r="G71" s="106"/>
      <c r="H71" s="106"/>
      <c r="I71" s="106"/>
      <c r="J71" s="417"/>
    </row>
    <row r="72" spans="1:10" x14ac:dyDescent="0.2">
      <c r="A72" s="106">
        <v>8</v>
      </c>
      <c r="B72" s="591" t="s">
        <v>1003</v>
      </c>
      <c r="C72" s="2193">
        <f t="shared" si="3"/>
        <v>0</v>
      </c>
      <c r="D72" s="2190"/>
      <c r="E72" s="1637"/>
      <c r="F72" s="116"/>
      <c r="G72" s="106"/>
      <c r="H72" s="106"/>
      <c r="I72" s="106"/>
      <c r="J72" s="417"/>
    </row>
    <row r="73" spans="1:10" x14ac:dyDescent="0.2">
      <c r="A73" s="106">
        <v>9</v>
      </c>
      <c r="B73" s="591" t="s">
        <v>1004</v>
      </c>
      <c r="C73" s="2193">
        <f t="shared" si="3"/>
        <v>0</v>
      </c>
      <c r="D73" s="2190"/>
      <c r="E73" s="582"/>
      <c r="F73" s="116"/>
      <c r="G73" s="106"/>
      <c r="H73" s="106"/>
      <c r="I73" s="106"/>
      <c r="J73" s="417"/>
    </row>
    <row r="74" spans="1:10" x14ac:dyDescent="0.2">
      <c r="A74" s="106">
        <v>10</v>
      </c>
      <c r="B74" s="591" t="s">
        <v>1005</v>
      </c>
      <c r="C74" s="2193">
        <f t="shared" si="3"/>
        <v>0</v>
      </c>
      <c r="D74" s="2190"/>
      <c r="E74" s="582"/>
      <c r="F74" s="116"/>
      <c r="G74" s="106"/>
      <c r="H74" s="106"/>
      <c r="I74" s="106"/>
      <c r="J74" s="584"/>
    </row>
    <row r="75" spans="1:10" x14ac:dyDescent="0.2">
      <c r="A75" s="106">
        <v>11</v>
      </c>
      <c r="B75" s="591"/>
      <c r="C75" s="2193">
        <f t="shared" si="3"/>
        <v>0</v>
      </c>
      <c r="D75" s="2190"/>
      <c r="E75" s="582"/>
      <c r="F75" s="116"/>
      <c r="G75" s="106"/>
      <c r="H75" s="106"/>
      <c r="I75" s="106"/>
      <c r="J75" s="417"/>
    </row>
    <row r="76" spans="1:10" x14ac:dyDescent="0.2">
      <c r="A76" s="106"/>
      <c r="C76" s="2192"/>
      <c r="D76" s="2190"/>
      <c r="E76" s="582"/>
      <c r="F76" s="116"/>
      <c r="G76" s="106"/>
      <c r="H76" s="106"/>
      <c r="I76" s="106"/>
      <c r="J76" s="417"/>
    </row>
    <row r="77" spans="1:10" x14ac:dyDescent="0.2">
      <c r="A77" s="106"/>
      <c r="B77" s="107"/>
      <c r="C77" s="2200">
        <f t="shared" ref="C77:C79" si="4">SUM(D77:G77)</f>
        <v>0</v>
      </c>
      <c r="D77" s="106"/>
      <c r="E77" s="396"/>
      <c r="F77" s="106"/>
      <c r="G77" s="106"/>
      <c r="H77" s="106"/>
      <c r="I77" s="106"/>
      <c r="J77" s="107"/>
    </row>
    <row r="78" spans="1:10" ht="12" thickBot="1" x14ac:dyDescent="0.25">
      <c r="A78" s="106"/>
      <c r="B78" s="592" t="s">
        <v>484</v>
      </c>
      <c r="C78" s="2196">
        <f t="shared" si="4"/>
        <v>0</v>
      </c>
      <c r="D78" s="2199">
        <f>SUM(D66:D77)</f>
        <v>0</v>
      </c>
      <c r="E78" s="2199">
        <f>SUM(E66:E77)</f>
        <v>0</v>
      </c>
      <c r="F78" s="2199">
        <f>SUM(F66:F77)</f>
        <v>0</v>
      </c>
      <c r="G78" s="2199">
        <f>SUM(G66:G77)</f>
        <v>0</v>
      </c>
      <c r="H78" s="113"/>
      <c r="I78" s="113"/>
      <c r="J78" s="107"/>
    </row>
    <row r="79" spans="1:10" ht="12" thickBot="1" x14ac:dyDescent="0.25">
      <c r="A79" s="118"/>
      <c r="B79" s="119" t="s">
        <v>480</v>
      </c>
      <c r="C79" s="120">
        <f t="shared" si="4"/>
        <v>38045745.760000005</v>
      </c>
      <c r="D79" s="120">
        <f>SUM(D62+D78)</f>
        <v>32915150.760000002</v>
      </c>
      <c r="E79" s="120">
        <f>SUM(E62+E78)</f>
        <v>1506462</v>
      </c>
      <c r="F79" s="120">
        <f>SUM(F62+F78)</f>
        <v>460178</v>
      </c>
      <c r="G79" s="120">
        <f>SUM(G62+G78)</f>
        <v>3163955</v>
      </c>
      <c r="H79" s="121"/>
      <c r="I79" s="121"/>
      <c r="J79" s="122" t="s">
        <v>474</v>
      </c>
    </row>
    <row r="80" spans="1:10" x14ac:dyDescent="0.2">
      <c r="A80" s="123"/>
      <c r="B80" s="86"/>
      <c r="D80" s="123"/>
      <c r="E80" s="108"/>
      <c r="F80" s="108"/>
      <c r="G80" s="108"/>
      <c r="H80" s="108"/>
      <c r="I80" s="108"/>
      <c r="J80" s="124"/>
    </row>
    <row r="81" spans="1:11" x14ac:dyDescent="0.2">
      <c r="B81" s="86" t="s">
        <v>475</v>
      </c>
      <c r="C81" s="123">
        <f>SUM(C10:C61)-E60-F60</f>
        <v>39085745.760000005</v>
      </c>
      <c r="D81" s="108"/>
      <c r="E81" s="108"/>
      <c r="F81" s="108"/>
      <c r="G81" s="123">
        <f>G12+SUM(G53:G55)</f>
        <v>2123955</v>
      </c>
      <c r="H81" s="125" t="s">
        <v>476</v>
      </c>
      <c r="I81" s="108"/>
    </row>
    <row r="82" spans="1:11" x14ac:dyDescent="0.2">
      <c r="B82" s="86" t="s">
        <v>472</v>
      </c>
      <c r="C82" s="126">
        <f>SUM(C78)</f>
        <v>0</v>
      </c>
      <c r="D82" s="108"/>
      <c r="E82" s="108"/>
      <c r="F82" s="108"/>
      <c r="G82" s="126">
        <f>SUM(G16)</f>
        <v>0</v>
      </c>
      <c r="H82" s="125" t="s">
        <v>473</v>
      </c>
      <c r="I82" s="125"/>
    </row>
    <row r="83" spans="1:11" x14ac:dyDescent="0.2">
      <c r="B83" s="86" t="s">
        <v>351</v>
      </c>
      <c r="C83" s="123">
        <f>SUM(C81:C82)</f>
        <v>39085745.760000005</v>
      </c>
      <c r="D83" s="108"/>
      <c r="E83" s="108"/>
      <c r="F83" s="123"/>
      <c r="G83" s="123">
        <f>SUM(G81:G82)</f>
        <v>2123955</v>
      </c>
      <c r="H83" s="108"/>
      <c r="I83" s="125"/>
      <c r="J83" s="125"/>
    </row>
    <row r="84" spans="1:11" ht="12.75" x14ac:dyDescent="0.2">
      <c r="A84"/>
      <c r="B84"/>
      <c r="C84"/>
      <c r="D84" s="459"/>
      <c r="E84"/>
      <c r="F84"/>
      <c r="G84"/>
      <c r="H84"/>
      <c r="I84" s="108"/>
      <c r="J84" s="125"/>
    </row>
    <row r="85" spans="1:11" ht="12.75" x14ac:dyDescent="0.2">
      <c r="A85"/>
      <c r="B85"/>
      <c r="C85" s="458"/>
      <c r="D85"/>
      <c r="E85"/>
      <c r="F85"/>
      <c r="G85"/>
      <c r="H85"/>
      <c r="I85"/>
      <c r="J85"/>
      <c r="K85"/>
    </row>
    <row r="86" spans="1:11" ht="12.75" x14ac:dyDescent="0.2">
      <c r="A86"/>
      <c r="B86" s="458"/>
      <c r="C86"/>
      <c r="D86"/>
      <c r="E86"/>
      <c r="F86"/>
      <c r="G86"/>
      <c r="H86"/>
      <c r="I86"/>
      <c r="J86"/>
      <c r="K86"/>
    </row>
    <row r="87" spans="1:11" ht="12.75" x14ac:dyDescent="0.2">
      <c r="A87"/>
      <c r="B87"/>
      <c r="C87"/>
      <c r="D87"/>
      <c r="E87"/>
      <c r="F87"/>
      <c r="G87"/>
      <c r="H87"/>
      <c r="I87"/>
      <c r="J87"/>
      <c r="K87"/>
    </row>
    <row r="88" spans="1:11" ht="12.75" x14ac:dyDescent="0.2">
      <c r="A88"/>
      <c r="B88"/>
      <c r="C88"/>
      <c r="D88"/>
      <c r="E88"/>
      <c r="F88"/>
      <c r="G88"/>
      <c r="H88"/>
      <c r="I88"/>
      <c r="J88"/>
      <c r="K88"/>
    </row>
    <row r="89" spans="1:11" ht="12.75" x14ac:dyDescent="0.2">
      <c r="A89"/>
      <c r="B89"/>
      <c r="C89"/>
      <c r="D89"/>
      <c r="E89"/>
      <c r="F89"/>
      <c r="G89"/>
      <c r="H89"/>
      <c r="I89"/>
      <c r="J89"/>
      <c r="K89"/>
    </row>
    <row r="90" spans="1:11" ht="12.75" x14ac:dyDescent="0.2">
      <c r="A90"/>
      <c r="B90"/>
      <c r="C90"/>
      <c r="D90"/>
      <c r="E90"/>
      <c r="F90"/>
      <c r="G90"/>
      <c r="H90"/>
      <c r="I90"/>
      <c r="J90"/>
      <c r="K90"/>
    </row>
    <row r="91" spans="1:11" ht="12.75" x14ac:dyDescent="0.2">
      <c r="A91"/>
      <c r="B91"/>
      <c r="C91"/>
      <c r="D91"/>
      <c r="E91"/>
      <c r="F91"/>
      <c r="G91"/>
      <c r="H91"/>
      <c r="I91"/>
      <c r="J91"/>
      <c r="K91"/>
    </row>
    <row r="92" spans="1:11" ht="12.75" x14ac:dyDescent="0.2">
      <c r="A92"/>
      <c r="B92"/>
      <c r="C92"/>
      <c r="D92"/>
      <c r="E92"/>
      <c r="F92"/>
      <c r="G92"/>
      <c r="H92"/>
      <c r="I92"/>
      <c r="J92"/>
      <c r="K92"/>
    </row>
    <row r="93" spans="1:11" ht="12.75" x14ac:dyDescent="0.2">
      <c r="A93"/>
      <c r="B93"/>
      <c r="C93"/>
      <c r="D93"/>
      <c r="E93"/>
      <c r="F93"/>
      <c r="G93"/>
      <c r="H93"/>
      <c r="I93"/>
      <c r="J93"/>
      <c r="K93"/>
    </row>
    <row r="94" spans="1:11" ht="12.75" x14ac:dyDescent="0.2">
      <c r="A94"/>
      <c r="B94"/>
      <c r="C94"/>
      <c r="D94"/>
      <c r="E94"/>
      <c r="F94"/>
      <c r="G94"/>
      <c r="H94"/>
      <c r="I94"/>
      <c r="J94"/>
      <c r="K94"/>
    </row>
    <row r="95" spans="1:11" ht="12.75" x14ac:dyDescent="0.2">
      <c r="A95"/>
      <c r="B95"/>
      <c r="C95"/>
      <c r="D95"/>
      <c r="E95"/>
      <c r="F95"/>
      <c r="G95"/>
      <c r="H95"/>
      <c r="I95"/>
      <c r="J95"/>
      <c r="K95"/>
    </row>
    <row r="96" spans="1:11" ht="12.75" x14ac:dyDescent="0.2">
      <c r="A96"/>
      <c r="B96"/>
      <c r="C96"/>
      <c r="D96"/>
      <c r="E96"/>
      <c r="F96"/>
      <c r="G96"/>
      <c r="H96"/>
      <c r="I96"/>
      <c r="J96"/>
      <c r="K96"/>
    </row>
    <row r="97" spans="1:11" ht="12.75" x14ac:dyDescent="0.2">
      <c r="A97"/>
      <c r="B97"/>
      <c r="C97"/>
      <c r="D97"/>
      <c r="E97"/>
      <c r="F97"/>
      <c r="G97"/>
      <c r="H97"/>
      <c r="I97"/>
      <c r="J97"/>
      <c r="K97"/>
    </row>
    <row r="98" spans="1:11" ht="12.75" x14ac:dyDescent="0.2">
      <c r="A98"/>
      <c r="B98"/>
      <c r="C98"/>
      <c r="D98"/>
      <c r="E98"/>
      <c r="F98"/>
      <c r="G98"/>
      <c r="H98"/>
      <c r="I98"/>
      <c r="J98"/>
      <c r="K98"/>
    </row>
    <row r="99" spans="1:11" ht="12.75" x14ac:dyDescent="0.2">
      <c r="A99"/>
      <c r="B99"/>
      <c r="C99"/>
      <c r="D99"/>
      <c r="E99"/>
      <c r="F99"/>
      <c r="G99"/>
      <c r="H99"/>
      <c r="I99"/>
      <c r="J99"/>
      <c r="K99"/>
    </row>
    <row r="100" spans="1:11" ht="12.75" x14ac:dyDescent="0.2">
      <c r="A100"/>
      <c r="B100"/>
      <c r="C100"/>
      <c r="D100"/>
      <c r="E100"/>
      <c r="F100"/>
      <c r="G100"/>
      <c r="H100"/>
      <c r="I100"/>
      <c r="J100"/>
      <c r="K100"/>
    </row>
    <row r="101" spans="1:11" ht="12.75" x14ac:dyDescent="0.2">
      <c r="A101"/>
      <c r="B101"/>
      <c r="C101"/>
      <c r="D101"/>
      <c r="E101"/>
      <c r="F101"/>
      <c r="G101"/>
      <c r="H101"/>
      <c r="I101"/>
      <c r="J101"/>
      <c r="K101"/>
    </row>
    <row r="102" spans="1:11" ht="12.75" x14ac:dyDescent="0.2">
      <c r="A102"/>
      <c r="B102"/>
      <c r="C102"/>
      <c r="D102"/>
      <c r="E102"/>
      <c r="F102"/>
      <c r="G102"/>
      <c r="H102"/>
      <c r="I102"/>
      <c r="J102"/>
      <c r="K102"/>
    </row>
    <row r="103" spans="1:11" ht="12.75" x14ac:dyDescent="0.2">
      <c r="A103"/>
      <c r="B103"/>
      <c r="C103"/>
      <c r="D103"/>
      <c r="E103"/>
      <c r="F103"/>
      <c r="G103"/>
      <c r="H103"/>
      <c r="I103"/>
      <c r="J103"/>
      <c r="K103"/>
    </row>
    <row r="104" spans="1:11" ht="12.75" x14ac:dyDescent="0.2">
      <c r="A104"/>
      <c r="B104"/>
      <c r="C104"/>
      <c r="D104"/>
      <c r="E104"/>
      <c r="F104"/>
      <c r="G104"/>
      <c r="H104"/>
      <c r="I104"/>
      <c r="J104"/>
      <c r="K104"/>
    </row>
    <row r="105" spans="1:11" ht="12.75" x14ac:dyDescent="0.2">
      <c r="A105"/>
      <c r="B105"/>
      <c r="C105"/>
      <c r="D105"/>
      <c r="E105"/>
      <c r="F105"/>
      <c r="G105"/>
      <c r="H105"/>
      <c r="I105"/>
      <c r="J105"/>
      <c r="K105"/>
    </row>
    <row r="106" spans="1:11" ht="12.75" x14ac:dyDescent="0.2">
      <c r="A106"/>
      <c r="B106"/>
      <c r="C106"/>
      <c r="D106"/>
      <c r="E106"/>
      <c r="F106"/>
      <c r="G106"/>
      <c r="H106"/>
      <c r="I106"/>
      <c r="J106"/>
      <c r="K106"/>
    </row>
    <row r="107" spans="1:11" ht="12.75" x14ac:dyDescent="0.2">
      <c r="A107"/>
      <c r="B107"/>
      <c r="C107"/>
      <c r="D107"/>
      <c r="E107"/>
      <c r="F107"/>
      <c r="G107"/>
      <c r="H107"/>
      <c r="I107"/>
      <c r="J107"/>
      <c r="K107"/>
    </row>
    <row r="108" spans="1:11" ht="12.75" x14ac:dyDescent="0.2">
      <c r="A108"/>
      <c r="B108"/>
      <c r="C108"/>
      <c r="D108"/>
      <c r="E108"/>
      <c r="F108"/>
      <c r="G108"/>
      <c r="H108"/>
      <c r="I108"/>
      <c r="J108"/>
      <c r="K108"/>
    </row>
    <row r="109" spans="1:11" ht="12.75" x14ac:dyDescent="0.2">
      <c r="A109"/>
      <c r="B109"/>
      <c r="C109"/>
      <c r="D109"/>
      <c r="E109"/>
      <c r="F109"/>
      <c r="G109"/>
      <c r="H109"/>
      <c r="I109"/>
      <c r="J109"/>
      <c r="K109"/>
    </row>
    <row r="110" spans="1:11" ht="12.75" x14ac:dyDescent="0.2">
      <c r="A110"/>
      <c r="B110"/>
      <c r="C110"/>
      <c r="D110"/>
      <c r="E110"/>
      <c r="F110"/>
      <c r="G110"/>
      <c r="H110"/>
      <c r="I110"/>
      <c r="J110"/>
      <c r="K110"/>
    </row>
    <row r="111" spans="1:11" ht="12.75" x14ac:dyDescent="0.2">
      <c r="A111"/>
      <c r="B111"/>
      <c r="C111"/>
      <c r="D111"/>
      <c r="E111"/>
      <c r="F111"/>
      <c r="G111"/>
      <c r="H111"/>
      <c r="I111"/>
      <c r="J111"/>
      <c r="K111"/>
    </row>
    <row r="112" spans="1:11" ht="12.75" x14ac:dyDescent="0.2">
      <c r="A112"/>
      <c r="B112"/>
      <c r="C112"/>
      <c r="D112"/>
      <c r="E112"/>
      <c r="F112"/>
      <c r="G112"/>
      <c r="H112"/>
      <c r="I112"/>
      <c r="J112"/>
      <c r="K112"/>
    </row>
    <row r="113" spans="1:11" ht="12.75" x14ac:dyDescent="0.2">
      <c r="A113"/>
      <c r="B113"/>
      <c r="C113"/>
      <c r="D113"/>
      <c r="E113"/>
      <c r="F113"/>
      <c r="G113"/>
      <c r="H113"/>
      <c r="I113"/>
      <c r="J113"/>
      <c r="K113"/>
    </row>
    <row r="114" spans="1:11" ht="12.75" x14ac:dyDescent="0.2">
      <c r="A114"/>
      <c r="B114"/>
      <c r="C114"/>
      <c r="D114"/>
      <c r="E114"/>
      <c r="F114"/>
      <c r="G114"/>
      <c r="H114"/>
      <c r="I114"/>
      <c r="J114"/>
      <c r="K114"/>
    </row>
    <row r="115" spans="1:11" ht="12.75" x14ac:dyDescent="0.2">
      <c r="A115"/>
      <c r="B115"/>
      <c r="C115"/>
      <c r="D115"/>
      <c r="E115"/>
      <c r="F115"/>
      <c r="G115"/>
      <c r="H115"/>
      <c r="I115"/>
      <c r="J115"/>
      <c r="K115"/>
    </row>
    <row r="116" spans="1:11" ht="12.75" x14ac:dyDescent="0.2">
      <c r="A116"/>
      <c r="B116"/>
      <c r="C116"/>
      <c r="D116"/>
      <c r="E116"/>
      <c r="F116"/>
      <c r="G116"/>
      <c r="H116"/>
      <c r="I116"/>
      <c r="J116"/>
      <c r="K116"/>
    </row>
    <row r="117" spans="1:11" ht="12.75" x14ac:dyDescent="0.2">
      <c r="A117"/>
      <c r="B117"/>
      <c r="C117"/>
      <c r="D117"/>
      <c r="E117"/>
      <c r="F117"/>
      <c r="G117"/>
      <c r="H117"/>
      <c r="I117"/>
      <c r="J117"/>
      <c r="K117"/>
    </row>
    <row r="118" spans="1:11" ht="12.75" x14ac:dyDescent="0.2">
      <c r="A118"/>
      <c r="B118"/>
      <c r="C118"/>
      <c r="D118"/>
      <c r="E118"/>
      <c r="F118"/>
      <c r="G118"/>
      <c r="H118"/>
      <c r="I118"/>
      <c r="J118"/>
      <c r="K118"/>
    </row>
    <row r="119" spans="1:11" ht="12.75" x14ac:dyDescent="0.2">
      <c r="A119"/>
      <c r="B119"/>
      <c r="C119"/>
      <c r="D119"/>
      <c r="E119"/>
      <c r="F119"/>
      <c r="G119"/>
      <c r="H119"/>
      <c r="I119"/>
      <c r="J119"/>
      <c r="K119"/>
    </row>
    <row r="120" spans="1:11" ht="12.75" x14ac:dyDescent="0.2">
      <c r="A120"/>
      <c r="B120"/>
      <c r="C120"/>
      <c r="D120"/>
      <c r="E120"/>
      <c r="F120"/>
      <c r="G120"/>
      <c r="H120"/>
      <c r="I120"/>
      <c r="J120"/>
      <c r="K120"/>
    </row>
    <row r="121" spans="1:11" ht="12.75" x14ac:dyDescent="0.2">
      <c r="A121"/>
      <c r="B121"/>
      <c r="C121"/>
      <c r="D121"/>
      <c r="E121"/>
      <c r="F121"/>
      <c r="G121"/>
      <c r="H121"/>
      <c r="I121"/>
      <c r="J121"/>
      <c r="K121"/>
    </row>
    <row r="122" spans="1:11" ht="12.75" x14ac:dyDescent="0.2">
      <c r="A122"/>
      <c r="B122"/>
      <c r="C122"/>
      <c r="D122"/>
      <c r="E122"/>
      <c r="F122"/>
      <c r="G122"/>
      <c r="H122"/>
      <c r="I122"/>
      <c r="J122"/>
      <c r="K122"/>
    </row>
    <row r="123" spans="1:11" ht="12.75" x14ac:dyDescent="0.2">
      <c r="A123"/>
      <c r="B123"/>
      <c r="C123"/>
      <c r="D123"/>
      <c r="E123"/>
      <c r="F123"/>
      <c r="G123"/>
      <c r="H123"/>
      <c r="I123"/>
      <c r="J123"/>
      <c r="K123"/>
    </row>
    <row r="124" spans="1:11" ht="12.75" x14ac:dyDescent="0.2">
      <c r="A124"/>
      <c r="B124"/>
      <c r="C124"/>
      <c r="D124"/>
      <c r="E124"/>
      <c r="F124"/>
      <c r="G124"/>
      <c r="H124"/>
      <c r="I124"/>
      <c r="J124"/>
      <c r="K124"/>
    </row>
    <row r="125" spans="1:11" ht="12.75" x14ac:dyDescent="0.2">
      <c r="A125"/>
      <c r="B125"/>
      <c r="C125"/>
      <c r="D125"/>
      <c r="E125"/>
      <c r="F125"/>
      <c r="G125"/>
      <c r="H125"/>
      <c r="I125"/>
      <c r="J125"/>
      <c r="K125"/>
    </row>
    <row r="126" spans="1:11" ht="12.75" x14ac:dyDescent="0.2">
      <c r="A126"/>
      <c r="B126"/>
      <c r="C126"/>
      <c r="D126"/>
      <c r="E126"/>
      <c r="F126"/>
      <c r="G126"/>
      <c r="H126"/>
      <c r="I126"/>
      <c r="J126"/>
      <c r="K126"/>
    </row>
    <row r="127" spans="1:11" ht="12.75" x14ac:dyDescent="0.2">
      <c r="A127"/>
      <c r="B127"/>
      <c r="C127"/>
      <c r="D127"/>
      <c r="E127"/>
      <c r="F127"/>
      <c r="G127"/>
      <c r="H127"/>
      <c r="I127"/>
      <c r="J127"/>
      <c r="K127"/>
    </row>
    <row r="128" spans="1:11" ht="12.75" x14ac:dyDescent="0.2">
      <c r="A128"/>
      <c r="B128"/>
      <c r="C128"/>
      <c r="D128"/>
      <c r="E128"/>
      <c r="F128"/>
      <c r="G128"/>
      <c r="H128"/>
      <c r="I128"/>
      <c r="J128"/>
      <c r="K128"/>
    </row>
    <row r="129" spans="1:11" ht="12.75" x14ac:dyDescent="0.2">
      <c r="A129"/>
      <c r="B129"/>
      <c r="C129"/>
      <c r="D129"/>
      <c r="E129"/>
      <c r="F129"/>
      <c r="G129"/>
      <c r="H129"/>
      <c r="I129"/>
      <c r="J129"/>
      <c r="K129"/>
    </row>
    <row r="130" spans="1:11" ht="12.75" x14ac:dyDescent="0.2">
      <c r="A130"/>
      <c r="B130"/>
      <c r="C130"/>
      <c r="D130"/>
      <c r="E130"/>
      <c r="F130"/>
      <c r="G130"/>
      <c r="H130"/>
      <c r="I130"/>
      <c r="J130"/>
      <c r="K130"/>
    </row>
    <row r="131" spans="1:11" ht="12.75" x14ac:dyDescent="0.2">
      <c r="A131"/>
      <c r="B131"/>
      <c r="C131"/>
      <c r="D131"/>
      <c r="E131"/>
      <c r="F131"/>
      <c r="G131"/>
      <c r="H131"/>
      <c r="I131"/>
      <c r="J131"/>
      <c r="K131"/>
    </row>
    <row r="132" spans="1:11" ht="12.75" x14ac:dyDescent="0.2">
      <c r="A132"/>
      <c r="B132"/>
      <c r="C132"/>
      <c r="D132"/>
      <c r="E132"/>
      <c r="F132"/>
      <c r="G132"/>
      <c r="H132"/>
      <c r="I132"/>
      <c r="J132"/>
      <c r="K132"/>
    </row>
    <row r="133" spans="1:11" ht="12.75" x14ac:dyDescent="0.2">
      <c r="A133"/>
      <c r="B133"/>
      <c r="C133"/>
      <c r="D133"/>
      <c r="E133"/>
      <c r="F133"/>
      <c r="G133"/>
      <c r="H133"/>
      <c r="I133"/>
      <c r="J133"/>
      <c r="K133"/>
    </row>
    <row r="134" spans="1:11" ht="12.75" x14ac:dyDescent="0.2">
      <c r="A134"/>
      <c r="B134"/>
      <c r="C134"/>
      <c r="D134"/>
      <c r="E134"/>
      <c r="F134"/>
      <c r="G134"/>
      <c r="H134"/>
      <c r="I134"/>
      <c r="J134"/>
      <c r="K134"/>
    </row>
    <row r="135" spans="1:11" ht="12.75" x14ac:dyDescent="0.2">
      <c r="A135"/>
      <c r="B135"/>
      <c r="C135"/>
      <c r="D135"/>
      <c r="E135"/>
      <c r="F135"/>
      <c r="G135"/>
      <c r="H135"/>
      <c r="I135"/>
      <c r="J135"/>
      <c r="K135"/>
    </row>
    <row r="136" spans="1:11" ht="12.75" x14ac:dyDescent="0.2">
      <c r="A136"/>
      <c r="B136"/>
      <c r="C136"/>
      <c r="D136"/>
      <c r="E136"/>
      <c r="F136"/>
      <c r="G136"/>
      <c r="H136"/>
      <c r="I136"/>
      <c r="J136"/>
      <c r="K136"/>
    </row>
    <row r="137" spans="1:11" ht="12.75" x14ac:dyDescent="0.2">
      <c r="A137"/>
      <c r="B137"/>
      <c r="C137"/>
      <c r="D137"/>
      <c r="E137"/>
      <c r="F137"/>
      <c r="G137"/>
      <c r="H137"/>
      <c r="I137"/>
      <c r="J137"/>
      <c r="K137"/>
    </row>
    <row r="138" spans="1:11" ht="12.75" x14ac:dyDescent="0.2">
      <c r="A138"/>
      <c r="B138"/>
      <c r="C138"/>
      <c r="D138"/>
      <c r="E138"/>
      <c r="F138"/>
      <c r="G138"/>
      <c r="H138"/>
      <c r="I138"/>
      <c r="J138"/>
      <c r="K138"/>
    </row>
    <row r="139" spans="1:11" ht="12.75" x14ac:dyDescent="0.2">
      <c r="A139"/>
      <c r="B139"/>
      <c r="C139"/>
      <c r="D139"/>
      <c r="E139"/>
      <c r="F139"/>
      <c r="G139"/>
      <c r="H139"/>
      <c r="I139"/>
      <c r="J139"/>
      <c r="K139"/>
    </row>
    <row r="140" spans="1:11" ht="12.75" x14ac:dyDescent="0.2">
      <c r="A140"/>
      <c r="B140"/>
      <c r="C140"/>
      <c r="D140"/>
      <c r="E140"/>
      <c r="F140"/>
      <c r="G140"/>
      <c r="H140"/>
      <c r="I140"/>
      <c r="J140"/>
      <c r="K140"/>
    </row>
    <row r="141" spans="1:11" ht="12.75" x14ac:dyDescent="0.2">
      <c r="A141"/>
      <c r="B141"/>
      <c r="C141"/>
      <c r="D141"/>
      <c r="E141"/>
      <c r="F141"/>
      <c r="G141"/>
      <c r="H141"/>
      <c r="I141"/>
      <c r="J141"/>
      <c r="K141"/>
    </row>
    <row r="142" spans="1:11" ht="12.75" x14ac:dyDescent="0.2">
      <c r="A142"/>
      <c r="B142"/>
      <c r="C142"/>
      <c r="D142"/>
      <c r="E142"/>
      <c r="F142"/>
      <c r="G142"/>
      <c r="H142"/>
      <c r="I142"/>
      <c r="J142"/>
      <c r="K142"/>
    </row>
    <row r="143" spans="1:11" ht="12.75" x14ac:dyDescent="0.2">
      <c r="A143"/>
      <c r="B143"/>
      <c r="C143"/>
      <c r="D143"/>
      <c r="E143"/>
      <c r="F143"/>
      <c r="G143"/>
      <c r="H143"/>
      <c r="I143"/>
      <c r="J143"/>
      <c r="K143"/>
    </row>
    <row r="144" spans="1:11" ht="12.75" x14ac:dyDescent="0.2">
      <c r="A144"/>
      <c r="B144"/>
      <c r="C144"/>
      <c r="D144"/>
      <c r="E144"/>
      <c r="F144"/>
      <c r="G144"/>
      <c r="H144"/>
      <c r="I144"/>
      <c r="J144"/>
      <c r="K144"/>
    </row>
    <row r="145" spans="1:11" ht="12.75" x14ac:dyDescent="0.2">
      <c r="A145"/>
      <c r="B145"/>
      <c r="C145"/>
      <c r="D145"/>
      <c r="E145"/>
      <c r="F145"/>
      <c r="G145"/>
      <c r="H145"/>
      <c r="I145"/>
      <c r="J145"/>
      <c r="K145"/>
    </row>
    <row r="146" spans="1:11" ht="12.75" x14ac:dyDescent="0.2">
      <c r="A146"/>
      <c r="B146"/>
      <c r="C146"/>
      <c r="D146"/>
      <c r="E146"/>
      <c r="F146"/>
      <c r="G146"/>
      <c r="H146"/>
      <c r="I146"/>
      <c r="J146"/>
      <c r="K146"/>
    </row>
    <row r="147" spans="1:11" ht="12.75" x14ac:dyDescent="0.2">
      <c r="A147"/>
      <c r="B147"/>
      <c r="C147"/>
      <c r="D147"/>
      <c r="E147"/>
      <c r="F147"/>
      <c r="G147"/>
      <c r="H147"/>
      <c r="I147"/>
      <c r="J147"/>
      <c r="K147"/>
    </row>
    <row r="148" spans="1:11" ht="12.75" x14ac:dyDescent="0.2">
      <c r="A148"/>
      <c r="B148"/>
      <c r="C148"/>
      <c r="D148"/>
      <c r="E148"/>
      <c r="F148"/>
      <c r="G148"/>
      <c r="H148"/>
      <c r="I148"/>
      <c r="J148"/>
      <c r="K148"/>
    </row>
    <row r="149" spans="1:11" ht="12.75" x14ac:dyDescent="0.2">
      <c r="A149"/>
      <c r="B149"/>
      <c r="C149"/>
      <c r="D149"/>
      <c r="E149"/>
      <c r="F149"/>
      <c r="G149"/>
      <c r="H149"/>
      <c r="I149"/>
      <c r="J149"/>
      <c r="K149"/>
    </row>
    <row r="150" spans="1:11" ht="12.75" x14ac:dyDescent="0.2">
      <c r="A150"/>
      <c r="B150"/>
      <c r="C150"/>
      <c r="D150"/>
      <c r="E150"/>
      <c r="F150"/>
      <c r="G150"/>
      <c r="H150"/>
      <c r="I150"/>
      <c r="J150"/>
      <c r="K150"/>
    </row>
    <row r="151" spans="1:11" ht="12.75" x14ac:dyDescent="0.2">
      <c r="A151"/>
      <c r="B151"/>
      <c r="C151"/>
      <c r="D151"/>
      <c r="E151"/>
      <c r="F151"/>
      <c r="G151"/>
      <c r="H151"/>
      <c r="I151"/>
      <c r="J151"/>
      <c r="K151"/>
    </row>
    <row r="152" spans="1:11" ht="12.75" x14ac:dyDescent="0.2">
      <c r="A152"/>
      <c r="B152"/>
      <c r="C152"/>
      <c r="D152"/>
      <c r="E152"/>
      <c r="F152"/>
      <c r="G152"/>
      <c r="H152"/>
      <c r="I152"/>
      <c r="J152"/>
      <c r="K152"/>
    </row>
    <row r="153" spans="1:11" ht="12.75" x14ac:dyDescent="0.2">
      <c r="A153"/>
      <c r="B153"/>
      <c r="C153"/>
      <c r="D153"/>
      <c r="E153"/>
      <c r="F153"/>
      <c r="G153"/>
      <c r="H153"/>
      <c r="I153"/>
      <c r="J153"/>
      <c r="K153"/>
    </row>
    <row r="154" spans="1:11" ht="12.75" x14ac:dyDescent="0.2">
      <c r="A154"/>
      <c r="B154"/>
      <c r="C154"/>
      <c r="D154"/>
      <c r="E154"/>
      <c r="F154"/>
      <c r="G154"/>
      <c r="H154"/>
      <c r="I154"/>
      <c r="J154"/>
      <c r="K154"/>
    </row>
    <row r="155" spans="1:11" ht="12.75" x14ac:dyDescent="0.2">
      <c r="A155"/>
      <c r="B155"/>
      <c r="C155"/>
      <c r="D155"/>
      <c r="E155"/>
      <c r="F155"/>
      <c r="G155"/>
      <c r="H155"/>
      <c r="I155"/>
      <c r="J155"/>
      <c r="K155"/>
    </row>
    <row r="156" spans="1:11" ht="12.75" x14ac:dyDescent="0.2">
      <c r="A156"/>
      <c r="B156"/>
      <c r="C156"/>
      <c r="D156"/>
      <c r="E156"/>
      <c r="F156"/>
      <c r="G156"/>
      <c r="H156"/>
      <c r="I156"/>
      <c r="J156"/>
      <c r="K156"/>
    </row>
    <row r="157" spans="1:11" ht="12.75" x14ac:dyDescent="0.2">
      <c r="A157"/>
      <c r="B157"/>
      <c r="C157"/>
      <c r="D157"/>
      <c r="E157"/>
      <c r="F157"/>
      <c r="G157"/>
      <c r="H157"/>
      <c r="I157"/>
      <c r="J157"/>
      <c r="K157"/>
    </row>
    <row r="158" spans="1:11" ht="12.75" x14ac:dyDescent="0.2">
      <c r="A158"/>
      <c r="B158"/>
      <c r="C158"/>
      <c r="D158"/>
      <c r="E158"/>
      <c r="F158"/>
      <c r="G158"/>
      <c r="H158"/>
      <c r="I158"/>
      <c r="J158"/>
      <c r="K158"/>
    </row>
    <row r="159" spans="1:11" ht="12.75" x14ac:dyDescent="0.2">
      <c r="A159"/>
      <c r="B159"/>
      <c r="C159"/>
      <c r="D159"/>
      <c r="E159"/>
      <c r="F159"/>
      <c r="G159"/>
      <c r="H159"/>
      <c r="I159"/>
      <c r="J159"/>
      <c r="K159"/>
    </row>
    <row r="160" spans="1:11" ht="12.75" x14ac:dyDescent="0.2">
      <c r="A160"/>
      <c r="B160"/>
      <c r="C160"/>
      <c r="D160"/>
      <c r="E160"/>
      <c r="F160"/>
      <c r="G160"/>
      <c r="H160"/>
      <c r="I160"/>
      <c r="J160"/>
      <c r="K160"/>
    </row>
    <row r="161" spans="1:11" ht="12.75" x14ac:dyDescent="0.2">
      <c r="A161"/>
      <c r="B161"/>
      <c r="C161"/>
      <c r="D161"/>
      <c r="E161"/>
      <c r="F161"/>
      <c r="G161"/>
      <c r="H161"/>
      <c r="I161"/>
      <c r="J161"/>
      <c r="K161"/>
    </row>
    <row r="162" spans="1:11" ht="12.75" x14ac:dyDescent="0.2">
      <c r="A162"/>
      <c r="B162"/>
      <c r="C162"/>
      <c r="D162"/>
      <c r="E162"/>
      <c r="F162"/>
      <c r="G162"/>
      <c r="H162"/>
      <c r="I162"/>
      <c r="J162"/>
      <c r="K162"/>
    </row>
    <row r="163" spans="1:11" ht="12.75" x14ac:dyDescent="0.2">
      <c r="A163"/>
      <c r="B163"/>
      <c r="C163"/>
      <c r="D163"/>
      <c r="E163"/>
      <c r="F163"/>
      <c r="G163"/>
      <c r="H163"/>
      <c r="I163"/>
      <c r="J163"/>
      <c r="K163"/>
    </row>
    <row r="164" spans="1:11" ht="12.75" x14ac:dyDescent="0.2">
      <c r="A164"/>
      <c r="B164"/>
      <c r="C164"/>
      <c r="D164"/>
      <c r="E164"/>
      <c r="F164"/>
      <c r="G164"/>
      <c r="H164"/>
      <c r="I164"/>
      <c r="J164"/>
      <c r="K164"/>
    </row>
    <row r="165" spans="1:11" ht="12.75" x14ac:dyDescent="0.2">
      <c r="A165"/>
      <c r="B165"/>
      <c r="C165"/>
      <c r="D165"/>
      <c r="E165"/>
      <c r="F165"/>
      <c r="G165"/>
      <c r="H165"/>
      <c r="I165"/>
      <c r="J165"/>
      <c r="K165"/>
    </row>
    <row r="166" spans="1:11" ht="12.75" x14ac:dyDescent="0.2">
      <c r="A166"/>
      <c r="B166"/>
      <c r="C166"/>
      <c r="D166"/>
      <c r="E166"/>
      <c r="F166"/>
      <c r="G166"/>
      <c r="H166"/>
      <c r="I166"/>
      <c r="J166"/>
      <c r="K166"/>
    </row>
    <row r="167" spans="1:11" ht="12.75" x14ac:dyDescent="0.2">
      <c r="A167"/>
      <c r="B167"/>
      <c r="C167"/>
      <c r="D167"/>
      <c r="E167"/>
      <c r="F167"/>
      <c r="G167"/>
      <c r="H167"/>
      <c r="I167"/>
      <c r="J167"/>
      <c r="K167"/>
    </row>
    <row r="168" spans="1:11" ht="12.75" x14ac:dyDescent="0.2">
      <c r="A168"/>
      <c r="B168"/>
      <c r="C168"/>
      <c r="D168"/>
      <c r="E168"/>
      <c r="F168"/>
      <c r="G168"/>
      <c r="H168"/>
      <c r="I168"/>
      <c r="J168"/>
      <c r="K168"/>
    </row>
    <row r="169" spans="1:11" ht="12.75" x14ac:dyDescent="0.2">
      <c r="A169"/>
      <c r="B169"/>
      <c r="C169"/>
      <c r="D169"/>
      <c r="E169"/>
      <c r="F169"/>
      <c r="G169"/>
      <c r="H169"/>
      <c r="I169"/>
      <c r="J169"/>
      <c r="K169"/>
    </row>
    <row r="170" spans="1:11" ht="12.75" x14ac:dyDescent="0.2">
      <c r="A170"/>
      <c r="B170"/>
      <c r="C170"/>
      <c r="D170"/>
      <c r="E170"/>
      <c r="F170"/>
      <c r="G170"/>
      <c r="H170"/>
      <c r="I170"/>
      <c r="J170"/>
      <c r="K170"/>
    </row>
    <row r="171" spans="1:11" ht="12.75" x14ac:dyDescent="0.2">
      <c r="A171"/>
      <c r="B171"/>
      <c r="C171"/>
      <c r="D171"/>
      <c r="E171"/>
      <c r="F171"/>
      <c r="G171"/>
      <c r="H171"/>
      <c r="I171"/>
      <c r="J171"/>
      <c r="K171"/>
    </row>
    <row r="172" spans="1:11" ht="12.75" x14ac:dyDescent="0.2">
      <c r="A172"/>
      <c r="B172"/>
      <c r="C172"/>
      <c r="D172"/>
      <c r="E172"/>
      <c r="F172"/>
      <c r="G172"/>
      <c r="H172"/>
      <c r="I172"/>
      <c r="J172"/>
      <c r="K172"/>
    </row>
    <row r="173" spans="1:11" ht="12.75" x14ac:dyDescent="0.2">
      <c r="A173"/>
      <c r="B173"/>
      <c r="C173"/>
      <c r="D173"/>
      <c r="E173"/>
      <c r="F173"/>
      <c r="G173"/>
      <c r="H173"/>
      <c r="I173"/>
      <c r="J173"/>
      <c r="K173"/>
    </row>
    <row r="174" spans="1:11" ht="12.75" x14ac:dyDescent="0.2">
      <c r="A174"/>
      <c r="B174"/>
      <c r="C174"/>
      <c r="D174"/>
      <c r="E174"/>
      <c r="F174"/>
      <c r="G174"/>
      <c r="H174"/>
      <c r="I174"/>
      <c r="J174"/>
      <c r="K174"/>
    </row>
    <row r="175" spans="1:11" ht="12.75" x14ac:dyDescent="0.2">
      <c r="A175"/>
      <c r="B175"/>
      <c r="C175"/>
      <c r="D175"/>
      <c r="E175"/>
      <c r="F175"/>
      <c r="G175"/>
      <c r="H175"/>
      <c r="I175"/>
      <c r="J175"/>
      <c r="K175"/>
    </row>
    <row r="176" spans="1:11" ht="12.75" x14ac:dyDescent="0.2">
      <c r="A176"/>
      <c r="B176"/>
      <c r="C176"/>
      <c r="D176"/>
      <c r="E176"/>
      <c r="F176"/>
      <c r="G176"/>
      <c r="H176"/>
      <c r="I176"/>
      <c r="J176"/>
      <c r="K176"/>
    </row>
    <row r="177" spans="1:11" ht="12.75" x14ac:dyDescent="0.2">
      <c r="A177"/>
      <c r="B177"/>
      <c r="C177"/>
      <c r="D177"/>
      <c r="E177"/>
      <c r="F177"/>
      <c r="G177"/>
      <c r="H177"/>
      <c r="I177"/>
      <c r="J177"/>
      <c r="K177"/>
    </row>
    <row r="178" spans="1:11" ht="12.75" x14ac:dyDescent="0.2">
      <c r="A178"/>
      <c r="B178"/>
      <c r="C178"/>
      <c r="D178"/>
      <c r="E178"/>
      <c r="F178"/>
      <c r="G178"/>
      <c r="H178"/>
      <c r="I178"/>
      <c r="J178"/>
      <c r="K178"/>
    </row>
    <row r="179" spans="1:11" ht="12.75" x14ac:dyDescent="0.2">
      <c r="A179"/>
      <c r="B179"/>
      <c r="C179"/>
      <c r="D179"/>
      <c r="E179"/>
      <c r="F179"/>
      <c r="G179"/>
      <c r="H179"/>
      <c r="I179"/>
      <c r="J179"/>
      <c r="K179"/>
    </row>
    <row r="180" spans="1:11" ht="12.75" x14ac:dyDescent="0.2">
      <c r="A180"/>
      <c r="B180"/>
      <c r="C180"/>
      <c r="D180"/>
      <c r="E180"/>
      <c r="F180"/>
      <c r="G180"/>
      <c r="H180"/>
      <c r="I180"/>
      <c r="J180"/>
      <c r="K180"/>
    </row>
    <row r="181" spans="1:11" ht="12.75" x14ac:dyDescent="0.2">
      <c r="A181"/>
      <c r="B181"/>
      <c r="C181"/>
      <c r="D181"/>
      <c r="E181"/>
      <c r="F181"/>
      <c r="G181"/>
      <c r="H181"/>
      <c r="I181"/>
      <c r="J181"/>
      <c r="K181"/>
    </row>
    <row r="182" spans="1:11" ht="12.75" x14ac:dyDescent="0.2">
      <c r="A182"/>
      <c r="B182"/>
      <c r="C182"/>
      <c r="D182"/>
      <c r="E182"/>
      <c r="F182"/>
      <c r="G182"/>
      <c r="H182"/>
      <c r="I182"/>
      <c r="J182"/>
      <c r="K182"/>
    </row>
    <row r="183" spans="1:11" ht="12.75" x14ac:dyDescent="0.2">
      <c r="A183"/>
      <c r="B183"/>
      <c r="C183"/>
      <c r="D183"/>
      <c r="E183"/>
      <c r="F183"/>
      <c r="G183"/>
      <c r="H183"/>
      <c r="I183"/>
      <c r="J183"/>
      <c r="K183"/>
    </row>
    <row r="184" spans="1:11" ht="12.75" x14ac:dyDescent="0.2">
      <c r="A184"/>
      <c r="B184"/>
      <c r="C184"/>
      <c r="D184"/>
      <c r="E184"/>
      <c r="F184"/>
      <c r="G184"/>
      <c r="H184"/>
      <c r="I184"/>
      <c r="J184"/>
      <c r="K184"/>
    </row>
    <row r="185" spans="1:11" ht="12.75" x14ac:dyDescent="0.2">
      <c r="A185"/>
      <c r="B185"/>
      <c r="C185"/>
      <c r="D185"/>
      <c r="E185"/>
      <c r="F185"/>
      <c r="G185"/>
      <c r="H185"/>
      <c r="I185"/>
      <c r="J185"/>
      <c r="K185"/>
    </row>
    <row r="186" spans="1:11" ht="12.75" x14ac:dyDescent="0.2">
      <c r="A186"/>
      <c r="B186"/>
      <c r="C186"/>
      <c r="D186"/>
      <c r="E186"/>
      <c r="F186"/>
      <c r="G186"/>
      <c r="H186"/>
      <c r="I186"/>
      <c r="J186"/>
      <c r="K186"/>
    </row>
    <row r="187" spans="1:11" ht="12.75" x14ac:dyDescent="0.2">
      <c r="A187"/>
      <c r="B187"/>
      <c r="C187"/>
      <c r="D187"/>
      <c r="E187"/>
      <c r="F187"/>
      <c r="G187"/>
      <c r="H187"/>
      <c r="I187"/>
      <c r="J187"/>
      <c r="K187"/>
    </row>
    <row r="188" spans="1:11" ht="12.75" x14ac:dyDescent="0.2">
      <c r="A188"/>
      <c r="B188"/>
      <c r="C188"/>
      <c r="D188"/>
      <c r="E188"/>
      <c r="F188"/>
      <c r="G188"/>
      <c r="H188"/>
      <c r="I188"/>
      <c r="J188"/>
      <c r="K188"/>
    </row>
    <row r="189" spans="1:11" ht="12.75" x14ac:dyDescent="0.2">
      <c r="A189"/>
      <c r="B189"/>
      <c r="C189"/>
      <c r="D189"/>
      <c r="E189"/>
      <c r="F189"/>
      <c r="G189"/>
      <c r="H189"/>
      <c r="I189"/>
      <c r="J189"/>
      <c r="K189"/>
    </row>
    <row r="190" spans="1:11" ht="12.75" x14ac:dyDescent="0.2">
      <c r="A190"/>
      <c r="B190"/>
      <c r="C190"/>
      <c r="D190"/>
      <c r="E190"/>
      <c r="F190"/>
      <c r="G190"/>
      <c r="H190"/>
      <c r="I190"/>
      <c r="J190"/>
      <c r="K190"/>
    </row>
    <row r="191" spans="1:11" ht="12.75" x14ac:dyDescent="0.2">
      <c r="A191"/>
      <c r="B191"/>
      <c r="C191"/>
      <c r="D191"/>
      <c r="E191"/>
      <c r="F191"/>
      <c r="G191"/>
      <c r="H191"/>
      <c r="I191"/>
      <c r="J191"/>
      <c r="K191"/>
    </row>
    <row r="192" spans="1:11" ht="12.75" x14ac:dyDescent="0.2">
      <c r="A192"/>
      <c r="B192"/>
      <c r="C192"/>
      <c r="D192"/>
      <c r="E192"/>
      <c r="F192"/>
      <c r="G192"/>
      <c r="H192"/>
      <c r="I192"/>
      <c r="J192"/>
      <c r="K192"/>
    </row>
    <row r="193" spans="1:11" ht="12.75" x14ac:dyDescent="0.2">
      <c r="A193"/>
      <c r="B193"/>
      <c r="C193"/>
      <c r="D193"/>
      <c r="E193"/>
      <c r="F193"/>
      <c r="G193"/>
      <c r="H193"/>
      <c r="I193"/>
      <c r="J193"/>
      <c r="K193"/>
    </row>
    <row r="194" spans="1:11" ht="12.75" x14ac:dyDescent="0.2">
      <c r="A194"/>
      <c r="B194"/>
      <c r="C194"/>
      <c r="D194"/>
      <c r="E194"/>
      <c r="F194"/>
      <c r="G194"/>
      <c r="H194"/>
      <c r="I194"/>
      <c r="J194"/>
      <c r="K194"/>
    </row>
    <row r="195" spans="1:11" ht="12.75" x14ac:dyDescent="0.2">
      <c r="A195"/>
      <c r="B195"/>
      <c r="C195"/>
      <c r="D195"/>
      <c r="E195"/>
      <c r="F195"/>
      <c r="G195"/>
      <c r="H195"/>
      <c r="I195"/>
      <c r="J195"/>
      <c r="K195"/>
    </row>
    <row r="196" spans="1:11" ht="12.75" x14ac:dyDescent="0.2">
      <c r="A196"/>
      <c r="B196"/>
      <c r="C196"/>
      <c r="D196"/>
      <c r="E196"/>
      <c r="F196"/>
      <c r="G196"/>
      <c r="H196"/>
      <c r="I196"/>
      <c r="J196"/>
      <c r="K196"/>
    </row>
    <row r="197" spans="1:11" ht="12.75" x14ac:dyDescent="0.2">
      <c r="A197"/>
      <c r="B197"/>
      <c r="C197"/>
      <c r="D197"/>
      <c r="E197"/>
      <c r="F197"/>
      <c r="G197"/>
      <c r="H197"/>
      <c r="I197"/>
      <c r="J197"/>
      <c r="K197"/>
    </row>
    <row r="198" spans="1:11" ht="12.75" x14ac:dyDescent="0.2">
      <c r="A198"/>
      <c r="B198"/>
      <c r="C198"/>
      <c r="D198"/>
      <c r="E198"/>
      <c r="F198"/>
      <c r="G198"/>
      <c r="H198"/>
      <c r="I198"/>
      <c r="J198"/>
      <c r="K198"/>
    </row>
    <row r="199" spans="1:11" ht="12.75" x14ac:dyDescent="0.2">
      <c r="A199"/>
      <c r="B199"/>
      <c r="C199"/>
      <c r="D199"/>
      <c r="E199"/>
      <c r="F199"/>
      <c r="G199"/>
      <c r="H199"/>
      <c r="I199"/>
      <c r="J199"/>
      <c r="K199"/>
    </row>
    <row r="200" spans="1:11" ht="12.75" x14ac:dyDescent="0.2">
      <c r="A200"/>
      <c r="B200"/>
      <c r="C200"/>
      <c r="D200"/>
      <c r="E200"/>
      <c r="F200"/>
      <c r="G200"/>
      <c r="H200"/>
      <c r="I200"/>
      <c r="J200"/>
      <c r="K200"/>
    </row>
    <row r="201" spans="1:11" ht="12.75" x14ac:dyDescent="0.2">
      <c r="A201"/>
      <c r="B201"/>
      <c r="C201"/>
      <c r="D201"/>
      <c r="E201"/>
      <c r="F201"/>
      <c r="G201"/>
      <c r="H201"/>
      <c r="I201"/>
      <c r="J201"/>
      <c r="K201"/>
    </row>
    <row r="202" spans="1:11" ht="12.75" x14ac:dyDescent="0.2">
      <c r="A202"/>
      <c r="B202"/>
      <c r="C202"/>
      <c r="D202"/>
      <c r="E202"/>
      <c r="F202"/>
      <c r="G202"/>
      <c r="H202"/>
      <c r="I202"/>
      <c r="J202"/>
      <c r="K202"/>
    </row>
    <row r="203" spans="1:11" ht="12.75" x14ac:dyDescent="0.2">
      <c r="A203"/>
      <c r="B203"/>
      <c r="C203"/>
      <c r="D203"/>
      <c r="E203"/>
      <c r="F203"/>
      <c r="G203"/>
      <c r="H203"/>
      <c r="I203"/>
      <c r="J203"/>
      <c r="K203"/>
    </row>
    <row r="204" spans="1:11" ht="12.75" x14ac:dyDescent="0.2">
      <c r="A204"/>
      <c r="B204"/>
      <c r="C204"/>
      <c r="D204"/>
      <c r="E204"/>
      <c r="F204"/>
      <c r="G204"/>
      <c r="H204"/>
      <c r="I204"/>
      <c r="J204"/>
      <c r="K204"/>
    </row>
    <row r="205" spans="1:11" ht="12.75" x14ac:dyDescent="0.2">
      <c r="A205"/>
      <c r="B205"/>
      <c r="C205"/>
      <c r="D205"/>
      <c r="E205"/>
      <c r="F205"/>
      <c r="G205"/>
      <c r="H205"/>
      <c r="I205"/>
      <c r="J205"/>
      <c r="K205"/>
    </row>
    <row r="206" spans="1:11" ht="12.75" x14ac:dyDescent="0.2">
      <c r="A206"/>
      <c r="B206"/>
      <c r="C206"/>
      <c r="D206"/>
      <c r="E206"/>
      <c r="F206"/>
      <c r="G206"/>
      <c r="H206"/>
      <c r="I206"/>
      <c r="J206"/>
      <c r="K206"/>
    </row>
    <row r="207" spans="1:11" ht="12.75" x14ac:dyDescent="0.2">
      <c r="A207"/>
      <c r="B207"/>
      <c r="C207"/>
      <c r="D207"/>
      <c r="E207"/>
      <c r="F207"/>
      <c r="G207"/>
      <c r="H207"/>
      <c r="I207"/>
      <c r="J207"/>
      <c r="K207"/>
    </row>
    <row r="208" spans="1:11" ht="12.75" x14ac:dyDescent="0.2">
      <c r="A208"/>
      <c r="B208"/>
      <c r="C208"/>
      <c r="D208"/>
      <c r="E208"/>
      <c r="F208"/>
      <c r="G208"/>
      <c r="H208"/>
      <c r="I208"/>
      <c r="J208"/>
      <c r="K208"/>
    </row>
    <row r="209" spans="1:11" ht="12.75" x14ac:dyDescent="0.2">
      <c r="A209"/>
      <c r="B209"/>
      <c r="C209"/>
      <c r="D209"/>
      <c r="E209"/>
      <c r="F209"/>
      <c r="G209"/>
      <c r="H209"/>
      <c r="I209"/>
      <c r="J209"/>
      <c r="K209"/>
    </row>
    <row r="210" spans="1:11" ht="12.75" x14ac:dyDescent="0.2">
      <c r="A210"/>
      <c r="B210"/>
      <c r="C210"/>
      <c r="D210"/>
      <c r="E210"/>
      <c r="F210"/>
      <c r="G210"/>
      <c r="H210"/>
      <c r="I210"/>
      <c r="J210"/>
      <c r="K210"/>
    </row>
    <row r="211" spans="1:11" ht="12.75" x14ac:dyDescent="0.2">
      <c r="A211"/>
      <c r="B211"/>
      <c r="C211"/>
      <c r="D211"/>
      <c r="E211"/>
      <c r="F211"/>
      <c r="G211"/>
      <c r="H211"/>
      <c r="I211"/>
      <c r="J211"/>
      <c r="K211"/>
    </row>
    <row r="212" spans="1:11" ht="12.75" x14ac:dyDescent="0.2">
      <c r="A212"/>
      <c r="B212"/>
      <c r="C212"/>
      <c r="D212"/>
      <c r="E212"/>
      <c r="F212"/>
      <c r="G212"/>
      <c r="H212"/>
      <c r="I212"/>
      <c r="J212"/>
      <c r="K212"/>
    </row>
    <row r="213" spans="1:11" ht="12.75" x14ac:dyDescent="0.2">
      <c r="A213"/>
      <c r="B213"/>
      <c r="C213"/>
      <c r="D213"/>
      <c r="E213"/>
      <c r="F213"/>
      <c r="G213"/>
      <c r="H213"/>
      <c r="I213"/>
      <c r="J213"/>
      <c r="K213"/>
    </row>
    <row r="214" spans="1:11" ht="12.75" x14ac:dyDescent="0.2">
      <c r="A214"/>
      <c r="B214"/>
      <c r="C214"/>
      <c r="D214"/>
      <c r="E214"/>
      <c r="F214"/>
      <c r="G214"/>
      <c r="H214"/>
      <c r="I214"/>
      <c r="J214"/>
      <c r="K214"/>
    </row>
    <row r="215" spans="1:11" ht="12.75" x14ac:dyDescent="0.2">
      <c r="A215"/>
      <c r="B215"/>
      <c r="C215"/>
      <c r="D215"/>
      <c r="E215"/>
      <c r="F215"/>
      <c r="G215"/>
      <c r="H215"/>
      <c r="I215"/>
      <c r="J215"/>
      <c r="K215"/>
    </row>
    <row r="216" spans="1:11" ht="12.75" x14ac:dyDescent="0.2">
      <c r="A216"/>
      <c r="B216"/>
      <c r="C216"/>
      <c r="D216"/>
      <c r="E216"/>
      <c r="F216"/>
      <c r="G216"/>
      <c r="H216"/>
      <c r="I216"/>
      <c r="J216"/>
      <c r="K216"/>
    </row>
    <row r="217" spans="1:11" ht="12.75" x14ac:dyDescent="0.2">
      <c r="A217"/>
      <c r="B217"/>
      <c r="C217"/>
      <c r="D217"/>
      <c r="E217"/>
      <c r="F217"/>
      <c r="G217"/>
      <c r="H217"/>
      <c r="I217"/>
      <c r="J217"/>
      <c r="K217"/>
    </row>
    <row r="218" spans="1:11" ht="12.75" x14ac:dyDescent="0.2">
      <c r="A218"/>
      <c r="B218"/>
      <c r="C218"/>
      <c r="D218"/>
      <c r="E218"/>
      <c r="F218"/>
      <c r="G218"/>
      <c r="H218"/>
      <c r="I218"/>
      <c r="J218"/>
      <c r="K218"/>
    </row>
    <row r="219" spans="1:11" ht="12.75" x14ac:dyDescent="0.2">
      <c r="A219"/>
      <c r="B219"/>
      <c r="C219"/>
      <c r="D219"/>
      <c r="E219"/>
      <c r="F219"/>
      <c r="G219"/>
      <c r="H219"/>
      <c r="I219"/>
      <c r="J219"/>
      <c r="K219"/>
    </row>
    <row r="220" spans="1:11" ht="12.75" x14ac:dyDescent="0.2">
      <c r="A220"/>
      <c r="B220"/>
      <c r="C220"/>
      <c r="D220"/>
      <c r="E220"/>
      <c r="F220"/>
      <c r="G220"/>
      <c r="H220"/>
      <c r="I220"/>
      <c r="J220"/>
      <c r="K220"/>
    </row>
    <row r="221" spans="1:11" ht="12.75" x14ac:dyDescent="0.2">
      <c r="A221"/>
      <c r="B221"/>
      <c r="C221"/>
      <c r="D221"/>
      <c r="E221"/>
      <c r="F221"/>
      <c r="G221"/>
      <c r="H221"/>
      <c r="I221"/>
      <c r="J221"/>
      <c r="K221"/>
    </row>
    <row r="222" spans="1:11" ht="12.75" x14ac:dyDescent="0.2">
      <c r="A222"/>
      <c r="B222"/>
      <c r="C222"/>
      <c r="D222"/>
      <c r="E222"/>
      <c r="F222"/>
      <c r="G222"/>
      <c r="H222"/>
      <c r="I222"/>
      <c r="J222"/>
      <c r="K222"/>
    </row>
    <row r="223" spans="1:11" ht="12.75" x14ac:dyDescent="0.2">
      <c r="A223"/>
      <c r="B223"/>
      <c r="C223"/>
      <c r="D223"/>
      <c r="E223"/>
      <c r="F223"/>
      <c r="G223"/>
      <c r="H223"/>
      <c r="I223"/>
      <c r="J223"/>
      <c r="K223"/>
    </row>
    <row r="224" spans="1:11" ht="12.75" x14ac:dyDescent="0.2">
      <c r="A224"/>
      <c r="B224"/>
      <c r="C224"/>
      <c r="D224"/>
      <c r="E224"/>
      <c r="F224"/>
      <c r="G224"/>
      <c r="H224"/>
      <c r="I224"/>
      <c r="J224"/>
      <c r="K224"/>
    </row>
    <row r="225" spans="1:11" ht="12.75" x14ac:dyDescent="0.2">
      <c r="A225"/>
      <c r="B225"/>
      <c r="C225"/>
      <c r="D225"/>
      <c r="E225"/>
      <c r="F225"/>
      <c r="G225"/>
      <c r="H225"/>
      <c r="I225"/>
      <c r="J225"/>
      <c r="K225"/>
    </row>
    <row r="226" spans="1:11" ht="12.75" x14ac:dyDescent="0.2">
      <c r="A226"/>
      <c r="B226"/>
      <c r="C226"/>
      <c r="D226"/>
      <c r="E226"/>
      <c r="F226"/>
      <c r="G226"/>
      <c r="H226"/>
      <c r="I226"/>
      <c r="J226"/>
      <c r="K226"/>
    </row>
    <row r="227" spans="1:11" ht="12.75" x14ac:dyDescent="0.2">
      <c r="A227"/>
      <c r="B227"/>
      <c r="C227"/>
      <c r="D227"/>
      <c r="E227"/>
      <c r="F227"/>
      <c r="G227"/>
      <c r="H227"/>
      <c r="I227"/>
      <c r="J227"/>
      <c r="K227"/>
    </row>
    <row r="228" spans="1:11" ht="12.75" x14ac:dyDescent="0.2">
      <c r="A228"/>
      <c r="B228"/>
      <c r="C228"/>
      <c r="D228"/>
      <c r="E228"/>
      <c r="F228"/>
      <c r="G228"/>
      <c r="H228"/>
      <c r="I228"/>
      <c r="J228"/>
      <c r="K228"/>
    </row>
    <row r="229" spans="1:11" ht="12.75" x14ac:dyDescent="0.2">
      <c r="A229"/>
      <c r="B229"/>
      <c r="C229"/>
      <c r="D229"/>
      <c r="E229"/>
      <c r="F229"/>
      <c r="G229"/>
      <c r="H229"/>
      <c r="I229"/>
      <c r="J229"/>
      <c r="K229"/>
    </row>
    <row r="230" spans="1:11" ht="12.75" x14ac:dyDescent="0.2">
      <c r="A230"/>
      <c r="B230"/>
      <c r="C230"/>
      <c r="D230"/>
      <c r="E230"/>
      <c r="F230"/>
      <c r="G230"/>
      <c r="H230"/>
      <c r="I230"/>
      <c r="J230"/>
      <c r="K230"/>
    </row>
    <row r="231" spans="1:11" ht="12.75" x14ac:dyDescent="0.2">
      <c r="A231"/>
      <c r="B231"/>
      <c r="C231"/>
      <c r="D231"/>
      <c r="E231"/>
      <c r="F231"/>
      <c r="G231"/>
      <c r="H231"/>
      <c r="I231"/>
      <c r="J231"/>
      <c r="K231"/>
    </row>
    <row r="232" spans="1:11" ht="12.75" x14ac:dyDescent="0.2">
      <c r="A232"/>
      <c r="B232"/>
      <c r="C232"/>
      <c r="D232"/>
      <c r="E232"/>
      <c r="F232"/>
      <c r="G232"/>
      <c r="H232"/>
      <c r="I232"/>
      <c r="J232"/>
      <c r="K232"/>
    </row>
    <row r="233" spans="1:11" ht="12.75" x14ac:dyDescent="0.2">
      <c r="A233"/>
      <c r="B233"/>
      <c r="C233"/>
      <c r="D233"/>
      <c r="E233"/>
      <c r="F233"/>
      <c r="G233"/>
      <c r="H233"/>
      <c r="I233"/>
      <c r="J233"/>
      <c r="K233"/>
    </row>
    <row r="234" spans="1:11" ht="12.75" x14ac:dyDescent="0.2">
      <c r="A234"/>
      <c r="B234"/>
      <c r="C234"/>
      <c r="D234"/>
      <c r="E234"/>
      <c r="F234"/>
      <c r="G234"/>
      <c r="H234"/>
      <c r="I234"/>
      <c r="J234"/>
      <c r="K234"/>
    </row>
    <row r="235" spans="1:11" ht="12.75" x14ac:dyDescent="0.2">
      <c r="A235"/>
      <c r="B235"/>
      <c r="C235"/>
      <c r="D235"/>
      <c r="E235"/>
      <c r="F235"/>
      <c r="G235"/>
      <c r="H235"/>
      <c r="I235"/>
      <c r="J235"/>
      <c r="K235"/>
    </row>
    <row r="236" spans="1:11" ht="12.75" x14ac:dyDescent="0.2">
      <c r="A236"/>
      <c r="B236"/>
      <c r="C236"/>
      <c r="D236"/>
      <c r="E236"/>
      <c r="F236"/>
      <c r="G236"/>
      <c r="H236"/>
      <c r="I236"/>
      <c r="J236"/>
      <c r="K236"/>
    </row>
    <row r="237" spans="1:11" ht="12.75" x14ac:dyDescent="0.2">
      <c r="A237"/>
      <c r="B237"/>
      <c r="C237"/>
      <c r="D237"/>
      <c r="E237"/>
      <c r="F237"/>
      <c r="G237"/>
      <c r="H237"/>
      <c r="I237"/>
      <c r="J237"/>
      <c r="K237"/>
    </row>
    <row r="238" spans="1:11" ht="12.75" x14ac:dyDescent="0.2">
      <c r="A238"/>
      <c r="B238"/>
      <c r="C238"/>
      <c r="D238"/>
      <c r="E238"/>
      <c r="F238"/>
      <c r="G238"/>
      <c r="H238"/>
      <c r="I238"/>
      <c r="J238"/>
      <c r="K238"/>
    </row>
    <row r="239" spans="1:11" ht="12.75" x14ac:dyDescent="0.2">
      <c r="A239"/>
      <c r="B239"/>
      <c r="C239"/>
      <c r="D239"/>
      <c r="E239"/>
      <c r="F239"/>
      <c r="G239"/>
      <c r="H239"/>
      <c r="I239"/>
      <c r="J239"/>
      <c r="K239"/>
    </row>
    <row r="240" spans="1:11" ht="12.75" x14ac:dyDescent="0.2">
      <c r="A240"/>
      <c r="B240"/>
      <c r="C240"/>
      <c r="D240"/>
      <c r="E240"/>
      <c r="F240"/>
      <c r="G240"/>
      <c r="H240"/>
      <c r="I240"/>
      <c r="J240"/>
      <c r="K240"/>
    </row>
    <row r="241" spans="1:11" ht="12.75" x14ac:dyDescent="0.2">
      <c r="A241"/>
      <c r="B241"/>
      <c r="C241"/>
      <c r="D241"/>
      <c r="E241"/>
      <c r="F241"/>
      <c r="G241"/>
      <c r="H241"/>
      <c r="I241"/>
      <c r="J241"/>
      <c r="K241"/>
    </row>
    <row r="242" spans="1:11" ht="12.75" x14ac:dyDescent="0.2">
      <c r="A242"/>
      <c r="B242"/>
      <c r="C242"/>
      <c r="D242"/>
      <c r="E242"/>
      <c r="F242"/>
      <c r="G242"/>
      <c r="H242"/>
      <c r="I242"/>
      <c r="J242"/>
      <c r="K242"/>
    </row>
    <row r="243" spans="1:11" ht="12.75" x14ac:dyDescent="0.2">
      <c r="A243"/>
      <c r="B243"/>
      <c r="C243"/>
      <c r="D243"/>
      <c r="E243"/>
      <c r="F243"/>
      <c r="G243"/>
      <c r="H243"/>
      <c r="I243"/>
      <c r="J243"/>
      <c r="K243"/>
    </row>
    <row r="244" spans="1:11" ht="12.75" x14ac:dyDescent="0.2">
      <c r="A244"/>
      <c r="B244"/>
      <c r="C244"/>
      <c r="D244"/>
      <c r="E244"/>
      <c r="F244"/>
      <c r="G244"/>
      <c r="H244"/>
      <c r="I244"/>
      <c r="J244"/>
      <c r="K244"/>
    </row>
    <row r="245" spans="1:11" ht="12.75" x14ac:dyDescent="0.2">
      <c r="A245"/>
      <c r="B245"/>
      <c r="C245"/>
      <c r="D245"/>
      <c r="E245"/>
      <c r="F245"/>
      <c r="G245"/>
      <c r="H245"/>
      <c r="I245"/>
      <c r="J245"/>
      <c r="K245"/>
    </row>
    <row r="246" spans="1:11" ht="12.75" x14ac:dyDescent="0.2">
      <c r="A246"/>
      <c r="B246"/>
      <c r="C246"/>
      <c r="D246"/>
      <c r="E246"/>
      <c r="F246"/>
      <c r="G246"/>
      <c r="H246"/>
      <c r="I246"/>
      <c r="J246"/>
      <c r="K246"/>
    </row>
    <row r="247" spans="1:11" ht="12.75" x14ac:dyDescent="0.2">
      <c r="A247"/>
      <c r="B247"/>
      <c r="C247"/>
      <c r="D247"/>
      <c r="E247"/>
      <c r="F247"/>
      <c r="G247"/>
      <c r="H247"/>
      <c r="I247"/>
      <c r="J247"/>
      <c r="K247"/>
    </row>
    <row r="248" spans="1:11" ht="12.75" x14ac:dyDescent="0.2">
      <c r="A248"/>
      <c r="B248"/>
      <c r="C248"/>
      <c r="D248"/>
      <c r="E248"/>
      <c r="F248"/>
      <c r="G248"/>
      <c r="H248"/>
      <c r="I248"/>
      <c r="J248"/>
      <c r="K248"/>
    </row>
    <row r="249" spans="1:11" ht="12.75" x14ac:dyDescent="0.2">
      <c r="A249"/>
      <c r="B249"/>
      <c r="C249"/>
      <c r="D249"/>
      <c r="E249"/>
      <c r="F249"/>
      <c r="G249"/>
      <c r="H249"/>
      <c r="I249"/>
      <c r="J249"/>
      <c r="K249"/>
    </row>
    <row r="250" spans="1:11" ht="12.75" x14ac:dyDescent="0.2">
      <c r="A250"/>
      <c r="B250"/>
      <c r="C250"/>
      <c r="D250"/>
      <c r="E250"/>
      <c r="F250"/>
      <c r="G250"/>
      <c r="H250"/>
      <c r="I250"/>
      <c r="J250"/>
      <c r="K250"/>
    </row>
    <row r="251" spans="1:11" ht="12.75" x14ac:dyDescent="0.2">
      <c r="A251"/>
      <c r="B251"/>
      <c r="C251"/>
      <c r="D251"/>
      <c r="E251"/>
      <c r="F251"/>
      <c r="G251"/>
      <c r="H251"/>
      <c r="I251"/>
      <c r="J251"/>
      <c r="K251"/>
    </row>
    <row r="252" spans="1:11" ht="12.75" x14ac:dyDescent="0.2">
      <c r="A252"/>
      <c r="B252"/>
      <c r="C252"/>
      <c r="D252"/>
      <c r="E252"/>
      <c r="F252"/>
      <c r="G252"/>
      <c r="H252"/>
      <c r="I252"/>
      <c r="J252"/>
      <c r="K252"/>
    </row>
    <row r="253" spans="1:11" ht="12.75" x14ac:dyDescent="0.2">
      <c r="A253"/>
      <c r="B253"/>
      <c r="C253"/>
      <c r="D253"/>
      <c r="E253"/>
      <c r="F253"/>
      <c r="G253"/>
      <c r="H253"/>
      <c r="I253"/>
      <c r="J253"/>
      <c r="K253"/>
    </row>
    <row r="254" spans="1:11" ht="12.75" x14ac:dyDescent="0.2">
      <c r="A254"/>
      <c r="B254"/>
      <c r="C254"/>
      <c r="D254"/>
      <c r="E254"/>
      <c r="F254"/>
      <c r="G254"/>
      <c r="H254"/>
      <c r="I254"/>
      <c r="J254"/>
      <c r="K254"/>
    </row>
    <row r="255" spans="1:11" ht="12.75" x14ac:dyDescent="0.2">
      <c r="A255"/>
      <c r="B255"/>
      <c r="C255"/>
      <c r="D255"/>
      <c r="E255"/>
      <c r="F255"/>
      <c r="G255"/>
      <c r="H255"/>
      <c r="I255"/>
      <c r="J255"/>
      <c r="K255"/>
    </row>
    <row r="256" spans="1:11" ht="12.75" x14ac:dyDescent="0.2">
      <c r="A256"/>
      <c r="B256"/>
      <c r="C256"/>
      <c r="D256"/>
      <c r="E256"/>
      <c r="F256"/>
      <c r="G256"/>
      <c r="H256"/>
      <c r="I256"/>
      <c r="J256"/>
      <c r="K256"/>
    </row>
    <row r="257" spans="1:11" ht="12.75" x14ac:dyDescent="0.2">
      <c r="A257"/>
      <c r="B257"/>
      <c r="C257"/>
      <c r="D257"/>
      <c r="E257"/>
      <c r="F257"/>
      <c r="G257"/>
      <c r="H257"/>
      <c r="I257"/>
      <c r="J257"/>
      <c r="K257"/>
    </row>
    <row r="258" spans="1:11" ht="12.75" x14ac:dyDescent="0.2">
      <c r="A258"/>
      <c r="B258"/>
      <c r="C258"/>
      <c r="D258"/>
      <c r="E258"/>
      <c r="F258"/>
      <c r="G258"/>
      <c r="H258"/>
      <c r="I258"/>
      <c r="J258"/>
      <c r="K258"/>
    </row>
    <row r="259" spans="1:11" ht="12.75" x14ac:dyDescent="0.2">
      <c r="A259"/>
      <c r="B259"/>
      <c r="C259"/>
      <c r="D259"/>
      <c r="E259"/>
      <c r="F259"/>
      <c r="G259"/>
      <c r="H259"/>
      <c r="I259"/>
      <c r="J259"/>
      <c r="K259"/>
    </row>
    <row r="260" spans="1:11" ht="12.75" x14ac:dyDescent="0.2">
      <c r="A260"/>
      <c r="B260"/>
      <c r="C260"/>
      <c r="D260"/>
      <c r="E260"/>
      <c r="F260"/>
      <c r="G260"/>
      <c r="H260"/>
      <c r="I260"/>
      <c r="J260"/>
      <c r="K260"/>
    </row>
    <row r="261" spans="1:11" ht="12.75" x14ac:dyDescent="0.2">
      <c r="A261"/>
      <c r="B261"/>
      <c r="C261"/>
      <c r="D261"/>
      <c r="E261"/>
      <c r="F261"/>
      <c r="G261"/>
      <c r="H261"/>
      <c r="I261"/>
      <c r="J261"/>
      <c r="K261"/>
    </row>
    <row r="262" spans="1:11" ht="12.75" x14ac:dyDescent="0.2">
      <c r="A262"/>
      <c r="B262"/>
      <c r="C262"/>
      <c r="D262"/>
      <c r="E262"/>
      <c r="F262"/>
      <c r="G262"/>
      <c r="H262"/>
      <c r="I262"/>
      <c r="J262"/>
      <c r="K262"/>
    </row>
    <row r="263" spans="1:11" ht="12.75" x14ac:dyDescent="0.2">
      <c r="A263"/>
      <c r="B263"/>
      <c r="C263"/>
      <c r="D263"/>
      <c r="E263"/>
      <c r="F263"/>
      <c r="G263"/>
      <c r="H263"/>
      <c r="I263"/>
      <c r="J263"/>
      <c r="K263"/>
    </row>
    <row r="264" spans="1:11" ht="12.75" x14ac:dyDescent="0.2">
      <c r="A264"/>
      <c r="B264"/>
      <c r="C264"/>
      <c r="D264"/>
      <c r="E264"/>
      <c r="F264"/>
      <c r="G264"/>
      <c r="H264"/>
      <c r="I264"/>
      <c r="J264"/>
      <c r="K264"/>
    </row>
    <row r="265" spans="1:11" ht="12.75" x14ac:dyDescent="0.2">
      <c r="A265"/>
      <c r="B265"/>
      <c r="C265"/>
      <c r="D265"/>
      <c r="E265"/>
      <c r="F265"/>
      <c r="G265"/>
      <c r="H265"/>
      <c r="I265"/>
      <c r="J265"/>
      <c r="K265"/>
    </row>
    <row r="266" spans="1:11" ht="12.75" x14ac:dyDescent="0.2">
      <c r="A266"/>
      <c r="B266"/>
      <c r="C266"/>
      <c r="D266"/>
      <c r="E266"/>
      <c r="F266"/>
      <c r="G266"/>
      <c r="H266"/>
      <c r="I266"/>
      <c r="J266"/>
      <c r="K266"/>
    </row>
    <row r="267" spans="1:11" ht="12.75" x14ac:dyDescent="0.2">
      <c r="A267"/>
      <c r="B267"/>
      <c r="C267"/>
      <c r="D267"/>
      <c r="E267"/>
      <c r="F267"/>
      <c r="G267"/>
      <c r="H267"/>
      <c r="I267"/>
      <c r="J267"/>
      <c r="K267"/>
    </row>
    <row r="268" spans="1:11" ht="12.75" x14ac:dyDescent="0.2">
      <c r="A268"/>
      <c r="B268"/>
      <c r="C268"/>
      <c r="D268"/>
      <c r="E268"/>
      <c r="F268"/>
      <c r="G268"/>
      <c r="H268"/>
      <c r="I268"/>
      <c r="J268"/>
      <c r="K268"/>
    </row>
    <row r="269" spans="1:11" ht="12.75" x14ac:dyDescent="0.2">
      <c r="A269"/>
      <c r="B269"/>
      <c r="C269"/>
      <c r="D269"/>
      <c r="E269"/>
      <c r="F269"/>
      <c r="G269"/>
      <c r="H269"/>
      <c r="I269"/>
      <c r="J269"/>
      <c r="K269"/>
    </row>
    <row r="270" spans="1:11" ht="12.75" x14ac:dyDescent="0.2">
      <c r="A270"/>
      <c r="B270"/>
      <c r="C270"/>
      <c r="D270"/>
      <c r="E270"/>
      <c r="F270"/>
      <c r="G270"/>
      <c r="H270"/>
      <c r="I270"/>
      <c r="J270"/>
      <c r="K270"/>
    </row>
    <row r="271" spans="1:11" ht="12.75" x14ac:dyDescent="0.2">
      <c r="A271"/>
      <c r="B271"/>
      <c r="C271"/>
      <c r="D271"/>
      <c r="E271"/>
      <c r="F271"/>
      <c r="G271"/>
      <c r="H271"/>
      <c r="I271"/>
      <c r="J271"/>
      <c r="K271"/>
    </row>
    <row r="272" spans="1:11" ht="12.75" x14ac:dyDescent="0.2">
      <c r="A272"/>
      <c r="B272"/>
      <c r="C272"/>
      <c r="D272"/>
      <c r="E272"/>
      <c r="F272"/>
      <c r="G272"/>
      <c r="H272"/>
      <c r="I272"/>
      <c r="J272"/>
      <c r="K272"/>
    </row>
    <row r="273" spans="1:11" ht="12.75" x14ac:dyDescent="0.2">
      <c r="A273"/>
      <c r="B273"/>
      <c r="C273"/>
      <c r="D273"/>
      <c r="E273"/>
      <c r="F273"/>
      <c r="G273"/>
      <c r="H273"/>
      <c r="I273"/>
      <c r="J273"/>
      <c r="K273"/>
    </row>
    <row r="274" spans="1:11" ht="12.75" x14ac:dyDescent="0.2">
      <c r="A274"/>
      <c r="B274"/>
      <c r="C274"/>
      <c r="D274"/>
      <c r="E274"/>
      <c r="F274"/>
      <c r="G274"/>
      <c r="H274"/>
      <c r="I274"/>
      <c r="J274"/>
      <c r="K274"/>
    </row>
    <row r="275" spans="1:11" ht="12.75" x14ac:dyDescent="0.2">
      <c r="A275"/>
      <c r="B275"/>
      <c r="C275"/>
      <c r="D275"/>
      <c r="E275"/>
      <c r="F275"/>
      <c r="G275"/>
      <c r="H275"/>
      <c r="I275"/>
      <c r="J275"/>
      <c r="K275"/>
    </row>
    <row r="276" spans="1:11" ht="12.75" x14ac:dyDescent="0.2">
      <c r="A276"/>
      <c r="B276"/>
      <c r="C276"/>
      <c r="D276"/>
      <c r="E276"/>
      <c r="F276"/>
      <c r="G276"/>
      <c r="H276"/>
      <c r="I276"/>
      <c r="J276"/>
      <c r="K276"/>
    </row>
    <row r="277" spans="1:11" ht="12.75" x14ac:dyDescent="0.2">
      <c r="A277"/>
      <c r="B277"/>
      <c r="C277"/>
      <c r="D277"/>
      <c r="E277"/>
      <c r="F277"/>
      <c r="G277"/>
      <c r="H277"/>
      <c r="I277"/>
      <c r="J277"/>
      <c r="K277"/>
    </row>
    <row r="278" spans="1:11" ht="12.75" x14ac:dyDescent="0.2">
      <c r="A278"/>
      <c r="B278"/>
      <c r="C278"/>
      <c r="D278"/>
      <c r="E278"/>
      <c r="F278"/>
      <c r="G278"/>
      <c r="H278"/>
      <c r="I278"/>
      <c r="J278"/>
      <c r="K278"/>
    </row>
    <row r="279" spans="1:11" ht="12.75" x14ac:dyDescent="0.2">
      <c r="A279"/>
      <c r="B279"/>
      <c r="C279"/>
      <c r="D279"/>
      <c r="E279"/>
      <c r="F279"/>
      <c r="G279"/>
      <c r="H279"/>
      <c r="I279"/>
      <c r="J279"/>
      <c r="K279"/>
    </row>
    <row r="280" spans="1:11" ht="12.75" x14ac:dyDescent="0.2">
      <c r="A280"/>
      <c r="B280"/>
      <c r="C280"/>
      <c r="D280"/>
      <c r="E280"/>
      <c r="F280"/>
      <c r="G280"/>
      <c r="H280"/>
      <c r="I280"/>
      <c r="J280"/>
      <c r="K280"/>
    </row>
    <row r="281" spans="1:11" ht="12.75" x14ac:dyDescent="0.2">
      <c r="A281"/>
      <c r="B281"/>
      <c r="C281"/>
      <c r="D281"/>
      <c r="E281"/>
      <c r="F281"/>
      <c r="G281"/>
      <c r="H281"/>
      <c r="I281"/>
      <c r="J281"/>
      <c r="K281"/>
    </row>
    <row r="282" spans="1:11" ht="12.75" x14ac:dyDescent="0.2">
      <c r="A282"/>
      <c r="B282"/>
      <c r="C282"/>
      <c r="D282"/>
      <c r="E282"/>
      <c r="F282"/>
      <c r="G282"/>
      <c r="H282"/>
      <c r="I282"/>
      <c r="J282"/>
      <c r="K282"/>
    </row>
    <row r="283" spans="1:11" ht="12.75" x14ac:dyDescent="0.2">
      <c r="A283"/>
      <c r="B283"/>
      <c r="C283"/>
      <c r="D283"/>
      <c r="E283"/>
      <c r="F283"/>
      <c r="G283"/>
      <c r="H283"/>
      <c r="I283"/>
      <c r="J283"/>
      <c r="K283"/>
    </row>
    <row r="284" spans="1:11" ht="12.75" x14ac:dyDescent="0.2">
      <c r="A284"/>
      <c r="B284"/>
      <c r="C284"/>
      <c r="D284"/>
      <c r="E284"/>
      <c r="F284"/>
      <c r="G284"/>
      <c r="H284"/>
      <c r="I284"/>
      <c r="J284"/>
      <c r="K284"/>
    </row>
    <row r="285" spans="1:11" ht="12.75" x14ac:dyDescent="0.2">
      <c r="A285"/>
      <c r="B285"/>
      <c r="C285"/>
      <c r="D285"/>
      <c r="E285"/>
      <c r="F285"/>
      <c r="G285"/>
      <c r="H285"/>
      <c r="I285"/>
      <c r="J285"/>
      <c r="K285"/>
    </row>
    <row r="286" spans="1:11" ht="12.75" x14ac:dyDescent="0.2">
      <c r="A286"/>
      <c r="B286"/>
      <c r="C286"/>
      <c r="D286"/>
      <c r="E286"/>
      <c r="F286"/>
      <c r="G286"/>
      <c r="H286"/>
      <c r="I286"/>
      <c r="J286"/>
      <c r="K286"/>
    </row>
    <row r="287" spans="1:11" ht="12.75" x14ac:dyDescent="0.2">
      <c r="A287"/>
      <c r="B287"/>
      <c r="C287"/>
      <c r="D287"/>
      <c r="E287"/>
      <c r="F287"/>
      <c r="G287"/>
      <c r="H287"/>
      <c r="I287"/>
      <c r="J287"/>
      <c r="K287"/>
    </row>
    <row r="288" spans="1:11" ht="12.75" x14ac:dyDescent="0.2">
      <c r="A288"/>
      <c r="B288"/>
      <c r="C288"/>
      <c r="D288"/>
      <c r="E288"/>
      <c r="F288"/>
      <c r="G288"/>
      <c r="H288"/>
      <c r="I288"/>
      <c r="J288"/>
      <c r="K288"/>
    </row>
    <row r="289" spans="1:11" ht="12.75" x14ac:dyDescent="0.2">
      <c r="A289"/>
      <c r="B289"/>
      <c r="C289"/>
      <c r="D289"/>
      <c r="E289"/>
      <c r="F289"/>
      <c r="G289"/>
      <c r="H289"/>
      <c r="I289"/>
      <c r="J289"/>
      <c r="K289"/>
    </row>
    <row r="290" spans="1:11" ht="12.75" x14ac:dyDescent="0.2">
      <c r="A290"/>
      <c r="B290"/>
      <c r="C290"/>
      <c r="D290"/>
      <c r="E290"/>
      <c r="F290"/>
      <c r="G290"/>
      <c r="H290"/>
      <c r="I290"/>
      <c r="J290"/>
      <c r="K290"/>
    </row>
    <row r="291" spans="1:11" ht="12.75" x14ac:dyDescent="0.2">
      <c r="A291"/>
      <c r="B291"/>
      <c r="C291"/>
      <c r="D291"/>
      <c r="E291"/>
      <c r="F291"/>
      <c r="G291"/>
      <c r="H291"/>
      <c r="I291"/>
      <c r="J291"/>
      <c r="K291"/>
    </row>
    <row r="292" spans="1:11" ht="12.75" x14ac:dyDescent="0.2">
      <c r="A292"/>
      <c r="B292"/>
      <c r="C292"/>
      <c r="D292"/>
      <c r="E292"/>
      <c r="F292"/>
      <c r="G292"/>
      <c r="H292"/>
      <c r="I292"/>
      <c r="J292"/>
      <c r="K292"/>
    </row>
    <row r="293" spans="1:11" ht="12.75" x14ac:dyDescent="0.2">
      <c r="A293"/>
      <c r="B293"/>
      <c r="C293"/>
      <c r="D293"/>
      <c r="E293"/>
      <c r="F293"/>
      <c r="G293"/>
      <c r="H293"/>
      <c r="I293"/>
      <c r="J293"/>
      <c r="K293"/>
    </row>
    <row r="294" spans="1:11" ht="12.75" x14ac:dyDescent="0.2">
      <c r="A294"/>
      <c r="B294"/>
      <c r="C294"/>
      <c r="D294"/>
      <c r="E294"/>
      <c r="F294"/>
      <c r="G294"/>
      <c r="H294"/>
      <c r="I294"/>
      <c r="J294"/>
      <c r="K294"/>
    </row>
    <row r="295" spans="1:11" ht="12.75" x14ac:dyDescent="0.2">
      <c r="A295"/>
      <c r="B295"/>
      <c r="C295"/>
      <c r="D295"/>
      <c r="E295"/>
      <c r="F295"/>
      <c r="G295"/>
      <c r="H295"/>
      <c r="I295"/>
      <c r="J295"/>
      <c r="K295"/>
    </row>
    <row r="296" spans="1:11" ht="12.75" x14ac:dyDescent="0.2">
      <c r="A296"/>
      <c r="B296"/>
      <c r="C296"/>
      <c r="D296"/>
      <c r="E296"/>
      <c r="F296"/>
      <c r="G296"/>
      <c r="H296"/>
      <c r="I296"/>
      <c r="J296"/>
      <c r="K296"/>
    </row>
    <row r="297" spans="1:11" ht="12.75" x14ac:dyDescent="0.2">
      <c r="A297"/>
      <c r="B297"/>
      <c r="C297"/>
      <c r="D297"/>
      <c r="E297"/>
      <c r="F297"/>
      <c r="G297"/>
      <c r="H297"/>
      <c r="I297"/>
      <c r="J297"/>
      <c r="K297"/>
    </row>
    <row r="298" spans="1:11" ht="12.75" x14ac:dyDescent="0.2">
      <c r="A298"/>
      <c r="B298"/>
      <c r="C298"/>
      <c r="D298"/>
      <c r="E298"/>
      <c r="F298"/>
      <c r="G298"/>
      <c r="H298"/>
      <c r="I298"/>
      <c r="J298"/>
      <c r="K298"/>
    </row>
    <row r="299" spans="1:11" ht="12.75" x14ac:dyDescent="0.2">
      <c r="A299"/>
      <c r="B299"/>
      <c r="C299"/>
      <c r="D299"/>
      <c r="E299"/>
      <c r="F299"/>
      <c r="G299"/>
      <c r="H299"/>
      <c r="I299"/>
      <c r="J299"/>
      <c r="K299"/>
    </row>
    <row r="300" spans="1:11" ht="12.75" x14ac:dyDescent="0.2">
      <c r="A300"/>
      <c r="B300"/>
      <c r="C300"/>
      <c r="D300"/>
      <c r="E300"/>
      <c r="F300"/>
      <c r="G300"/>
      <c r="H300"/>
      <c r="I300"/>
      <c r="J300"/>
      <c r="K300"/>
    </row>
    <row r="301" spans="1:11" ht="12.75" x14ac:dyDescent="0.2">
      <c r="A301"/>
      <c r="B301"/>
      <c r="C301"/>
      <c r="D301"/>
      <c r="E301"/>
      <c r="F301"/>
      <c r="G301"/>
      <c r="H301"/>
      <c r="I301"/>
      <c r="J301"/>
      <c r="K301"/>
    </row>
    <row r="302" spans="1:11" ht="12.75" x14ac:dyDescent="0.2">
      <c r="A302"/>
      <c r="B302"/>
      <c r="C302"/>
      <c r="D302"/>
      <c r="E302"/>
      <c r="F302"/>
      <c r="G302"/>
      <c r="H302"/>
      <c r="I302"/>
      <c r="J302"/>
      <c r="K302"/>
    </row>
    <row r="303" spans="1:11" ht="12.75" x14ac:dyDescent="0.2">
      <c r="A303"/>
      <c r="B303"/>
      <c r="C303"/>
      <c r="D303"/>
      <c r="E303"/>
      <c r="F303"/>
      <c r="G303"/>
      <c r="H303"/>
      <c r="I303"/>
      <c r="J303"/>
      <c r="K303"/>
    </row>
    <row r="304" spans="1:11" ht="12.75" x14ac:dyDescent="0.2">
      <c r="A304"/>
      <c r="B304"/>
      <c r="C304"/>
      <c r="D304"/>
      <c r="E304"/>
      <c r="F304"/>
      <c r="G304"/>
      <c r="H304"/>
      <c r="I304"/>
      <c r="J304"/>
      <c r="K304"/>
    </row>
    <row r="305" spans="1:11" ht="12.75" x14ac:dyDescent="0.2">
      <c r="A305"/>
      <c r="B305"/>
      <c r="C305"/>
      <c r="D305"/>
      <c r="E305"/>
      <c r="F305"/>
      <c r="G305"/>
      <c r="H305"/>
      <c r="I305"/>
      <c r="J305"/>
      <c r="K305"/>
    </row>
    <row r="306" spans="1:11" ht="12.75" x14ac:dyDescent="0.2">
      <c r="A306"/>
      <c r="B306"/>
      <c r="C306"/>
      <c r="D306"/>
      <c r="E306"/>
      <c r="F306"/>
      <c r="G306"/>
      <c r="H306"/>
      <c r="I306"/>
      <c r="J306"/>
      <c r="K306"/>
    </row>
    <row r="307" spans="1:11" ht="12.75" x14ac:dyDescent="0.2">
      <c r="A307"/>
      <c r="B307"/>
      <c r="C307"/>
      <c r="D307"/>
      <c r="E307"/>
      <c r="F307"/>
      <c r="G307"/>
      <c r="H307"/>
      <c r="I307"/>
      <c r="J307"/>
      <c r="K307"/>
    </row>
    <row r="308" spans="1:11" ht="12.75" x14ac:dyDescent="0.2">
      <c r="A308"/>
      <c r="B308"/>
      <c r="C308"/>
      <c r="D308"/>
      <c r="E308"/>
      <c r="F308"/>
      <c r="G308"/>
      <c r="H308"/>
      <c r="I308"/>
      <c r="J308"/>
      <c r="K308"/>
    </row>
    <row r="309" spans="1:11" ht="12.75" x14ac:dyDescent="0.2">
      <c r="A309"/>
      <c r="B309"/>
      <c r="C309"/>
      <c r="D309"/>
      <c r="E309"/>
      <c r="F309"/>
      <c r="G309"/>
      <c r="H309"/>
      <c r="I309"/>
      <c r="J309"/>
      <c r="K309"/>
    </row>
    <row r="310" spans="1:11" ht="12.75" x14ac:dyDescent="0.2">
      <c r="A310"/>
      <c r="B310"/>
      <c r="C310"/>
      <c r="D310"/>
      <c r="E310"/>
      <c r="F310"/>
      <c r="G310"/>
      <c r="H310"/>
      <c r="I310"/>
      <c r="J310"/>
      <c r="K310"/>
    </row>
    <row r="311" spans="1:11" ht="12.75" x14ac:dyDescent="0.2">
      <c r="A311"/>
      <c r="B311"/>
      <c r="C311"/>
      <c r="D311"/>
      <c r="E311"/>
      <c r="F311"/>
      <c r="G311"/>
      <c r="H311"/>
      <c r="I311"/>
      <c r="J311"/>
      <c r="K311"/>
    </row>
    <row r="312" spans="1:11" ht="12.75" x14ac:dyDescent="0.2">
      <c r="A312"/>
      <c r="B312"/>
      <c r="C312"/>
      <c r="D312"/>
      <c r="E312"/>
      <c r="F312"/>
      <c r="G312"/>
      <c r="H312"/>
      <c r="I312"/>
      <c r="J312"/>
      <c r="K312"/>
    </row>
    <row r="313" spans="1:11" ht="12.75" x14ac:dyDescent="0.2">
      <c r="A313"/>
      <c r="B313"/>
      <c r="C313"/>
      <c r="D313"/>
      <c r="E313"/>
      <c r="F313"/>
      <c r="G313"/>
      <c r="H313"/>
      <c r="I313"/>
      <c r="J313"/>
      <c r="K313"/>
    </row>
    <row r="314" spans="1:11" ht="12.75" x14ac:dyDescent="0.2">
      <c r="A314"/>
      <c r="B314"/>
      <c r="C314"/>
      <c r="D314"/>
      <c r="E314"/>
      <c r="F314"/>
      <c r="G314"/>
      <c r="H314"/>
      <c r="I314"/>
      <c r="J314"/>
      <c r="K314"/>
    </row>
    <row r="315" spans="1:11" ht="12.75" x14ac:dyDescent="0.2">
      <c r="A315"/>
      <c r="B315"/>
      <c r="C315"/>
      <c r="D315"/>
      <c r="E315"/>
      <c r="F315"/>
      <c r="G315"/>
      <c r="H315"/>
      <c r="I315"/>
      <c r="J315"/>
      <c r="K315"/>
    </row>
    <row r="316" spans="1:11" ht="12.75" x14ac:dyDescent="0.2">
      <c r="A316"/>
      <c r="B316"/>
      <c r="C316"/>
      <c r="D316"/>
      <c r="E316"/>
      <c r="F316"/>
      <c r="G316"/>
      <c r="H316"/>
      <c r="I316"/>
      <c r="J316"/>
      <c r="K316"/>
    </row>
    <row r="317" spans="1:11" ht="12.75" x14ac:dyDescent="0.2">
      <c r="A317"/>
      <c r="B317"/>
      <c r="C317"/>
      <c r="D317"/>
      <c r="E317"/>
      <c r="F317"/>
      <c r="G317"/>
      <c r="H317"/>
      <c r="I317"/>
      <c r="J317"/>
      <c r="K317"/>
    </row>
    <row r="318" spans="1:11" ht="12.75" x14ac:dyDescent="0.2">
      <c r="A318"/>
      <c r="B318"/>
      <c r="C318"/>
      <c r="D318"/>
      <c r="E318"/>
      <c r="F318"/>
      <c r="G318"/>
      <c r="H318"/>
      <c r="I318"/>
      <c r="J318"/>
      <c r="K318"/>
    </row>
    <row r="319" spans="1:11" ht="12.75" x14ac:dyDescent="0.2">
      <c r="A319"/>
      <c r="B319"/>
      <c r="C319"/>
      <c r="D319"/>
      <c r="E319"/>
      <c r="F319"/>
      <c r="G319"/>
      <c r="H319"/>
      <c r="I319"/>
      <c r="J319"/>
      <c r="K319"/>
    </row>
    <row r="320" spans="1:11" ht="12.75" x14ac:dyDescent="0.2">
      <c r="A320"/>
      <c r="B320"/>
      <c r="C320"/>
      <c r="D320"/>
      <c r="E320"/>
      <c r="F320"/>
      <c r="G320"/>
      <c r="H320"/>
      <c r="I320"/>
      <c r="J320"/>
      <c r="K320"/>
    </row>
    <row r="321" spans="1:11" ht="12.75" x14ac:dyDescent="0.2">
      <c r="A321"/>
      <c r="B321"/>
      <c r="C321"/>
      <c r="D321"/>
      <c r="E321"/>
      <c r="F321"/>
      <c r="G321"/>
      <c r="H321"/>
      <c r="I321"/>
      <c r="J321"/>
      <c r="K321"/>
    </row>
    <row r="322" spans="1:11" ht="12.75" x14ac:dyDescent="0.2">
      <c r="A322"/>
      <c r="B322"/>
      <c r="C322"/>
      <c r="D322"/>
      <c r="E322"/>
      <c r="F322"/>
      <c r="G322"/>
      <c r="H322"/>
      <c r="I322"/>
      <c r="J322"/>
      <c r="K322"/>
    </row>
    <row r="323" spans="1:11" ht="12.75" x14ac:dyDescent="0.2">
      <c r="A323"/>
      <c r="B323"/>
      <c r="C323"/>
      <c r="D323"/>
      <c r="E323"/>
      <c r="F323"/>
      <c r="G323"/>
      <c r="H323"/>
      <c r="I323"/>
      <c r="J323"/>
      <c r="K323"/>
    </row>
    <row r="324" spans="1:11" ht="12.75" x14ac:dyDescent="0.2">
      <c r="A324"/>
      <c r="B324"/>
      <c r="C324"/>
      <c r="D324"/>
      <c r="E324"/>
      <c r="F324"/>
      <c r="G324"/>
      <c r="H324"/>
      <c r="I324"/>
      <c r="J324"/>
      <c r="K324"/>
    </row>
    <row r="325" spans="1:11" ht="12.75" x14ac:dyDescent="0.2">
      <c r="A325"/>
      <c r="B325"/>
      <c r="C325"/>
      <c r="D325"/>
      <c r="E325"/>
      <c r="F325"/>
      <c r="G325"/>
      <c r="H325"/>
      <c r="I325"/>
      <c r="J325"/>
      <c r="K325"/>
    </row>
    <row r="326" spans="1:11" ht="12.75" x14ac:dyDescent="0.2">
      <c r="A326"/>
      <c r="B326"/>
      <c r="C326"/>
      <c r="D326"/>
      <c r="E326"/>
      <c r="F326"/>
      <c r="G326"/>
      <c r="H326"/>
      <c r="I326"/>
      <c r="J326"/>
      <c r="K326"/>
    </row>
    <row r="327" spans="1:11" ht="12.75" x14ac:dyDescent="0.2">
      <c r="A327"/>
      <c r="B327"/>
      <c r="C327"/>
      <c r="D327"/>
      <c r="E327"/>
      <c r="F327"/>
      <c r="G327"/>
      <c r="H327"/>
      <c r="I327"/>
      <c r="J327"/>
      <c r="K327"/>
    </row>
    <row r="328" spans="1:11" ht="12.75" x14ac:dyDescent="0.2">
      <c r="A328"/>
      <c r="B328"/>
      <c r="C328"/>
      <c r="D328"/>
      <c r="E328"/>
      <c r="F328"/>
      <c r="G328"/>
      <c r="H328"/>
      <c r="I328"/>
      <c r="J328"/>
      <c r="K328"/>
    </row>
    <row r="329" spans="1:11" ht="12.75" x14ac:dyDescent="0.2">
      <c r="A329"/>
      <c r="B329"/>
      <c r="C329"/>
      <c r="D329"/>
      <c r="E329"/>
      <c r="F329"/>
      <c r="G329"/>
      <c r="H329"/>
      <c r="I329"/>
      <c r="J329"/>
      <c r="K329"/>
    </row>
    <row r="330" spans="1:11" ht="12.75" x14ac:dyDescent="0.2">
      <c r="A330"/>
      <c r="B330"/>
      <c r="C330"/>
      <c r="D330"/>
      <c r="E330"/>
      <c r="F330"/>
      <c r="G330"/>
      <c r="H330"/>
      <c r="I330"/>
      <c r="J330"/>
      <c r="K330"/>
    </row>
    <row r="331" spans="1:11" ht="12.75" x14ac:dyDescent="0.2">
      <c r="A331"/>
      <c r="B331"/>
      <c r="C331"/>
      <c r="D331"/>
      <c r="E331"/>
      <c r="F331"/>
      <c r="G331"/>
      <c r="H331"/>
      <c r="I331"/>
      <c r="J331"/>
      <c r="K331"/>
    </row>
    <row r="332" spans="1:11" ht="12.75" x14ac:dyDescent="0.2">
      <c r="A332"/>
      <c r="B332"/>
      <c r="C332"/>
      <c r="D332"/>
      <c r="E332"/>
      <c r="F332"/>
      <c r="G332"/>
      <c r="H332"/>
      <c r="I332"/>
      <c r="J332"/>
      <c r="K332"/>
    </row>
    <row r="333" spans="1:11" ht="12.75" x14ac:dyDescent="0.2">
      <c r="A333"/>
      <c r="B333"/>
      <c r="C333"/>
      <c r="D333"/>
      <c r="E333"/>
      <c r="F333"/>
      <c r="G333"/>
      <c r="H333"/>
      <c r="I333"/>
      <c r="J333"/>
      <c r="K333"/>
    </row>
    <row r="334" spans="1:11" ht="12.75" x14ac:dyDescent="0.2">
      <c r="A334"/>
      <c r="B334"/>
      <c r="C334"/>
      <c r="D334"/>
      <c r="E334"/>
      <c r="F334"/>
      <c r="G334"/>
      <c r="H334"/>
      <c r="I334"/>
      <c r="J334"/>
      <c r="K334"/>
    </row>
    <row r="335" spans="1:11" ht="12.75" x14ac:dyDescent="0.2">
      <c r="A335"/>
      <c r="B335"/>
      <c r="C335"/>
      <c r="D335"/>
      <c r="E335"/>
      <c r="F335"/>
      <c r="G335"/>
      <c r="H335"/>
      <c r="I335"/>
      <c r="J335"/>
      <c r="K335"/>
    </row>
    <row r="336" spans="1:11" ht="12.75" x14ac:dyDescent="0.2">
      <c r="A336"/>
      <c r="B336"/>
      <c r="C336"/>
      <c r="D336"/>
      <c r="E336"/>
      <c r="F336"/>
      <c r="G336"/>
      <c r="H336"/>
      <c r="I336"/>
      <c r="J336"/>
      <c r="K336"/>
    </row>
    <row r="337" spans="1:11" ht="12.75" x14ac:dyDescent="0.2">
      <c r="A337"/>
      <c r="B337"/>
      <c r="C337"/>
      <c r="D337"/>
      <c r="E337"/>
      <c r="F337"/>
      <c r="G337"/>
      <c r="H337"/>
      <c r="I337"/>
      <c r="J337"/>
      <c r="K337"/>
    </row>
    <row r="338" spans="1:11" ht="12.75" x14ac:dyDescent="0.2">
      <c r="A338"/>
      <c r="B338"/>
      <c r="C338"/>
      <c r="D338"/>
      <c r="E338"/>
      <c r="F338"/>
      <c r="G338"/>
      <c r="H338"/>
      <c r="I338"/>
      <c r="J338"/>
      <c r="K338"/>
    </row>
    <row r="339" spans="1:11" ht="12.75" x14ac:dyDescent="0.2">
      <c r="A339"/>
      <c r="B339"/>
      <c r="C339"/>
      <c r="D339"/>
      <c r="E339"/>
      <c r="F339"/>
      <c r="G339"/>
      <c r="H339"/>
      <c r="I339"/>
      <c r="J339"/>
      <c r="K339"/>
    </row>
    <row r="340" spans="1:11" ht="12.75" x14ac:dyDescent="0.2">
      <c r="A340"/>
      <c r="B340"/>
      <c r="C340"/>
      <c r="D340"/>
      <c r="E340"/>
      <c r="F340"/>
      <c r="G340"/>
      <c r="H340"/>
      <c r="I340"/>
      <c r="J340"/>
      <c r="K340"/>
    </row>
    <row r="341" spans="1:11" ht="12.75" x14ac:dyDescent="0.2">
      <c r="A341"/>
      <c r="B341"/>
      <c r="C341"/>
      <c r="D341"/>
      <c r="E341"/>
      <c r="F341"/>
      <c r="G341"/>
      <c r="H341"/>
      <c r="I341"/>
      <c r="J341"/>
      <c r="K341"/>
    </row>
    <row r="342" spans="1:11" ht="12.75" x14ac:dyDescent="0.2">
      <c r="A342"/>
      <c r="B342"/>
      <c r="C342"/>
      <c r="D342"/>
      <c r="E342"/>
      <c r="F342"/>
      <c r="G342"/>
      <c r="H342"/>
      <c r="I342"/>
      <c r="J342"/>
      <c r="K342"/>
    </row>
    <row r="343" spans="1:11" ht="12.75" x14ac:dyDescent="0.2">
      <c r="A343"/>
      <c r="B343"/>
      <c r="C343"/>
      <c r="D343"/>
      <c r="E343"/>
      <c r="F343"/>
      <c r="G343"/>
      <c r="H343"/>
      <c r="I343"/>
      <c r="J343"/>
      <c r="K343"/>
    </row>
    <row r="344" spans="1:11" ht="12.75" x14ac:dyDescent="0.2">
      <c r="A344"/>
      <c r="B344"/>
      <c r="C344"/>
      <c r="D344"/>
      <c r="E344"/>
      <c r="F344"/>
      <c r="G344"/>
      <c r="H344"/>
      <c r="I344"/>
      <c r="J344"/>
      <c r="K344"/>
    </row>
    <row r="345" spans="1:11" ht="12.75" x14ac:dyDescent="0.2">
      <c r="A345"/>
      <c r="B345"/>
      <c r="C345"/>
      <c r="D345"/>
      <c r="E345"/>
      <c r="F345"/>
      <c r="G345"/>
      <c r="H345"/>
      <c r="I345"/>
      <c r="J345"/>
      <c r="K345"/>
    </row>
    <row r="346" spans="1:11" ht="12.75" x14ac:dyDescent="0.2">
      <c r="A346"/>
      <c r="B346"/>
      <c r="C346"/>
      <c r="D346"/>
      <c r="E346"/>
      <c r="F346"/>
      <c r="G346"/>
      <c r="H346"/>
      <c r="I346"/>
      <c r="J346"/>
      <c r="K346"/>
    </row>
    <row r="347" spans="1:11" ht="12.75" x14ac:dyDescent="0.2">
      <c r="A347"/>
      <c r="B347"/>
      <c r="C347"/>
      <c r="D347"/>
      <c r="E347"/>
      <c r="F347"/>
      <c r="G347"/>
      <c r="H347"/>
      <c r="I347"/>
      <c r="J347"/>
      <c r="K347"/>
    </row>
    <row r="348" spans="1:11" ht="12.75" x14ac:dyDescent="0.2">
      <c r="A348"/>
      <c r="B348"/>
      <c r="C348"/>
      <c r="D348"/>
      <c r="E348"/>
      <c r="F348"/>
      <c r="G348"/>
      <c r="H348"/>
      <c r="I348"/>
      <c r="J348"/>
      <c r="K348"/>
    </row>
    <row r="349" spans="1:11" ht="12.75" x14ac:dyDescent="0.2">
      <c r="A349"/>
      <c r="B349"/>
      <c r="C349"/>
      <c r="D349"/>
      <c r="E349"/>
      <c r="F349"/>
      <c r="G349"/>
      <c r="H349"/>
      <c r="I349"/>
      <c r="J349"/>
      <c r="K349"/>
    </row>
    <row r="350" spans="1:11" ht="12.75" x14ac:dyDescent="0.2">
      <c r="A350"/>
      <c r="B350"/>
      <c r="C350"/>
      <c r="D350"/>
      <c r="E350"/>
      <c r="F350"/>
      <c r="G350"/>
      <c r="H350"/>
      <c r="I350"/>
      <c r="J350"/>
      <c r="K350"/>
    </row>
    <row r="351" spans="1:11" ht="12.75" x14ac:dyDescent="0.2">
      <c r="A351"/>
      <c r="B351"/>
      <c r="C351"/>
      <c r="D351"/>
      <c r="E351"/>
      <c r="F351"/>
      <c r="G351"/>
      <c r="H351"/>
      <c r="I351"/>
      <c r="J351"/>
      <c r="K351"/>
    </row>
    <row r="352" spans="1:11" ht="12.75" x14ac:dyDescent="0.2">
      <c r="A352"/>
      <c r="B352"/>
      <c r="C352"/>
      <c r="D352"/>
      <c r="E352"/>
      <c r="F352"/>
      <c r="G352"/>
      <c r="H352"/>
      <c r="I352"/>
      <c r="J352"/>
      <c r="K352"/>
    </row>
    <row r="353" spans="1:11" ht="12.75" x14ac:dyDescent="0.2">
      <c r="A353"/>
      <c r="B353"/>
      <c r="C353"/>
      <c r="D353"/>
      <c r="E353"/>
      <c r="F353"/>
      <c r="G353"/>
      <c r="H353"/>
      <c r="I353"/>
      <c r="J353"/>
      <c r="K353"/>
    </row>
    <row r="354" spans="1:11" ht="12.75" x14ac:dyDescent="0.2">
      <c r="A354"/>
      <c r="B354"/>
      <c r="C354"/>
      <c r="D354"/>
      <c r="E354"/>
      <c r="F354"/>
      <c r="G354"/>
      <c r="H354"/>
      <c r="I354"/>
      <c r="J354"/>
      <c r="K354"/>
    </row>
    <row r="355" spans="1:11" ht="12.75" x14ac:dyDescent="0.2">
      <c r="A355"/>
      <c r="B355"/>
      <c r="C355"/>
      <c r="D355"/>
      <c r="E355"/>
      <c r="F355"/>
      <c r="G355"/>
      <c r="H355"/>
      <c r="I355"/>
      <c r="J355"/>
      <c r="K355"/>
    </row>
    <row r="356" spans="1:11" ht="12.75" x14ac:dyDescent="0.2">
      <c r="A356"/>
      <c r="B356"/>
      <c r="C356"/>
      <c r="D356"/>
      <c r="E356"/>
      <c r="F356"/>
      <c r="G356"/>
      <c r="H356"/>
      <c r="I356"/>
      <c r="J356"/>
      <c r="K356"/>
    </row>
    <row r="357" spans="1:11" ht="12.75" x14ac:dyDescent="0.2">
      <c r="A357"/>
      <c r="B357"/>
      <c r="C357"/>
      <c r="D357"/>
      <c r="E357"/>
      <c r="F357"/>
      <c r="G357"/>
      <c r="H357"/>
      <c r="I357"/>
      <c r="J357"/>
      <c r="K357"/>
    </row>
    <row r="358" spans="1:11" ht="12.75" x14ac:dyDescent="0.2">
      <c r="A358"/>
      <c r="B358"/>
      <c r="C358"/>
      <c r="D358"/>
      <c r="E358"/>
      <c r="F358"/>
      <c r="G358"/>
      <c r="H358"/>
      <c r="I358"/>
      <c r="J358"/>
      <c r="K358"/>
    </row>
    <row r="359" spans="1:11" ht="12.75" x14ac:dyDescent="0.2">
      <c r="A359"/>
      <c r="B359"/>
      <c r="C359"/>
      <c r="D359"/>
      <c r="E359"/>
      <c r="F359"/>
      <c r="G359"/>
      <c r="H359"/>
      <c r="I359"/>
      <c r="J359"/>
      <c r="K359"/>
    </row>
    <row r="360" spans="1:11" ht="12.75" x14ac:dyDescent="0.2">
      <c r="A360"/>
      <c r="B360"/>
      <c r="C360"/>
      <c r="D360"/>
      <c r="E360"/>
      <c r="F360"/>
      <c r="G360"/>
      <c r="H360"/>
      <c r="I360"/>
      <c r="J360"/>
      <c r="K360"/>
    </row>
    <row r="361" spans="1:11" ht="12.75" x14ac:dyDescent="0.2">
      <c r="A361"/>
      <c r="B361"/>
      <c r="C361"/>
      <c r="D361"/>
      <c r="E361"/>
      <c r="F361"/>
      <c r="G361"/>
      <c r="H361"/>
      <c r="I361"/>
      <c r="J361"/>
      <c r="K361"/>
    </row>
    <row r="362" spans="1:11" ht="12.75" x14ac:dyDescent="0.2">
      <c r="A362"/>
      <c r="B362"/>
      <c r="C362"/>
      <c r="D362"/>
      <c r="E362"/>
      <c r="F362"/>
      <c r="G362"/>
      <c r="H362"/>
      <c r="I362"/>
      <c r="J362"/>
      <c r="K362"/>
    </row>
    <row r="363" spans="1:11" ht="12.75" x14ac:dyDescent="0.2">
      <c r="A363"/>
      <c r="B363"/>
      <c r="C363"/>
      <c r="D363"/>
      <c r="E363"/>
      <c r="F363"/>
      <c r="G363"/>
      <c r="H363"/>
      <c r="I363"/>
      <c r="J363"/>
      <c r="K363"/>
    </row>
    <row r="364" spans="1:11" ht="12.75" x14ac:dyDescent="0.2">
      <c r="A364"/>
      <c r="B364"/>
      <c r="C364"/>
      <c r="D364"/>
      <c r="E364"/>
      <c r="F364"/>
      <c r="G364"/>
      <c r="H364"/>
      <c r="I364"/>
      <c r="J364"/>
      <c r="K364"/>
    </row>
    <row r="365" spans="1:11" ht="12.75" x14ac:dyDescent="0.2">
      <c r="A365"/>
      <c r="B365"/>
      <c r="C365"/>
      <c r="D365"/>
      <c r="E365"/>
      <c r="F365"/>
      <c r="G365"/>
      <c r="H365"/>
      <c r="I365"/>
      <c r="J365"/>
      <c r="K365"/>
    </row>
    <row r="366" spans="1:11" ht="12.75" x14ac:dyDescent="0.2">
      <c r="A366"/>
      <c r="B366"/>
      <c r="C366"/>
      <c r="D366"/>
      <c r="E366"/>
      <c r="F366"/>
      <c r="G366"/>
      <c r="H366"/>
      <c r="I366"/>
      <c r="J366"/>
      <c r="K366"/>
    </row>
    <row r="367" spans="1:11" ht="12.75" x14ac:dyDescent="0.2">
      <c r="A367"/>
      <c r="B367"/>
      <c r="C367"/>
      <c r="D367"/>
      <c r="E367"/>
      <c r="F367"/>
      <c r="G367"/>
      <c r="H367"/>
      <c r="I367"/>
      <c r="J367"/>
      <c r="K367"/>
    </row>
    <row r="368" spans="1:11" ht="12.75" x14ac:dyDescent="0.2">
      <c r="A368"/>
      <c r="B368"/>
      <c r="C368"/>
      <c r="D368"/>
      <c r="E368"/>
      <c r="F368"/>
      <c r="G368"/>
      <c r="H368"/>
      <c r="I368"/>
      <c r="J368"/>
      <c r="K368"/>
    </row>
    <row r="369" spans="1:11" ht="12.75" x14ac:dyDescent="0.2">
      <c r="A369"/>
      <c r="B369"/>
      <c r="C369"/>
      <c r="D369"/>
      <c r="E369"/>
      <c r="F369"/>
      <c r="G369"/>
      <c r="H369"/>
      <c r="I369"/>
      <c r="J369"/>
      <c r="K369"/>
    </row>
    <row r="370" spans="1:11" ht="12.75" x14ac:dyDescent="0.2">
      <c r="A370"/>
      <c r="B370"/>
      <c r="C370"/>
      <c r="D370"/>
      <c r="E370"/>
      <c r="F370"/>
      <c r="G370"/>
      <c r="H370"/>
      <c r="I370"/>
      <c r="J370"/>
      <c r="K370"/>
    </row>
    <row r="371" spans="1:11" ht="12.75" x14ac:dyDescent="0.2">
      <c r="A371"/>
      <c r="B371"/>
      <c r="C371"/>
      <c r="D371"/>
      <c r="E371"/>
      <c r="F371"/>
      <c r="G371"/>
      <c r="H371"/>
      <c r="I371"/>
      <c r="J371"/>
      <c r="K371"/>
    </row>
    <row r="372" spans="1:11" ht="12.75" x14ac:dyDescent="0.2">
      <c r="A372"/>
      <c r="B372"/>
      <c r="C372"/>
      <c r="D372"/>
      <c r="E372"/>
      <c r="F372"/>
      <c r="G372"/>
      <c r="H372"/>
      <c r="I372"/>
      <c r="J372"/>
      <c r="K372"/>
    </row>
    <row r="373" spans="1:11" ht="12.75" x14ac:dyDescent="0.2">
      <c r="A373"/>
      <c r="B373"/>
      <c r="C373"/>
      <c r="D373"/>
      <c r="E373"/>
      <c r="F373"/>
      <c r="G373"/>
      <c r="H373"/>
      <c r="I373"/>
      <c r="J373"/>
      <c r="K373"/>
    </row>
    <row r="374" spans="1:11" ht="12.75" x14ac:dyDescent="0.2">
      <c r="A374"/>
      <c r="B374"/>
      <c r="C374"/>
      <c r="D374"/>
      <c r="E374"/>
      <c r="F374"/>
      <c r="G374"/>
      <c r="H374"/>
      <c r="I374"/>
      <c r="J374"/>
      <c r="K374"/>
    </row>
    <row r="375" spans="1:11" ht="12.75" x14ac:dyDescent="0.2">
      <c r="A375"/>
      <c r="B375"/>
      <c r="C375"/>
      <c r="D375"/>
      <c r="E375"/>
      <c r="F375"/>
      <c r="G375"/>
      <c r="H375"/>
      <c r="I375"/>
      <c r="J375"/>
      <c r="K375"/>
    </row>
    <row r="376" spans="1:11" ht="12.75" x14ac:dyDescent="0.2">
      <c r="A376"/>
      <c r="B376"/>
      <c r="C376"/>
      <c r="D376"/>
      <c r="E376"/>
      <c r="F376"/>
      <c r="G376"/>
      <c r="H376"/>
      <c r="I376"/>
      <c r="J376"/>
      <c r="K376"/>
    </row>
    <row r="377" spans="1:11" ht="12.75" x14ac:dyDescent="0.2">
      <c r="A377"/>
      <c r="B377"/>
      <c r="C377"/>
      <c r="D377"/>
      <c r="E377"/>
      <c r="F377"/>
      <c r="G377"/>
      <c r="H377"/>
      <c r="I377"/>
      <c r="J377"/>
      <c r="K377"/>
    </row>
    <row r="378" spans="1:11" ht="12.75" x14ac:dyDescent="0.2">
      <c r="A378"/>
      <c r="B378"/>
      <c r="C378"/>
      <c r="D378"/>
      <c r="E378"/>
      <c r="F378"/>
      <c r="G378"/>
      <c r="H378"/>
      <c r="I378"/>
      <c r="J378"/>
      <c r="K378"/>
    </row>
    <row r="379" spans="1:11" ht="12.75" x14ac:dyDescent="0.2">
      <c r="A379"/>
      <c r="B379"/>
      <c r="C379"/>
      <c r="D379"/>
      <c r="E379"/>
      <c r="F379"/>
      <c r="G379"/>
      <c r="H379"/>
      <c r="I379"/>
      <c r="J379"/>
      <c r="K379"/>
    </row>
    <row r="380" spans="1:11" ht="12.75" x14ac:dyDescent="0.2">
      <c r="A380"/>
      <c r="B380"/>
      <c r="C380"/>
      <c r="D380"/>
      <c r="E380"/>
      <c r="F380"/>
      <c r="G380"/>
      <c r="H380"/>
      <c r="I380"/>
      <c r="J380"/>
      <c r="K380"/>
    </row>
    <row r="381" spans="1:11" ht="12.75" x14ac:dyDescent="0.2">
      <c r="A381"/>
      <c r="B381"/>
      <c r="C381"/>
      <c r="D381"/>
      <c r="E381"/>
      <c r="F381"/>
      <c r="G381"/>
      <c r="H381"/>
      <c r="I381"/>
      <c r="J381"/>
      <c r="K381"/>
    </row>
    <row r="382" spans="1:11" ht="12.75" x14ac:dyDescent="0.2">
      <c r="A382"/>
      <c r="B382"/>
      <c r="C382"/>
      <c r="D382"/>
      <c r="E382"/>
      <c r="F382"/>
      <c r="G382"/>
      <c r="H382"/>
      <c r="I382"/>
      <c r="J382"/>
      <c r="K382"/>
    </row>
    <row r="383" spans="1:11" ht="12.75" x14ac:dyDescent="0.2">
      <c r="A383"/>
      <c r="B383"/>
      <c r="C383"/>
      <c r="D383"/>
      <c r="E383"/>
      <c r="F383"/>
      <c r="G383"/>
      <c r="H383"/>
      <c r="I383"/>
      <c r="J383"/>
      <c r="K383"/>
    </row>
    <row r="384" spans="1:11" ht="12.75" x14ac:dyDescent="0.2">
      <c r="A384"/>
      <c r="B384"/>
      <c r="C384"/>
      <c r="D384"/>
      <c r="E384"/>
      <c r="F384"/>
      <c r="G384"/>
      <c r="H384"/>
      <c r="I384"/>
      <c r="J384"/>
      <c r="K384"/>
    </row>
    <row r="385" spans="1:11" ht="12.75" x14ac:dyDescent="0.2">
      <c r="A385"/>
      <c r="B385"/>
      <c r="C385"/>
      <c r="D385"/>
      <c r="E385"/>
      <c r="F385"/>
      <c r="G385"/>
      <c r="H385"/>
      <c r="I385"/>
      <c r="J385"/>
      <c r="K385"/>
    </row>
    <row r="386" spans="1:11" ht="12.75" x14ac:dyDescent="0.2">
      <c r="A386"/>
      <c r="B386"/>
      <c r="C386"/>
      <c r="D386"/>
      <c r="E386"/>
      <c r="F386"/>
      <c r="G386"/>
      <c r="H386"/>
      <c r="I386"/>
      <c r="J386"/>
      <c r="K386"/>
    </row>
    <row r="387" spans="1:11" ht="12.75" x14ac:dyDescent="0.2">
      <c r="A387"/>
      <c r="B387"/>
      <c r="C387"/>
      <c r="D387"/>
      <c r="E387"/>
      <c r="F387"/>
      <c r="G387"/>
      <c r="H387"/>
      <c r="I387"/>
      <c r="J387"/>
      <c r="K387"/>
    </row>
    <row r="388" spans="1:11" ht="12.75" x14ac:dyDescent="0.2">
      <c r="A388"/>
      <c r="B388"/>
      <c r="C388"/>
      <c r="D388"/>
      <c r="E388"/>
      <c r="F388"/>
      <c r="G388"/>
      <c r="H388"/>
      <c r="I388"/>
      <c r="J388"/>
      <c r="K388"/>
    </row>
    <row r="389" spans="1:11" ht="12.75" x14ac:dyDescent="0.2">
      <c r="A389"/>
      <c r="B389"/>
      <c r="C389"/>
      <c r="D389"/>
      <c r="E389"/>
      <c r="F389"/>
      <c r="G389"/>
      <c r="H389"/>
      <c r="I389"/>
      <c r="J389"/>
      <c r="K389"/>
    </row>
    <row r="390" spans="1:11" ht="12.75" x14ac:dyDescent="0.2">
      <c r="A390"/>
      <c r="B390"/>
      <c r="C390"/>
      <c r="D390"/>
      <c r="E390"/>
      <c r="F390"/>
      <c r="G390"/>
      <c r="H390"/>
      <c r="I390"/>
      <c r="J390"/>
      <c r="K390"/>
    </row>
    <row r="391" spans="1:11" ht="12.75" x14ac:dyDescent="0.2">
      <c r="A391"/>
      <c r="B391"/>
      <c r="C391"/>
      <c r="D391"/>
      <c r="E391"/>
      <c r="F391"/>
      <c r="G391"/>
      <c r="H391"/>
      <c r="I391"/>
      <c r="J391"/>
      <c r="K391"/>
    </row>
    <row r="392" spans="1:11" ht="12.75" x14ac:dyDescent="0.2">
      <c r="A392"/>
      <c r="B392"/>
      <c r="C392"/>
      <c r="D392"/>
      <c r="E392"/>
      <c r="F392"/>
      <c r="G392"/>
      <c r="H392"/>
      <c r="I392"/>
      <c r="J392"/>
      <c r="K392"/>
    </row>
    <row r="393" spans="1:11" ht="12.75" x14ac:dyDescent="0.2">
      <c r="A393"/>
      <c r="B393"/>
      <c r="C393"/>
      <c r="D393"/>
      <c r="E393"/>
      <c r="F393"/>
      <c r="G393"/>
      <c r="H393"/>
      <c r="I393"/>
      <c r="J393"/>
      <c r="K393"/>
    </row>
    <row r="394" spans="1:11" ht="12.75" x14ac:dyDescent="0.2">
      <c r="A394"/>
      <c r="B394"/>
      <c r="C394"/>
      <c r="D394"/>
      <c r="E394"/>
      <c r="F394"/>
      <c r="G394"/>
      <c r="H394"/>
      <c r="I394"/>
      <c r="J394"/>
      <c r="K394"/>
    </row>
    <row r="395" spans="1:11" ht="12.75" x14ac:dyDescent="0.2">
      <c r="A395"/>
      <c r="B395"/>
      <c r="C395"/>
      <c r="D395"/>
      <c r="E395"/>
      <c r="F395"/>
      <c r="G395"/>
      <c r="H395"/>
      <c r="I395"/>
      <c r="J395"/>
      <c r="K395"/>
    </row>
    <row r="396" spans="1:11" ht="12.75" x14ac:dyDescent="0.2">
      <c r="A396"/>
      <c r="B396"/>
      <c r="C396"/>
      <c r="D396"/>
      <c r="E396"/>
      <c r="F396"/>
      <c r="G396"/>
      <c r="H396"/>
      <c r="I396"/>
      <c r="J396"/>
      <c r="K396"/>
    </row>
    <row r="397" spans="1:11" ht="12.75" x14ac:dyDescent="0.2">
      <c r="A397"/>
      <c r="B397"/>
      <c r="C397"/>
      <c r="D397"/>
      <c r="E397"/>
      <c r="F397"/>
      <c r="G397"/>
      <c r="H397"/>
      <c r="I397"/>
      <c r="J397"/>
      <c r="K397"/>
    </row>
    <row r="398" spans="1:11" ht="12.75" x14ac:dyDescent="0.2">
      <c r="A398"/>
      <c r="B398"/>
      <c r="C398"/>
      <c r="D398"/>
      <c r="E398"/>
      <c r="F398"/>
      <c r="G398"/>
      <c r="H398"/>
      <c r="I398"/>
      <c r="J398"/>
      <c r="K398"/>
    </row>
    <row r="399" spans="1:11" ht="12.75" x14ac:dyDescent="0.2">
      <c r="A399"/>
      <c r="B399"/>
      <c r="C399"/>
      <c r="D399"/>
      <c r="E399"/>
      <c r="F399"/>
      <c r="G399"/>
      <c r="H399"/>
      <c r="I399"/>
      <c r="J399"/>
      <c r="K399"/>
    </row>
    <row r="400" spans="1:11" ht="12.75" x14ac:dyDescent="0.2">
      <c r="A400"/>
      <c r="B400"/>
      <c r="C400"/>
      <c r="D400"/>
      <c r="E400"/>
      <c r="F400"/>
      <c r="G400"/>
      <c r="H400"/>
      <c r="I400"/>
      <c r="J400"/>
      <c r="K400"/>
    </row>
    <row r="401" spans="1:11" ht="12.75" x14ac:dyDescent="0.2">
      <c r="A401"/>
      <c r="B401"/>
      <c r="C401"/>
      <c r="D401"/>
      <c r="E401"/>
      <c r="F401"/>
      <c r="G401"/>
      <c r="H401"/>
      <c r="I401"/>
      <c r="J401"/>
      <c r="K401"/>
    </row>
    <row r="402" spans="1:11" ht="12.75" x14ac:dyDescent="0.2">
      <c r="A402"/>
      <c r="B402"/>
      <c r="C402"/>
      <c r="D402"/>
      <c r="E402"/>
      <c r="F402"/>
      <c r="G402"/>
      <c r="H402"/>
      <c r="I402"/>
      <c r="J402"/>
      <c r="K402"/>
    </row>
    <row r="403" spans="1:11" ht="12.75" x14ac:dyDescent="0.2">
      <c r="A403"/>
      <c r="B403"/>
      <c r="C403"/>
      <c r="D403"/>
      <c r="E403"/>
      <c r="F403"/>
      <c r="G403"/>
      <c r="H403"/>
      <c r="I403"/>
      <c r="J403"/>
      <c r="K403"/>
    </row>
    <row r="404" spans="1:11" ht="12.75" x14ac:dyDescent="0.2">
      <c r="A404"/>
      <c r="B404"/>
      <c r="C404"/>
      <c r="D404"/>
      <c r="E404"/>
      <c r="F404"/>
      <c r="G404"/>
      <c r="H404"/>
      <c r="I404"/>
      <c r="J404"/>
      <c r="K404"/>
    </row>
    <row r="405" spans="1:11" ht="12.75" x14ac:dyDescent="0.2">
      <c r="A405"/>
      <c r="B405"/>
      <c r="C405"/>
      <c r="D405"/>
      <c r="E405"/>
      <c r="F405"/>
      <c r="G405"/>
      <c r="H405"/>
      <c r="I405"/>
      <c r="J405"/>
      <c r="K405"/>
    </row>
    <row r="406" spans="1:11" ht="12.75" x14ac:dyDescent="0.2">
      <c r="A406"/>
      <c r="B406"/>
      <c r="C406"/>
      <c r="D406"/>
      <c r="E406"/>
      <c r="F406"/>
      <c r="G406"/>
      <c r="H406"/>
      <c r="I406"/>
      <c r="J406"/>
      <c r="K406"/>
    </row>
    <row r="407" spans="1:11" ht="12.75" x14ac:dyDescent="0.2">
      <c r="A407"/>
      <c r="B407"/>
      <c r="C407"/>
      <c r="D407"/>
      <c r="E407"/>
      <c r="F407"/>
      <c r="G407"/>
      <c r="H407"/>
      <c r="I407"/>
      <c r="J407"/>
      <c r="K407"/>
    </row>
    <row r="408" spans="1:11" ht="12.75" x14ac:dyDescent="0.2">
      <c r="A408"/>
      <c r="B408"/>
      <c r="C408"/>
      <c r="D408"/>
      <c r="E408"/>
      <c r="F408"/>
      <c r="G408"/>
      <c r="H408"/>
      <c r="I408"/>
      <c r="J408"/>
      <c r="K408"/>
    </row>
    <row r="409" spans="1:11" ht="12.75" x14ac:dyDescent="0.2">
      <c r="A409"/>
      <c r="B409"/>
      <c r="C409"/>
      <c r="D409"/>
      <c r="E409"/>
      <c r="F409"/>
      <c r="G409"/>
      <c r="H409"/>
      <c r="I409"/>
      <c r="J409"/>
      <c r="K409"/>
    </row>
    <row r="410" spans="1:11" ht="12.75" x14ac:dyDescent="0.2">
      <c r="A410"/>
      <c r="B410"/>
      <c r="C410"/>
      <c r="D410"/>
      <c r="E410"/>
      <c r="F410"/>
      <c r="G410"/>
      <c r="H410"/>
      <c r="I410"/>
      <c r="J410"/>
      <c r="K410"/>
    </row>
    <row r="411" spans="1:11" ht="12.75" x14ac:dyDescent="0.2">
      <c r="A411"/>
      <c r="B411"/>
      <c r="C411"/>
      <c r="D411"/>
      <c r="E411"/>
      <c r="F411"/>
      <c r="G411"/>
      <c r="H411"/>
      <c r="I411"/>
      <c r="J411"/>
      <c r="K411"/>
    </row>
    <row r="412" spans="1:11" ht="12.75" x14ac:dyDescent="0.2">
      <c r="A412"/>
      <c r="B412"/>
      <c r="C412"/>
      <c r="D412"/>
      <c r="E412"/>
      <c r="F412"/>
      <c r="G412"/>
      <c r="H412"/>
      <c r="I412"/>
      <c r="J412"/>
      <c r="K412"/>
    </row>
    <row r="413" spans="1:11" ht="12.75" x14ac:dyDescent="0.2">
      <c r="A413"/>
      <c r="B413"/>
      <c r="C413"/>
      <c r="D413"/>
      <c r="E413"/>
      <c r="F413"/>
      <c r="G413"/>
      <c r="H413"/>
      <c r="I413"/>
      <c r="J413"/>
      <c r="K413"/>
    </row>
    <row r="414" spans="1:11" ht="12.75" x14ac:dyDescent="0.2">
      <c r="A414"/>
      <c r="B414"/>
      <c r="C414"/>
      <c r="D414"/>
      <c r="E414"/>
      <c r="F414"/>
      <c r="G414"/>
      <c r="H414"/>
      <c r="I414"/>
      <c r="J414"/>
      <c r="K414"/>
    </row>
    <row r="415" spans="1:11" ht="12.75" x14ac:dyDescent="0.2">
      <c r="A415"/>
      <c r="B415"/>
      <c r="C415"/>
      <c r="D415"/>
      <c r="E415"/>
      <c r="F415"/>
      <c r="G415"/>
      <c r="H415"/>
      <c r="I415"/>
      <c r="J415"/>
      <c r="K415"/>
    </row>
    <row r="416" spans="1:11" ht="12.75" x14ac:dyDescent="0.2">
      <c r="A416"/>
      <c r="B416"/>
      <c r="C416"/>
      <c r="D416"/>
      <c r="E416"/>
      <c r="F416"/>
      <c r="G416"/>
      <c r="H416"/>
      <c r="I416"/>
      <c r="J416"/>
      <c r="K416"/>
    </row>
    <row r="417" spans="1:11" ht="12.75" x14ac:dyDescent="0.2">
      <c r="A417"/>
      <c r="B417"/>
      <c r="C417"/>
      <c r="D417"/>
      <c r="E417"/>
      <c r="F417"/>
      <c r="G417"/>
      <c r="H417"/>
      <c r="I417"/>
      <c r="J417"/>
      <c r="K417"/>
    </row>
    <row r="418" spans="1:11" ht="12.75" x14ac:dyDescent="0.2">
      <c r="A418"/>
      <c r="B418"/>
      <c r="C418"/>
      <c r="D418"/>
      <c r="E418"/>
      <c r="F418"/>
      <c r="G418"/>
      <c r="H418"/>
      <c r="I418"/>
      <c r="J418"/>
      <c r="K418"/>
    </row>
    <row r="419" spans="1:11" ht="12.75" x14ac:dyDescent="0.2">
      <c r="A419"/>
      <c r="B419"/>
      <c r="C419"/>
      <c r="D419"/>
      <c r="E419"/>
      <c r="F419"/>
      <c r="G419"/>
      <c r="H419"/>
      <c r="I419"/>
      <c r="J419"/>
      <c r="K419"/>
    </row>
    <row r="420" spans="1:11" ht="12.75" x14ac:dyDescent="0.2">
      <c r="A420"/>
      <c r="B420"/>
      <c r="C420"/>
      <c r="D420"/>
      <c r="E420"/>
      <c r="F420"/>
      <c r="G420"/>
      <c r="H420"/>
      <c r="I420"/>
      <c r="J420"/>
      <c r="K420"/>
    </row>
    <row r="421" spans="1:11" ht="12.75" x14ac:dyDescent="0.2">
      <c r="A421"/>
      <c r="B421"/>
      <c r="C421"/>
      <c r="D421"/>
      <c r="E421"/>
      <c r="F421"/>
      <c r="G421"/>
      <c r="H421"/>
      <c r="I421"/>
      <c r="J421"/>
      <c r="K421"/>
    </row>
    <row r="422" spans="1:11" ht="12.75" x14ac:dyDescent="0.2">
      <c r="A422"/>
      <c r="B422"/>
      <c r="C422"/>
      <c r="D422"/>
      <c r="E422"/>
      <c r="F422"/>
      <c r="G422"/>
      <c r="H422"/>
      <c r="I422"/>
      <c r="J422"/>
      <c r="K422"/>
    </row>
    <row r="423" spans="1:11" ht="12.75" x14ac:dyDescent="0.2">
      <c r="A423"/>
      <c r="B423"/>
      <c r="C423"/>
      <c r="D423"/>
      <c r="E423"/>
      <c r="F423"/>
      <c r="G423"/>
      <c r="H423"/>
      <c r="I423"/>
      <c r="J423"/>
      <c r="K423"/>
    </row>
    <row r="424" spans="1:11" ht="12.75" x14ac:dyDescent="0.2">
      <c r="A424"/>
      <c r="B424"/>
      <c r="C424"/>
      <c r="D424"/>
      <c r="E424"/>
      <c r="F424"/>
      <c r="G424"/>
      <c r="H424"/>
      <c r="I424"/>
      <c r="J424"/>
      <c r="K424"/>
    </row>
    <row r="425" spans="1:11" ht="12.75" x14ac:dyDescent="0.2">
      <c r="A425"/>
      <c r="B425"/>
      <c r="C425"/>
      <c r="D425"/>
      <c r="E425"/>
      <c r="F425"/>
      <c r="G425"/>
      <c r="H425"/>
      <c r="I425"/>
      <c r="J425"/>
      <c r="K425"/>
    </row>
    <row r="426" spans="1:11" ht="12.75" x14ac:dyDescent="0.2">
      <c r="A426"/>
      <c r="B426"/>
      <c r="C426"/>
      <c r="D426"/>
      <c r="E426"/>
      <c r="F426"/>
      <c r="G426"/>
      <c r="H426"/>
      <c r="I426"/>
      <c r="J426"/>
      <c r="K426"/>
    </row>
    <row r="427" spans="1:11" ht="12.75" x14ac:dyDescent="0.2">
      <c r="A427"/>
      <c r="B427"/>
      <c r="C427"/>
      <c r="D427"/>
      <c r="E427"/>
      <c r="F427"/>
      <c r="G427"/>
      <c r="H427"/>
      <c r="I427"/>
      <c r="J427"/>
      <c r="K427"/>
    </row>
    <row r="428" spans="1:11" ht="12.75" x14ac:dyDescent="0.2">
      <c r="A428"/>
      <c r="B428"/>
      <c r="C428"/>
      <c r="D428"/>
      <c r="E428"/>
      <c r="F428"/>
      <c r="G428"/>
      <c r="H428"/>
      <c r="I428"/>
      <c r="J428"/>
      <c r="K428"/>
    </row>
    <row r="429" spans="1:11" ht="12.75" x14ac:dyDescent="0.2">
      <c r="A429"/>
      <c r="B429"/>
      <c r="C429"/>
      <c r="D429"/>
      <c r="E429"/>
      <c r="F429"/>
      <c r="G429"/>
      <c r="H429"/>
      <c r="I429"/>
      <c r="J429"/>
      <c r="K429"/>
    </row>
    <row r="430" spans="1:11" ht="12.75" x14ac:dyDescent="0.2">
      <c r="A430"/>
      <c r="B430"/>
      <c r="C430"/>
      <c r="D430"/>
      <c r="E430"/>
      <c r="F430"/>
      <c r="G430"/>
      <c r="H430"/>
      <c r="I430"/>
      <c r="J430"/>
      <c r="K430"/>
    </row>
    <row r="431" spans="1:11" ht="12.75" x14ac:dyDescent="0.2">
      <c r="A431"/>
      <c r="B431"/>
      <c r="C431"/>
      <c r="D431"/>
      <c r="E431"/>
      <c r="F431"/>
      <c r="G431"/>
      <c r="H431"/>
      <c r="I431"/>
      <c r="J431"/>
      <c r="K431"/>
    </row>
    <row r="432" spans="1:11" ht="12.75" x14ac:dyDescent="0.2">
      <c r="A432"/>
      <c r="B432"/>
      <c r="C432"/>
      <c r="D432"/>
      <c r="E432"/>
      <c r="F432"/>
      <c r="G432"/>
      <c r="H432"/>
      <c r="I432"/>
      <c r="J432"/>
      <c r="K432"/>
    </row>
    <row r="433" spans="1:11" ht="12.75" x14ac:dyDescent="0.2">
      <c r="A433"/>
      <c r="B433"/>
      <c r="C433"/>
      <c r="D433"/>
      <c r="E433"/>
      <c r="F433"/>
      <c r="G433"/>
      <c r="H433"/>
      <c r="I433"/>
      <c r="J433"/>
      <c r="K433"/>
    </row>
    <row r="434" spans="1:11" ht="12.75" x14ac:dyDescent="0.2">
      <c r="A434"/>
      <c r="B434"/>
      <c r="C434"/>
      <c r="D434"/>
      <c r="E434"/>
      <c r="F434"/>
      <c r="G434"/>
      <c r="H434"/>
      <c r="I434"/>
      <c r="J434"/>
      <c r="K434"/>
    </row>
    <row r="435" spans="1:11" ht="12.75" x14ac:dyDescent="0.2">
      <c r="A435"/>
      <c r="B435"/>
      <c r="C435"/>
      <c r="D435"/>
      <c r="E435"/>
      <c r="F435"/>
      <c r="G435"/>
      <c r="H435"/>
      <c r="I435"/>
      <c r="J435"/>
      <c r="K435"/>
    </row>
    <row r="436" spans="1:11" ht="12.75" x14ac:dyDescent="0.2">
      <c r="A436"/>
      <c r="B436"/>
      <c r="C436"/>
      <c r="D436"/>
      <c r="E436"/>
      <c r="F436"/>
      <c r="G436"/>
      <c r="H436"/>
      <c r="I436"/>
      <c r="J436"/>
      <c r="K436"/>
    </row>
    <row r="437" spans="1:11" ht="12.75" x14ac:dyDescent="0.2">
      <c r="A437"/>
      <c r="B437"/>
      <c r="C437"/>
      <c r="D437"/>
      <c r="E437"/>
      <c r="F437"/>
      <c r="G437"/>
      <c r="H437"/>
      <c r="I437"/>
      <c r="J437"/>
      <c r="K437"/>
    </row>
    <row r="438" spans="1:11" ht="12.75" x14ac:dyDescent="0.2">
      <c r="A438"/>
      <c r="B438"/>
      <c r="C438"/>
      <c r="D438"/>
      <c r="E438"/>
      <c r="F438"/>
      <c r="G438"/>
      <c r="H438"/>
      <c r="I438"/>
      <c r="J438"/>
      <c r="K438"/>
    </row>
    <row r="439" spans="1:11" ht="12.75" x14ac:dyDescent="0.2">
      <c r="A439"/>
      <c r="B439"/>
      <c r="C439"/>
      <c r="D439"/>
      <c r="E439"/>
      <c r="F439"/>
      <c r="G439"/>
      <c r="H439"/>
      <c r="I439"/>
      <c r="J439"/>
      <c r="K439"/>
    </row>
    <row r="440" spans="1:11" ht="12.75" x14ac:dyDescent="0.2">
      <c r="A440"/>
      <c r="B440"/>
      <c r="C440"/>
      <c r="D440"/>
      <c r="E440"/>
      <c r="F440"/>
      <c r="G440"/>
      <c r="H440"/>
      <c r="I440"/>
      <c r="J440"/>
      <c r="K440"/>
    </row>
    <row r="441" spans="1:11" ht="12.75" x14ac:dyDescent="0.2">
      <c r="A441"/>
      <c r="B441"/>
      <c r="C441"/>
      <c r="D441"/>
      <c r="E441"/>
      <c r="F441"/>
      <c r="G441"/>
      <c r="H441"/>
      <c r="I441"/>
      <c r="J441"/>
      <c r="K441"/>
    </row>
    <row r="442" spans="1:11" ht="12.75" x14ac:dyDescent="0.2">
      <c r="A442"/>
      <c r="B442"/>
      <c r="C442"/>
      <c r="D442"/>
      <c r="E442"/>
      <c r="F442"/>
      <c r="G442"/>
      <c r="H442"/>
      <c r="I442"/>
      <c r="J442"/>
      <c r="K442"/>
    </row>
    <row r="443" spans="1:11" ht="12.75" x14ac:dyDescent="0.2">
      <c r="A443"/>
      <c r="B443"/>
      <c r="C443"/>
      <c r="D443"/>
      <c r="E443"/>
      <c r="F443"/>
      <c r="G443"/>
      <c r="H443"/>
      <c r="I443"/>
      <c r="J443"/>
      <c r="K443"/>
    </row>
    <row r="444" spans="1:11" ht="12.75" x14ac:dyDescent="0.2">
      <c r="A444"/>
      <c r="B444"/>
      <c r="C444"/>
      <c r="D444"/>
      <c r="E444"/>
      <c r="F444"/>
      <c r="G444"/>
      <c r="H444"/>
      <c r="I444"/>
      <c r="J444"/>
      <c r="K444"/>
    </row>
    <row r="445" spans="1:11" ht="12.75" x14ac:dyDescent="0.2">
      <c r="A445"/>
      <c r="B445"/>
      <c r="C445"/>
      <c r="D445"/>
      <c r="E445"/>
      <c r="F445"/>
      <c r="G445"/>
      <c r="H445"/>
      <c r="I445"/>
      <c r="J445"/>
      <c r="K445"/>
    </row>
    <row r="446" spans="1:11" ht="12.75" x14ac:dyDescent="0.2">
      <c r="A446"/>
      <c r="B446"/>
      <c r="C446"/>
      <c r="D446"/>
      <c r="E446"/>
      <c r="F446"/>
      <c r="G446"/>
      <c r="H446"/>
      <c r="I446"/>
      <c r="J446"/>
      <c r="K446"/>
    </row>
    <row r="447" spans="1:11" ht="12.75" x14ac:dyDescent="0.2">
      <c r="A447"/>
      <c r="B447"/>
      <c r="C447"/>
      <c r="D447"/>
      <c r="E447"/>
      <c r="F447"/>
      <c r="G447"/>
      <c r="H447"/>
      <c r="I447"/>
      <c r="J447"/>
      <c r="K447"/>
    </row>
    <row r="448" spans="1:11" ht="12.75" x14ac:dyDescent="0.2">
      <c r="A448"/>
      <c r="B448"/>
      <c r="C448"/>
      <c r="D448"/>
      <c r="E448"/>
      <c r="F448"/>
      <c r="G448"/>
      <c r="H448"/>
      <c r="I448"/>
      <c r="J448"/>
      <c r="K448"/>
    </row>
    <row r="449" spans="1:11" ht="12.75" x14ac:dyDescent="0.2">
      <c r="A449"/>
      <c r="B449"/>
      <c r="C449"/>
      <c r="D449"/>
      <c r="E449"/>
      <c r="F449"/>
      <c r="G449"/>
      <c r="H449"/>
      <c r="I449"/>
      <c r="J449"/>
      <c r="K449"/>
    </row>
    <row r="450" spans="1:11" ht="12.75" x14ac:dyDescent="0.2">
      <c r="A450"/>
      <c r="B450"/>
      <c r="C450"/>
      <c r="D450"/>
      <c r="E450"/>
      <c r="F450"/>
      <c r="G450"/>
      <c r="H450"/>
      <c r="I450"/>
      <c r="J450"/>
      <c r="K450"/>
    </row>
    <row r="451" spans="1:11" ht="12.75" x14ac:dyDescent="0.2">
      <c r="A451"/>
      <c r="B451"/>
      <c r="C451"/>
      <c r="D451"/>
      <c r="E451"/>
      <c r="F451"/>
      <c r="G451"/>
      <c r="H451"/>
      <c r="I451"/>
      <c r="J451"/>
      <c r="K451"/>
    </row>
    <row r="452" spans="1:11" ht="12.75" x14ac:dyDescent="0.2">
      <c r="A452"/>
      <c r="B452"/>
      <c r="C452"/>
      <c r="D452"/>
      <c r="E452"/>
      <c r="F452"/>
      <c r="G452"/>
      <c r="H452"/>
      <c r="I452"/>
      <c r="J452"/>
      <c r="K452"/>
    </row>
    <row r="453" spans="1:11" ht="12.75" x14ac:dyDescent="0.2">
      <c r="A453"/>
      <c r="B453"/>
      <c r="C453"/>
      <c r="D453"/>
      <c r="E453"/>
      <c r="F453"/>
      <c r="G453"/>
      <c r="H453"/>
      <c r="I453"/>
      <c r="J453"/>
      <c r="K453"/>
    </row>
    <row r="454" spans="1:11" ht="12.75" x14ac:dyDescent="0.2">
      <c r="A454"/>
      <c r="B454"/>
      <c r="C454"/>
      <c r="D454"/>
      <c r="E454"/>
      <c r="F454"/>
      <c r="G454"/>
      <c r="H454"/>
      <c r="I454"/>
      <c r="J454"/>
      <c r="K454"/>
    </row>
    <row r="455" spans="1:11" ht="12.75" x14ac:dyDescent="0.2">
      <c r="A455"/>
      <c r="B455"/>
      <c r="C455"/>
      <c r="D455"/>
      <c r="E455"/>
      <c r="F455"/>
      <c r="G455"/>
      <c r="H455"/>
      <c r="I455"/>
      <c r="J455"/>
      <c r="K455"/>
    </row>
    <row r="456" spans="1:11" ht="12.75" x14ac:dyDescent="0.2">
      <c r="A456"/>
      <c r="B456"/>
      <c r="C456"/>
      <c r="D456"/>
      <c r="E456"/>
      <c r="F456"/>
      <c r="G456"/>
      <c r="H456"/>
      <c r="I456"/>
      <c r="J456"/>
      <c r="K456"/>
    </row>
    <row r="457" spans="1:11" ht="12.75" x14ac:dyDescent="0.2">
      <c r="A457"/>
      <c r="B457"/>
      <c r="C457"/>
      <c r="D457"/>
      <c r="E457"/>
      <c r="F457"/>
      <c r="G457"/>
      <c r="H457"/>
      <c r="I457"/>
      <c r="J457"/>
      <c r="K457"/>
    </row>
    <row r="458" spans="1:11" ht="12.75" x14ac:dyDescent="0.2">
      <c r="A458"/>
      <c r="B458"/>
      <c r="C458"/>
      <c r="D458"/>
      <c r="E458"/>
      <c r="F458"/>
      <c r="G458"/>
      <c r="H458"/>
      <c r="I458"/>
      <c r="J458"/>
      <c r="K458"/>
    </row>
    <row r="459" spans="1:11" ht="12.75" x14ac:dyDescent="0.2">
      <c r="A459"/>
      <c r="B459"/>
      <c r="C459"/>
      <c r="D459"/>
      <c r="E459"/>
      <c r="F459"/>
      <c r="G459"/>
      <c r="H459"/>
      <c r="I459"/>
      <c r="J459"/>
      <c r="K459"/>
    </row>
    <row r="460" spans="1:11" ht="12.75" x14ac:dyDescent="0.2">
      <c r="A460"/>
      <c r="B460"/>
      <c r="C460"/>
      <c r="D460"/>
      <c r="E460"/>
      <c r="F460"/>
      <c r="G460"/>
      <c r="H460"/>
      <c r="I460"/>
      <c r="J460"/>
      <c r="K460"/>
    </row>
    <row r="461" spans="1:11" ht="12.75" x14ac:dyDescent="0.2">
      <c r="A461"/>
      <c r="B461"/>
      <c r="C461"/>
      <c r="D461"/>
      <c r="E461"/>
      <c r="F461"/>
      <c r="G461"/>
      <c r="H461"/>
      <c r="I461"/>
      <c r="J461"/>
      <c r="K461"/>
    </row>
    <row r="462" spans="1:11" ht="12.75" x14ac:dyDescent="0.2">
      <c r="A462"/>
      <c r="B462"/>
      <c r="C462"/>
      <c r="D462"/>
      <c r="E462"/>
      <c r="F462"/>
      <c r="G462"/>
      <c r="H462"/>
      <c r="I462"/>
      <c r="J462"/>
      <c r="K462"/>
    </row>
    <row r="463" spans="1:11" ht="12.75" x14ac:dyDescent="0.2">
      <c r="A463"/>
      <c r="B463"/>
      <c r="C463"/>
      <c r="D463"/>
      <c r="E463"/>
      <c r="F463"/>
      <c r="G463"/>
      <c r="H463"/>
      <c r="I463"/>
      <c r="J463"/>
      <c r="K463"/>
    </row>
    <row r="464" spans="1:11" ht="12.75" x14ac:dyDescent="0.2">
      <c r="A464"/>
      <c r="B464"/>
      <c r="C464"/>
      <c r="D464"/>
      <c r="E464"/>
      <c r="F464"/>
      <c r="G464"/>
      <c r="H464"/>
      <c r="I464"/>
      <c r="J464"/>
      <c r="K464"/>
    </row>
    <row r="465" spans="1:11" ht="12.75" x14ac:dyDescent="0.2">
      <c r="A465"/>
      <c r="B465"/>
      <c r="C465"/>
      <c r="D465"/>
      <c r="E465"/>
      <c r="F465"/>
      <c r="G465"/>
      <c r="H465"/>
      <c r="I465"/>
      <c r="J465"/>
      <c r="K465"/>
    </row>
    <row r="466" spans="1:11" ht="12.75" x14ac:dyDescent="0.2">
      <c r="A466"/>
      <c r="B466"/>
      <c r="C466"/>
      <c r="D466"/>
      <c r="E466"/>
      <c r="F466"/>
      <c r="G466"/>
      <c r="H466"/>
      <c r="I466"/>
      <c r="J466"/>
      <c r="K466"/>
    </row>
    <row r="467" spans="1:11" ht="12.75" x14ac:dyDescent="0.2">
      <c r="A467"/>
      <c r="B467"/>
      <c r="C467"/>
      <c r="D467"/>
      <c r="E467"/>
      <c r="F467"/>
      <c r="G467"/>
      <c r="H467"/>
      <c r="I467"/>
      <c r="J467"/>
      <c r="K467"/>
    </row>
    <row r="468" spans="1:11" ht="12.75" x14ac:dyDescent="0.2">
      <c r="A468"/>
      <c r="B468"/>
      <c r="C468"/>
      <c r="D468"/>
      <c r="E468"/>
      <c r="F468"/>
      <c r="G468"/>
      <c r="H468"/>
      <c r="I468"/>
      <c r="J468"/>
      <c r="K468"/>
    </row>
    <row r="469" spans="1:11" ht="12.75" x14ac:dyDescent="0.2">
      <c r="A469"/>
      <c r="B469"/>
      <c r="C469"/>
      <c r="D469"/>
      <c r="E469"/>
      <c r="F469"/>
      <c r="G469"/>
      <c r="H469"/>
      <c r="I469"/>
      <c r="J469"/>
      <c r="K469"/>
    </row>
    <row r="470" spans="1:11" ht="12.75" x14ac:dyDescent="0.2">
      <c r="A470"/>
      <c r="B470"/>
      <c r="C470"/>
      <c r="D470"/>
      <c r="E470"/>
      <c r="F470"/>
      <c r="G470"/>
      <c r="H470"/>
      <c r="I470"/>
      <c r="J470"/>
      <c r="K470"/>
    </row>
    <row r="471" spans="1:11" ht="12.75" x14ac:dyDescent="0.2">
      <c r="A471"/>
      <c r="B471"/>
      <c r="C471"/>
      <c r="D471"/>
      <c r="E471"/>
      <c r="F471"/>
      <c r="G471"/>
      <c r="H471"/>
      <c r="I471"/>
      <c r="J471"/>
      <c r="K471"/>
    </row>
    <row r="472" spans="1:11" ht="12.75" x14ac:dyDescent="0.2">
      <c r="A472"/>
      <c r="B472"/>
      <c r="C472"/>
      <c r="D472"/>
      <c r="E472"/>
      <c r="F472"/>
      <c r="G472"/>
      <c r="H472"/>
      <c r="I472"/>
      <c r="J472"/>
      <c r="K472"/>
    </row>
    <row r="473" spans="1:11" ht="12.75" x14ac:dyDescent="0.2">
      <c r="A473"/>
      <c r="B473"/>
      <c r="C473"/>
      <c r="D473"/>
      <c r="E473"/>
      <c r="F473"/>
      <c r="G473"/>
      <c r="H473"/>
      <c r="I473"/>
      <c r="J473"/>
      <c r="K473"/>
    </row>
    <row r="474" spans="1:11" ht="12.75" x14ac:dyDescent="0.2">
      <c r="A474"/>
      <c r="B474"/>
      <c r="C474"/>
      <c r="D474"/>
      <c r="E474"/>
      <c r="F474"/>
      <c r="G474"/>
      <c r="H474"/>
      <c r="I474"/>
      <c r="J474"/>
      <c r="K474"/>
    </row>
    <row r="475" spans="1:11" ht="12.75" x14ac:dyDescent="0.2">
      <c r="A475"/>
      <c r="B475"/>
      <c r="C475"/>
      <c r="D475"/>
      <c r="E475"/>
      <c r="F475"/>
      <c r="G475"/>
      <c r="H475"/>
      <c r="I475"/>
      <c r="J475"/>
      <c r="K475"/>
    </row>
    <row r="476" spans="1:11" ht="12.75" x14ac:dyDescent="0.2">
      <c r="A476"/>
      <c r="B476"/>
      <c r="C476"/>
      <c r="D476"/>
      <c r="E476"/>
      <c r="F476"/>
      <c r="G476"/>
      <c r="H476"/>
      <c r="I476"/>
      <c r="J476"/>
      <c r="K476"/>
    </row>
    <row r="477" spans="1:11" ht="12.75" x14ac:dyDescent="0.2">
      <c r="A477"/>
      <c r="B477"/>
      <c r="C477"/>
      <c r="D477"/>
      <c r="E477"/>
      <c r="F477"/>
      <c r="G477"/>
      <c r="H477"/>
      <c r="I477"/>
      <c r="J477"/>
      <c r="K477"/>
    </row>
    <row r="478" spans="1:11" ht="12.75" x14ac:dyDescent="0.2">
      <c r="A478"/>
      <c r="B478"/>
      <c r="C478"/>
      <c r="D478"/>
      <c r="E478"/>
      <c r="F478"/>
      <c r="G478"/>
      <c r="H478"/>
      <c r="I478"/>
      <c r="J478"/>
      <c r="K478"/>
    </row>
    <row r="479" spans="1:11" ht="12.75" x14ac:dyDescent="0.2">
      <c r="A479"/>
      <c r="B479"/>
      <c r="C479"/>
      <c r="D479"/>
      <c r="E479"/>
      <c r="F479"/>
      <c r="G479"/>
      <c r="H479"/>
      <c r="I479"/>
      <c r="J479"/>
      <c r="K479"/>
    </row>
    <row r="480" spans="1:11" ht="12.75" x14ac:dyDescent="0.2">
      <c r="A480"/>
      <c r="B480"/>
      <c r="C480"/>
      <c r="D480"/>
      <c r="E480"/>
      <c r="F480"/>
      <c r="G480"/>
      <c r="H480"/>
      <c r="I480"/>
      <c r="J480"/>
      <c r="K480"/>
    </row>
    <row r="481" spans="1:11" ht="12.75" x14ac:dyDescent="0.2">
      <c r="A481"/>
      <c r="B481"/>
      <c r="C481"/>
      <c r="D481"/>
      <c r="E481"/>
      <c r="F481"/>
      <c r="G481"/>
      <c r="H481"/>
      <c r="I481"/>
      <c r="J481"/>
      <c r="K481"/>
    </row>
    <row r="482" spans="1:11" ht="12.75" x14ac:dyDescent="0.2">
      <c r="A482"/>
      <c r="B482"/>
      <c r="C482"/>
      <c r="D482"/>
      <c r="E482"/>
      <c r="F482"/>
      <c r="G482"/>
      <c r="H482"/>
      <c r="I482"/>
      <c r="J482"/>
      <c r="K482"/>
    </row>
    <row r="483" spans="1:11" ht="12.75" x14ac:dyDescent="0.2">
      <c r="A483"/>
      <c r="B483"/>
      <c r="C483"/>
      <c r="D483"/>
      <c r="E483"/>
      <c r="F483"/>
      <c r="G483"/>
      <c r="H483"/>
      <c r="I483"/>
      <c r="J483"/>
      <c r="K483"/>
    </row>
    <row r="484" spans="1:11" ht="12.75" x14ac:dyDescent="0.2">
      <c r="A484"/>
      <c r="B484"/>
      <c r="C484"/>
      <c r="D484"/>
      <c r="E484"/>
      <c r="F484"/>
      <c r="G484"/>
      <c r="H484"/>
      <c r="I484"/>
      <c r="J484"/>
      <c r="K484"/>
    </row>
    <row r="485" spans="1:11" ht="12.75" x14ac:dyDescent="0.2">
      <c r="A485"/>
      <c r="B485"/>
      <c r="C485"/>
      <c r="D485"/>
      <c r="E485"/>
      <c r="F485"/>
      <c r="G485"/>
      <c r="H485"/>
      <c r="I485"/>
      <c r="J485"/>
      <c r="K485"/>
    </row>
    <row r="486" spans="1:11" ht="12.75" x14ac:dyDescent="0.2">
      <c r="A486"/>
      <c r="B486"/>
      <c r="C486"/>
      <c r="D486"/>
      <c r="E486"/>
      <c r="F486"/>
      <c r="G486"/>
      <c r="H486"/>
      <c r="I486"/>
      <c r="J486"/>
      <c r="K486"/>
    </row>
    <row r="487" spans="1:11" ht="12.75" x14ac:dyDescent="0.2">
      <c r="A487"/>
      <c r="B487"/>
      <c r="C487"/>
      <c r="D487"/>
      <c r="E487"/>
      <c r="F487"/>
      <c r="G487"/>
      <c r="H487"/>
      <c r="I487"/>
      <c r="J487"/>
      <c r="K487"/>
    </row>
    <row r="488" spans="1:11" ht="12.75" x14ac:dyDescent="0.2">
      <c r="A488"/>
      <c r="B488"/>
      <c r="C488"/>
      <c r="D488"/>
      <c r="E488"/>
      <c r="F488"/>
      <c r="G488"/>
      <c r="H488"/>
      <c r="I488"/>
      <c r="J488"/>
      <c r="K488"/>
    </row>
    <row r="489" spans="1:11" ht="12.75" x14ac:dyDescent="0.2">
      <c r="A489"/>
      <c r="B489"/>
      <c r="C489"/>
      <c r="D489"/>
      <c r="E489"/>
      <c r="F489"/>
      <c r="G489"/>
      <c r="H489"/>
      <c r="I489"/>
      <c r="J489"/>
      <c r="K489"/>
    </row>
    <row r="490" spans="1:11" ht="12.75" x14ac:dyDescent="0.2">
      <c r="A490"/>
      <c r="B490"/>
      <c r="C490"/>
      <c r="D490"/>
      <c r="E490"/>
      <c r="F490"/>
      <c r="G490"/>
      <c r="H490"/>
      <c r="I490"/>
      <c r="J490"/>
      <c r="K490"/>
    </row>
    <row r="491" spans="1:11" ht="12.75" x14ac:dyDescent="0.2">
      <c r="A491"/>
      <c r="B491"/>
      <c r="C491"/>
      <c r="D491"/>
      <c r="E491"/>
      <c r="F491"/>
      <c r="G491"/>
      <c r="H491"/>
      <c r="I491"/>
      <c r="J491"/>
      <c r="K491"/>
    </row>
    <row r="492" spans="1:11" ht="12.75" x14ac:dyDescent="0.2">
      <c r="A492"/>
      <c r="B492"/>
      <c r="C492"/>
      <c r="D492"/>
      <c r="E492"/>
      <c r="F492"/>
      <c r="G492"/>
      <c r="H492"/>
      <c r="I492"/>
      <c r="J492"/>
      <c r="K492"/>
    </row>
    <row r="493" spans="1:11" ht="12.75" x14ac:dyDescent="0.2">
      <c r="A493"/>
      <c r="B493"/>
      <c r="C493"/>
      <c r="D493"/>
      <c r="E493"/>
      <c r="F493"/>
      <c r="G493"/>
      <c r="H493"/>
      <c r="I493"/>
      <c r="J493"/>
      <c r="K493"/>
    </row>
    <row r="494" spans="1:11" ht="12.75" x14ac:dyDescent="0.2">
      <c r="A494"/>
      <c r="B494"/>
      <c r="C494"/>
      <c r="D494"/>
      <c r="E494"/>
      <c r="F494"/>
      <c r="G494"/>
      <c r="H494"/>
      <c r="I494"/>
      <c r="J494"/>
      <c r="K494"/>
    </row>
    <row r="495" spans="1:11" ht="12.75" x14ac:dyDescent="0.2">
      <c r="A495"/>
      <c r="B495"/>
      <c r="C495"/>
      <c r="D495"/>
      <c r="E495"/>
      <c r="F495"/>
      <c r="G495"/>
      <c r="H495"/>
      <c r="I495"/>
      <c r="J495"/>
      <c r="K495"/>
    </row>
    <row r="496" spans="1:11" ht="12.75" x14ac:dyDescent="0.2">
      <c r="A496"/>
      <c r="B496"/>
      <c r="C496"/>
      <c r="D496"/>
      <c r="E496"/>
      <c r="F496"/>
      <c r="G496"/>
      <c r="H496"/>
      <c r="I496"/>
      <c r="J496"/>
      <c r="K496"/>
    </row>
    <row r="497" spans="1:11" ht="12.75" x14ac:dyDescent="0.2">
      <c r="A497"/>
      <c r="B497"/>
      <c r="C497"/>
      <c r="D497"/>
      <c r="E497"/>
      <c r="F497"/>
      <c r="G497"/>
      <c r="H497"/>
      <c r="I497"/>
      <c r="J497"/>
      <c r="K497"/>
    </row>
    <row r="498" spans="1:11" ht="12.75" x14ac:dyDescent="0.2">
      <c r="A498"/>
      <c r="B498"/>
      <c r="C498"/>
      <c r="D498"/>
      <c r="E498"/>
      <c r="F498"/>
      <c r="G498"/>
      <c r="H498"/>
      <c r="I498"/>
      <c r="J498"/>
      <c r="K498"/>
    </row>
    <row r="499" spans="1:11" ht="12.75" x14ac:dyDescent="0.2">
      <c r="A499"/>
      <c r="B499"/>
      <c r="C499"/>
      <c r="D499"/>
      <c r="E499"/>
      <c r="F499"/>
      <c r="G499"/>
      <c r="H499"/>
      <c r="I499"/>
      <c r="J499"/>
      <c r="K499"/>
    </row>
    <row r="500" spans="1:11" ht="12.75" x14ac:dyDescent="0.2">
      <c r="A500"/>
      <c r="B500"/>
      <c r="C500"/>
      <c r="D500"/>
      <c r="E500"/>
      <c r="F500"/>
      <c r="G500"/>
      <c r="H500"/>
      <c r="I500"/>
      <c r="J500"/>
      <c r="K500"/>
    </row>
    <row r="501" spans="1:11" ht="12.75" x14ac:dyDescent="0.2">
      <c r="A501"/>
      <c r="B501"/>
      <c r="C501"/>
      <c r="D501"/>
      <c r="E501"/>
      <c r="F501"/>
      <c r="G501"/>
      <c r="H501"/>
      <c r="I501"/>
      <c r="J501"/>
      <c r="K501"/>
    </row>
    <row r="502" spans="1:11" ht="12.75" x14ac:dyDescent="0.2">
      <c r="A502"/>
      <c r="B502"/>
      <c r="C502"/>
      <c r="D502"/>
      <c r="E502"/>
      <c r="F502"/>
      <c r="G502"/>
      <c r="H502"/>
      <c r="I502"/>
      <c r="J502"/>
      <c r="K502"/>
    </row>
    <row r="503" spans="1:11" ht="12.75" x14ac:dyDescent="0.2">
      <c r="A503"/>
      <c r="B503"/>
      <c r="C503"/>
      <c r="D503"/>
      <c r="E503"/>
      <c r="F503"/>
      <c r="G503"/>
      <c r="H503"/>
      <c r="I503"/>
      <c r="J503"/>
      <c r="K503"/>
    </row>
    <row r="504" spans="1:11" ht="12.75" x14ac:dyDescent="0.2">
      <c r="A504"/>
      <c r="B504"/>
      <c r="C504"/>
      <c r="D504"/>
      <c r="E504"/>
      <c r="F504"/>
      <c r="G504"/>
      <c r="H504"/>
      <c r="I504"/>
      <c r="J504"/>
      <c r="K504"/>
    </row>
    <row r="505" spans="1:11" ht="12.75" x14ac:dyDescent="0.2">
      <c r="A505"/>
      <c r="B505"/>
      <c r="C505"/>
      <c r="D505"/>
      <c r="E505"/>
      <c r="F505"/>
      <c r="G505"/>
      <c r="H505"/>
      <c r="I505"/>
      <c r="J505"/>
      <c r="K505"/>
    </row>
    <row r="506" spans="1:11" ht="12.75" x14ac:dyDescent="0.2">
      <c r="A506"/>
      <c r="B506"/>
      <c r="C506"/>
      <c r="D506"/>
      <c r="E506"/>
      <c r="F506"/>
      <c r="G506"/>
      <c r="H506"/>
      <c r="I506"/>
      <c r="J506"/>
      <c r="K506"/>
    </row>
    <row r="507" spans="1:11" ht="12.75" x14ac:dyDescent="0.2">
      <c r="A507"/>
      <c r="B507"/>
      <c r="C507"/>
      <c r="D507"/>
      <c r="E507"/>
      <c r="F507"/>
      <c r="G507"/>
      <c r="H507"/>
      <c r="I507"/>
      <c r="J507"/>
      <c r="K507"/>
    </row>
    <row r="508" spans="1:11" ht="12.75" x14ac:dyDescent="0.2">
      <c r="A508"/>
      <c r="B508"/>
      <c r="C508"/>
      <c r="D508"/>
      <c r="E508"/>
      <c r="F508"/>
      <c r="G508"/>
      <c r="H508"/>
      <c r="I508"/>
      <c r="J508"/>
      <c r="K508"/>
    </row>
    <row r="509" spans="1:11" ht="12.75" x14ac:dyDescent="0.2">
      <c r="A509"/>
      <c r="B509"/>
      <c r="C509"/>
      <c r="D509"/>
      <c r="E509"/>
      <c r="F509"/>
      <c r="G509"/>
      <c r="H509"/>
      <c r="I509"/>
      <c r="J509"/>
      <c r="K509"/>
    </row>
    <row r="510" spans="1:11" ht="12.75" x14ac:dyDescent="0.2">
      <c r="A510"/>
      <c r="B510"/>
      <c r="C510"/>
      <c r="D510"/>
      <c r="E510"/>
      <c r="F510"/>
      <c r="G510"/>
      <c r="H510"/>
      <c r="I510"/>
      <c r="J510"/>
      <c r="K510"/>
    </row>
    <row r="511" spans="1:11" ht="12.75" x14ac:dyDescent="0.2">
      <c r="A511"/>
      <c r="B511"/>
      <c r="C511"/>
      <c r="D511"/>
      <c r="E511"/>
      <c r="F511"/>
      <c r="G511"/>
      <c r="H511"/>
      <c r="I511"/>
      <c r="J511"/>
      <c r="K511"/>
    </row>
    <row r="512" spans="1:11" ht="12.75" x14ac:dyDescent="0.2">
      <c r="A512"/>
      <c r="B512"/>
      <c r="C512"/>
      <c r="D512"/>
      <c r="E512"/>
      <c r="F512"/>
      <c r="G512"/>
      <c r="H512"/>
      <c r="I512"/>
      <c r="J512"/>
      <c r="K512"/>
    </row>
    <row r="513" spans="1:11" ht="12.75" x14ac:dyDescent="0.2">
      <c r="A513"/>
      <c r="B513"/>
      <c r="C513"/>
      <c r="D513"/>
      <c r="E513"/>
      <c r="F513"/>
      <c r="G513"/>
      <c r="H513"/>
      <c r="I513"/>
      <c r="J513"/>
      <c r="K513"/>
    </row>
    <row r="514" spans="1:11" ht="12.75" x14ac:dyDescent="0.2">
      <c r="A514"/>
      <c r="B514"/>
      <c r="C514"/>
      <c r="D514"/>
      <c r="E514"/>
      <c r="F514"/>
      <c r="G514"/>
      <c r="H514"/>
      <c r="I514"/>
      <c r="J514"/>
      <c r="K514"/>
    </row>
    <row r="515" spans="1:11" ht="12.75" x14ac:dyDescent="0.2">
      <c r="A515"/>
      <c r="B515"/>
      <c r="C515"/>
      <c r="D515"/>
      <c r="E515"/>
      <c r="F515"/>
      <c r="G515"/>
      <c r="H515"/>
      <c r="I515"/>
      <c r="J515"/>
      <c r="K515"/>
    </row>
    <row r="516" spans="1:11" ht="12.75" x14ac:dyDescent="0.2">
      <c r="A516"/>
      <c r="B516"/>
      <c r="C516"/>
      <c r="D516"/>
      <c r="E516"/>
      <c r="F516"/>
      <c r="G516"/>
      <c r="H516"/>
      <c r="I516"/>
      <c r="J516"/>
      <c r="K516"/>
    </row>
    <row r="517" spans="1:11" ht="12.75" x14ac:dyDescent="0.2">
      <c r="A517"/>
      <c r="B517"/>
      <c r="C517"/>
      <c r="D517"/>
      <c r="E517"/>
      <c r="F517"/>
      <c r="G517"/>
      <c r="H517"/>
      <c r="I517"/>
      <c r="J517"/>
      <c r="K517"/>
    </row>
    <row r="518" spans="1:11" ht="12.75" x14ac:dyDescent="0.2">
      <c r="A518"/>
      <c r="B518"/>
      <c r="C518"/>
      <c r="D518"/>
      <c r="E518"/>
      <c r="F518"/>
      <c r="G518"/>
      <c r="H518"/>
      <c r="I518"/>
      <c r="J518"/>
      <c r="K518"/>
    </row>
    <row r="519" spans="1:11" ht="12.75" x14ac:dyDescent="0.2">
      <c r="A519"/>
      <c r="B519"/>
      <c r="C519"/>
      <c r="D519"/>
      <c r="E519"/>
      <c r="F519"/>
      <c r="G519"/>
      <c r="H519"/>
      <c r="I519"/>
      <c r="J519"/>
      <c r="K519"/>
    </row>
    <row r="520" spans="1:11" ht="12.75" x14ac:dyDescent="0.2">
      <c r="A520"/>
      <c r="B520"/>
      <c r="C520"/>
      <c r="D520"/>
      <c r="E520"/>
      <c r="F520"/>
      <c r="G520"/>
      <c r="H520"/>
      <c r="I520"/>
      <c r="J520"/>
      <c r="K520"/>
    </row>
    <row r="521" spans="1:11" ht="12.75" x14ac:dyDescent="0.2">
      <c r="A521"/>
      <c r="B521"/>
      <c r="C521"/>
      <c r="D521"/>
      <c r="E521"/>
      <c r="F521"/>
      <c r="G521"/>
      <c r="H521"/>
      <c r="I521"/>
      <c r="J521"/>
      <c r="K521"/>
    </row>
    <row r="522" spans="1:11" ht="12.75" x14ac:dyDescent="0.2">
      <c r="A522"/>
      <c r="B522"/>
      <c r="C522"/>
      <c r="D522"/>
      <c r="E522"/>
      <c r="F522"/>
      <c r="G522"/>
      <c r="H522"/>
      <c r="I522"/>
      <c r="J522"/>
      <c r="K522"/>
    </row>
    <row r="523" spans="1:11" ht="12.75" x14ac:dyDescent="0.2">
      <c r="A523"/>
      <c r="B523"/>
      <c r="C523"/>
      <c r="D523"/>
      <c r="E523"/>
      <c r="F523"/>
      <c r="G523"/>
      <c r="H523"/>
      <c r="I523"/>
      <c r="J523"/>
      <c r="K523"/>
    </row>
    <row r="524" spans="1:11" ht="12.75" x14ac:dyDescent="0.2">
      <c r="A524"/>
      <c r="B524"/>
      <c r="C524"/>
      <c r="D524"/>
      <c r="E524"/>
      <c r="F524"/>
      <c r="G524"/>
      <c r="H524"/>
      <c r="I524"/>
      <c r="J524"/>
      <c r="K524"/>
    </row>
    <row r="525" spans="1:11" ht="12.75" x14ac:dyDescent="0.2">
      <c r="A525"/>
      <c r="B525"/>
      <c r="C525"/>
      <c r="D525"/>
      <c r="E525"/>
      <c r="F525"/>
      <c r="G525"/>
      <c r="H525"/>
      <c r="I525"/>
      <c r="J525"/>
      <c r="K525"/>
    </row>
    <row r="526" spans="1:11" ht="12.75" x14ac:dyDescent="0.2">
      <c r="A526"/>
      <c r="B526"/>
      <c r="C526"/>
      <c r="D526"/>
      <c r="E526"/>
      <c r="F526"/>
      <c r="G526"/>
      <c r="H526"/>
      <c r="I526"/>
      <c r="J526"/>
      <c r="K526"/>
    </row>
    <row r="527" spans="1:11" ht="12.75" x14ac:dyDescent="0.2">
      <c r="A527"/>
      <c r="B527"/>
      <c r="C527"/>
      <c r="D527"/>
      <c r="E527"/>
      <c r="F527"/>
      <c r="G527"/>
      <c r="H527"/>
      <c r="I527"/>
      <c r="J527"/>
      <c r="K527"/>
    </row>
    <row r="528" spans="1:11" ht="12.75" x14ac:dyDescent="0.2">
      <c r="A528"/>
      <c r="B528"/>
      <c r="C528"/>
      <c r="D528"/>
      <c r="E528"/>
      <c r="F528"/>
      <c r="G528"/>
      <c r="H528"/>
      <c r="I528"/>
      <c r="J528"/>
      <c r="K528"/>
    </row>
    <row r="529" spans="1:11" ht="12.75" x14ac:dyDescent="0.2">
      <c r="A529"/>
      <c r="B529"/>
      <c r="C529"/>
      <c r="D529"/>
      <c r="E529"/>
      <c r="F529"/>
      <c r="G529"/>
      <c r="H529"/>
      <c r="I529"/>
      <c r="J529"/>
      <c r="K529"/>
    </row>
    <row r="530" spans="1:11" ht="12.75" x14ac:dyDescent="0.2">
      <c r="A530"/>
      <c r="B530"/>
      <c r="C530"/>
      <c r="D530"/>
      <c r="E530"/>
      <c r="F530"/>
      <c r="G530"/>
      <c r="H530"/>
      <c r="I530"/>
      <c r="J530"/>
      <c r="K530"/>
    </row>
    <row r="531" spans="1:11" ht="12.75" x14ac:dyDescent="0.2">
      <c r="A531"/>
      <c r="B531"/>
      <c r="C531"/>
      <c r="D531"/>
      <c r="E531"/>
      <c r="F531"/>
      <c r="G531"/>
      <c r="H531"/>
      <c r="I531"/>
      <c r="J531"/>
      <c r="K531"/>
    </row>
    <row r="532" spans="1:11" ht="12.75" x14ac:dyDescent="0.2">
      <c r="A532"/>
      <c r="B532"/>
      <c r="C532"/>
      <c r="D532"/>
      <c r="E532"/>
      <c r="F532"/>
      <c r="G532"/>
      <c r="H532"/>
      <c r="I532"/>
      <c r="J532"/>
      <c r="K532"/>
    </row>
    <row r="533" spans="1:11" ht="12.75" x14ac:dyDescent="0.2">
      <c r="A533"/>
      <c r="B533"/>
      <c r="C533"/>
      <c r="D533"/>
      <c r="E533"/>
      <c r="F533"/>
      <c r="G533"/>
      <c r="H533"/>
      <c r="I533"/>
      <c r="J533"/>
      <c r="K533"/>
    </row>
    <row r="534" spans="1:11" ht="12.75" x14ac:dyDescent="0.2">
      <c r="A534"/>
      <c r="B534"/>
      <c r="C534"/>
      <c r="D534"/>
      <c r="E534"/>
      <c r="F534"/>
      <c r="G534"/>
      <c r="H534"/>
      <c r="I534"/>
      <c r="J534"/>
      <c r="K534"/>
    </row>
    <row r="535" spans="1:11" ht="12.75" x14ac:dyDescent="0.2">
      <c r="A535"/>
      <c r="B535"/>
      <c r="C535"/>
      <c r="D535"/>
      <c r="E535"/>
      <c r="F535"/>
      <c r="G535"/>
      <c r="H535"/>
      <c r="I535"/>
      <c r="J535"/>
      <c r="K535"/>
    </row>
    <row r="536" spans="1:11" ht="12.75" x14ac:dyDescent="0.2">
      <c r="A536"/>
      <c r="B536"/>
      <c r="C536"/>
      <c r="D536"/>
      <c r="E536"/>
      <c r="F536"/>
      <c r="G536"/>
      <c r="H536"/>
      <c r="I536"/>
      <c r="J536"/>
      <c r="K536"/>
    </row>
    <row r="537" spans="1:11" ht="12.75" x14ac:dyDescent="0.2">
      <c r="A537"/>
      <c r="B537"/>
      <c r="C537"/>
      <c r="D537"/>
      <c r="E537"/>
      <c r="F537"/>
      <c r="G537"/>
      <c r="H537"/>
      <c r="I537"/>
      <c r="J537"/>
      <c r="K537"/>
    </row>
    <row r="538" spans="1:11" ht="12.75" x14ac:dyDescent="0.2">
      <c r="A538"/>
      <c r="B538"/>
      <c r="C538"/>
      <c r="D538"/>
      <c r="E538"/>
      <c r="F538"/>
      <c r="G538"/>
      <c r="H538"/>
      <c r="I538"/>
      <c r="J538"/>
      <c r="K538"/>
    </row>
    <row r="539" spans="1:11" ht="12.75" x14ac:dyDescent="0.2">
      <c r="A539"/>
      <c r="B539"/>
      <c r="C539"/>
      <c r="D539"/>
      <c r="E539"/>
      <c r="F539"/>
      <c r="G539"/>
      <c r="H539"/>
      <c r="I539"/>
      <c r="J539"/>
      <c r="K539"/>
    </row>
    <row r="540" spans="1:11" ht="12.75" x14ac:dyDescent="0.2">
      <c r="A540"/>
      <c r="B540"/>
      <c r="C540"/>
      <c r="D540"/>
      <c r="E540"/>
      <c r="F540"/>
      <c r="G540"/>
      <c r="H540"/>
      <c r="I540"/>
      <c r="J540"/>
      <c r="K540"/>
    </row>
    <row r="541" spans="1:11" ht="12.75" x14ac:dyDescent="0.2">
      <c r="A541"/>
      <c r="B541"/>
      <c r="C541"/>
      <c r="D541"/>
      <c r="E541"/>
      <c r="F541"/>
      <c r="G541"/>
      <c r="H541"/>
      <c r="I541"/>
      <c r="J541"/>
      <c r="K541"/>
    </row>
    <row r="542" spans="1:11" ht="12.75" x14ac:dyDescent="0.2">
      <c r="A542"/>
      <c r="B542"/>
      <c r="C542"/>
      <c r="D542"/>
      <c r="E542"/>
      <c r="F542"/>
      <c r="G542"/>
      <c r="H542"/>
      <c r="I542"/>
      <c r="J542"/>
      <c r="K542"/>
    </row>
    <row r="543" spans="1:11" ht="12.75" x14ac:dyDescent="0.2">
      <c r="A543"/>
      <c r="B543"/>
      <c r="C543"/>
      <c r="D543"/>
      <c r="E543"/>
      <c r="F543"/>
      <c r="G543"/>
      <c r="H543"/>
      <c r="I543"/>
      <c r="J543"/>
      <c r="K543"/>
    </row>
    <row r="544" spans="1:11" ht="12.75" x14ac:dyDescent="0.2">
      <c r="A544"/>
      <c r="B544"/>
      <c r="C544"/>
      <c r="D544"/>
      <c r="E544"/>
      <c r="F544"/>
      <c r="G544"/>
      <c r="H544"/>
      <c r="I544"/>
      <c r="J544"/>
      <c r="K544"/>
    </row>
    <row r="545" spans="1:11" ht="12.75" x14ac:dyDescent="0.2">
      <c r="A545"/>
      <c r="B545"/>
      <c r="C545"/>
      <c r="D545"/>
      <c r="E545"/>
      <c r="F545"/>
      <c r="G545"/>
      <c r="H545"/>
      <c r="I545"/>
      <c r="J545"/>
      <c r="K545"/>
    </row>
    <row r="546" spans="1:11" ht="12.75" x14ac:dyDescent="0.2">
      <c r="A546"/>
      <c r="B546"/>
      <c r="C546"/>
      <c r="D546"/>
      <c r="E546"/>
      <c r="F546"/>
      <c r="G546"/>
      <c r="H546"/>
      <c r="I546"/>
      <c r="J546"/>
      <c r="K546"/>
    </row>
    <row r="547" spans="1:11" ht="12.75" x14ac:dyDescent="0.2">
      <c r="A547"/>
      <c r="B547"/>
      <c r="C547"/>
      <c r="D547"/>
      <c r="E547"/>
      <c r="F547"/>
      <c r="G547"/>
      <c r="H547"/>
      <c r="I547"/>
      <c r="J547"/>
      <c r="K547"/>
    </row>
    <row r="548" spans="1:11" ht="12.75" x14ac:dyDescent="0.2">
      <c r="A548"/>
      <c r="B548"/>
      <c r="C548"/>
      <c r="D548"/>
      <c r="E548"/>
      <c r="F548"/>
      <c r="G548"/>
      <c r="H548"/>
      <c r="I548"/>
      <c r="J548"/>
      <c r="K548"/>
    </row>
    <row r="549" spans="1:11" ht="12.75" x14ac:dyDescent="0.2">
      <c r="A549"/>
      <c r="B549"/>
      <c r="C549"/>
      <c r="D549"/>
      <c r="E549"/>
      <c r="F549"/>
      <c r="G549"/>
      <c r="H549"/>
      <c r="I549"/>
      <c r="J549"/>
      <c r="K549"/>
    </row>
    <row r="550" spans="1:11" ht="12.75" x14ac:dyDescent="0.2">
      <c r="A550"/>
      <c r="B550"/>
      <c r="C550"/>
      <c r="D550"/>
      <c r="E550"/>
      <c r="F550"/>
      <c r="G550"/>
      <c r="H550"/>
      <c r="I550"/>
      <c r="J550"/>
      <c r="K550"/>
    </row>
    <row r="551" spans="1:11" ht="12.75" x14ac:dyDescent="0.2">
      <c r="A551"/>
      <c r="B551"/>
      <c r="C551"/>
      <c r="D551"/>
      <c r="E551"/>
      <c r="F551"/>
      <c r="G551"/>
      <c r="H551"/>
      <c r="I551"/>
      <c r="J551"/>
      <c r="K551"/>
    </row>
    <row r="552" spans="1:11" ht="12.75" x14ac:dyDescent="0.2">
      <c r="A552"/>
      <c r="B552"/>
      <c r="C552"/>
      <c r="D552"/>
      <c r="E552"/>
      <c r="F552"/>
      <c r="G552"/>
      <c r="H552"/>
      <c r="I552"/>
      <c r="J552"/>
      <c r="K552"/>
    </row>
    <row r="553" spans="1:11" ht="12.75" x14ac:dyDescent="0.2">
      <c r="A553"/>
      <c r="B553"/>
      <c r="C553"/>
      <c r="D553"/>
      <c r="E553"/>
      <c r="F553"/>
      <c r="G553"/>
      <c r="H553"/>
      <c r="I553"/>
      <c r="J553"/>
      <c r="K553"/>
    </row>
    <row r="554" spans="1:11" ht="12.75" x14ac:dyDescent="0.2">
      <c r="A554"/>
      <c r="B554"/>
      <c r="C554"/>
      <c r="D554"/>
      <c r="E554"/>
      <c r="F554"/>
      <c r="G554"/>
      <c r="H554"/>
      <c r="I554"/>
      <c r="J554"/>
      <c r="K554"/>
    </row>
    <row r="555" spans="1:11" ht="12.75" x14ac:dyDescent="0.2">
      <c r="A555"/>
      <c r="B555"/>
      <c r="C555"/>
      <c r="D555"/>
      <c r="E555"/>
      <c r="F555"/>
      <c r="G555"/>
      <c r="H555"/>
      <c r="I555"/>
      <c r="J555"/>
      <c r="K555"/>
    </row>
    <row r="556" spans="1:11" ht="12.75" x14ac:dyDescent="0.2">
      <c r="A556"/>
      <c r="B556"/>
      <c r="C556"/>
      <c r="D556"/>
      <c r="E556"/>
      <c r="F556"/>
      <c r="G556"/>
      <c r="H556"/>
      <c r="I556"/>
      <c r="J556"/>
      <c r="K556"/>
    </row>
    <row r="557" spans="1:11" ht="12.75" x14ac:dyDescent="0.2">
      <c r="A557"/>
      <c r="B557"/>
      <c r="C557"/>
      <c r="D557"/>
      <c r="E557"/>
      <c r="F557"/>
      <c r="G557"/>
      <c r="H557"/>
      <c r="I557"/>
      <c r="J557"/>
      <c r="K557"/>
    </row>
    <row r="558" spans="1:11" ht="12.75" x14ac:dyDescent="0.2">
      <c r="A558"/>
      <c r="B558"/>
      <c r="C558"/>
      <c r="D558"/>
      <c r="E558"/>
      <c r="F558"/>
      <c r="G558"/>
      <c r="H558"/>
      <c r="I558"/>
      <c r="J558"/>
      <c r="K558"/>
    </row>
    <row r="559" spans="1:11" ht="12.75" x14ac:dyDescent="0.2">
      <c r="A559"/>
      <c r="B559"/>
      <c r="C559"/>
      <c r="D559"/>
      <c r="E559"/>
      <c r="F559"/>
      <c r="G559"/>
      <c r="H559"/>
      <c r="I559"/>
      <c r="J559"/>
      <c r="K559"/>
    </row>
    <row r="560" spans="1:11" ht="12.75" x14ac:dyDescent="0.2">
      <c r="A560"/>
      <c r="B560"/>
      <c r="C560"/>
      <c r="D560"/>
      <c r="E560"/>
      <c r="F560"/>
      <c r="G560"/>
      <c r="H560"/>
      <c r="I560"/>
      <c r="J560"/>
      <c r="K560"/>
    </row>
    <row r="561" spans="1:11" ht="12.75" x14ac:dyDescent="0.2">
      <c r="A561"/>
      <c r="B561"/>
      <c r="C561"/>
      <c r="D561"/>
      <c r="E561"/>
      <c r="F561"/>
      <c r="G561"/>
      <c r="H561"/>
      <c r="I561"/>
      <c r="J561"/>
      <c r="K561"/>
    </row>
    <row r="562" spans="1:11" ht="12.75" x14ac:dyDescent="0.2">
      <c r="A562"/>
      <c r="B562"/>
      <c r="C562"/>
      <c r="D562"/>
      <c r="E562"/>
      <c r="F562"/>
      <c r="G562"/>
      <c r="H562"/>
      <c r="I562"/>
      <c r="J562"/>
      <c r="K562"/>
    </row>
    <row r="563" spans="1:11" ht="12.75" x14ac:dyDescent="0.2">
      <c r="A563"/>
      <c r="B563"/>
      <c r="C563"/>
      <c r="D563"/>
      <c r="E563"/>
      <c r="F563"/>
      <c r="G563"/>
      <c r="H563"/>
      <c r="I563"/>
      <c r="J563"/>
      <c r="K563"/>
    </row>
    <row r="564" spans="1:11" ht="12.75" x14ac:dyDescent="0.2">
      <c r="A564"/>
      <c r="B564"/>
      <c r="C564"/>
      <c r="D564"/>
      <c r="E564"/>
      <c r="F564"/>
      <c r="G564"/>
      <c r="H564"/>
      <c r="I564"/>
      <c r="J564"/>
      <c r="K564"/>
    </row>
    <row r="565" spans="1:11" ht="12.75" x14ac:dyDescent="0.2">
      <c r="A565"/>
      <c r="B565"/>
      <c r="C565"/>
      <c r="D565"/>
      <c r="E565"/>
      <c r="F565"/>
      <c r="G565"/>
      <c r="H565"/>
      <c r="I565"/>
      <c r="J565"/>
      <c r="K565"/>
    </row>
    <row r="566" spans="1:11" ht="12.75" x14ac:dyDescent="0.2">
      <c r="A566"/>
      <c r="B566"/>
      <c r="C566"/>
      <c r="D566"/>
      <c r="E566"/>
      <c r="F566"/>
      <c r="G566"/>
      <c r="H566"/>
      <c r="I566"/>
      <c r="J566"/>
      <c r="K566"/>
    </row>
    <row r="567" spans="1:11" ht="12.75" x14ac:dyDescent="0.2">
      <c r="A567"/>
      <c r="B567"/>
      <c r="C567"/>
      <c r="D567"/>
      <c r="E567"/>
      <c r="F567"/>
      <c r="G567"/>
      <c r="H567"/>
      <c r="I567"/>
      <c r="J567"/>
      <c r="K567"/>
    </row>
    <row r="568" spans="1:11" ht="12.75" x14ac:dyDescent="0.2">
      <c r="A568"/>
      <c r="B568"/>
      <c r="C568"/>
      <c r="D568"/>
      <c r="E568"/>
      <c r="F568"/>
      <c r="G568"/>
      <c r="H568"/>
      <c r="I568"/>
      <c r="J568"/>
      <c r="K568"/>
    </row>
    <row r="569" spans="1:11" ht="12.75" x14ac:dyDescent="0.2">
      <c r="A569"/>
      <c r="B569"/>
      <c r="C569"/>
      <c r="D569"/>
      <c r="E569"/>
      <c r="F569"/>
      <c r="G569"/>
      <c r="H569"/>
      <c r="I569"/>
      <c r="J569"/>
      <c r="K569"/>
    </row>
    <row r="570" spans="1:11" ht="12.75" x14ac:dyDescent="0.2">
      <c r="A570"/>
      <c r="B570"/>
      <c r="C570"/>
      <c r="D570"/>
      <c r="E570"/>
      <c r="F570"/>
      <c r="G570"/>
      <c r="H570"/>
      <c r="I570"/>
      <c r="J570"/>
      <c r="K570"/>
    </row>
    <row r="571" spans="1:11" ht="12.75" x14ac:dyDescent="0.2">
      <c r="A571"/>
      <c r="B571"/>
      <c r="C571"/>
      <c r="D571"/>
      <c r="E571"/>
      <c r="F571"/>
      <c r="G571"/>
      <c r="H571"/>
      <c r="I571"/>
      <c r="J571"/>
      <c r="K571"/>
    </row>
    <row r="572" spans="1:11" ht="12.75" x14ac:dyDescent="0.2">
      <c r="A572"/>
      <c r="B572"/>
      <c r="C572"/>
      <c r="D572"/>
      <c r="E572"/>
      <c r="F572"/>
      <c r="G572"/>
      <c r="H572"/>
      <c r="I572"/>
      <c r="J572"/>
      <c r="K572"/>
    </row>
    <row r="573" spans="1:11" ht="12.75" x14ac:dyDescent="0.2">
      <c r="A573"/>
      <c r="B573"/>
      <c r="C573"/>
      <c r="D573"/>
      <c r="E573"/>
      <c r="F573"/>
      <c r="G573"/>
      <c r="H573"/>
      <c r="I573"/>
      <c r="J573"/>
      <c r="K573"/>
    </row>
    <row r="574" spans="1:11" ht="12.75" x14ac:dyDescent="0.2">
      <c r="A574"/>
      <c r="B574"/>
      <c r="C574"/>
      <c r="D574"/>
      <c r="E574"/>
      <c r="F574"/>
      <c r="G574"/>
      <c r="H574"/>
      <c r="I574"/>
      <c r="J574"/>
      <c r="K574"/>
    </row>
    <row r="575" spans="1:11" ht="12.75" x14ac:dyDescent="0.2">
      <c r="A575"/>
      <c r="B575"/>
      <c r="C575"/>
      <c r="D575"/>
      <c r="E575"/>
      <c r="F575"/>
      <c r="G575"/>
      <c r="H575"/>
      <c r="I575"/>
      <c r="J575"/>
      <c r="K575"/>
    </row>
    <row r="576" spans="1:11" ht="12.75" x14ac:dyDescent="0.2">
      <c r="A576"/>
      <c r="B576"/>
      <c r="C576"/>
      <c r="D576"/>
      <c r="E576"/>
      <c r="F576"/>
      <c r="G576"/>
      <c r="H576"/>
      <c r="I576"/>
      <c r="J576"/>
      <c r="K576"/>
    </row>
    <row r="577" spans="1:11" ht="12.75" x14ac:dyDescent="0.2">
      <c r="A577"/>
      <c r="B577"/>
      <c r="C577"/>
      <c r="D577"/>
      <c r="E577"/>
      <c r="F577"/>
      <c r="G577"/>
      <c r="H577"/>
      <c r="I577"/>
      <c r="J577"/>
      <c r="K577"/>
    </row>
    <row r="578" spans="1:11" ht="12.75" x14ac:dyDescent="0.2">
      <c r="A578"/>
      <c r="B578"/>
      <c r="C578"/>
      <c r="D578"/>
      <c r="E578"/>
      <c r="F578"/>
      <c r="G578"/>
      <c r="H578"/>
      <c r="I578"/>
      <c r="J578"/>
      <c r="K578"/>
    </row>
    <row r="579" spans="1:11" ht="12.75" x14ac:dyDescent="0.2">
      <c r="A579"/>
      <c r="B579"/>
      <c r="C579"/>
      <c r="D579"/>
      <c r="E579"/>
      <c r="F579"/>
      <c r="G579"/>
      <c r="H579"/>
      <c r="I579"/>
      <c r="J579"/>
      <c r="K579"/>
    </row>
    <row r="580" spans="1:11" ht="12.75" x14ac:dyDescent="0.2">
      <c r="A580"/>
      <c r="B580"/>
      <c r="C580"/>
      <c r="D580"/>
      <c r="E580"/>
      <c r="F580"/>
      <c r="G580"/>
      <c r="H580"/>
      <c r="I580"/>
      <c r="J580"/>
      <c r="K580"/>
    </row>
    <row r="581" spans="1:11" ht="12.75" x14ac:dyDescent="0.2">
      <c r="A581"/>
      <c r="B581"/>
      <c r="C581"/>
      <c r="D581"/>
      <c r="E581"/>
      <c r="F581"/>
      <c r="G581"/>
      <c r="H581"/>
      <c r="I581"/>
      <c r="J581"/>
      <c r="K581"/>
    </row>
    <row r="582" spans="1:11" ht="12.75" x14ac:dyDescent="0.2">
      <c r="A582"/>
      <c r="B582"/>
      <c r="C582"/>
      <c r="D582"/>
      <c r="E582"/>
      <c r="F582"/>
      <c r="G582"/>
      <c r="H582"/>
      <c r="I582"/>
      <c r="J582"/>
      <c r="K582"/>
    </row>
    <row r="583" spans="1:11" ht="12.75" x14ac:dyDescent="0.2">
      <c r="A583"/>
      <c r="B583"/>
      <c r="C583"/>
      <c r="D583"/>
      <c r="E583"/>
      <c r="F583"/>
      <c r="G583"/>
      <c r="H583"/>
      <c r="I583"/>
      <c r="J583"/>
      <c r="K583"/>
    </row>
    <row r="584" spans="1:11" ht="12.75" x14ac:dyDescent="0.2">
      <c r="A584"/>
      <c r="B584"/>
      <c r="C584"/>
      <c r="D584"/>
      <c r="E584"/>
      <c r="F584"/>
      <c r="G584"/>
      <c r="H584"/>
      <c r="I584"/>
      <c r="J584"/>
      <c r="K584"/>
    </row>
    <row r="585" spans="1:11" ht="12.75" x14ac:dyDescent="0.2">
      <c r="A585"/>
      <c r="B585"/>
      <c r="C585"/>
      <c r="D585"/>
      <c r="E585"/>
      <c r="F585"/>
      <c r="G585"/>
      <c r="H585"/>
      <c r="I585"/>
      <c r="J585"/>
      <c r="K585"/>
    </row>
    <row r="586" spans="1:11" ht="12.75" x14ac:dyDescent="0.2">
      <c r="A586"/>
      <c r="B586"/>
      <c r="C586"/>
      <c r="D586"/>
      <c r="E586"/>
      <c r="F586"/>
      <c r="G586"/>
      <c r="H586"/>
      <c r="I586"/>
      <c r="J586"/>
      <c r="K586"/>
    </row>
    <row r="587" spans="1:11" ht="12.75" x14ac:dyDescent="0.2">
      <c r="A587"/>
      <c r="B587"/>
      <c r="C587"/>
      <c r="D587"/>
      <c r="E587"/>
      <c r="F587"/>
      <c r="G587"/>
      <c r="H587"/>
      <c r="I587"/>
      <c r="J587"/>
      <c r="K587"/>
    </row>
    <row r="588" spans="1:11" ht="12.75" x14ac:dyDescent="0.2">
      <c r="A588"/>
      <c r="B588"/>
      <c r="C588"/>
      <c r="D588"/>
      <c r="E588"/>
      <c r="F588"/>
      <c r="G588"/>
      <c r="H588"/>
      <c r="I588"/>
      <c r="J588"/>
      <c r="K588"/>
    </row>
    <row r="589" spans="1:11" ht="12.75" x14ac:dyDescent="0.2">
      <c r="A589"/>
      <c r="B589"/>
      <c r="C589"/>
      <c r="D589"/>
      <c r="E589"/>
      <c r="F589"/>
      <c r="G589"/>
      <c r="H589"/>
      <c r="I589"/>
      <c r="J589"/>
      <c r="K589"/>
    </row>
    <row r="590" spans="1:11" ht="12.75" x14ac:dyDescent="0.2">
      <c r="A590"/>
      <c r="B590"/>
      <c r="C590"/>
      <c r="D590"/>
      <c r="E590"/>
      <c r="F590"/>
      <c r="G590"/>
      <c r="H590"/>
      <c r="I590"/>
      <c r="J590"/>
      <c r="K590"/>
    </row>
    <row r="591" spans="1:11" ht="12.75" x14ac:dyDescent="0.2">
      <c r="A591"/>
      <c r="B591"/>
      <c r="C591"/>
      <c r="D591"/>
      <c r="E591"/>
      <c r="F591"/>
      <c r="G591"/>
      <c r="H591"/>
      <c r="I591"/>
      <c r="J591"/>
      <c r="K591"/>
    </row>
    <row r="592" spans="1:11" ht="12.75" x14ac:dyDescent="0.2">
      <c r="A592"/>
      <c r="B592"/>
      <c r="C592"/>
      <c r="D592"/>
      <c r="E592"/>
      <c r="F592"/>
      <c r="G592"/>
      <c r="H592"/>
      <c r="I592"/>
      <c r="J592"/>
      <c r="K592"/>
    </row>
    <row r="593" spans="1:11" ht="12.75" x14ac:dyDescent="0.2">
      <c r="A593"/>
      <c r="B593"/>
      <c r="C593"/>
      <c r="D593"/>
      <c r="E593"/>
      <c r="F593"/>
      <c r="G593"/>
      <c r="H593"/>
      <c r="I593"/>
      <c r="J593"/>
      <c r="K593"/>
    </row>
    <row r="594" spans="1:11" ht="12.75" x14ac:dyDescent="0.2">
      <c r="A594"/>
      <c r="B594"/>
      <c r="C594"/>
      <c r="D594"/>
      <c r="E594"/>
      <c r="F594"/>
      <c r="G594"/>
      <c r="H594"/>
      <c r="I594"/>
      <c r="J594"/>
      <c r="K594"/>
    </row>
    <row r="595" spans="1:11" ht="12.75" x14ac:dyDescent="0.2">
      <c r="A595"/>
      <c r="B595"/>
      <c r="C595"/>
      <c r="D595"/>
      <c r="E595"/>
      <c r="F595"/>
      <c r="G595"/>
      <c r="H595"/>
      <c r="I595"/>
      <c r="J595"/>
      <c r="K595"/>
    </row>
    <row r="596" spans="1:11" ht="12.75" x14ac:dyDescent="0.2">
      <c r="A596"/>
      <c r="B596"/>
      <c r="C596"/>
      <c r="D596"/>
      <c r="E596"/>
      <c r="F596"/>
      <c r="G596"/>
      <c r="H596"/>
      <c r="I596"/>
      <c r="J596"/>
      <c r="K596"/>
    </row>
    <row r="597" spans="1:11" ht="12.75" x14ac:dyDescent="0.2">
      <c r="A597"/>
      <c r="B597"/>
      <c r="C597"/>
      <c r="D597"/>
      <c r="E597"/>
      <c r="F597"/>
      <c r="G597"/>
      <c r="H597"/>
      <c r="I597"/>
      <c r="J597"/>
      <c r="K597"/>
    </row>
    <row r="598" spans="1:11" ht="12.75" x14ac:dyDescent="0.2">
      <c r="A598"/>
      <c r="B598"/>
      <c r="C598"/>
      <c r="D598"/>
      <c r="E598"/>
      <c r="F598"/>
      <c r="G598"/>
      <c r="H598"/>
      <c r="I598"/>
      <c r="J598"/>
      <c r="K598"/>
    </row>
    <row r="599" spans="1:11" ht="12.75" x14ac:dyDescent="0.2">
      <c r="A599"/>
      <c r="B599"/>
      <c r="C599"/>
      <c r="D599"/>
      <c r="E599"/>
      <c r="F599"/>
      <c r="G599"/>
      <c r="H599"/>
      <c r="I599"/>
      <c r="J599"/>
      <c r="K599"/>
    </row>
    <row r="600" spans="1:11" ht="12.75" x14ac:dyDescent="0.2">
      <c r="A600"/>
      <c r="B600"/>
      <c r="C600"/>
      <c r="D600"/>
      <c r="E600"/>
      <c r="F600"/>
      <c r="G600"/>
      <c r="H600"/>
      <c r="I600"/>
      <c r="J600"/>
      <c r="K600"/>
    </row>
    <row r="601" spans="1:11" ht="12.75" x14ac:dyDescent="0.2">
      <c r="A601"/>
      <c r="B601"/>
      <c r="C601"/>
      <c r="D601"/>
      <c r="E601"/>
      <c r="F601"/>
      <c r="G601"/>
      <c r="H601"/>
      <c r="I601"/>
      <c r="J601"/>
      <c r="K601"/>
    </row>
    <row r="602" spans="1:11" ht="12.75" x14ac:dyDescent="0.2">
      <c r="A602"/>
      <c r="B602"/>
      <c r="C602"/>
      <c r="D602"/>
      <c r="E602"/>
      <c r="F602"/>
      <c r="G602"/>
      <c r="H602"/>
      <c r="I602"/>
      <c r="J602"/>
      <c r="K602"/>
    </row>
    <row r="603" spans="1:11" ht="12.75" x14ac:dyDescent="0.2">
      <c r="A603"/>
      <c r="B603"/>
      <c r="C603"/>
      <c r="D603"/>
      <c r="E603"/>
      <c r="F603"/>
      <c r="G603"/>
      <c r="H603"/>
      <c r="I603"/>
      <c r="J603"/>
      <c r="K603"/>
    </row>
    <row r="604" spans="1:11" ht="12.75" x14ac:dyDescent="0.2">
      <c r="A604"/>
      <c r="B604"/>
      <c r="C604"/>
      <c r="D604"/>
      <c r="E604"/>
      <c r="F604"/>
      <c r="G604"/>
      <c r="H604"/>
      <c r="I604"/>
      <c r="J604"/>
      <c r="K604"/>
    </row>
    <row r="605" spans="1:11" ht="12.75" x14ac:dyDescent="0.2">
      <c r="A605"/>
      <c r="B605"/>
      <c r="C605"/>
      <c r="D605"/>
      <c r="E605"/>
      <c r="F605"/>
      <c r="G605"/>
      <c r="H605"/>
      <c r="I605"/>
      <c r="J605"/>
      <c r="K605"/>
    </row>
    <row r="606" spans="1:11" ht="12.75" x14ac:dyDescent="0.2">
      <c r="A606"/>
      <c r="B606"/>
      <c r="C606"/>
      <c r="D606"/>
      <c r="E606"/>
      <c r="F606"/>
      <c r="G606"/>
      <c r="H606"/>
      <c r="I606"/>
      <c r="J606"/>
      <c r="K606"/>
    </row>
    <row r="607" spans="1:11" ht="12.75" x14ac:dyDescent="0.2">
      <c r="A607"/>
      <c r="B607"/>
      <c r="C607"/>
      <c r="D607"/>
      <c r="E607"/>
      <c r="F607"/>
      <c r="G607"/>
      <c r="H607"/>
      <c r="I607"/>
      <c r="J607"/>
      <c r="K607"/>
    </row>
    <row r="608" spans="1:11" ht="12.75" x14ac:dyDescent="0.2">
      <c r="A608"/>
      <c r="B608"/>
      <c r="C608"/>
      <c r="D608"/>
      <c r="E608"/>
      <c r="F608"/>
      <c r="G608"/>
      <c r="H608"/>
      <c r="I608"/>
      <c r="J608"/>
      <c r="K608"/>
    </row>
    <row r="609" spans="1:11" ht="12.75" x14ac:dyDescent="0.2">
      <c r="A609"/>
      <c r="B609"/>
      <c r="C609"/>
      <c r="D609"/>
      <c r="E609"/>
      <c r="F609"/>
      <c r="G609"/>
      <c r="H609"/>
      <c r="I609"/>
      <c r="J609"/>
      <c r="K609"/>
    </row>
    <row r="610" spans="1:11" ht="12.75" x14ac:dyDescent="0.2">
      <c r="A610"/>
      <c r="B610"/>
      <c r="C610"/>
      <c r="D610"/>
      <c r="E610"/>
      <c r="F610"/>
      <c r="G610"/>
      <c r="H610"/>
      <c r="I610"/>
      <c r="J610"/>
      <c r="K610"/>
    </row>
    <row r="611" spans="1:11" ht="12.75" x14ac:dyDescent="0.2">
      <c r="A611"/>
      <c r="B611"/>
      <c r="C611"/>
      <c r="D611"/>
      <c r="E611"/>
      <c r="F611"/>
      <c r="G611"/>
      <c r="H611"/>
      <c r="I611"/>
      <c r="J611"/>
      <c r="K611"/>
    </row>
    <row r="612" spans="1:11" ht="12.75" x14ac:dyDescent="0.2">
      <c r="A612"/>
      <c r="B612"/>
      <c r="C612"/>
      <c r="D612"/>
      <c r="E612"/>
      <c r="F612"/>
      <c r="G612"/>
      <c r="H612"/>
      <c r="I612"/>
      <c r="J612"/>
      <c r="K612"/>
    </row>
    <row r="613" spans="1:11" ht="12.75" x14ac:dyDescent="0.2">
      <c r="A613"/>
      <c r="B613"/>
      <c r="C613"/>
      <c r="D613"/>
      <c r="E613"/>
      <c r="F613"/>
      <c r="G613"/>
      <c r="H613"/>
      <c r="I613"/>
      <c r="J613"/>
      <c r="K613"/>
    </row>
    <row r="614" spans="1:11" ht="12.75" x14ac:dyDescent="0.2">
      <c r="A614"/>
      <c r="B614"/>
      <c r="C614"/>
      <c r="D614"/>
      <c r="E614"/>
      <c r="F614"/>
      <c r="G614"/>
      <c r="H614"/>
      <c r="I614"/>
      <c r="J614"/>
      <c r="K614"/>
    </row>
    <row r="615" spans="1:11" ht="12.75" x14ac:dyDescent="0.2">
      <c r="A615"/>
      <c r="B615"/>
      <c r="C615"/>
      <c r="D615"/>
      <c r="E615"/>
      <c r="F615"/>
      <c r="G615"/>
      <c r="H615"/>
      <c r="I615"/>
      <c r="J615"/>
      <c r="K615"/>
    </row>
    <row r="616" spans="1:11" ht="12.75" x14ac:dyDescent="0.2">
      <c r="A616"/>
      <c r="B616"/>
      <c r="C616"/>
      <c r="D616"/>
      <c r="E616"/>
      <c r="F616"/>
      <c r="G616"/>
      <c r="H616"/>
      <c r="I616"/>
      <c r="J616"/>
      <c r="K616"/>
    </row>
    <row r="617" spans="1:11" ht="12.75" x14ac:dyDescent="0.2">
      <c r="A617"/>
      <c r="B617"/>
      <c r="C617"/>
      <c r="D617"/>
      <c r="E617"/>
      <c r="F617"/>
      <c r="G617"/>
      <c r="H617"/>
      <c r="I617"/>
      <c r="J617"/>
      <c r="K617"/>
    </row>
    <row r="618" spans="1:11" ht="12.75" x14ac:dyDescent="0.2">
      <c r="A618"/>
      <c r="B618"/>
      <c r="C618"/>
      <c r="D618"/>
      <c r="E618"/>
      <c r="F618"/>
      <c r="G618"/>
      <c r="H618"/>
      <c r="I618"/>
      <c r="J618"/>
      <c r="K618"/>
    </row>
    <row r="619" spans="1:11" ht="12.75" x14ac:dyDescent="0.2">
      <c r="A619"/>
      <c r="B619"/>
      <c r="C619"/>
      <c r="D619"/>
      <c r="E619"/>
      <c r="F619"/>
      <c r="G619"/>
      <c r="H619"/>
      <c r="I619"/>
      <c r="J619"/>
      <c r="K619"/>
    </row>
    <row r="620" spans="1:11" ht="12.75" x14ac:dyDescent="0.2">
      <c r="A620"/>
      <c r="B620"/>
      <c r="C620"/>
      <c r="D620"/>
      <c r="E620"/>
      <c r="F620"/>
      <c r="G620"/>
      <c r="H620"/>
      <c r="I620"/>
      <c r="J620"/>
      <c r="K620"/>
    </row>
    <row r="621" spans="1:11" ht="12.75" x14ac:dyDescent="0.2">
      <c r="A621"/>
      <c r="B621"/>
      <c r="C621"/>
      <c r="D621"/>
      <c r="E621"/>
      <c r="F621"/>
      <c r="G621"/>
      <c r="H621"/>
      <c r="I621"/>
      <c r="J621"/>
      <c r="K621"/>
    </row>
    <row r="622" spans="1:11" ht="12.75" x14ac:dyDescent="0.2">
      <c r="A622"/>
      <c r="B622"/>
      <c r="C622"/>
      <c r="D622"/>
      <c r="E622"/>
      <c r="F622"/>
      <c r="G622"/>
      <c r="H622"/>
      <c r="I622"/>
      <c r="J622"/>
      <c r="K622"/>
    </row>
    <row r="623" spans="1:11" ht="12.75" x14ac:dyDescent="0.2">
      <c r="A623"/>
      <c r="B623"/>
      <c r="C623"/>
      <c r="D623"/>
      <c r="E623"/>
      <c r="F623"/>
      <c r="G623"/>
      <c r="H623"/>
      <c r="I623"/>
      <c r="J623"/>
      <c r="K623"/>
    </row>
    <row r="624" spans="1:11" ht="12.75" x14ac:dyDescent="0.2">
      <c r="A624"/>
      <c r="B624"/>
      <c r="C624"/>
      <c r="D624"/>
      <c r="E624"/>
      <c r="F624"/>
      <c r="G624"/>
      <c r="H624"/>
      <c r="I624"/>
      <c r="J624"/>
      <c r="K624"/>
    </row>
    <row r="625" spans="1:11" ht="12.75" x14ac:dyDescent="0.2">
      <c r="A625"/>
      <c r="B625"/>
      <c r="C625"/>
      <c r="D625"/>
      <c r="E625"/>
      <c r="F625"/>
      <c r="G625"/>
      <c r="H625"/>
      <c r="I625"/>
      <c r="J625"/>
      <c r="K625"/>
    </row>
    <row r="626" spans="1:11" ht="12.75" x14ac:dyDescent="0.2">
      <c r="A626"/>
      <c r="B626"/>
      <c r="C626"/>
      <c r="D626"/>
      <c r="E626"/>
      <c r="F626"/>
      <c r="G626"/>
      <c r="H626"/>
      <c r="I626"/>
      <c r="J626"/>
      <c r="K626"/>
    </row>
    <row r="627" spans="1:11" ht="12.75" x14ac:dyDescent="0.2">
      <c r="A627"/>
      <c r="B627"/>
      <c r="C627"/>
      <c r="D627"/>
      <c r="E627"/>
      <c r="F627"/>
      <c r="G627"/>
      <c r="H627"/>
      <c r="I627"/>
      <c r="J627"/>
      <c r="K627"/>
    </row>
    <row r="628" spans="1:11" ht="12.75" x14ac:dyDescent="0.2">
      <c r="A628"/>
      <c r="B628"/>
      <c r="C628"/>
      <c r="D628"/>
      <c r="E628"/>
      <c r="F628"/>
      <c r="G628"/>
      <c r="H628"/>
      <c r="I628"/>
      <c r="J628"/>
      <c r="K628"/>
    </row>
    <row r="629" spans="1:11" ht="12.75" x14ac:dyDescent="0.2">
      <c r="A629"/>
      <c r="B629"/>
      <c r="C629"/>
      <c r="D629"/>
      <c r="E629"/>
      <c r="F629"/>
      <c r="G629"/>
      <c r="H629"/>
      <c r="I629"/>
      <c r="J629"/>
      <c r="K629"/>
    </row>
    <row r="630" spans="1:11" ht="12.75" x14ac:dyDescent="0.2">
      <c r="A630"/>
      <c r="B630"/>
      <c r="C630"/>
      <c r="D630"/>
      <c r="E630"/>
      <c r="F630"/>
      <c r="G630"/>
      <c r="H630"/>
      <c r="I630"/>
      <c r="J630"/>
      <c r="K630"/>
    </row>
    <row r="631" spans="1:11" ht="12.75" x14ac:dyDescent="0.2">
      <c r="A631"/>
      <c r="B631"/>
      <c r="C631"/>
      <c r="D631"/>
      <c r="E631"/>
      <c r="F631"/>
      <c r="G631"/>
      <c r="H631"/>
      <c r="I631"/>
      <c r="J631"/>
      <c r="K631"/>
    </row>
    <row r="632" spans="1:11" ht="12.75" x14ac:dyDescent="0.2">
      <c r="A632"/>
      <c r="B632"/>
      <c r="C632"/>
      <c r="D632"/>
      <c r="E632"/>
      <c r="F632"/>
      <c r="G632"/>
      <c r="H632"/>
      <c r="I632"/>
      <c r="J632"/>
      <c r="K632"/>
    </row>
    <row r="633" spans="1:11" ht="12.75" x14ac:dyDescent="0.2">
      <c r="A633"/>
      <c r="B633"/>
      <c r="C633"/>
      <c r="D633"/>
      <c r="E633"/>
      <c r="F633"/>
      <c r="G633"/>
      <c r="H633"/>
      <c r="I633"/>
      <c r="J633"/>
      <c r="K633"/>
    </row>
    <row r="634" spans="1:11" ht="12.75" x14ac:dyDescent="0.2">
      <c r="A634"/>
      <c r="B634"/>
      <c r="C634"/>
      <c r="D634"/>
      <c r="E634"/>
      <c r="F634"/>
      <c r="G634"/>
      <c r="H634"/>
      <c r="I634"/>
      <c r="J634"/>
      <c r="K634"/>
    </row>
    <row r="635" spans="1:11" ht="12.75" x14ac:dyDescent="0.2">
      <c r="A635"/>
      <c r="B635"/>
      <c r="C635"/>
      <c r="D635"/>
      <c r="E635"/>
      <c r="F635"/>
      <c r="G635"/>
      <c r="H635"/>
      <c r="I635"/>
      <c r="J635"/>
      <c r="K635"/>
    </row>
    <row r="636" spans="1:11" ht="12.75" x14ac:dyDescent="0.2">
      <c r="A636"/>
      <c r="B636"/>
      <c r="C636"/>
      <c r="D636"/>
      <c r="E636"/>
      <c r="F636"/>
      <c r="G636"/>
      <c r="H636"/>
      <c r="I636"/>
      <c r="J636"/>
      <c r="K636"/>
    </row>
    <row r="637" spans="1:11" ht="12.75" x14ac:dyDescent="0.2">
      <c r="A637"/>
      <c r="B637"/>
      <c r="C637"/>
      <c r="D637"/>
      <c r="E637"/>
      <c r="F637"/>
      <c r="G637"/>
      <c r="H637"/>
      <c r="I637"/>
      <c r="J637"/>
      <c r="K637"/>
    </row>
    <row r="638" spans="1:11" ht="12.75" x14ac:dyDescent="0.2">
      <c r="A638"/>
      <c r="B638"/>
      <c r="C638"/>
      <c r="D638"/>
      <c r="E638"/>
      <c r="F638"/>
      <c r="G638"/>
      <c r="H638"/>
      <c r="I638"/>
      <c r="J638"/>
      <c r="K638"/>
    </row>
    <row r="639" spans="1:11" ht="12.75" x14ac:dyDescent="0.2">
      <c r="A639"/>
      <c r="B639"/>
      <c r="C639"/>
      <c r="D639"/>
      <c r="E639"/>
      <c r="F639"/>
      <c r="G639"/>
      <c r="H639"/>
      <c r="I639"/>
      <c r="J639"/>
      <c r="K639"/>
    </row>
    <row r="640" spans="1:11" ht="12.75" x14ac:dyDescent="0.2">
      <c r="A640"/>
      <c r="B640"/>
      <c r="C640"/>
      <c r="D640"/>
      <c r="E640"/>
      <c r="F640"/>
      <c r="G640"/>
      <c r="H640"/>
      <c r="I640"/>
      <c r="J640"/>
      <c r="K640"/>
    </row>
    <row r="641" spans="1:11" ht="12.75" x14ac:dyDescent="0.2">
      <c r="A641"/>
      <c r="B641"/>
      <c r="C641"/>
      <c r="D641"/>
      <c r="E641"/>
      <c r="F641"/>
      <c r="G641"/>
      <c r="H641"/>
      <c r="I641"/>
      <c r="J641"/>
      <c r="K641"/>
    </row>
    <row r="642" spans="1:11" ht="12.75" x14ac:dyDescent="0.2">
      <c r="A642"/>
      <c r="B642"/>
      <c r="C642"/>
      <c r="D642"/>
      <c r="E642"/>
      <c r="F642"/>
      <c r="G642"/>
      <c r="H642"/>
      <c r="I642"/>
      <c r="J642"/>
      <c r="K642"/>
    </row>
    <row r="643" spans="1:11" ht="12.75" x14ac:dyDescent="0.2">
      <c r="A643"/>
      <c r="B643"/>
      <c r="C643"/>
      <c r="D643"/>
      <c r="E643"/>
      <c r="F643"/>
      <c r="G643"/>
      <c r="H643"/>
      <c r="I643"/>
      <c r="J643"/>
      <c r="K643"/>
    </row>
    <row r="644" spans="1:11" ht="12.75" x14ac:dyDescent="0.2">
      <c r="A644"/>
      <c r="B644"/>
      <c r="C644"/>
      <c r="D644"/>
      <c r="E644"/>
      <c r="F644"/>
      <c r="G644"/>
      <c r="H644"/>
      <c r="I644"/>
      <c r="J644"/>
      <c r="K644"/>
    </row>
    <row r="645" spans="1:11" ht="12.75" x14ac:dyDescent="0.2">
      <c r="A645"/>
      <c r="B645"/>
      <c r="C645"/>
      <c r="D645"/>
      <c r="E645"/>
      <c r="F645"/>
      <c r="G645"/>
      <c r="H645"/>
      <c r="I645"/>
      <c r="J645"/>
      <c r="K645"/>
    </row>
    <row r="646" spans="1:11" ht="12.75" x14ac:dyDescent="0.2">
      <c r="A646"/>
      <c r="B646"/>
      <c r="C646"/>
      <c r="D646"/>
      <c r="E646"/>
      <c r="F646"/>
      <c r="G646"/>
      <c r="H646"/>
      <c r="I646"/>
      <c r="J646"/>
      <c r="K646"/>
    </row>
    <row r="647" spans="1:11" ht="12.75" x14ac:dyDescent="0.2">
      <c r="A647"/>
      <c r="B647"/>
      <c r="C647"/>
      <c r="D647"/>
      <c r="E647"/>
      <c r="F647"/>
      <c r="G647"/>
      <c r="H647"/>
      <c r="I647"/>
      <c r="J647"/>
      <c r="K647"/>
    </row>
    <row r="648" spans="1:11" ht="12.75" x14ac:dyDescent="0.2">
      <c r="A648"/>
      <c r="B648"/>
      <c r="C648"/>
      <c r="D648"/>
      <c r="E648"/>
      <c r="F648"/>
      <c r="G648"/>
      <c r="H648"/>
      <c r="I648"/>
      <c r="J648"/>
      <c r="K648"/>
    </row>
    <row r="649" spans="1:11" ht="12.75" x14ac:dyDescent="0.2">
      <c r="A649"/>
      <c r="B649"/>
      <c r="C649"/>
      <c r="D649"/>
      <c r="E649"/>
      <c r="F649"/>
      <c r="G649"/>
      <c r="H649"/>
      <c r="I649"/>
      <c r="J649"/>
      <c r="K649"/>
    </row>
    <row r="650" spans="1:11" ht="12.75" x14ac:dyDescent="0.2">
      <c r="A650"/>
      <c r="B650"/>
      <c r="C650"/>
      <c r="D650"/>
      <c r="E650"/>
      <c r="F650"/>
      <c r="G650"/>
      <c r="H650"/>
      <c r="I650"/>
      <c r="J650"/>
      <c r="K650"/>
    </row>
    <row r="651" spans="1:11" ht="12.75" x14ac:dyDescent="0.2">
      <c r="A651"/>
      <c r="B651"/>
      <c r="C651"/>
      <c r="D651"/>
      <c r="E651"/>
      <c r="F651"/>
      <c r="G651"/>
      <c r="H651"/>
      <c r="I651"/>
      <c r="J651"/>
      <c r="K651"/>
    </row>
    <row r="652" spans="1:11" ht="12.75" x14ac:dyDescent="0.2">
      <c r="A652"/>
      <c r="B652"/>
      <c r="C652"/>
      <c r="D652"/>
      <c r="E652"/>
      <c r="F652"/>
      <c r="G652"/>
      <c r="H652"/>
      <c r="I652"/>
      <c r="J652"/>
      <c r="K652"/>
    </row>
    <row r="653" spans="1:11" ht="12.75" x14ac:dyDescent="0.2">
      <c r="A653"/>
      <c r="B653"/>
      <c r="C653"/>
      <c r="D653"/>
      <c r="E653"/>
      <c r="F653"/>
      <c r="G653"/>
      <c r="H653"/>
      <c r="I653"/>
      <c r="J653"/>
      <c r="K653"/>
    </row>
    <row r="654" spans="1:11" ht="12.75" x14ac:dyDescent="0.2">
      <c r="A654"/>
      <c r="B654"/>
      <c r="C654"/>
      <c r="D654"/>
      <c r="E654"/>
      <c r="F654"/>
      <c r="G654"/>
      <c r="H654"/>
      <c r="I654"/>
      <c r="J654"/>
      <c r="K654"/>
    </row>
    <row r="655" spans="1:11" ht="12.75" x14ac:dyDescent="0.2">
      <c r="A655"/>
      <c r="B655"/>
      <c r="C655"/>
      <c r="D655"/>
      <c r="E655"/>
      <c r="F655"/>
      <c r="G655"/>
      <c r="H655"/>
      <c r="I655"/>
      <c r="J655"/>
      <c r="K655"/>
    </row>
    <row r="656" spans="1:11" ht="12.75" x14ac:dyDescent="0.2">
      <c r="A656"/>
      <c r="B656"/>
      <c r="C656"/>
      <c r="D656"/>
      <c r="E656"/>
      <c r="F656"/>
      <c r="G656"/>
      <c r="H656"/>
      <c r="I656"/>
      <c r="J656"/>
      <c r="K656"/>
    </row>
    <row r="657" spans="1:11" ht="12.75" x14ac:dyDescent="0.2">
      <c r="A657"/>
      <c r="B657"/>
      <c r="C657"/>
      <c r="D657"/>
      <c r="E657"/>
      <c r="F657"/>
      <c r="G657"/>
      <c r="H657"/>
      <c r="I657"/>
      <c r="J657"/>
      <c r="K657"/>
    </row>
    <row r="658" spans="1:11" ht="12.75" x14ac:dyDescent="0.2">
      <c r="A658"/>
      <c r="B658"/>
      <c r="C658"/>
      <c r="D658"/>
      <c r="E658"/>
      <c r="F658"/>
      <c r="G658"/>
      <c r="H658"/>
      <c r="I658"/>
      <c r="J658"/>
      <c r="K658"/>
    </row>
    <row r="659" spans="1:11" ht="12.75" x14ac:dyDescent="0.2">
      <c r="A659"/>
      <c r="B659"/>
      <c r="C659"/>
      <c r="D659"/>
      <c r="E659"/>
      <c r="F659"/>
      <c r="G659"/>
      <c r="H659"/>
      <c r="I659"/>
      <c r="J659"/>
      <c r="K659"/>
    </row>
    <row r="660" spans="1:11" ht="12.75" x14ac:dyDescent="0.2">
      <c r="A660"/>
      <c r="B660"/>
      <c r="C660"/>
      <c r="D660"/>
      <c r="E660"/>
      <c r="F660"/>
      <c r="G660"/>
      <c r="H660"/>
      <c r="I660"/>
      <c r="J660"/>
      <c r="K660"/>
    </row>
    <row r="661" spans="1:11" ht="12.75" x14ac:dyDescent="0.2">
      <c r="A661"/>
      <c r="B661"/>
      <c r="C661"/>
      <c r="D661"/>
      <c r="E661"/>
      <c r="F661"/>
      <c r="G661"/>
      <c r="H661"/>
      <c r="I661"/>
      <c r="J661"/>
      <c r="K661"/>
    </row>
    <row r="662" spans="1:11" ht="12.75" x14ac:dyDescent="0.2">
      <c r="A662"/>
      <c r="B662"/>
      <c r="C662"/>
      <c r="D662"/>
      <c r="E662"/>
      <c r="F662"/>
      <c r="G662"/>
      <c r="H662"/>
      <c r="I662"/>
      <c r="J662"/>
      <c r="K662"/>
    </row>
    <row r="663" spans="1:11" ht="12.75" x14ac:dyDescent="0.2">
      <c r="A663"/>
      <c r="B663"/>
      <c r="C663"/>
      <c r="D663"/>
      <c r="E663"/>
      <c r="F663"/>
      <c r="G663"/>
      <c r="H663"/>
      <c r="I663"/>
      <c r="J663"/>
      <c r="K663"/>
    </row>
    <row r="664" spans="1:11" ht="12.75" x14ac:dyDescent="0.2">
      <c r="A664"/>
      <c r="B664"/>
      <c r="C664"/>
      <c r="D664"/>
      <c r="E664"/>
      <c r="F664"/>
      <c r="G664"/>
      <c r="H664"/>
      <c r="I664"/>
      <c r="J664"/>
      <c r="K664"/>
    </row>
    <row r="665" spans="1:11" ht="12.75" x14ac:dyDescent="0.2">
      <c r="A665"/>
      <c r="B665"/>
      <c r="C665"/>
      <c r="D665"/>
      <c r="E665"/>
      <c r="F665"/>
      <c r="G665"/>
      <c r="H665"/>
      <c r="I665"/>
      <c r="J665"/>
      <c r="K665"/>
    </row>
    <row r="666" spans="1:11" ht="12.75" x14ac:dyDescent="0.2">
      <c r="A666"/>
      <c r="B666"/>
      <c r="C666"/>
      <c r="D666"/>
      <c r="E666"/>
      <c r="F666"/>
      <c r="G666"/>
      <c r="H666"/>
      <c r="I666"/>
      <c r="J666"/>
      <c r="K666"/>
    </row>
    <row r="667" spans="1:11" ht="12.75" x14ac:dyDescent="0.2">
      <c r="A667"/>
      <c r="B667"/>
      <c r="C667"/>
      <c r="D667"/>
      <c r="E667"/>
      <c r="F667"/>
      <c r="G667"/>
      <c r="H667"/>
      <c r="I667"/>
      <c r="J667"/>
      <c r="K667"/>
    </row>
    <row r="668" spans="1:11" ht="12.75" x14ac:dyDescent="0.2">
      <c r="A668"/>
      <c r="B668"/>
      <c r="C668"/>
      <c r="D668"/>
      <c r="E668"/>
      <c r="F668"/>
      <c r="G668"/>
      <c r="H668"/>
      <c r="I668"/>
      <c r="J668"/>
      <c r="K668"/>
    </row>
    <row r="669" spans="1:11" ht="12.75" x14ac:dyDescent="0.2">
      <c r="A669"/>
      <c r="B669"/>
      <c r="C669"/>
      <c r="D669"/>
      <c r="E669"/>
      <c r="F669"/>
      <c r="G669"/>
      <c r="H669"/>
      <c r="I669"/>
      <c r="J669"/>
      <c r="K669"/>
    </row>
    <row r="670" spans="1:11" ht="12.75" x14ac:dyDescent="0.2">
      <c r="A670"/>
      <c r="B670"/>
      <c r="C670"/>
      <c r="D670"/>
      <c r="E670"/>
      <c r="F670"/>
      <c r="G670"/>
      <c r="H670"/>
      <c r="I670"/>
      <c r="J670"/>
      <c r="K670"/>
    </row>
    <row r="671" spans="1:11" ht="12.75" x14ac:dyDescent="0.2">
      <c r="A671"/>
      <c r="B671"/>
      <c r="C671"/>
      <c r="D671"/>
      <c r="E671"/>
      <c r="F671"/>
      <c r="G671"/>
      <c r="H671"/>
      <c r="I671"/>
      <c r="J671"/>
      <c r="K671"/>
    </row>
    <row r="672" spans="1:11" ht="12.75" x14ac:dyDescent="0.2">
      <c r="A672"/>
      <c r="B672"/>
      <c r="C672"/>
      <c r="D672"/>
      <c r="E672"/>
      <c r="F672"/>
      <c r="G672"/>
      <c r="H672"/>
      <c r="I672"/>
      <c r="J672"/>
      <c r="K672"/>
    </row>
    <row r="673" spans="1:11" ht="12.75" x14ac:dyDescent="0.2">
      <c r="A673"/>
      <c r="B673"/>
      <c r="C673"/>
      <c r="D673"/>
      <c r="E673"/>
      <c r="F673"/>
      <c r="G673"/>
      <c r="H673"/>
      <c r="I673"/>
      <c r="J673"/>
      <c r="K673"/>
    </row>
    <row r="674" spans="1:11" ht="12.75" x14ac:dyDescent="0.2">
      <c r="A674"/>
      <c r="B674"/>
      <c r="C674"/>
      <c r="D674"/>
      <c r="E674"/>
      <c r="F674"/>
      <c r="G674"/>
      <c r="H674"/>
      <c r="I674"/>
      <c r="J674"/>
      <c r="K674"/>
    </row>
    <row r="675" spans="1:11" ht="12.75" x14ac:dyDescent="0.2">
      <c r="A675"/>
      <c r="B675"/>
      <c r="C675"/>
      <c r="D675"/>
      <c r="E675"/>
      <c r="F675"/>
      <c r="G675"/>
      <c r="H675"/>
      <c r="I675"/>
      <c r="J675"/>
      <c r="K675"/>
    </row>
    <row r="676" spans="1:11" ht="12.75" x14ac:dyDescent="0.2">
      <c r="A676"/>
      <c r="B676"/>
      <c r="C676"/>
      <c r="D676"/>
      <c r="E676"/>
      <c r="F676"/>
      <c r="G676"/>
      <c r="H676"/>
      <c r="I676"/>
      <c r="J676"/>
      <c r="K676"/>
    </row>
    <row r="677" spans="1:11" ht="12.75" x14ac:dyDescent="0.2">
      <c r="A677"/>
      <c r="B677"/>
      <c r="C677"/>
      <c r="D677"/>
      <c r="E677"/>
      <c r="F677"/>
      <c r="G677"/>
      <c r="H677"/>
      <c r="I677"/>
      <c r="J677"/>
      <c r="K677"/>
    </row>
    <row r="678" spans="1:11" ht="12.75" x14ac:dyDescent="0.2">
      <c r="A678"/>
      <c r="B678"/>
      <c r="C678"/>
      <c r="D678"/>
      <c r="E678"/>
      <c r="F678"/>
      <c r="G678"/>
      <c r="H678"/>
      <c r="I678"/>
      <c r="J678"/>
      <c r="K678"/>
    </row>
    <row r="679" spans="1:11" ht="12.75" x14ac:dyDescent="0.2">
      <c r="A679"/>
      <c r="B679"/>
      <c r="C679"/>
      <c r="D679"/>
      <c r="E679"/>
      <c r="F679"/>
      <c r="G679"/>
      <c r="H679"/>
      <c r="I679"/>
      <c r="J679"/>
      <c r="K679"/>
    </row>
    <row r="680" spans="1:11" ht="12.75" x14ac:dyDescent="0.2">
      <c r="A680"/>
      <c r="B680"/>
      <c r="C680"/>
      <c r="D680"/>
      <c r="E680"/>
      <c r="F680"/>
      <c r="G680"/>
      <c r="H680"/>
      <c r="I680"/>
      <c r="J680"/>
      <c r="K680"/>
    </row>
    <row r="681" spans="1:11" ht="12.75" x14ac:dyDescent="0.2">
      <c r="A681"/>
      <c r="B681"/>
      <c r="C681"/>
      <c r="D681"/>
      <c r="E681"/>
      <c r="F681"/>
      <c r="G681"/>
      <c r="H681"/>
      <c r="I681"/>
      <c r="J681"/>
      <c r="K681"/>
    </row>
    <row r="682" spans="1:11" ht="12.75" x14ac:dyDescent="0.2">
      <c r="A682"/>
      <c r="B682"/>
      <c r="C682"/>
      <c r="D682"/>
      <c r="E682"/>
      <c r="F682"/>
      <c r="G682"/>
      <c r="H682"/>
      <c r="I682"/>
      <c r="J682"/>
      <c r="K682"/>
    </row>
    <row r="683" spans="1:11" ht="12.75" x14ac:dyDescent="0.2">
      <c r="A683"/>
      <c r="B683"/>
      <c r="C683"/>
      <c r="D683"/>
      <c r="E683"/>
      <c r="F683"/>
      <c r="G683"/>
      <c r="H683"/>
      <c r="I683"/>
      <c r="J683"/>
      <c r="K683"/>
    </row>
    <row r="684" spans="1:11" ht="12.75" x14ac:dyDescent="0.2">
      <c r="A684"/>
      <c r="B684"/>
      <c r="C684"/>
      <c r="D684"/>
      <c r="E684"/>
      <c r="F684"/>
      <c r="G684"/>
      <c r="H684"/>
      <c r="I684"/>
      <c r="J684"/>
      <c r="K684"/>
    </row>
    <row r="685" spans="1:11" ht="12.75" x14ac:dyDescent="0.2">
      <c r="A685"/>
      <c r="B685"/>
      <c r="C685"/>
      <c r="D685"/>
      <c r="E685"/>
      <c r="F685"/>
      <c r="G685"/>
      <c r="H685"/>
      <c r="I685"/>
      <c r="J685"/>
      <c r="K685"/>
    </row>
    <row r="686" spans="1:11" ht="12.75" x14ac:dyDescent="0.2">
      <c r="A686"/>
      <c r="B686"/>
      <c r="C686"/>
      <c r="D686"/>
      <c r="E686"/>
      <c r="F686"/>
      <c r="G686"/>
      <c r="H686"/>
      <c r="I686"/>
      <c r="J686"/>
      <c r="K686"/>
    </row>
    <row r="687" spans="1:11" ht="12.75" x14ac:dyDescent="0.2">
      <c r="A687"/>
      <c r="B687"/>
      <c r="C687"/>
      <c r="D687"/>
      <c r="E687"/>
      <c r="F687"/>
      <c r="G687"/>
      <c r="H687"/>
      <c r="I687"/>
      <c r="J687"/>
      <c r="K687"/>
    </row>
    <row r="688" spans="1:11" ht="12.75" x14ac:dyDescent="0.2">
      <c r="A688"/>
      <c r="B688"/>
      <c r="C688"/>
      <c r="D688"/>
      <c r="E688"/>
      <c r="F688"/>
      <c r="G688"/>
      <c r="H688"/>
      <c r="I688"/>
      <c r="J688"/>
      <c r="K688"/>
    </row>
    <row r="689" spans="1:11" ht="12.75" x14ac:dyDescent="0.2">
      <c r="A689"/>
      <c r="B689"/>
      <c r="C689"/>
      <c r="D689"/>
      <c r="E689"/>
      <c r="F689"/>
      <c r="G689"/>
      <c r="H689"/>
      <c r="I689"/>
      <c r="J689"/>
      <c r="K689"/>
    </row>
    <row r="690" spans="1:11" ht="12.75" x14ac:dyDescent="0.2">
      <c r="A690"/>
      <c r="B690"/>
      <c r="C690"/>
      <c r="D690"/>
      <c r="E690"/>
      <c r="F690"/>
      <c r="G690"/>
      <c r="H690"/>
      <c r="I690"/>
      <c r="J690"/>
      <c r="K690"/>
    </row>
    <row r="691" spans="1:11" ht="12.75" x14ac:dyDescent="0.2">
      <c r="A691"/>
      <c r="B691"/>
      <c r="C691"/>
      <c r="D691"/>
      <c r="E691"/>
      <c r="F691"/>
      <c r="G691"/>
      <c r="H691"/>
      <c r="I691"/>
      <c r="J691"/>
      <c r="K691"/>
    </row>
    <row r="692" spans="1:11" ht="12.75" x14ac:dyDescent="0.2">
      <c r="A692"/>
      <c r="B692"/>
      <c r="C692"/>
      <c r="D692"/>
      <c r="E692"/>
      <c r="F692"/>
      <c r="G692"/>
      <c r="H692"/>
      <c r="I692"/>
      <c r="J692"/>
      <c r="K692"/>
    </row>
    <row r="693" spans="1:11" ht="12.75" x14ac:dyDescent="0.2">
      <c r="A693"/>
      <c r="B693"/>
      <c r="C693"/>
      <c r="D693"/>
      <c r="E693"/>
      <c r="F693"/>
      <c r="G693"/>
      <c r="H693"/>
      <c r="I693"/>
      <c r="J693"/>
      <c r="K693"/>
    </row>
    <row r="694" spans="1:11" ht="12.75" x14ac:dyDescent="0.2">
      <c r="A694"/>
      <c r="B694"/>
      <c r="C694"/>
      <c r="D694"/>
      <c r="E694"/>
      <c r="F694"/>
      <c r="G694"/>
      <c r="H694"/>
      <c r="I694"/>
      <c r="J694"/>
      <c r="K694"/>
    </row>
    <row r="695" spans="1:11" ht="12.75" x14ac:dyDescent="0.2">
      <c r="A695"/>
      <c r="B695"/>
      <c r="C695"/>
      <c r="D695"/>
      <c r="E695"/>
      <c r="F695"/>
      <c r="G695"/>
      <c r="H695"/>
      <c r="I695"/>
      <c r="J695"/>
      <c r="K695"/>
    </row>
    <row r="696" spans="1:11" ht="12.75" x14ac:dyDescent="0.2">
      <c r="A696"/>
      <c r="B696"/>
      <c r="C696"/>
      <c r="D696"/>
      <c r="E696"/>
      <c r="F696"/>
      <c r="G696"/>
      <c r="H696"/>
      <c r="I696"/>
      <c r="J696"/>
      <c r="K696"/>
    </row>
    <row r="697" spans="1:11" ht="12.75" x14ac:dyDescent="0.2">
      <c r="A697"/>
      <c r="B697"/>
      <c r="C697"/>
      <c r="D697"/>
      <c r="E697"/>
      <c r="F697"/>
      <c r="G697"/>
      <c r="H697"/>
      <c r="I697"/>
      <c r="J697"/>
      <c r="K697"/>
    </row>
    <row r="698" spans="1:11" ht="12.75" x14ac:dyDescent="0.2">
      <c r="A698"/>
      <c r="B698"/>
      <c r="C698"/>
      <c r="D698"/>
      <c r="E698"/>
      <c r="F698"/>
      <c r="G698"/>
      <c r="H698"/>
      <c r="I698"/>
      <c r="J698"/>
      <c r="K698"/>
    </row>
    <row r="699" spans="1:11" ht="12.75" x14ac:dyDescent="0.2">
      <c r="A699"/>
      <c r="B699"/>
      <c r="C699"/>
      <c r="D699"/>
      <c r="E699"/>
      <c r="F699"/>
      <c r="G699"/>
      <c r="H699"/>
      <c r="I699"/>
      <c r="J699"/>
      <c r="K699"/>
    </row>
    <row r="700" spans="1:11" ht="12.75" x14ac:dyDescent="0.2">
      <c r="A700"/>
      <c r="B700"/>
      <c r="C700"/>
      <c r="D700"/>
      <c r="E700"/>
      <c r="F700"/>
      <c r="G700"/>
      <c r="H700"/>
      <c r="I700"/>
      <c r="J700"/>
      <c r="K700"/>
    </row>
    <row r="701" spans="1:11" ht="12.75" x14ac:dyDescent="0.2">
      <c r="A701"/>
      <c r="B701"/>
      <c r="C701"/>
      <c r="D701"/>
      <c r="E701"/>
      <c r="F701"/>
      <c r="G701"/>
      <c r="H701"/>
      <c r="I701"/>
      <c r="J701"/>
      <c r="K701"/>
    </row>
    <row r="702" spans="1:11" ht="12.75" x14ac:dyDescent="0.2">
      <c r="A702"/>
      <c r="B702"/>
      <c r="C702"/>
      <c r="D702"/>
      <c r="E702"/>
      <c r="F702"/>
      <c r="G702"/>
      <c r="H702"/>
      <c r="I702"/>
      <c r="J702"/>
      <c r="K702"/>
    </row>
    <row r="703" spans="1:11" ht="12.75" x14ac:dyDescent="0.2">
      <c r="A703"/>
      <c r="B703"/>
      <c r="C703"/>
      <c r="D703"/>
      <c r="E703"/>
      <c r="F703"/>
      <c r="G703"/>
      <c r="H703"/>
      <c r="I703"/>
      <c r="J703"/>
      <c r="K703"/>
    </row>
    <row r="704" spans="1:11" ht="12.75" x14ac:dyDescent="0.2">
      <c r="A704"/>
      <c r="B704"/>
      <c r="C704"/>
      <c r="D704"/>
      <c r="E704"/>
      <c r="F704"/>
      <c r="G704"/>
      <c r="H704"/>
      <c r="I704"/>
      <c r="J704"/>
      <c r="K704"/>
    </row>
    <row r="705" spans="1:11" ht="12.75" x14ac:dyDescent="0.2">
      <c r="A705"/>
      <c r="B705"/>
      <c r="C705"/>
      <c r="D705"/>
      <c r="E705"/>
      <c r="F705"/>
      <c r="G705"/>
      <c r="H705"/>
      <c r="I705"/>
      <c r="J705"/>
      <c r="K705"/>
    </row>
    <row r="706" spans="1:11" ht="12.75" x14ac:dyDescent="0.2">
      <c r="A706"/>
      <c r="B706"/>
      <c r="C706"/>
      <c r="D706"/>
      <c r="E706"/>
      <c r="F706"/>
      <c r="G706"/>
      <c r="H706"/>
      <c r="I706"/>
      <c r="J706"/>
      <c r="K706"/>
    </row>
    <row r="707" spans="1:11" ht="12.75" x14ac:dyDescent="0.2">
      <c r="A707"/>
      <c r="B707"/>
      <c r="C707"/>
      <c r="D707"/>
      <c r="E707"/>
      <c r="F707"/>
      <c r="G707"/>
      <c r="H707"/>
      <c r="I707"/>
      <c r="J707"/>
      <c r="K707"/>
    </row>
    <row r="708" spans="1:11" ht="12.75" x14ac:dyDescent="0.2">
      <c r="A708"/>
      <c r="B708"/>
      <c r="C708"/>
      <c r="D708"/>
      <c r="E708"/>
      <c r="F708"/>
      <c r="G708"/>
      <c r="H708"/>
      <c r="I708"/>
      <c r="J708"/>
      <c r="K708"/>
    </row>
    <row r="709" spans="1:11" ht="12.75" x14ac:dyDescent="0.2">
      <c r="A709"/>
      <c r="B709"/>
      <c r="C709"/>
      <c r="D709"/>
      <c r="E709"/>
      <c r="F709"/>
      <c r="G709"/>
      <c r="H709"/>
      <c r="I709"/>
      <c r="J709"/>
      <c r="K709"/>
    </row>
    <row r="710" spans="1:11" ht="12.75" x14ac:dyDescent="0.2">
      <c r="A710"/>
      <c r="B710"/>
      <c r="C710"/>
      <c r="D710"/>
      <c r="E710"/>
      <c r="F710"/>
      <c r="G710"/>
      <c r="H710"/>
      <c r="I710"/>
      <c r="J710"/>
      <c r="K710"/>
    </row>
    <row r="711" spans="1:11" ht="12.75" x14ac:dyDescent="0.2">
      <c r="A711"/>
      <c r="B711"/>
      <c r="C711"/>
      <c r="D711"/>
      <c r="E711"/>
      <c r="F711"/>
      <c r="G711"/>
      <c r="H711"/>
      <c r="I711"/>
      <c r="J711"/>
      <c r="K711"/>
    </row>
    <row r="712" spans="1:11" ht="12.75" x14ac:dyDescent="0.2">
      <c r="A712"/>
      <c r="B712"/>
      <c r="C712"/>
      <c r="D712"/>
      <c r="E712"/>
      <c r="F712"/>
      <c r="G712"/>
      <c r="H712"/>
      <c r="I712"/>
      <c r="J712"/>
      <c r="K712"/>
    </row>
    <row r="713" spans="1:11" ht="12.75" x14ac:dyDescent="0.2">
      <c r="A713"/>
      <c r="B713"/>
      <c r="C713"/>
      <c r="D713"/>
      <c r="E713"/>
      <c r="F713"/>
      <c r="G713"/>
      <c r="H713"/>
      <c r="I713"/>
      <c r="J713"/>
      <c r="K713"/>
    </row>
    <row r="714" spans="1:11" ht="12.75" x14ac:dyDescent="0.2">
      <c r="A714"/>
      <c r="B714"/>
      <c r="C714"/>
      <c r="D714"/>
      <c r="E714"/>
      <c r="F714"/>
      <c r="G714"/>
      <c r="H714"/>
      <c r="I714"/>
      <c r="J714"/>
      <c r="K714"/>
    </row>
    <row r="715" spans="1:11" ht="12.75" x14ac:dyDescent="0.2">
      <c r="A715"/>
      <c r="B715"/>
      <c r="C715"/>
      <c r="D715"/>
      <c r="E715"/>
      <c r="F715"/>
      <c r="G715"/>
      <c r="H715"/>
      <c r="I715"/>
      <c r="J715"/>
      <c r="K715"/>
    </row>
    <row r="716" spans="1:11" ht="12.75" x14ac:dyDescent="0.2">
      <c r="A716"/>
      <c r="B716"/>
      <c r="C716"/>
      <c r="D716"/>
      <c r="E716"/>
      <c r="F716"/>
      <c r="G716"/>
      <c r="H716"/>
      <c r="I716"/>
      <c r="J716"/>
      <c r="K716"/>
    </row>
    <row r="717" spans="1:11" ht="12.75" x14ac:dyDescent="0.2">
      <c r="A717"/>
      <c r="B717"/>
      <c r="C717"/>
      <c r="D717"/>
      <c r="E717"/>
      <c r="F717"/>
      <c r="G717"/>
      <c r="H717"/>
      <c r="I717"/>
      <c r="J717"/>
      <c r="K717"/>
    </row>
    <row r="718" spans="1:11" ht="12.75" x14ac:dyDescent="0.2">
      <c r="A718"/>
      <c r="B718"/>
      <c r="C718"/>
      <c r="D718"/>
      <c r="E718"/>
      <c r="F718"/>
      <c r="G718"/>
      <c r="H718"/>
      <c r="I718"/>
      <c r="J718"/>
      <c r="K718"/>
    </row>
    <row r="719" spans="1:11" ht="12.75" x14ac:dyDescent="0.2">
      <c r="A719"/>
      <c r="B719"/>
      <c r="C719"/>
      <c r="D719"/>
      <c r="E719"/>
      <c r="F719"/>
      <c r="G719"/>
      <c r="H719"/>
      <c r="I719"/>
      <c r="J719"/>
      <c r="K719"/>
    </row>
    <row r="720" spans="1:11" ht="12.75" x14ac:dyDescent="0.2">
      <c r="A720"/>
      <c r="B720"/>
      <c r="C720"/>
      <c r="D720"/>
      <c r="E720"/>
      <c r="F720"/>
      <c r="G720"/>
      <c r="H720"/>
      <c r="I720"/>
      <c r="J720"/>
      <c r="K720"/>
    </row>
    <row r="721" spans="1:11" ht="12.75" x14ac:dyDescent="0.2">
      <c r="A721"/>
      <c r="B721"/>
      <c r="C721"/>
      <c r="D721"/>
      <c r="E721"/>
      <c r="F721"/>
      <c r="G721"/>
      <c r="H721"/>
      <c r="I721"/>
      <c r="J721"/>
      <c r="K721"/>
    </row>
    <row r="722" spans="1:11" ht="12.75" x14ac:dyDescent="0.2">
      <c r="A722"/>
      <c r="B722"/>
      <c r="C722"/>
      <c r="D722"/>
      <c r="E722"/>
      <c r="F722"/>
      <c r="G722"/>
      <c r="H722"/>
      <c r="I722"/>
      <c r="J722"/>
      <c r="K722"/>
    </row>
    <row r="723" spans="1:11" ht="12.75" x14ac:dyDescent="0.2">
      <c r="A723"/>
      <c r="B723"/>
      <c r="C723"/>
      <c r="D723"/>
      <c r="E723"/>
      <c r="F723"/>
      <c r="G723"/>
      <c r="H723"/>
      <c r="I723"/>
      <c r="J723"/>
      <c r="K723"/>
    </row>
    <row r="724" spans="1:11" ht="12.75" x14ac:dyDescent="0.2">
      <c r="A724"/>
      <c r="B724"/>
      <c r="C724"/>
      <c r="D724"/>
      <c r="E724"/>
      <c r="F724"/>
      <c r="G724"/>
      <c r="H724"/>
      <c r="I724"/>
      <c r="J724"/>
      <c r="K724"/>
    </row>
    <row r="725" spans="1:11" ht="12.75" x14ac:dyDescent="0.2">
      <c r="A725"/>
      <c r="B725"/>
      <c r="C725"/>
      <c r="D725"/>
      <c r="E725"/>
      <c r="F725"/>
      <c r="G725"/>
      <c r="H725"/>
      <c r="I725"/>
      <c r="J725"/>
      <c r="K725"/>
    </row>
    <row r="726" spans="1:11" ht="12.75" x14ac:dyDescent="0.2">
      <c r="A726"/>
      <c r="B726"/>
      <c r="C726"/>
      <c r="D726"/>
      <c r="E726"/>
      <c r="F726"/>
      <c r="G726"/>
      <c r="H726"/>
      <c r="I726"/>
      <c r="J726"/>
      <c r="K726"/>
    </row>
    <row r="727" spans="1:11" ht="12.75" x14ac:dyDescent="0.2">
      <c r="A727"/>
      <c r="B727"/>
      <c r="C727"/>
      <c r="D727"/>
      <c r="E727"/>
      <c r="F727"/>
      <c r="G727"/>
      <c r="H727"/>
      <c r="I727"/>
      <c r="J727"/>
      <c r="K727"/>
    </row>
    <row r="728" spans="1:11" ht="12.75" x14ac:dyDescent="0.2">
      <c r="A728"/>
      <c r="B728"/>
      <c r="C728"/>
      <c r="D728"/>
      <c r="E728"/>
      <c r="F728"/>
      <c r="G728"/>
      <c r="H728"/>
      <c r="I728"/>
      <c r="J728"/>
      <c r="K728"/>
    </row>
    <row r="729" spans="1:11" ht="12.75" x14ac:dyDescent="0.2">
      <c r="A729"/>
      <c r="B729"/>
      <c r="C729"/>
      <c r="D729"/>
      <c r="E729"/>
      <c r="F729"/>
      <c r="G729"/>
      <c r="H729"/>
      <c r="I729"/>
      <c r="J729"/>
      <c r="K729"/>
    </row>
    <row r="730" spans="1:11" ht="12.75" x14ac:dyDescent="0.2">
      <c r="A730"/>
      <c r="B730"/>
      <c r="C730"/>
      <c r="D730"/>
      <c r="E730"/>
      <c r="F730"/>
      <c r="G730"/>
      <c r="H730"/>
      <c r="I730"/>
      <c r="J730"/>
      <c r="K730"/>
    </row>
    <row r="731" spans="1:11" ht="12.75" x14ac:dyDescent="0.2">
      <c r="A731"/>
      <c r="B731"/>
      <c r="C731"/>
      <c r="D731"/>
      <c r="E731"/>
      <c r="F731"/>
      <c r="G731"/>
      <c r="H731"/>
      <c r="I731"/>
      <c r="J731"/>
      <c r="K731"/>
    </row>
    <row r="732" spans="1:11" ht="12.75" x14ac:dyDescent="0.2">
      <c r="A732"/>
      <c r="B732"/>
      <c r="C732"/>
      <c r="D732"/>
      <c r="E732"/>
      <c r="F732"/>
      <c r="G732"/>
      <c r="H732"/>
      <c r="I732"/>
      <c r="J732"/>
      <c r="K732"/>
    </row>
    <row r="733" spans="1:11" ht="12.75" x14ac:dyDescent="0.2">
      <c r="A733"/>
      <c r="B733"/>
      <c r="C733"/>
      <c r="D733"/>
      <c r="E733"/>
      <c r="F733"/>
      <c r="G733"/>
      <c r="H733"/>
      <c r="I733"/>
      <c r="J733"/>
      <c r="K733"/>
    </row>
    <row r="734" spans="1:11" ht="12.75" x14ac:dyDescent="0.2">
      <c r="A734"/>
      <c r="B734"/>
      <c r="C734"/>
      <c r="D734"/>
      <c r="E734"/>
      <c r="F734"/>
      <c r="G734"/>
      <c r="H734"/>
      <c r="I734"/>
      <c r="J734"/>
      <c r="K734"/>
    </row>
    <row r="735" spans="1:11" ht="12.75" x14ac:dyDescent="0.2">
      <c r="A735"/>
      <c r="B735"/>
      <c r="C735"/>
      <c r="D735"/>
      <c r="E735"/>
      <c r="F735"/>
      <c r="G735"/>
      <c r="H735"/>
      <c r="I735"/>
      <c r="J735"/>
      <c r="K735"/>
    </row>
    <row r="736" spans="1:11" ht="12.75" x14ac:dyDescent="0.2">
      <c r="A736"/>
      <c r="B736"/>
      <c r="C736"/>
      <c r="D736"/>
      <c r="E736"/>
      <c r="F736"/>
      <c r="G736"/>
      <c r="H736"/>
      <c r="I736"/>
      <c r="J736"/>
      <c r="K736"/>
    </row>
    <row r="737" spans="1:11" ht="12.75" x14ac:dyDescent="0.2">
      <c r="A737"/>
      <c r="B737"/>
      <c r="C737"/>
      <c r="D737"/>
      <c r="E737"/>
      <c r="F737"/>
      <c r="G737"/>
      <c r="H737"/>
      <c r="I737"/>
      <c r="J737"/>
      <c r="K737"/>
    </row>
    <row r="738" spans="1:11" ht="12.75" x14ac:dyDescent="0.2">
      <c r="A738"/>
      <c r="B738"/>
      <c r="C738"/>
      <c r="D738"/>
      <c r="E738"/>
      <c r="F738"/>
      <c r="G738"/>
      <c r="H738"/>
      <c r="I738"/>
      <c r="J738"/>
      <c r="K738"/>
    </row>
    <row r="739" spans="1:11" ht="12.75" x14ac:dyDescent="0.2">
      <c r="A739"/>
      <c r="B739"/>
      <c r="C739"/>
      <c r="D739"/>
      <c r="E739"/>
      <c r="F739"/>
      <c r="G739"/>
      <c r="H739"/>
      <c r="I739"/>
      <c r="J739"/>
      <c r="K739"/>
    </row>
    <row r="740" spans="1:11" ht="12.75" x14ac:dyDescent="0.2">
      <c r="A740"/>
      <c r="B740"/>
      <c r="C740"/>
      <c r="D740"/>
      <c r="E740"/>
      <c r="F740"/>
      <c r="G740"/>
      <c r="H740"/>
      <c r="I740"/>
      <c r="J740"/>
      <c r="K740"/>
    </row>
    <row r="741" spans="1:11" ht="12.75" x14ac:dyDescent="0.2">
      <c r="A741"/>
      <c r="B741"/>
      <c r="C741"/>
      <c r="D741"/>
      <c r="E741"/>
      <c r="F741"/>
      <c r="G741"/>
      <c r="H741"/>
      <c r="I741"/>
      <c r="J741"/>
      <c r="K741"/>
    </row>
    <row r="742" spans="1:11" ht="12.75" x14ac:dyDescent="0.2">
      <c r="A742"/>
      <c r="B742"/>
      <c r="C742"/>
      <c r="D742"/>
      <c r="E742"/>
      <c r="F742"/>
      <c r="G742"/>
      <c r="H742"/>
      <c r="I742"/>
      <c r="J742"/>
      <c r="K742"/>
    </row>
    <row r="743" spans="1:11" ht="12.75" x14ac:dyDescent="0.2">
      <c r="A743"/>
      <c r="B743"/>
      <c r="C743"/>
      <c r="D743"/>
      <c r="E743"/>
      <c r="F743"/>
      <c r="G743"/>
      <c r="H743"/>
      <c r="I743"/>
      <c r="J743"/>
      <c r="K743"/>
    </row>
    <row r="744" spans="1:11" ht="12.75" x14ac:dyDescent="0.2">
      <c r="A744"/>
      <c r="B744"/>
      <c r="C744"/>
      <c r="D744"/>
      <c r="E744"/>
      <c r="F744"/>
      <c r="G744"/>
      <c r="H744"/>
      <c r="I744"/>
      <c r="J744"/>
      <c r="K744"/>
    </row>
    <row r="745" spans="1:11" ht="12.75" x14ac:dyDescent="0.2">
      <c r="A745"/>
      <c r="B745"/>
      <c r="C745"/>
      <c r="D745"/>
      <c r="E745"/>
      <c r="F745"/>
      <c r="G745"/>
      <c r="H745"/>
      <c r="I745"/>
      <c r="J745"/>
      <c r="K745"/>
    </row>
    <row r="746" spans="1:11" ht="12.75" x14ac:dyDescent="0.2">
      <c r="A746"/>
      <c r="B746"/>
      <c r="C746"/>
      <c r="D746"/>
      <c r="E746"/>
      <c r="F746"/>
      <c r="G746"/>
      <c r="H746"/>
      <c r="I746"/>
      <c r="J746"/>
      <c r="K746"/>
    </row>
    <row r="747" spans="1:11" ht="12.75" x14ac:dyDescent="0.2">
      <c r="A747"/>
      <c r="B747"/>
      <c r="C747"/>
      <c r="D747"/>
      <c r="E747"/>
      <c r="F747"/>
      <c r="G747"/>
      <c r="H747"/>
      <c r="I747"/>
      <c r="J747"/>
      <c r="K747"/>
    </row>
    <row r="748" spans="1:11" ht="12.75" x14ac:dyDescent="0.2">
      <c r="A748"/>
      <c r="B748"/>
      <c r="C748"/>
      <c r="D748"/>
      <c r="E748"/>
      <c r="F748"/>
      <c r="G748"/>
      <c r="H748"/>
      <c r="I748"/>
      <c r="J748"/>
      <c r="K748"/>
    </row>
    <row r="749" spans="1:11" ht="12.75" x14ac:dyDescent="0.2">
      <c r="A749"/>
      <c r="B749"/>
      <c r="C749"/>
      <c r="D749"/>
      <c r="E749"/>
      <c r="F749"/>
      <c r="G749"/>
      <c r="H749"/>
      <c r="I749"/>
      <c r="J749"/>
      <c r="K749"/>
    </row>
    <row r="750" spans="1:11" ht="12.75" x14ac:dyDescent="0.2">
      <c r="A750"/>
      <c r="B750"/>
      <c r="C750"/>
      <c r="D750"/>
      <c r="E750"/>
      <c r="F750"/>
      <c r="G750"/>
      <c r="H750"/>
      <c r="I750"/>
      <c r="J750"/>
      <c r="K750"/>
    </row>
    <row r="751" spans="1:11" ht="12.75" x14ac:dyDescent="0.2">
      <c r="A751"/>
      <c r="B751"/>
      <c r="C751"/>
      <c r="D751"/>
      <c r="E751"/>
      <c r="F751"/>
      <c r="G751"/>
      <c r="H751"/>
      <c r="I751"/>
      <c r="J751"/>
      <c r="K751"/>
    </row>
    <row r="752" spans="1:11" ht="12.75" x14ac:dyDescent="0.2">
      <c r="A752"/>
      <c r="B752"/>
      <c r="C752"/>
      <c r="D752"/>
      <c r="E752"/>
      <c r="F752"/>
      <c r="G752"/>
      <c r="H752"/>
      <c r="I752"/>
      <c r="J752"/>
      <c r="K752"/>
    </row>
    <row r="753" spans="1:11" ht="12.75" x14ac:dyDescent="0.2">
      <c r="A753"/>
      <c r="B753"/>
      <c r="C753"/>
      <c r="D753"/>
      <c r="E753"/>
      <c r="F753"/>
      <c r="G753"/>
      <c r="H753"/>
      <c r="I753"/>
      <c r="J753"/>
      <c r="K753"/>
    </row>
    <row r="754" spans="1:11" ht="12.75" x14ac:dyDescent="0.2">
      <c r="A754"/>
      <c r="B754"/>
      <c r="C754"/>
      <c r="D754"/>
      <c r="E754"/>
      <c r="F754"/>
      <c r="G754"/>
      <c r="H754"/>
      <c r="I754"/>
      <c r="J754"/>
      <c r="K754"/>
    </row>
    <row r="755" spans="1:11" ht="12.75" x14ac:dyDescent="0.2">
      <c r="A755"/>
      <c r="B755"/>
      <c r="C755"/>
      <c r="D755"/>
      <c r="E755"/>
      <c r="F755"/>
      <c r="G755"/>
      <c r="H755"/>
      <c r="I755"/>
      <c r="J755"/>
      <c r="K755"/>
    </row>
    <row r="756" spans="1:11" ht="12.75" x14ac:dyDescent="0.2">
      <c r="A756"/>
      <c r="B756"/>
      <c r="C756"/>
      <c r="D756"/>
      <c r="E756"/>
      <c r="F756"/>
      <c r="G756"/>
      <c r="H756"/>
      <c r="I756"/>
      <c r="J756"/>
      <c r="K756"/>
    </row>
    <row r="757" spans="1:11" ht="12.75" x14ac:dyDescent="0.2">
      <c r="A757"/>
      <c r="B757"/>
      <c r="C757"/>
      <c r="D757"/>
      <c r="E757"/>
      <c r="F757"/>
      <c r="G757"/>
      <c r="H757"/>
      <c r="I757"/>
      <c r="J757"/>
      <c r="K757"/>
    </row>
    <row r="758" spans="1:11" ht="12.75" x14ac:dyDescent="0.2">
      <c r="A758"/>
      <c r="B758"/>
      <c r="C758"/>
      <c r="D758"/>
      <c r="E758"/>
      <c r="F758"/>
      <c r="G758"/>
      <c r="H758"/>
      <c r="I758"/>
      <c r="J758"/>
      <c r="K758"/>
    </row>
    <row r="759" spans="1:11" ht="12.75" x14ac:dyDescent="0.2">
      <c r="A759"/>
      <c r="B759"/>
      <c r="C759"/>
      <c r="D759"/>
      <c r="E759"/>
      <c r="F759"/>
      <c r="G759"/>
      <c r="H759"/>
      <c r="I759"/>
      <c r="J759"/>
      <c r="K759"/>
    </row>
    <row r="760" spans="1:11" ht="12.75" x14ac:dyDescent="0.2">
      <c r="A760"/>
      <c r="B760"/>
      <c r="C760"/>
      <c r="D760"/>
      <c r="E760"/>
      <c r="F760"/>
      <c r="G760"/>
      <c r="H760"/>
      <c r="I760"/>
      <c r="J760"/>
      <c r="K760"/>
    </row>
    <row r="761" spans="1:11" ht="12.75" x14ac:dyDescent="0.2">
      <c r="A761"/>
      <c r="B761"/>
      <c r="C761"/>
      <c r="D761"/>
      <c r="E761"/>
      <c r="F761"/>
      <c r="G761"/>
      <c r="H761"/>
      <c r="I761"/>
      <c r="J761"/>
      <c r="K761"/>
    </row>
    <row r="762" spans="1:11" ht="12.75" x14ac:dyDescent="0.2">
      <c r="A762"/>
      <c r="B762"/>
      <c r="C762"/>
      <c r="D762"/>
      <c r="E762"/>
      <c r="F762"/>
      <c r="G762"/>
      <c r="H762"/>
      <c r="I762"/>
      <c r="J762"/>
      <c r="K762"/>
    </row>
    <row r="763" spans="1:11" ht="12.75" x14ac:dyDescent="0.2">
      <c r="A763"/>
      <c r="B763"/>
      <c r="C763"/>
      <c r="D763"/>
      <c r="E763"/>
      <c r="F763"/>
      <c r="G763"/>
      <c r="H763"/>
      <c r="I763"/>
      <c r="J763"/>
      <c r="K763"/>
    </row>
    <row r="764" spans="1:11" ht="12.75" x14ac:dyDescent="0.2">
      <c r="A764"/>
      <c r="B764"/>
      <c r="C764"/>
      <c r="D764"/>
      <c r="E764"/>
      <c r="F764"/>
      <c r="G764"/>
      <c r="H764"/>
      <c r="I764"/>
      <c r="J764"/>
      <c r="K764"/>
    </row>
    <row r="765" spans="1:11" ht="12.75" x14ac:dyDescent="0.2">
      <c r="A765"/>
      <c r="B765"/>
      <c r="C765"/>
      <c r="D765"/>
      <c r="E765"/>
      <c r="F765"/>
      <c r="G765"/>
      <c r="H765"/>
      <c r="I765"/>
      <c r="J765"/>
      <c r="K765"/>
    </row>
    <row r="766" spans="1:11" ht="12.75" x14ac:dyDescent="0.2">
      <c r="A766"/>
      <c r="B766"/>
      <c r="C766"/>
      <c r="D766"/>
      <c r="E766"/>
      <c r="F766"/>
      <c r="G766"/>
      <c r="H766"/>
      <c r="I766"/>
      <c r="J766"/>
      <c r="K766"/>
    </row>
    <row r="767" spans="1:11" ht="12.75" x14ac:dyDescent="0.2">
      <c r="A767"/>
      <c r="B767"/>
      <c r="C767"/>
      <c r="D767"/>
      <c r="E767"/>
      <c r="F767"/>
      <c r="G767"/>
      <c r="H767"/>
      <c r="I767"/>
      <c r="J767"/>
      <c r="K767"/>
    </row>
    <row r="768" spans="1:11" ht="12.75" x14ac:dyDescent="0.2">
      <c r="A768"/>
      <c r="B768"/>
      <c r="C768"/>
      <c r="D768"/>
      <c r="E768"/>
      <c r="F768"/>
      <c r="G768"/>
      <c r="H768"/>
      <c r="I768"/>
      <c r="J768"/>
      <c r="K768"/>
    </row>
    <row r="769" spans="1:11" ht="12.75" x14ac:dyDescent="0.2">
      <c r="A769"/>
      <c r="B769"/>
      <c r="C769"/>
      <c r="D769"/>
      <c r="E769"/>
      <c r="F769"/>
      <c r="G769"/>
      <c r="H769"/>
      <c r="I769"/>
      <c r="J769"/>
      <c r="K769"/>
    </row>
    <row r="770" spans="1:11" ht="12.75" x14ac:dyDescent="0.2">
      <c r="A770"/>
      <c r="B770"/>
      <c r="C770"/>
      <c r="D770"/>
      <c r="E770"/>
      <c r="F770"/>
      <c r="G770"/>
      <c r="H770"/>
      <c r="I770"/>
      <c r="J770"/>
      <c r="K770"/>
    </row>
    <row r="771" spans="1:11" ht="12.75" x14ac:dyDescent="0.2">
      <c r="A771"/>
      <c r="B771"/>
      <c r="C771"/>
      <c r="D771"/>
      <c r="E771"/>
      <c r="F771"/>
      <c r="G771"/>
      <c r="H771"/>
      <c r="I771"/>
      <c r="J771"/>
      <c r="K771"/>
    </row>
    <row r="772" spans="1:11" ht="12.75" x14ac:dyDescent="0.2">
      <c r="A772"/>
      <c r="B772"/>
      <c r="C772"/>
      <c r="D772"/>
      <c r="E772"/>
      <c r="F772"/>
      <c r="G772"/>
      <c r="H772"/>
      <c r="I772"/>
      <c r="J772"/>
      <c r="K772"/>
    </row>
    <row r="773" spans="1:11" ht="12.75" x14ac:dyDescent="0.2">
      <c r="A773"/>
      <c r="B773"/>
      <c r="C773"/>
      <c r="D773"/>
      <c r="E773"/>
      <c r="F773"/>
      <c r="G773"/>
      <c r="H773"/>
      <c r="I773"/>
      <c r="J773"/>
      <c r="K773"/>
    </row>
    <row r="774" spans="1:11" ht="12.75" x14ac:dyDescent="0.2">
      <c r="A774"/>
      <c r="B774"/>
      <c r="C774"/>
      <c r="D774"/>
      <c r="E774"/>
      <c r="F774"/>
      <c r="G774"/>
      <c r="H774"/>
      <c r="I774"/>
      <c r="J774"/>
      <c r="K774"/>
    </row>
    <row r="775" spans="1:11" ht="12.75" x14ac:dyDescent="0.2">
      <c r="A775"/>
      <c r="B775"/>
      <c r="C775"/>
      <c r="D775"/>
      <c r="E775"/>
      <c r="F775"/>
      <c r="G775"/>
      <c r="H775"/>
      <c r="I775"/>
      <c r="J775"/>
      <c r="K775"/>
    </row>
    <row r="776" spans="1:11" ht="12.75" x14ac:dyDescent="0.2">
      <c r="A776"/>
      <c r="B776"/>
      <c r="C776"/>
      <c r="D776"/>
      <c r="E776"/>
      <c r="F776"/>
      <c r="G776"/>
      <c r="H776"/>
      <c r="I776"/>
      <c r="J776"/>
      <c r="K776"/>
    </row>
    <row r="777" spans="1:11" ht="12.75" x14ac:dyDescent="0.2">
      <c r="A777"/>
      <c r="B777"/>
      <c r="C777"/>
      <c r="D777"/>
      <c r="E777"/>
      <c r="F777"/>
      <c r="G777"/>
      <c r="H777"/>
      <c r="I777"/>
      <c r="J777"/>
      <c r="K777"/>
    </row>
    <row r="778" spans="1:11" ht="12.75" x14ac:dyDescent="0.2">
      <c r="A778"/>
      <c r="B778"/>
      <c r="C778"/>
      <c r="D778"/>
      <c r="E778"/>
      <c r="F778"/>
      <c r="G778"/>
      <c r="H778"/>
      <c r="I778"/>
      <c r="J778"/>
      <c r="K778"/>
    </row>
    <row r="779" spans="1:11" ht="12.75" x14ac:dyDescent="0.2">
      <c r="A779"/>
      <c r="B779"/>
      <c r="C779"/>
      <c r="D779"/>
      <c r="E779"/>
      <c r="F779"/>
      <c r="G779"/>
      <c r="H779"/>
      <c r="I779"/>
      <c r="J779"/>
      <c r="K779"/>
    </row>
    <row r="780" spans="1:11" ht="12.75" x14ac:dyDescent="0.2">
      <c r="A780"/>
      <c r="B780"/>
      <c r="C780"/>
      <c r="D780"/>
      <c r="E780"/>
      <c r="F780"/>
      <c r="G780"/>
      <c r="H780"/>
      <c r="I780"/>
      <c r="J780"/>
      <c r="K780"/>
    </row>
    <row r="781" spans="1:11" ht="12.75" x14ac:dyDescent="0.2">
      <c r="A781"/>
      <c r="B781"/>
      <c r="C781"/>
      <c r="D781"/>
      <c r="E781"/>
      <c r="F781"/>
      <c r="G781"/>
      <c r="H781"/>
      <c r="I781"/>
      <c r="J781"/>
      <c r="K781"/>
    </row>
    <row r="782" spans="1:11" ht="12.75" x14ac:dyDescent="0.2">
      <c r="A782"/>
      <c r="B782"/>
      <c r="C782"/>
      <c r="D782"/>
      <c r="E782"/>
      <c r="F782"/>
      <c r="G782"/>
      <c r="H782"/>
      <c r="I782"/>
      <c r="J782"/>
      <c r="K782"/>
    </row>
    <row r="783" spans="1:11" ht="12.75" x14ac:dyDescent="0.2">
      <c r="A783"/>
      <c r="B783"/>
      <c r="C783"/>
      <c r="D783"/>
      <c r="E783"/>
      <c r="F783"/>
      <c r="G783"/>
      <c r="H783"/>
      <c r="I783"/>
      <c r="J783"/>
      <c r="K783"/>
    </row>
    <row r="784" spans="1:11" ht="12.75" x14ac:dyDescent="0.2">
      <c r="A784"/>
      <c r="B784"/>
      <c r="C784"/>
      <c r="D784"/>
      <c r="E784"/>
      <c r="F784"/>
      <c r="G784"/>
      <c r="H784"/>
      <c r="I784"/>
      <c r="J784"/>
      <c r="K784"/>
    </row>
    <row r="785" spans="1:11" ht="12.75" x14ac:dyDescent="0.2">
      <c r="A785"/>
      <c r="B785"/>
      <c r="C785"/>
      <c r="D785"/>
      <c r="E785"/>
      <c r="F785"/>
      <c r="G785"/>
      <c r="H785"/>
      <c r="I785"/>
      <c r="J785"/>
      <c r="K785"/>
    </row>
    <row r="786" spans="1:11" ht="12.75" x14ac:dyDescent="0.2">
      <c r="A786"/>
      <c r="B786"/>
      <c r="C786"/>
      <c r="D786"/>
      <c r="E786"/>
      <c r="F786"/>
      <c r="G786"/>
      <c r="H786"/>
      <c r="I786"/>
      <c r="J786"/>
      <c r="K786"/>
    </row>
    <row r="787" spans="1:11" ht="12.75" x14ac:dyDescent="0.2">
      <c r="A787"/>
      <c r="B787"/>
      <c r="C787"/>
      <c r="D787"/>
      <c r="E787"/>
      <c r="F787"/>
      <c r="G787"/>
      <c r="H787"/>
      <c r="I787"/>
      <c r="J787"/>
      <c r="K787"/>
    </row>
    <row r="788" spans="1:11" ht="12.75" x14ac:dyDescent="0.2">
      <c r="A788"/>
      <c r="B788"/>
      <c r="C788"/>
      <c r="D788"/>
      <c r="E788"/>
      <c r="F788"/>
      <c r="G788"/>
      <c r="H788"/>
      <c r="I788"/>
      <c r="J788"/>
      <c r="K788"/>
    </row>
    <row r="789" spans="1:11" ht="12.75" x14ac:dyDescent="0.2">
      <c r="A789"/>
      <c r="B789"/>
      <c r="C789"/>
      <c r="D789"/>
      <c r="E789"/>
      <c r="F789"/>
      <c r="G789"/>
      <c r="H789"/>
      <c r="I789"/>
      <c r="J789"/>
      <c r="K789"/>
    </row>
    <row r="790" spans="1:11" ht="12.75" x14ac:dyDescent="0.2">
      <c r="A790"/>
      <c r="B790"/>
      <c r="C790"/>
      <c r="D790"/>
      <c r="E790"/>
      <c r="F790"/>
      <c r="G790"/>
      <c r="H790"/>
      <c r="I790"/>
      <c r="J790"/>
      <c r="K790"/>
    </row>
    <row r="791" spans="1:11" ht="12.75" x14ac:dyDescent="0.2">
      <c r="A791"/>
      <c r="B791"/>
      <c r="C791"/>
      <c r="D791"/>
      <c r="E791"/>
      <c r="F791"/>
      <c r="G791"/>
      <c r="H791"/>
      <c r="I791"/>
      <c r="J791"/>
      <c r="K791"/>
    </row>
    <row r="792" spans="1:11" ht="12.75" x14ac:dyDescent="0.2">
      <c r="A792"/>
      <c r="B792"/>
      <c r="C792"/>
      <c r="D792"/>
      <c r="E792"/>
      <c r="F792"/>
      <c r="G792"/>
      <c r="H792"/>
      <c r="I792"/>
      <c r="J792"/>
      <c r="K792"/>
    </row>
    <row r="793" spans="1:11" ht="12.75" x14ac:dyDescent="0.2">
      <c r="A793"/>
      <c r="B793"/>
      <c r="C793"/>
      <c r="D793"/>
      <c r="E793"/>
      <c r="F793"/>
      <c r="G793"/>
      <c r="H793"/>
      <c r="I793"/>
      <c r="J793"/>
      <c r="K793"/>
    </row>
    <row r="794" spans="1:11" ht="12.75" x14ac:dyDescent="0.2">
      <c r="A794"/>
      <c r="B794"/>
      <c r="C794"/>
      <c r="D794"/>
      <c r="E794"/>
      <c r="F794"/>
      <c r="G794"/>
      <c r="H794"/>
      <c r="I794"/>
      <c r="J794"/>
      <c r="K794"/>
    </row>
    <row r="795" spans="1:11" ht="12.75" x14ac:dyDescent="0.2">
      <c r="A795"/>
      <c r="B795"/>
      <c r="C795"/>
      <c r="D795"/>
      <c r="E795"/>
      <c r="F795"/>
      <c r="G795"/>
      <c r="H795"/>
      <c r="I795"/>
      <c r="J795"/>
      <c r="K795"/>
    </row>
    <row r="796" spans="1:11" ht="12.75" x14ac:dyDescent="0.2">
      <c r="A796"/>
      <c r="B796"/>
      <c r="C796"/>
      <c r="D796"/>
      <c r="E796"/>
      <c r="F796"/>
      <c r="G796"/>
      <c r="H796"/>
      <c r="I796"/>
      <c r="J796"/>
      <c r="K796"/>
    </row>
    <row r="797" spans="1:11" ht="12.75" x14ac:dyDescent="0.2">
      <c r="A797"/>
      <c r="B797"/>
      <c r="C797"/>
      <c r="D797"/>
      <c r="E797"/>
      <c r="F797"/>
      <c r="G797"/>
      <c r="H797"/>
      <c r="I797"/>
      <c r="J797"/>
      <c r="K797"/>
    </row>
    <row r="798" spans="1:11" ht="12.75" x14ac:dyDescent="0.2">
      <c r="A798"/>
      <c r="B798"/>
      <c r="C798"/>
      <c r="D798"/>
      <c r="E798"/>
      <c r="F798"/>
      <c r="G798"/>
      <c r="H798"/>
      <c r="I798"/>
      <c r="J798"/>
      <c r="K798"/>
    </row>
    <row r="799" spans="1:11" ht="12.75" x14ac:dyDescent="0.2">
      <c r="A799"/>
      <c r="B799"/>
      <c r="C799"/>
      <c r="D799"/>
      <c r="E799"/>
      <c r="F799"/>
      <c r="G799"/>
      <c r="H799"/>
      <c r="I799"/>
      <c r="J799"/>
      <c r="K799"/>
    </row>
    <row r="800" spans="1:11" ht="12.75" x14ac:dyDescent="0.2">
      <c r="A800"/>
      <c r="B800"/>
      <c r="C800"/>
      <c r="D800"/>
      <c r="E800"/>
      <c r="F800"/>
      <c r="G800"/>
      <c r="H800"/>
      <c r="I800"/>
      <c r="J800"/>
      <c r="K800"/>
    </row>
    <row r="801" spans="1:11" ht="12.75" x14ac:dyDescent="0.2">
      <c r="A801"/>
      <c r="B801"/>
      <c r="C801"/>
      <c r="D801"/>
      <c r="E801"/>
      <c r="F801"/>
      <c r="G801"/>
      <c r="H801"/>
      <c r="I801"/>
      <c r="J801"/>
      <c r="K801"/>
    </row>
    <row r="802" spans="1:11" ht="12.75" x14ac:dyDescent="0.2">
      <c r="A802"/>
      <c r="B802"/>
      <c r="C802"/>
      <c r="D802"/>
      <c r="E802"/>
      <c r="F802"/>
      <c r="G802"/>
      <c r="H802"/>
      <c r="I802"/>
      <c r="J802"/>
      <c r="K802"/>
    </row>
    <row r="803" spans="1:11" ht="12.75" x14ac:dyDescent="0.2">
      <c r="A803"/>
      <c r="B803"/>
      <c r="C803"/>
      <c r="D803"/>
      <c r="E803"/>
      <c r="F803"/>
      <c r="G803"/>
      <c r="H803"/>
      <c r="I803"/>
      <c r="J803"/>
      <c r="K803"/>
    </row>
    <row r="804" spans="1:11" ht="12.75" x14ac:dyDescent="0.2">
      <c r="A804"/>
      <c r="B804"/>
      <c r="C804"/>
      <c r="D804"/>
      <c r="E804"/>
      <c r="F804"/>
      <c r="G804"/>
      <c r="H804"/>
      <c r="I804"/>
      <c r="J804"/>
      <c r="K804"/>
    </row>
    <row r="805" spans="1:11" ht="12.75" x14ac:dyDescent="0.2">
      <c r="A805"/>
      <c r="B805"/>
      <c r="C805"/>
      <c r="D805"/>
      <c r="E805"/>
      <c r="F805"/>
      <c r="G805"/>
      <c r="H805"/>
      <c r="I805"/>
      <c r="J805"/>
      <c r="K805"/>
    </row>
    <row r="806" spans="1:11" ht="12.75" x14ac:dyDescent="0.2">
      <c r="A806"/>
      <c r="B806"/>
      <c r="C806"/>
      <c r="D806"/>
      <c r="E806"/>
      <c r="F806"/>
      <c r="G806"/>
      <c r="H806"/>
      <c r="I806"/>
      <c r="J806"/>
      <c r="K806"/>
    </row>
    <row r="807" spans="1:11" ht="12.75" x14ac:dyDescent="0.2">
      <c r="A807"/>
      <c r="B807"/>
      <c r="C807"/>
      <c r="D807"/>
      <c r="E807"/>
      <c r="F807"/>
      <c r="G807"/>
      <c r="H807"/>
      <c r="I807"/>
      <c r="J807"/>
      <c r="K807"/>
    </row>
    <row r="808" spans="1:11" ht="12.75" x14ac:dyDescent="0.2">
      <c r="A808"/>
      <c r="B808"/>
      <c r="C808"/>
      <c r="D808"/>
      <c r="E808"/>
      <c r="F808"/>
      <c r="G808"/>
      <c r="H808"/>
      <c r="I808"/>
      <c r="J808"/>
      <c r="K808"/>
    </row>
    <row r="809" spans="1:11" ht="12.75" x14ac:dyDescent="0.2">
      <c r="A809"/>
      <c r="B809"/>
      <c r="C809"/>
      <c r="D809"/>
      <c r="E809"/>
      <c r="F809"/>
      <c r="G809"/>
      <c r="H809"/>
      <c r="I809"/>
      <c r="J809"/>
      <c r="K809"/>
    </row>
    <row r="810" spans="1:11" ht="12.75" x14ac:dyDescent="0.2">
      <c r="A810"/>
      <c r="B810"/>
      <c r="C810"/>
      <c r="D810"/>
      <c r="E810"/>
      <c r="F810"/>
      <c r="G810"/>
      <c r="H810"/>
      <c r="I810"/>
      <c r="J810"/>
      <c r="K810"/>
    </row>
    <row r="811" spans="1:11" ht="12.75" x14ac:dyDescent="0.2">
      <c r="A811"/>
      <c r="B811"/>
      <c r="C811"/>
      <c r="D811"/>
      <c r="E811"/>
      <c r="F811"/>
      <c r="G811"/>
      <c r="H811"/>
      <c r="I811"/>
      <c r="J811"/>
      <c r="K811"/>
    </row>
    <row r="812" spans="1:11" ht="12.75" x14ac:dyDescent="0.2">
      <c r="A812"/>
      <c r="B812"/>
      <c r="C812"/>
      <c r="D812"/>
      <c r="E812"/>
      <c r="F812"/>
      <c r="G812"/>
      <c r="H812"/>
      <c r="I812"/>
      <c r="J812"/>
      <c r="K812"/>
    </row>
    <row r="813" spans="1:11" ht="12.75" x14ac:dyDescent="0.2">
      <c r="A813"/>
      <c r="B813"/>
      <c r="C813"/>
      <c r="D813"/>
      <c r="E813"/>
      <c r="F813"/>
      <c r="G813"/>
      <c r="H813"/>
      <c r="I813"/>
      <c r="J813"/>
      <c r="K813"/>
    </row>
    <row r="814" spans="1:11" ht="12.75" x14ac:dyDescent="0.2">
      <c r="A814"/>
      <c r="B814"/>
      <c r="C814"/>
      <c r="D814"/>
      <c r="E814"/>
      <c r="F814"/>
      <c r="G814"/>
      <c r="H814"/>
      <c r="I814"/>
      <c r="J814"/>
      <c r="K814"/>
    </row>
    <row r="815" spans="1:11" ht="12.75" x14ac:dyDescent="0.2">
      <c r="A815"/>
      <c r="B815"/>
      <c r="C815"/>
      <c r="D815"/>
      <c r="E815"/>
      <c r="F815"/>
      <c r="G815"/>
      <c r="H815"/>
      <c r="I815"/>
      <c r="J815"/>
      <c r="K815"/>
    </row>
    <row r="816" spans="1:11" ht="12.75" x14ac:dyDescent="0.2">
      <c r="A816"/>
      <c r="B816"/>
      <c r="C816"/>
      <c r="D816"/>
      <c r="E816"/>
      <c r="F816"/>
      <c r="G816"/>
      <c r="H816"/>
      <c r="I816"/>
      <c r="J816"/>
      <c r="K816"/>
    </row>
    <row r="817" spans="1:11" ht="12.75" x14ac:dyDescent="0.2">
      <c r="A817"/>
      <c r="B817"/>
      <c r="C817"/>
      <c r="D817"/>
      <c r="E817"/>
      <c r="F817"/>
      <c r="G817"/>
      <c r="H817"/>
      <c r="I817"/>
      <c r="J817"/>
      <c r="K817"/>
    </row>
    <row r="818" spans="1:11" ht="12.75" x14ac:dyDescent="0.2">
      <c r="A818"/>
      <c r="B818"/>
      <c r="C818"/>
      <c r="D818"/>
      <c r="E818"/>
      <c r="F818"/>
      <c r="G818"/>
      <c r="H818"/>
      <c r="I818"/>
      <c r="J818"/>
      <c r="K818"/>
    </row>
    <row r="819" spans="1:11" ht="12.75" x14ac:dyDescent="0.2">
      <c r="A819"/>
      <c r="B819"/>
      <c r="C819"/>
      <c r="D819"/>
      <c r="E819"/>
      <c r="F819"/>
      <c r="G819"/>
      <c r="H819"/>
      <c r="I819"/>
      <c r="J819"/>
      <c r="K819"/>
    </row>
    <row r="820" spans="1:11" ht="12.75" x14ac:dyDescent="0.2">
      <c r="A820"/>
      <c r="B820"/>
      <c r="C820"/>
      <c r="D820"/>
      <c r="E820"/>
      <c r="F820"/>
      <c r="G820"/>
      <c r="H820"/>
      <c r="I820"/>
      <c r="J820"/>
      <c r="K820"/>
    </row>
    <row r="821" spans="1:11" ht="12.75" x14ac:dyDescent="0.2">
      <c r="A821"/>
      <c r="B821"/>
      <c r="C821"/>
      <c r="D821"/>
      <c r="E821"/>
      <c r="F821"/>
      <c r="G821"/>
      <c r="H821"/>
      <c r="I821"/>
      <c r="J821"/>
      <c r="K821"/>
    </row>
    <row r="822" spans="1:11" ht="12.75" x14ac:dyDescent="0.2">
      <c r="A822"/>
      <c r="B822"/>
      <c r="C822"/>
      <c r="D822"/>
      <c r="E822"/>
      <c r="F822"/>
      <c r="G822"/>
      <c r="H822"/>
      <c r="I822"/>
      <c r="J822"/>
      <c r="K822"/>
    </row>
    <row r="823" spans="1:11" ht="12.75" x14ac:dyDescent="0.2">
      <c r="A823"/>
      <c r="B823"/>
      <c r="C823"/>
      <c r="D823"/>
      <c r="E823"/>
      <c r="F823"/>
      <c r="G823"/>
      <c r="H823"/>
      <c r="I823"/>
      <c r="J823"/>
      <c r="K823"/>
    </row>
    <row r="824" spans="1:11" ht="12.75" x14ac:dyDescent="0.2">
      <c r="A824"/>
      <c r="B824"/>
      <c r="C824"/>
      <c r="D824"/>
      <c r="E824"/>
      <c r="F824"/>
      <c r="G824"/>
      <c r="H824"/>
      <c r="I824"/>
      <c r="J824"/>
      <c r="K824"/>
    </row>
    <row r="825" spans="1:11" ht="12.75" x14ac:dyDescent="0.2">
      <c r="A825"/>
      <c r="B825"/>
      <c r="C825"/>
      <c r="D825"/>
      <c r="E825"/>
      <c r="F825"/>
      <c r="G825"/>
      <c r="H825"/>
      <c r="I825"/>
      <c r="J825"/>
      <c r="K825"/>
    </row>
    <row r="826" spans="1:11" ht="12.75" x14ac:dyDescent="0.2">
      <c r="A826"/>
      <c r="B826"/>
      <c r="C826"/>
      <c r="D826"/>
      <c r="E826"/>
      <c r="F826"/>
      <c r="G826"/>
      <c r="H826"/>
      <c r="I826"/>
      <c r="J826"/>
      <c r="K826"/>
    </row>
    <row r="827" spans="1:11" ht="12.75" x14ac:dyDescent="0.2">
      <c r="A827"/>
      <c r="B827"/>
      <c r="C827"/>
      <c r="D827"/>
      <c r="E827"/>
      <c r="F827"/>
      <c r="G827"/>
      <c r="H827"/>
      <c r="I827"/>
      <c r="J827"/>
      <c r="K827"/>
    </row>
    <row r="828" spans="1:11" ht="12.75" x14ac:dyDescent="0.2">
      <c r="A828"/>
      <c r="B828"/>
      <c r="C828"/>
      <c r="D828"/>
      <c r="E828"/>
      <c r="F828"/>
      <c r="G828"/>
      <c r="H828"/>
      <c r="I828"/>
      <c r="J828"/>
      <c r="K828"/>
    </row>
    <row r="829" spans="1:11" ht="12.75" x14ac:dyDescent="0.2">
      <c r="A829"/>
      <c r="B829"/>
      <c r="C829"/>
      <c r="D829"/>
      <c r="E829"/>
      <c r="F829"/>
      <c r="G829"/>
      <c r="H829"/>
      <c r="I829"/>
      <c r="J829"/>
      <c r="K829"/>
    </row>
    <row r="830" spans="1:11" ht="12.75" x14ac:dyDescent="0.2">
      <c r="A830"/>
      <c r="B830"/>
      <c r="C830"/>
      <c r="D830"/>
      <c r="E830"/>
      <c r="F830"/>
      <c r="G830"/>
      <c r="H830"/>
      <c r="I830"/>
      <c r="J830"/>
      <c r="K830"/>
    </row>
    <row r="831" spans="1:11" ht="12.75" x14ac:dyDescent="0.2">
      <c r="A831"/>
      <c r="B831"/>
      <c r="C831"/>
      <c r="D831"/>
      <c r="E831"/>
      <c r="F831"/>
      <c r="G831"/>
      <c r="H831"/>
      <c r="I831"/>
      <c r="J831"/>
      <c r="K831"/>
    </row>
    <row r="832" spans="1:11" ht="12.75" x14ac:dyDescent="0.2">
      <c r="A832"/>
      <c r="B832"/>
      <c r="C832"/>
      <c r="D832"/>
      <c r="E832"/>
      <c r="F832"/>
      <c r="G832"/>
      <c r="H832"/>
      <c r="I832"/>
      <c r="J832"/>
      <c r="K832"/>
    </row>
    <row r="833" spans="1:11" ht="12.75" x14ac:dyDescent="0.2">
      <c r="A833"/>
      <c r="B833"/>
      <c r="C833"/>
      <c r="D833"/>
      <c r="E833"/>
      <c r="F833"/>
      <c r="G833"/>
      <c r="H833"/>
      <c r="I833"/>
      <c r="J833"/>
      <c r="K833"/>
    </row>
    <row r="834" spans="1:11" ht="12.75" x14ac:dyDescent="0.2">
      <c r="A834"/>
      <c r="B834"/>
      <c r="C834"/>
      <c r="D834"/>
      <c r="E834"/>
      <c r="F834"/>
      <c r="G834"/>
      <c r="H834"/>
      <c r="I834"/>
      <c r="J834"/>
      <c r="K834"/>
    </row>
    <row r="835" spans="1:11" ht="12.75" x14ac:dyDescent="0.2">
      <c r="A835"/>
      <c r="B835"/>
      <c r="C835"/>
      <c r="D835"/>
      <c r="E835"/>
      <c r="F835"/>
      <c r="G835"/>
      <c r="H835"/>
      <c r="I835"/>
      <c r="J835"/>
      <c r="K835"/>
    </row>
    <row r="836" spans="1:11" ht="12.75" x14ac:dyDescent="0.2">
      <c r="A836"/>
      <c r="B836"/>
      <c r="C836"/>
      <c r="D836"/>
      <c r="E836"/>
      <c r="F836"/>
      <c r="G836"/>
      <c r="H836"/>
      <c r="I836"/>
      <c r="J836"/>
      <c r="K836"/>
    </row>
    <row r="837" spans="1:11" ht="12.75" x14ac:dyDescent="0.2">
      <c r="A837"/>
      <c r="B837"/>
      <c r="C837"/>
      <c r="D837"/>
      <c r="E837"/>
      <c r="F837"/>
      <c r="G837"/>
      <c r="H837"/>
      <c r="I837"/>
      <c r="J837"/>
      <c r="K837"/>
    </row>
    <row r="838" spans="1:11" ht="12.75" x14ac:dyDescent="0.2">
      <c r="A838"/>
      <c r="B838"/>
      <c r="C838"/>
      <c r="D838"/>
      <c r="E838"/>
      <c r="F838"/>
      <c r="G838"/>
      <c r="H838"/>
      <c r="I838"/>
      <c r="J838"/>
      <c r="K838"/>
    </row>
    <row r="839" spans="1:11" ht="12.75" x14ac:dyDescent="0.2">
      <c r="A839"/>
      <c r="B839"/>
      <c r="C839"/>
      <c r="D839"/>
      <c r="E839"/>
      <c r="F839"/>
      <c r="G839"/>
      <c r="H839"/>
      <c r="I839"/>
      <c r="J839"/>
      <c r="K839"/>
    </row>
    <row r="840" spans="1:11" ht="12.75" x14ac:dyDescent="0.2">
      <c r="A840"/>
      <c r="B840"/>
      <c r="C840"/>
      <c r="D840"/>
      <c r="E840"/>
      <c r="F840"/>
      <c r="G840"/>
      <c r="H840"/>
      <c r="I840"/>
      <c r="J840"/>
      <c r="K840"/>
    </row>
    <row r="841" spans="1:11" ht="12.75" x14ac:dyDescent="0.2">
      <c r="A841"/>
      <c r="B841"/>
      <c r="C841"/>
      <c r="D841"/>
      <c r="E841"/>
      <c r="F841"/>
      <c r="G841"/>
      <c r="H841"/>
      <c r="I841"/>
      <c r="J841"/>
      <c r="K841"/>
    </row>
    <row r="842" spans="1:11" ht="12.75" x14ac:dyDescent="0.2">
      <c r="A842"/>
      <c r="B842"/>
      <c r="C842"/>
      <c r="D842"/>
      <c r="E842"/>
      <c r="F842"/>
      <c r="G842"/>
      <c r="H842"/>
      <c r="I842"/>
      <c r="J842"/>
      <c r="K842"/>
    </row>
    <row r="843" spans="1:11" ht="12.75" x14ac:dyDescent="0.2">
      <c r="A843"/>
      <c r="B843"/>
      <c r="C843"/>
      <c r="D843"/>
      <c r="E843"/>
      <c r="F843"/>
      <c r="G843"/>
      <c r="H843"/>
      <c r="I843"/>
      <c r="J843"/>
      <c r="K843"/>
    </row>
    <row r="844" spans="1:11" ht="12.75" x14ac:dyDescent="0.2">
      <c r="A844"/>
      <c r="B844"/>
      <c r="C844"/>
      <c r="D844"/>
      <c r="E844"/>
      <c r="F844"/>
      <c r="G844"/>
      <c r="H844"/>
      <c r="I844"/>
      <c r="J844"/>
      <c r="K844"/>
    </row>
    <row r="845" spans="1:11" ht="12.75" x14ac:dyDescent="0.2">
      <c r="A845"/>
      <c r="B845"/>
      <c r="C845"/>
      <c r="D845"/>
      <c r="E845"/>
      <c r="F845"/>
      <c r="G845"/>
      <c r="H845"/>
      <c r="I845"/>
      <c r="J845"/>
      <c r="K845"/>
    </row>
    <row r="846" spans="1:11" ht="12.75" x14ac:dyDescent="0.2">
      <c r="A846"/>
      <c r="B846"/>
      <c r="C846"/>
      <c r="D846"/>
      <c r="E846"/>
      <c r="F846"/>
      <c r="G846"/>
      <c r="H846"/>
      <c r="I846"/>
      <c r="J846"/>
      <c r="K846"/>
    </row>
    <row r="847" spans="1:11" ht="12.75" x14ac:dyDescent="0.2">
      <c r="A847"/>
      <c r="B847"/>
      <c r="C847"/>
      <c r="D847"/>
      <c r="E847"/>
      <c r="F847"/>
      <c r="G847"/>
      <c r="H847"/>
      <c r="I847"/>
      <c r="J847"/>
      <c r="K847"/>
    </row>
    <row r="848" spans="1:11" ht="12.75" x14ac:dyDescent="0.2">
      <c r="A848"/>
      <c r="B848"/>
      <c r="C848"/>
      <c r="D848"/>
      <c r="E848"/>
      <c r="F848"/>
      <c r="G848"/>
      <c r="H848"/>
      <c r="I848"/>
      <c r="J848"/>
      <c r="K848"/>
    </row>
    <row r="849" spans="1:11" ht="12.75" x14ac:dyDescent="0.2">
      <c r="A849"/>
      <c r="B849"/>
      <c r="C849"/>
      <c r="D849"/>
      <c r="E849"/>
      <c r="F849"/>
      <c r="G849"/>
      <c r="H849"/>
      <c r="I849"/>
      <c r="J849"/>
      <c r="K849"/>
    </row>
    <row r="850" spans="1:11" ht="12.75" x14ac:dyDescent="0.2">
      <c r="A850"/>
      <c r="B850"/>
      <c r="C850"/>
      <c r="D850"/>
      <c r="E850"/>
      <c r="F850"/>
      <c r="G850"/>
      <c r="H850"/>
      <c r="I850"/>
      <c r="J850"/>
      <c r="K850"/>
    </row>
    <row r="851" spans="1:11" ht="12.75" x14ac:dyDescent="0.2">
      <c r="A851"/>
      <c r="B851"/>
      <c r="C851"/>
      <c r="D851"/>
      <c r="E851"/>
      <c r="F851"/>
      <c r="G851"/>
      <c r="H851"/>
      <c r="I851"/>
      <c r="J851"/>
      <c r="K851"/>
    </row>
    <row r="852" spans="1:11" ht="12.75" x14ac:dyDescent="0.2">
      <c r="A852"/>
      <c r="B852"/>
      <c r="C852"/>
      <c r="D852"/>
      <c r="E852"/>
      <c r="F852"/>
      <c r="G852"/>
      <c r="H852"/>
      <c r="I852"/>
      <c r="J852"/>
      <c r="K852"/>
    </row>
    <row r="853" spans="1:11" ht="12.75" x14ac:dyDescent="0.2">
      <c r="A853"/>
      <c r="B853"/>
      <c r="C853"/>
      <c r="D853"/>
      <c r="E853"/>
      <c r="F853"/>
      <c r="G853"/>
      <c r="H853"/>
      <c r="I853"/>
      <c r="J853"/>
      <c r="K853"/>
    </row>
    <row r="854" spans="1:11" ht="12.75" x14ac:dyDescent="0.2">
      <c r="A854"/>
      <c r="B854"/>
      <c r="C854"/>
      <c r="D854"/>
      <c r="E854"/>
      <c r="F854"/>
      <c r="G854"/>
      <c r="H854"/>
      <c r="I854"/>
      <c r="J854"/>
      <c r="K854"/>
    </row>
    <row r="855" spans="1:11" ht="12.75" x14ac:dyDescent="0.2">
      <c r="A855"/>
      <c r="B855"/>
      <c r="C855"/>
      <c r="D855"/>
      <c r="E855"/>
      <c r="F855"/>
      <c r="G855"/>
      <c r="H855"/>
      <c r="I855"/>
      <c r="J855"/>
      <c r="K855"/>
    </row>
    <row r="856" spans="1:11" ht="12.75" x14ac:dyDescent="0.2">
      <c r="A856"/>
      <c r="B856"/>
      <c r="C856"/>
      <c r="D856"/>
      <c r="E856"/>
      <c r="F856"/>
      <c r="G856"/>
      <c r="H856"/>
      <c r="I856"/>
      <c r="J856"/>
      <c r="K856"/>
    </row>
    <row r="857" spans="1:11" ht="12.75" x14ac:dyDescent="0.2">
      <c r="A857"/>
      <c r="B857"/>
      <c r="C857"/>
      <c r="D857"/>
      <c r="E857"/>
      <c r="F857"/>
      <c r="G857"/>
      <c r="H857"/>
      <c r="I857"/>
      <c r="J857"/>
      <c r="K857"/>
    </row>
    <row r="858" spans="1:11" ht="12.75" x14ac:dyDescent="0.2">
      <c r="A858"/>
      <c r="B858"/>
      <c r="C858"/>
      <c r="D858"/>
      <c r="E858"/>
      <c r="F858"/>
      <c r="G858"/>
      <c r="H858"/>
      <c r="I858"/>
      <c r="J858"/>
      <c r="K858"/>
    </row>
    <row r="859" spans="1:11" ht="12.75" x14ac:dyDescent="0.2">
      <c r="A859"/>
      <c r="B859"/>
      <c r="C859"/>
      <c r="D859"/>
      <c r="E859"/>
      <c r="F859"/>
      <c r="G859"/>
      <c r="H859"/>
      <c r="I859"/>
      <c r="J859"/>
      <c r="K859"/>
    </row>
    <row r="860" spans="1:11" ht="12.75" x14ac:dyDescent="0.2">
      <c r="A860"/>
      <c r="B860"/>
      <c r="C860"/>
      <c r="D860"/>
      <c r="E860"/>
      <c r="F860"/>
      <c r="G860"/>
      <c r="H860"/>
      <c r="I860"/>
      <c r="J860"/>
      <c r="K860"/>
    </row>
    <row r="861" spans="1:11" ht="12.75" x14ac:dyDescent="0.2">
      <c r="A861"/>
      <c r="B861"/>
      <c r="C861"/>
      <c r="D861"/>
      <c r="E861"/>
      <c r="F861"/>
      <c r="G861"/>
      <c r="H861"/>
      <c r="I861"/>
      <c r="J861"/>
      <c r="K861"/>
    </row>
    <row r="862" spans="1:11" ht="12.75" x14ac:dyDescent="0.2">
      <c r="A862"/>
      <c r="B862"/>
      <c r="C862"/>
      <c r="D862"/>
      <c r="E862"/>
      <c r="F862"/>
      <c r="G862"/>
      <c r="H862"/>
      <c r="I862"/>
      <c r="J862"/>
      <c r="K862"/>
    </row>
    <row r="863" spans="1:11" ht="12.75" x14ac:dyDescent="0.2">
      <c r="A863"/>
      <c r="B863"/>
      <c r="C863"/>
      <c r="D863"/>
      <c r="E863"/>
      <c r="F863"/>
      <c r="G863"/>
      <c r="H863"/>
      <c r="I863"/>
      <c r="J863"/>
      <c r="K863"/>
    </row>
    <row r="864" spans="1:11" ht="12.75" x14ac:dyDescent="0.2">
      <c r="A864"/>
      <c r="B864"/>
      <c r="C864"/>
      <c r="D864"/>
      <c r="E864"/>
      <c r="F864"/>
      <c r="G864"/>
      <c r="H864"/>
      <c r="I864"/>
      <c r="J864"/>
      <c r="K864"/>
    </row>
    <row r="865" spans="1:11" ht="12.75" x14ac:dyDescent="0.2">
      <c r="A865"/>
      <c r="B865"/>
      <c r="C865"/>
      <c r="D865"/>
      <c r="E865"/>
      <c r="F865"/>
      <c r="G865"/>
      <c r="H865"/>
      <c r="I865"/>
      <c r="J865"/>
      <c r="K865"/>
    </row>
    <row r="866" spans="1:11" ht="12.75" x14ac:dyDescent="0.2">
      <c r="A866"/>
      <c r="B866"/>
      <c r="C866"/>
      <c r="D866"/>
      <c r="E866"/>
      <c r="F866"/>
      <c r="G866"/>
      <c r="H866"/>
      <c r="I866"/>
      <c r="J866"/>
      <c r="K866"/>
    </row>
    <row r="867" spans="1:11" ht="12.75" x14ac:dyDescent="0.2">
      <c r="A867"/>
      <c r="B867"/>
      <c r="C867"/>
      <c r="D867"/>
      <c r="E867"/>
      <c r="F867"/>
      <c r="G867"/>
      <c r="H867"/>
      <c r="I867"/>
      <c r="J867"/>
      <c r="K867"/>
    </row>
    <row r="868" spans="1:11" ht="12.75" x14ac:dyDescent="0.2">
      <c r="A868"/>
      <c r="B868"/>
      <c r="C868"/>
      <c r="D868"/>
      <c r="E868"/>
      <c r="F868"/>
      <c r="G868"/>
      <c r="H868"/>
      <c r="I868"/>
      <c r="J868"/>
      <c r="K868"/>
    </row>
    <row r="869" spans="1:11" ht="12.75" x14ac:dyDescent="0.2">
      <c r="A869"/>
      <c r="B869"/>
      <c r="C869"/>
      <c r="D869"/>
      <c r="E869"/>
      <c r="F869"/>
      <c r="G869"/>
      <c r="H869"/>
      <c r="I869"/>
      <c r="J869"/>
      <c r="K869"/>
    </row>
    <row r="870" spans="1:11" ht="12.75" x14ac:dyDescent="0.2">
      <c r="A870"/>
      <c r="B870"/>
      <c r="C870"/>
      <c r="D870"/>
      <c r="E870"/>
      <c r="F870"/>
      <c r="G870"/>
      <c r="H870"/>
      <c r="I870"/>
      <c r="J870"/>
      <c r="K870"/>
    </row>
    <row r="871" spans="1:11" ht="12.75" x14ac:dyDescent="0.2">
      <c r="A871"/>
      <c r="B871"/>
      <c r="C871"/>
      <c r="D871"/>
      <c r="E871"/>
      <c r="F871"/>
      <c r="G871"/>
      <c r="H871"/>
      <c r="I871"/>
      <c r="J871"/>
      <c r="K871"/>
    </row>
    <row r="872" spans="1:11" ht="12.75" x14ac:dyDescent="0.2">
      <c r="A872"/>
      <c r="B872"/>
      <c r="C872"/>
      <c r="D872"/>
      <c r="E872"/>
      <c r="F872"/>
      <c r="G872"/>
      <c r="H872"/>
      <c r="I872"/>
      <c r="J872"/>
      <c r="K872"/>
    </row>
    <row r="873" spans="1:11" ht="12.75" x14ac:dyDescent="0.2">
      <c r="A873"/>
      <c r="B873"/>
      <c r="C873"/>
      <c r="D873"/>
      <c r="E873"/>
      <c r="F873"/>
      <c r="G873"/>
      <c r="H873"/>
      <c r="I873"/>
      <c r="J873"/>
      <c r="K873"/>
    </row>
    <row r="874" spans="1:11" ht="12.75" x14ac:dyDescent="0.2">
      <c r="A874"/>
      <c r="B874"/>
      <c r="C874"/>
      <c r="D874"/>
      <c r="E874"/>
      <c r="F874"/>
      <c r="G874"/>
      <c r="H874"/>
      <c r="I874"/>
      <c r="J874"/>
      <c r="K874"/>
    </row>
    <row r="875" spans="1:11" ht="12.75" x14ac:dyDescent="0.2">
      <c r="A875"/>
      <c r="B875"/>
      <c r="C875"/>
      <c r="D875"/>
      <c r="E875"/>
      <c r="F875"/>
      <c r="G875"/>
      <c r="H875"/>
      <c r="I875"/>
      <c r="J875"/>
      <c r="K875"/>
    </row>
    <row r="876" spans="1:11" ht="12.75" x14ac:dyDescent="0.2">
      <c r="A876"/>
      <c r="B876"/>
      <c r="C876"/>
      <c r="D876"/>
      <c r="E876"/>
      <c r="F876"/>
      <c r="G876"/>
      <c r="H876"/>
      <c r="I876"/>
      <c r="J876"/>
      <c r="K876"/>
    </row>
    <row r="877" spans="1:11" ht="12.75" x14ac:dyDescent="0.2">
      <c r="A877"/>
      <c r="B877"/>
      <c r="C877"/>
      <c r="D877"/>
      <c r="E877"/>
      <c r="F877"/>
      <c r="G877"/>
      <c r="H877"/>
      <c r="I877"/>
      <c r="J877"/>
      <c r="K877"/>
    </row>
    <row r="878" spans="1:11" ht="12.75" x14ac:dyDescent="0.2">
      <c r="A878"/>
      <c r="B878"/>
      <c r="C878"/>
      <c r="D878"/>
      <c r="E878"/>
      <c r="F878"/>
      <c r="G878"/>
      <c r="H878"/>
      <c r="I878"/>
      <c r="J878"/>
      <c r="K878"/>
    </row>
    <row r="879" spans="1:11" ht="12.75" x14ac:dyDescent="0.2">
      <c r="A879"/>
      <c r="B879"/>
      <c r="C879"/>
      <c r="D879"/>
      <c r="E879"/>
      <c r="F879"/>
      <c r="G879"/>
      <c r="H879"/>
      <c r="I879"/>
      <c r="J879"/>
      <c r="K879"/>
    </row>
    <row r="880" spans="1:11" ht="12.75" x14ac:dyDescent="0.2">
      <c r="A880"/>
      <c r="B880"/>
      <c r="C880"/>
      <c r="D880"/>
      <c r="E880"/>
      <c r="F880"/>
      <c r="G880"/>
      <c r="H880"/>
      <c r="I880"/>
      <c r="J880"/>
      <c r="K880"/>
    </row>
    <row r="881" spans="1:11" ht="12.75" x14ac:dyDescent="0.2">
      <c r="A881"/>
      <c r="B881"/>
      <c r="C881"/>
      <c r="D881"/>
      <c r="E881"/>
      <c r="F881"/>
      <c r="G881"/>
      <c r="H881"/>
      <c r="I881"/>
      <c r="J881"/>
      <c r="K881"/>
    </row>
    <row r="882" spans="1:11" ht="12.75" x14ac:dyDescent="0.2">
      <c r="A882"/>
      <c r="B882"/>
      <c r="C882"/>
      <c r="D882"/>
      <c r="E882"/>
      <c r="F882"/>
      <c r="G882"/>
      <c r="H882"/>
      <c r="I882"/>
      <c r="J882"/>
      <c r="K882"/>
    </row>
    <row r="883" spans="1:11" ht="12.75" x14ac:dyDescent="0.2">
      <c r="A883"/>
      <c r="B883"/>
      <c r="C883"/>
      <c r="D883"/>
      <c r="E883"/>
      <c r="F883"/>
      <c r="G883"/>
      <c r="H883"/>
      <c r="I883"/>
      <c r="J883"/>
      <c r="K883"/>
    </row>
    <row r="884" spans="1:11" ht="12.75" x14ac:dyDescent="0.2">
      <c r="A884"/>
      <c r="B884"/>
      <c r="C884"/>
      <c r="D884"/>
      <c r="E884"/>
      <c r="F884"/>
      <c r="G884"/>
      <c r="H884"/>
      <c r="I884"/>
      <c r="J884"/>
      <c r="K884"/>
    </row>
    <row r="885" spans="1:11" ht="12.75" x14ac:dyDescent="0.2">
      <c r="A885"/>
      <c r="B885"/>
      <c r="C885"/>
      <c r="D885"/>
      <c r="E885"/>
      <c r="F885"/>
      <c r="G885"/>
      <c r="H885"/>
      <c r="I885"/>
      <c r="J885"/>
      <c r="K885"/>
    </row>
    <row r="886" spans="1:11" ht="12.75" x14ac:dyDescent="0.2">
      <c r="A886"/>
      <c r="B886"/>
      <c r="C886"/>
      <c r="D886"/>
      <c r="E886"/>
      <c r="F886"/>
      <c r="G886"/>
      <c r="H886"/>
      <c r="I886"/>
      <c r="J886"/>
      <c r="K886"/>
    </row>
    <row r="887" spans="1:11" ht="12.75" x14ac:dyDescent="0.2">
      <c r="A887"/>
      <c r="B887"/>
      <c r="C887"/>
      <c r="D887"/>
      <c r="E887"/>
      <c r="F887"/>
      <c r="G887"/>
      <c r="H887"/>
      <c r="I887"/>
      <c r="J887"/>
      <c r="K887"/>
    </row>
    <row r="888" spans="1:11" ht="12.75" x14ac:dyDescent="0.2">
      <c r="A888"/>
      <c r="B888"/>
      <c r="C888"/>
      <c r="D888"/>
      <c r="E888"/>
      <c r="F888"/>
      <c r="G888"/>
      <c r="H888"/>
      <c r="I888"/>
      <c r="J888"/>
      <c r="K888"/>
    </row>
    <row r="889" spans="1:11" ht="12.75" x14ac:dyDescent="0.2">
      <c r="A889"/>
      <c r="B889"/>
      <c r="C889"/>
      <c r="D889"/>
      <c r="E889"/>
      <c r="F889"/>
      <c r="G889"/>
      <c r="H889"/>
      <c r="I889"/>
      <c r="J889"/>
      <c r="K889"/>
    </row>
    <row r="890" spans="1:11" ht="12.75" x14ac:dyDescent="0.2">
      <c r="A890"/>
      <c r="B890"/>
      <c r="C890"/>
      <c r="D890"/>
      <c r="E890"/>
      <c r="F890"/>
      <c r="G890"/>
      <c r="H890"/>
      <c r="I890"/>
      <c r="J890"/>
      <c r="K890"/>
    </row>
    <row r="891" spans="1:11" ht="12.75" x14ac:dyDescent="0.2">
      <c r="A891"/>
      <c r="B891"/>
      <c r="C891"/>
      <c r="D891"/>
      <c r="E891"/>
      <c r="F891"/>
      <c r="G891"/>
      <c r="H891"/>
      <c r="I891"/>
      <c r="J891"/>
      <c r="K891"/>
    </row>
    <row r="892" spans="1:11" ht="12.75" x14ac:dyDescent="0.2">
      <c r="A892"/>
      <c r="B892"/>
      <c r="C892"/>
      <c r="D892"/>
      <c r="E892"/>
      <c r="F892"/>
      <c r="G892"/>
      <c r="H892"/>
      <c r="I892"/>
      <c r="J892"/>
      <c r="K892"/>
    </row>
    <row r="893" spans="1:11" ht="12.75" x14ac:dyDescent="0.2">
      <c r="A893"/>
      <c r="B893"/>
      <c r="C893"/>
      <c r="D893"/>
      <c r="E893"/>
      <c r="F893"/>
      <c r="G893"/>
      <c r="H893"/>
      <c r="I893"/>
      <c r="J893"/>
      <c r="K893"/>
    </row>
    <row r="894" spans="1:11" ht="12.75" x14ac:dyDescent="0.2">
      <c r="A894"/>
      <c r="B894"/>
      <c r="C894"/>
      <c r="D894"/>
      <c r="E894"/>
      <c r="F894"/>
      <c r="G894"/>
      <c r="H894"/>
      <c r="I894"/>
      <c r="J894"/>
      <c r="K894"/>
    </row>
    <row r="895" spans="1:11" ht="12.75" x14ac:dyDescent="0.2">
      <c r="A895"/>
      <c r="B895"/>
      <c r="C895"/>
      <c r="D895"/>
      <c r="E895"/>
      <c r="F895"/>
      <c r="G895"/>
      <c r="H895"/>
      <c r="I895"/>
      <c r="J895"/>
      <c r="K895"/>
    </row>
    <row r="896" spans="1:11" ht="12.75" x14ac:dyDescent="0.2">
      <c r="A896"/>
      <c r="B896"/>
      <c r="C896"/>
      <c r="D896"/>
      <c r="E896"/>
      <c r="F896"/>
      <c r="G896"/>
      <c r="H896"/>
      <c r="I896"/>
      <c r="J896"/>
      <c r="K896"/>
    </row>
    <row r="897" spans="1:11" ht="12.75" x14ac:dyDescent="0.2">
      <c r="A897"/>
      <c r="B897"/>
      <c r="C897"/>
      <c r="D897"/>
      <c r="E897"/>
      <c r="F897"/>
      <c r="G897"/>
      <c r="H897"/>
      <c r="I897"/>
      <c r="J897"/>
      <c r="K897"/>
    </row>
    <row r="898" spans="1:11" ht="12.75" x14ac:dyDescent="0.2">
      <c r="A898"/>
      <c r="B898"/>
      <c r="C898"/>
      <c r="D898"/>
      <c r="E898"/>
      <c r="F898"/>
      <c r="G898"/>
      <c r="H898"/>
      <c r="I898"/>
      <c r="J898"/>
      <c r="K898"/>
    </row>
    <row r="899" spans="1:11" ht="12.75" x14ac:dyDescent="0.2">
      <c r="A899"/>
      <c r="B899"/>
      <c r="C899"/>
      <c r="D899"/>
      <c r="E899"/>
      <c r="F899"/>
      <c r="G899"/>
      <c r="H899"/>
      <c r="I899"/>
      <c r="J899"/>
      <c r="K899"/>
    </row>
    <row r="900" spans="1:11" ht="12.75" x14ac:dyDescent="0.2">
      <c r="A900"/>
      <c r="B900"/>
      <c r="C900"/>
      <c r="D900"/>
      <c r="E900"/>
      <c r="F900"/>
      <c r="G900"/>
      <c r="H900"/>
      <c r="I900"/>
      <c r="J900"/>
      <c r="K900"/>
    </row>
    <row r="901" spans="1:11" ht="12.75" x14ac:dyDescent="0.2">
      <c r="A901"/>
      <c r="B901"/>
      <c r="C901"/>
      <c r="D901"/>
      <c r="E901"/>
      <c r="F901"/>
      <c r="G901"/>
      <c r="H901"/>
      <c r="I901"/>
      <c r="J901"/>
      <c r="K901"/>
    </row>
    <row r="902" spans="1:11" ht="12.75" x14ac:dyDescent="0.2">
      <c r="A902"/>
      <c r="B902"/>
      <c r="C902"/>
      <c r="D902"/>
      <c r="E902"/>
      <c r="F902"/>
      <c r="G902"/>
      <c r="H902"/>
      <c r="I902"/>
      <c r="J902"/>
      <c r="K902"/>
    </row>
    <row r="903" spans="1:11" ht="12.75" x14ac:dyDescent="0.2">
      <c r="A903"/>
      <c r="B903"/>
      <c r="C903"/>
      <c r="D903"/>
      <c r="E903"/>
      <c r="F903"/>
      <c r="G903"/>
      <c r="H903"/>
      <c r="I903"/>
      <c r="J903"/>
      <c r="K903"/>
    </row>
    <row r="904" spans="1:11" ht="12.75" x14ac:dyDescent="0.2">
      <c r="A904"/>
      <c r="B904"/>
      <c r="C904"/>
      <c r="D904"/>
      <c r="E904"/>
      <c r="F904"/>
      <c r="G904"/>
      <c r="H904"/>
      <c r="I904"/>
      <c r="J904"/>
      <c r="K904"/>
    </row>
    <row r="905" spans="1:11" ht="12.75" x14ac:dyDescent="0.2">
      <c r="A905"/>
      <c r="B905"/>
      <c r="C905"/>
      <c r="D905"/>
      <c r="E905"/>
      <c r="F905"/>
      <c r="G905"/>
      <c r="H905"/>
      <c r="I905"/>
      <c r="J905"/>
      <c r="K905"/>
    </row>
    <row r="906" spans="1:11" ht="12.75" x14ac:dyDescent="0.2">
      <c r="A906"/>
      <c r="B906"/>
      <c r="C906"/>
      <c r="D906"/>
      <c r="E906"/>
      <c r="F906"/>
      <c r="G906"/>
      <c r="H906"/>
      <c r="I906"/>
      <c r="J906"/>
      <c r="K906"/>
    </row>
    <row r="907" spans="1:11" ht="12.75" x14ac:dyDescent="0.2">
      <c r="A907"/>
      <c r="B907"/>
      <c r="C907"/>
      <c r="D907"/>
      <c r="E907"/>
      <c r="F907"/>
      <c r="G907"/>
      <c r="H907"/>
      <c r="I907"/>
      <c r="J907"/>
      <c r="K907"/>
    </row>
    <row r="908" spans="1:11" ht="12.75" x14ac:dyDescent="0.2">
      <c r="A908"/>
      <c r="B908"/>
      <c r="C908"/>
      <c r="D908"/>
      <c r="E908"/>
      <c r="F908"/>
      <c r="G908"/>
      <c r="H908"/>
      <c r="I908"/>
      <c r="J908"/>
      <c r="K908"/>
    </row>
    <row r="909" spans="1:11" ht="12.75" x14ac:dyDescent="0.2">
      <c r="A909"/>
      <c r="B909"/>
      <c r="C909"/>
      <c r="D909"/>
      <c r="E909"/>
      <c r="F909"/>
      <c r="G909"/>
      <c r="H909"/>
      <c r="I909"/>
      <c r="J909"/>
      <c r="K909"/>
    </row>
    <row r="910" spans="1:11" ht="12.75" x14ac:dyDescent="0.2">
      <c r="A910"/>
      <c r="B910"/>
      <c r="C910"/>
      <c r="D910"/>
      <c r="E910"/>
      <c r="F910"/>
      <c r="G910"/>
      <c r="H910"/>
      <c r="I910"/>
      <c r="J910"/>
      <c r="K910"/>
    </row>
    <row r="911" spans="1:11" ht="12.75" x14ac:dyDescent="0.2">
      <c r="A911"/>
      <c r="B911"/>
      <c r="C911"/>
      <c r="D911"/>
      <c r="E911"/>
      <c r="F911"/>
      <c r="G911"/>
      <c r="H911"/>
      <c r="I911"/>
      <c r="J911"/>
      <c r="K911"/>
    </row>
    <row r="912" spans="1:11" ht="12.75" x14ac:dyDescent="0.2">
      <c r="A912"/>
      <c r="B912"/>
      <c r="C912"/>
      <c r="D912"/>
      <c r="E912"/>
      <c r="F912"/>
      <c r="G912"/>
      <c r="H912"/>
      <c r="I912"/>
      <c r="J912"/>
      <c r="K912"/>
    </row>
    <row r="913" spans="1:11" ht="12.75" x14ac:dyDescent="0.2">
      <c r="A913"/>
      <c r="B913"/>
      <c r="C913"/>
      <c r="D913"/>
      <c r="E913"/>
      <c r="F913"/>
      <c r="G913"/>
      <c r="H913"/>
      <c r="I913"/>
      <c r="J913"/>
      <c r="K913"/>
    </row>
    <row r="914" spans="1:11" ht="12.75" x14ac:dyDescent="0.2">
      <c r="A914"/>
      <c r="B914"/>
      <c r="C914"/>
      <c r="D914"/>
      <c r="E914"/>
      <c r="F914"/>
      <c r="G914"/>
      <c r="H914"/>
      <c r="I914"/>
      <c r="J914"/>
      <c r="K914"/>
    </row>
    <row r="915" spans="1:11" ht="12.75" x14ac:dyDescent="0.2">
      <c r="A915"/>
      <c r="B915"/>
      <c r="C915"/>
      <c r="D915"/>
      <c r="E915"/>
      <c r="F915"/>
      <c r="G915"/>
      <c r="H915"/>
      <c r="I915"/>
      <c r="J915"/>
      <c r="K915"/>
    </row>
    <row r="916" spans="1:11" ht="12.75" x14ac:dyDescent="0.2">
      <c r="A916"/>
      <c r="B916"/>
      <c r="C916"/>
      <c r="D916"/>
      <c r="E916"/>
      <c r="F916"/>
      <c r="G916"/>
      <c r="H916"/>
      <c r="I916"/>
      <c r="J916"/>
      <c r="K916"/>
    </row>
    <row r="917" spans="1:11" ht="12.75" x14ac:dyDescent="0.2">
      <c r="A917"/>
      <c r="B917"/>
      <c r="C917"/>
      <c r="D917"/>
      <c r="E917"/>
      <c r="F917"/>
      <c r="G917"/>
      <c r="H917"/>
      <c r="I917"/>
      <c r="J917"/>
      <c r="K917"/>
    </row>
    <row r="918" spans="1:11" ht="12.75" x14ac:dyDescent="0.2">
      <c r="A918"/>
      <c r="B918"/>
      <c r="C918"/>
      <c r="D918"/>
      <c r="E918"/>
      <c r="F918"/>
      <c r="G918"/>
      <c r="H918"/>
      <c r="I918"/>
      <c r="J918"/>
      <c r="K918"/>
    </row>
    <row r="919" spans="1:11" ht="12.75" x14ac:dyDescent="0.2">
      <c r="A919"/>
      <c r="B919"/>
      <c r="C919"/>
      <c r="D919"/>
      <c r="E919"/>
      <c r="F919"/>
      <c r="G919"/>
      <c r="H919"/>
      <c r="I919"/>
      <c r="J919"/>
      <c r="K919"/>
    </row>
    <row r="920" spans="1:11" ht="12.75" x14ac:dyDescent="0.2">
      <c r="A920"/>
      <c r="B920"/>
      <c r="C920"/>
      <c r="D920"/>
      <c r="E920"/>
      <c r="F920"/>
      <c r="G920"/>
      <c r="H920"/>
      <c r="I920"/>
      <c r="J920"/>
      <c r="K920"/>
    </row>
    <row r="921" spans="1:11" ht="12.75" x14ac:dyDescent="0.2">
      <c r="A921"/>
      <c r="B921"/>
      <c r="C921"/>
      <c r="D921"/>
      <c r="E921"/>
      <c r="F921"/>
      <c r="G921"/>
      <c r="H921"/>
      <c r="I921"/>
      <c r="J921"/>
      <c r="K921"/>
    </row>
    <row r="922" spans="1:11" ht="12.75" x14ac:dyDescent="0.2">
      <c r="A922"/>
      <c r="B922"/>
      <c r="C922"/>
      <c r="D922"/>
      <c r="E922"/>
      <c r="F922"/>
      <c r="G922"/>
      <c r="H922"/>
      <c r="I922"/>
      <c r="J922"/>
      <c r="K922"/>
    </row>
    <row r="923" spans="1:11" ht="12.75" x14ac:dyDescent="0.2">
      <c r="A923"/>
      <c r="B923"/>
      <c r="C923"/>
      <c r="D923"/>
      <c r="E923"/>
      <c r="F923"/>
      <c r="G923"/>
      <c r="H923"/>
      <c r="I923"/>
      <c r="J923"/>
      <c r="K923"/>
    </row>
    <row r="924" spans="1:11" ht="12.75" x14ac:dyDescent="0.2">
      <c r="A924"/>
      <c r="B924"/>
      <c r="C924"/>
      <c r="D924"/>
      <c r="E924"/>
      <c r="F924"/>
      <c r="G924"/>
      <c r="H924"/>
      <c r="I924"/>
      <c r="J924"/>
      <c r="K924"/>
    </row>
    <row r="925" spans="1:11" ht="12.75" x14ac:dyDescent="0.2">
      <c r="A925"/>
      <c r="B925"/>
      <c r="C925"/>
      <c r="D925"/>
      <c r="E925"/>
      <c r="F925"/>
      <c r="G925"/>
      <c r="H925"/>
      <c r="I925"/>
      <c r="J925"/>
      <c r="K925"/>
    </row>
    <row r="926" spans="1:11" ht="12.75" x14ac:dyDescent="0.2">
      <c r="A926"/>
      <c r="B926"/>
      <c r="C926"/>
      <c r="D926"/>
      <c r="E926"/>
      <c r="F926"/>
      <c r="G926"/>
      <c r="H926"/>
      <c r="I926"/>
      <c r="J926"/>
      <c r="K926"/>
    </row>
    <row r="927" spans="1:11" ht="12.75" x14ac:dyDescent="0.2">
      <c r="A927"/>
      <c r="B927"/>
      <c r="C927"/>
      <c r="D927"/>
      <c r="E927"/>
      <c r="F927"/>
      <c r="G927"/>
      <c r="H927"/>
      <c r="I927"/>
      <c r="J927"/>
      <c r="K927"/>
    </row>
    <row r="928" spans="1:11" ht="12.75" x14ac:dyDescent="0.2">
      <c r="A928"/>
      <c r="B928"/>
      <c r="C928"/>
      <c r="D928"/>
      <c r="E928"/>
      <c r="F928"/>
      <c r="G928"/>
      <c r="H928"/>
      <c r="I928"/>
      <c r="J928"/>
      <c r="K928"/>
    </row>
    <row r="929" spans="1:11" ht="12.75" x14ac:dyDescent="0.2">
      <c r="A929"/>
      <c r="B929"/>
      <c r="C929"/>
      <c r="D929"/>
      <c r="E929"/>
      <c r="F929"/>
      <c r="G929"/>
      <c r="H929"/>
      <c r="I929"/>
      <c r="J929"/>
      <c r="K929"/>
    </row>
    <row r="930" spans="1:11" ht="12.75" x14ac:dyDescent="0.2">
      <c r="A930"/>
      <c r="B930"/>
      <c r="C930"/>
      <c r="D930"/>
      <c r="E930"/>
      <c r="F930"/>
      <c r="G930"/>
      <c r="H930"/>
      <c r="I930"/>
      <c r="J930"/>
      <c r="K930"/>
    </row>
    <row r="931" spans="1:11" ht="12.75" x14ac:dyDescent="0.2">
      <c r="A931"/>
      <c r="B931"/>
      <c r="C931"/>
      <c r="D931"/>
      <c r="E931"/>
      <c r="F931"/>
      <c r="G931"/>
      <c r="H931"/>
      <c r="I931"/>
      <c r="J931"/>
      <c r="K931"/>
    </row>
    <row r="932" spans="1:11" ht="12.75" x14ac:dyDescent="0.2">
      <c r="A932"/>
      <c r="B932"/>
      <c r="C932"/>
      <c r="D932"/>
      <c r="E932"/>
      <c r="F932"/>
      <c r="G932"/>
      <c r="H932"/>
      <c r="I932"/>
      <c r="J932"/>
      <c r="K932"/>
    </row>
    <row r="933" spans="1:11" ht="12.75" x14ac:dyDescent="0.2">
      <c r="A933"/>
      <c r="B933"/>
      <c r="C933"/>
      <c r="D933"/>
      <c r="E933"/>
      <c r="F933"/>
      <c r="G933"/>
      <c r="H933"/>
      <c r="I933"/>
      <c r="J933"/>
      <c r="K933"/>
    </row>
    <row r="934" spans="1:11" ht="12.75" x14ac:dyDescent="0.2">
      <c r="A934"/>
      <c r="B934"/>
      <c r="C934"/>
      <c r="D934"/>
      <c r="E934"/>
      <c r="F934"/>
      <c r="G934"/>
      <c r="H934"/>
      <c r="I934"/>
      <c r="J934"/>
      <c r="K934"/>
    </row>
    <row r="935" spans="1:11" ht="12.75" x14ac:dyDescent="0.2">
      <c r="A935"/>
      <c r="B935"/>
      <c r="C935"/>
      <c r="D935"/>
      <c r="E935"/>
      <c r="F935"/>
      <c r="G935"/>
      <c r="H935"/>
      <c r="I935"/>
      <c r="J935"/>
      <c r="K935"/>
    </row>
    <row r="936" spans="1:11" ht="12.75" x14ac:dyDescent="0.2">
      <c r="A936"/>
      <c r="B936"/>
      <c r="C936"/>
      <c r="D936"/>
      <c r="E936"/>
      <c r="F936"/>
      <c r="G936"/>
      <c r="H936"/>
      <c r="I936"/>
      <c r="J936"/>
      <c r="K936"/>
    </row>
    <row r="937" spans="1:11" ht="12.75" x14ac:dyDescent="0.2">
      <c r="A937"/>
      <c r="B937"/>
      <c r="C937"/>
      <c r="D937"/>
      <c r="E937"/>
      <c r="F937"/>
      <c r="G937"/>
      <c r="H937"/>
      <c r="I937"/>
      <c r="J937"/>
      <c r="K937"/>
    </row>
    <row r="938" spans="1:11" ht="12.75" x14ac:dyDescent="0.2">
      <c r="A938"/>
      <c r="B938"/>
      <c r="C938"/>
      <c r="D938"/>
      <c r="E938"/>
      <c r="F938"/>
      <c r="G938"/>
      <c r="H938"/>
      <c r="I938"/>
      <c r="J938"/>
      <c r="K938"/>
    </row>
    <row r="939" spans="1:11" ht="12.75" x14ac:dyDescent="0.2">
      <c r="A939"/>
      <c r="B939"/>
      <c r="C939"/>
      <c r="D939"/>
      <c r="E939"/>
      <c r="F939"/>
      <c r="G939"/>
      <c r="H939"/>
      <c r="I939"/>
      <c r="J939"/>
      <c r="K939"/>
    </row>
    <row r="940" spans="1:11" ht="12.75" x14ac:dyDescent="0.2">
      <c r="A940"/>
      <c r="B940"/>
      <c r="C940"/>
      <c r="D940"/>
      <c r="E940"/>
      <c r="F940"/>
      <c r="G940"/>
      <c r="H940"/>
      <c r="I940"/>
      <c r="J940"/>
      <c r="K940"/>
    </row>
    <row r="941" spans="1:11" ht="12.75" x14ac:dyDescent="0.2">
      <c r="A941"/>
      <c r="B941"/>
      <c r="C941"/>
      <c r="D941"/>
      <c r="E941"/>
      <c r="F941"/>
      <c r="G941"/>
      <c r="H941"/>
      <c r="I941"/>
      <c r="J941"/>
      <c r="K941"/>
    </row>
    <row r="942" spans="1:11" ht="12.75" x14ac:dyDescent="0.2">
      <c r="A942"/>
      <c r="B942"/>
      <c r="C942"/>
      <c r="D942"/>
      <c r="E942"/>
      <c r="F942"/>
      <c r="G942"/>
      <c r="H942"/>
      <c r="I942"/>
      <c r="J942"/>
      <c r="K942"/>
    </row>
    <row r="943" spans="1:11" ht="12.75" x14ac:dyDescent="0.2">
      <c r="A943"/>
      <c r="B943"/>
      <c r="C943"/>
      <c r="D943"/>
      <c r="E943"/>
      <c r="F943"/>
      <c r="G943"/>
      <c r="H943"/>
      <c r="I943"/>
      <c r="J943"/>
      <c r="K943"/>
    </row>
    <row r="944" spans="1:11" ht="12.75" x14ac:dyDescent="0.2">
      <c r="A944"/>
      <c r="B944"/>
      <c r="C944"/>
      <c r="D944"/>
      <c r="E944"/>
      <c r="F944"/>
      <c r="G944"/>
      <c r="H944"/>
      <c r="I944"/>
      <c r="J944"/>
      <c r="K944"/>
    </row>
    <row r="945" spans="1:11" ht="12.75" x14ac:dyDescent="0.2">
      <c r="A945"/>
      <c r="B945"/>
      <c r="C945"/>
      <c r="D945"/>
      <c r="E945"/>
      <c r="F945"/>
      <c r="G945"/>
      <c r="H945"/>
      <c r="I945"/>
      <c r="J945"/>
      <c r="K945"/>
    </row>
    <row r="946" spans="1:11" ht="12.75" x14ac:dyDescent="0.2">
      <c r="A946"/>
      <c r="B946"/>
      <c r="C946"/>
      <c r="D946"/>
      <c r="E946"/>
      <c r="F946"/>
      <c r="G946"/>
      <c r="H946"/>
      <c r="I946"/>
      <c r="J946"/>
      <c r="K946"/>
    </row>
    <row r="947" spans="1:11" ht="12.75" x14ac:dyDescent="0.2">
      <c r="A947"/>
      <c r="B947"/>
      <c r="C947"/>
      <c r="D947"/>
      <c r="E947"/>
      <c r="F947"/>
      <c r="G947"/>
      <c r="H947"/>
      <c r="I947"/>
      <c r="J947"/>
      <c r="K947"/>
    </row>
    <row r="948" spans="1:11" ht="12.75" x14ac:dyDescent="0.2">
      <c r="A948"/>
      <c r="B948"/>
      <c r="C948"/>
      <c r="D948"/>
      <c r="E948"/>
      <c r="F948"/>
      <c r="G948"/>
      <c r="H948"/>
      <c r="I948"/>
      <c r="J948"/>
      <c r="K948"/>
    </row>
    <row r="949" spans="1:11" ht="12.75" x14ac:dyDescent="0.2">
      <c r="A949"/>
      <c r="B949"/>
      <c r="C949"/>
      <c r="D949"/>
      <c r="E949"/>
      <c r="F949"/>
      <c r="G949"/>
      <c r="H949"/>
      <c r="I949"/>
      <c r="J949"/>
      <c r="K949"/>
    </row>
    <row r="950" spans="1:11" ht="12.75" x14ac:dyDescent="0.2">
      <c r="A950"/>
      <c r="B950"/>
      <c r="C950"/>
      <c r="D950"/>
      <c r="E950"/>
      <c r="F950"/>
      <c r="G950"/>
      <c r="H950"/>
      <c r="I950"/>
      <c r="J950"/>
      <c r="K950"/>
    </row>
    <row r="951" spans="1:11" ht="12.75" x14ac:dyDescent="0.2">
      <c r="A951"/>
      <c r="B951"/>
      <c r="C951"/>
      <c r="D951"/>
      <c r="E951"/>
      <c r="F951"/>
      <c r="G951"/>
      <c r="H951"/>
      <c r="I951"/>
      <c r="J951"/>
      <c r="K951"/>
    </row>
    <row r="952" spans="1:11" ht="12.75" x14ac:dyDescent="0.2">
      <c r="A952"/>
      <c r="B952"/>
      <c r="C952"/>
      <c r="D952"/>
      <c r="E952"/>
      <c r="F952"/>
      <c r="G952"/>
      <c r="H952"/>
      <c r="I952"/>
      <c r="J952"/>
      <c r="K952"/>
    </row>
    <row r="953" spans="1:11" ht="12.75" x14ac:dyDescent="0.2">
      <c r="A953"/>
      <c r="B953"/>
      <c r="C953"/>
      <c r="D953"/>
      <c r="E953"/>
      <c r="F953"/>
      <c r="G953"/>
      <c r="H953"/>
      <c r="I953"/>
      <c r="J953"/>
      <c r="K953"/>
    </row>
    <row r="954" spans="1:11" ht="12.75" x14ac:dyDescent="0.2">
      <c r="A954"/>
      <c r="B954"/>
      <c r="C954"/>
      <c r="D954"/>
      <c r="E954"/>
      <c r="F954"/>
      <c r="G954"/>
      <c r="H954"/>
      <c r="I954"/>
      <c r="J954"/>
      <c r="K954"/>
    </row>
    <row r="955" spans="1:11" ht="12.75" x14ac:dyDescent="0.2">
      <c r="A955"/>
      <c r="B955"/>
      <c r="C955"/>
      <c r="D955"/>
      <c r="E955"/>
      <c r="F955"/>
      <c r="G955"/>
      <c r="H955"/>
      <c r="I955"/>
      <c r="J955"/>
      <c r="K955"/>
    </row>
    <row r="956" spans="1:11" ht="12.75" x14ac:dyDescent="0.2">
      <c r="A956"/>
      <c r="B956"/>
      <c r="C956"/>
      <c r="D956"/>
      <c r="E956"/>
      <c r="F956"/>
      <c r="G956"/>
      <c r="H956"/>
      <c r="I956"/>
      <c r="J956"/>
      <c r="K956"/>
    </row>
    <row r="957" spans="1:11" ht="12.75" x14ac:dyDescent="0.2">
      <c r="A957"/>
      <c r="B957"/>
      <c r="C957"/>
      <c r="D957"/>
      <c r="E957"/>
      <c r="F957"/>
      <c r="G957"/>
      <c r="H957"/>
      <c r="I957"/>
      <c r="J957"/>
      <c r="K957"/>
    </row>
    <row r="958" spans="1:11" ht="12.75" x14ac:dyDescent="0.2">
      <c r="A958"/>
      <c r="B958"/>
      <c r="C958"/>
      <c r="D958"/>
      <c r="E958"/>
      <c r="F958"/>
      <c r="G958"/>
      <c r="H958"/>
      <c r="I958"/>
      <c r="J958"/>
      <c r="K958"/>
    </row>
    <row r="959" spans="1:11" ht="12.75" x14ac:dyDescent="0.2">
      <c r="A959"/>
      <c r="B959"/>
      <c r="C959"/>
      <c r="D959"/>
      <c r="E959"/>
      <c r="F959"/>
      <c r="G959"/>
      <c r="H959"/>
      <c r="I959"/>
      <c r="J959"/>
      <c r="K959"/>
    </row>
    <row r="960" spans="1:11" ht="12.75" x14ac:dyDescent="0.2">
      <c r="A960"/>
      <c r="B960"/>
      <c r="C960"/>
      <c r="D960"/>
      <c r="E960"/>
      <c r="F960"/>
      <c r="G960"/>
      <c r="H960"/>
      <c r="I960"/>
      <c r="J960"/>
      <c r="K960"/>
    </row>
    <row r="961" spans="1:11" ht="12.75" x14ac:dyDescent="0.2">
      <c r="A961"/>
      <c r="B961"/>
      <c r="C961"/>
      <c r="D961"/>
      <c r="E961"/>
      <c r="F961"/>
      <c r="G961"/>
      <c r="H961"/>
      <c r="I961"/>
      <c r="J961"/>
      <c r="K961"/>
    </row>
    <row r="962" spans="1:11" ht="12.75" x14ac:dyDescent="0.2">
      <c r="A962"/>
      <c r="B962"/>
      <c r="C962"/>
      <c r="D962"/>
      <c r="E962"/>
      <c r="F962"/>
      <c r="G962"/>
      <c r="H962"/>
      <c r="I962"/>
      <c r="J962"/>
      <c r="K962"/>
    </row>
    <row r="963" spans="1:11" ht="12.75" x14ac:dyDescent="0.2">
      <c r="A963"/>
      <c r="B963"/>
      <c r="C963"/>
      <c r="D963"/>
      <c r="E963"/>
      <c r="F963"/>
      <c r="G963"/>
      <c r="H963"/>
      <c r="I963"/>
      <c r="J963"/>
      <c r="K963"/>
    </row>
    <row r="964" spans="1:11" ht="12.75" x14ac:dyDescent="0.2">
      <c r="A964"/>
      <c r="B964"/>
      <c r="C964"/>
      <c r="D964"/>
      <c r="E964"/>
      <c r="F964"/>
      <c r="G964"/>
      <c r="H964"/>
      <c r="I964"/>
      <c r="J964"/>
      <c r="K964"/>
    </row>
    <row r="965" spans="1:11" ht="12.75" x14ac:dyDescent="0.2">
      <c r="A965"/>
      <c r="B965"/>
      <c r="C965"/>
      <c r="D965"/>
      <c r="E965"/>
      <c r="F965"/>
      <c r="G965"/>
      <c r="H965"/>
      <c r="I965"/>
      <c r="J965"/>
      <c r="K965"/>
    </row>
    <row r="966" spans="1:11" ht="12.75" x14ac:dyDescent="0.2">
      <c r="A966"/>
      <c r="B966"/>
      <c r="C966"/>
      <c r="D966"/>
      <c r="E966"/>
      <c r="F966"/>
      <c r="G966"/>
      <c r="H966"/>
      <c r="I966"/>
      <c r="J966"/>
      <c r="K966"/>
    </row>
    <row r="967" spans="1:11" ht="12.75" x14ac:dyDescent="0.2">
      <c r="A967"/>
      <c r="B967"/>
      <c r="C967"/>
      <c r="D967"/>
      <c r="E967"/>
      <c r="F967"/>
      <c r="G967"/>
      <c r="H967"/>
      <c r="I967"/>
      <c r="J967"/>
      <c r="K967"/>
    </row>
    <row r="968" spans="1:11" ht="12.75" x14ac:dyDescent="0.2">
      <c r="A968"/>
      <c r="B968"/>
      <c r="C968"/>
      <c r="D968"/>
      <c r="E968"/>
      <c r="F968"/>
      <c r="G968"/>
      <c r="H968"/>
      <c r="I968"/>
      <c r="J968"/>
      <c r="K968"/>
    </row>
    <row r="969" spans="1:11" ht="12.75" x14ac:dyDescent="0.2">
      <c r="A969"/>
      <c r="B969"/>
      <c r="C969"/>
      <c r="D969"/>
      <c r="E969"/>
      <c r="F969"/>
      <c r="G969"/>
      <c r="H969"/>
      <c r="I969"/>
      <c r="J969"/>
      <c r="K969"/>
    </row>
    <row r="970" spans="1:11" ht="12.75" x14ac:dyDescent="0.2">
      <c r="A970"/>
      <c r="B970"/>
      <c r="C970"/>
      <c r="D970"/>
      <c r="E970"/>
      <c r="F970"/>
      <c r="G970"/>
      <c r="H970"/>
      <c r="I970"/>
      <c r="J970"/>
      <c r="K970"/>
    </row>
    <row r="971" spans="1:11" ht="12.75" x14ac:dyDescent="0.2">
      <c r="A971"/>
      <c r="B971"/>
      <c r="C971"/>
      <c r="D971"/>
      <c r="E971"/>
      <c r="F971"/>
      <c r="G971"/>
      <c r="H971"/>
      <c r="I971"/>
      <c r="J971"/>
      <c r="K971"/>
    </row>
    <row r="972" spans="1:11" ht="12.75" x14ac:dyDescent="0.2">
      <c r="A972"/>
      <c r="B972"/>
      <c r="C972"/>
      <c r="D972"/>
      <c r="E972"/>
      <c r="F972"/>
      <c r="G972"/>
      <c r="H972"/>
      <c r="I972"/>
      <c r="J972"/>
      <c r="K972"/>
    </row>
    <row r="973" spans="1:11" ht="12.75" x14ac:dyDescent="0.2">
      <c r="A973"/>
      <c r="B973"/>
      <c r="C973"/>
      <c r="D973"/>
      <c r="E973"/>
      <c r="F973"/>
      <c r="G973"/>
      <c r="H973"/>
      <c r="I973"/>
      <c r="J973"/>
      <c r="K973"/>
    </row>
    <row r="974" spans="1:11" ht="12.75" x14ac:dyDescent="0.2">
      <c r="A974"/>
      <c r="B974"/>
      <c r="C974"/>
      <c r="D974"/>
      <c r="E974"/>
      <c r="F974"/>
      <c r="G974"/>
      <c r="H974"/>
      <c r="I974"/>
      <c r="J974"/>
      <c r="K974"/>
    </row>
    <row r="975" spans="1:11" ht="12.75" x14ac:dyDescent="0.2">
      <c r="A975"/>
      <c r="B975"/>
      <c r="C975"/>
      <c r="D975"/>
      <c r="E975"/>
      <c r="F975"/>
      <c r="G975"/>
      <c r="H975"/>
      <c r="I975"/>
      <c r="J975"/>
      <c r="K975"/>
    </row>
    <row r="976" spans="1:11" ht="12.75" x14ac:dyDescent="0.2">
      <c r="A976"/>
      <c r="B976"/>
      <c r="C976"/>
      <c r="D976"/>
      <c r="E976"/>
      <c r="F976"/>
      <c r="G976"/>
      <c r="H976"/>
      <c r="I976"/>
      <c r="J976"/>
      <c r="K976"/>
    </row>
    <row r="977" spans="1:11" ht="12.75" x14ac:dyDescent="0.2">
      <c r="A977"/>
      <c r="B977"/>
      <c r="C977"/>
      <c r="D977"/>
      <c r="E977"/>
      <c r="F977"/>
      <c r="G977"/>
      <c r="H977"/>
      <c r="I977"/>
      <c r="J977"/>
      <c r="K977"/>
    </row>
    <row r="978" spans="1:11" ht="12.75" x14ac:dyDescent="0.2">
      <c r="A978"/>
      <c r="B978"/>
      <c r="C978"/>
      <c r="D978"/>
      <c r="E978"/>
      <c r="F978"/>
      <c r="G978"/>
      <c r="H978"/>
      <c r="I978"/>
      <c r="J978"/>
      <c r="K978"/>
    </row>
    <row r="979" spans="1:11" ht="12.75" x14ac:dyDescent="0.2">
      <c r="A979"/>
      <c r="B979"/>
      <c r="C979"/>
      <c r="D979"/>
      <c r="E979"/>
      <c r="F979"/>
      <c r="G979"/>
      <c r="H979"/>
      <c r="I979"/>
      <c r="J979"/>
      <c r="K979"/>
    </row>
    <row r="980" spans="1:11" ht="12.75" x14ac:dyDescent="0.2">
      <c r="A980"/>
      <c r="B980"/>
      <c r="C980"/>
      <c r="D980"/>
      <c r="E980"/>
      <c r="F980"/>
      <c r="G980"/>
      <c r="H980"/>
      <c r="I980"/>
      <c r="J980"/>
      <c r="K980"/>
    </row>
    <row r="981" spans="1:11" ht="12.75" x14ac:dyDescent="0.2">
      <c r="A981"/>
      <c r="B981"/>
      <c r="C981"/>
      <c r="D981"/>
      <c r="E981"/>
      <c r="F981"/>
      <c r="G981"/>
      <c r="H981"/>
      <c r="I981"/>
      <c r="J981"/>
      <c r="K981"/>
    </row>
    <row r="982" spans="1:11" ht="12.75" x14ac:dyDescent="0.2">
      <c r="A982"/>
      <c r="B982"/>
      <c r="C982"/>
      <c r="D982"/>
      <c r="E982"/>
      <c r="F982"/>
      <c r="G982"/>
      <c r="H982"/>
      <c r="I982"/>
      <c r="J982"/>
      <c r="K982"/>
    </row>
    <row r="983" spans="1:11" ht="12.75" x14ac:dyDescent="0.2">
      <c r="A983"/>
      <c r="B983"/>
      <c r="C983"/>
      <c r="D983"/>
      <c r="E983"/>
      <c r="F983"/>
      <c r="G983"/>
      <c r="H983"/>
      <c r="I983"/>
      <c r="J983"/>
      <c r="K983"/>
    </row>
    <row r="984" spans="1:11" ht="12.75" x14ac:dyDescent="0.2">
      <c r="A984"/>
      <c r="B984"/>
      <c r="C984"/>
      <c r="D984"/>
      <c r="E984"/>
      <c r="F984"/>
      <c r="G984"/>
      <c r="H984"/>
      <c r="I984"/>
      <c r="J984"/>
      <c r="K984"/>
    </row>
    <row r="985" spans="1:11" ht="12.75" x14ac:dyDescent="0.2">
      <c r="A985"/>
      <c r="B985"/>
      <c r="C985"/>
      <c r="D985"/>
      <c r="E985"/>
      <c r="F985"/>
      <c r="G985"/>
      <c r="H985"/>
      <c r="I985"/>
      <c r="J985"/>
      <c r="K985"/>
    </row>
    <row r="986" spans="1:11" ht="12.75" x14ac:dyDescent="0.2">
      <c r="A986"/>
      <c r="B986"/>
      <c r="C986"/>
      <c r="D986"/>
      <c r="E986"/>
      <c r="F986"/>
      <c r="G986"/>
      <c r="H986"/>
      <c r="I986"/>
      <c r="J986"/>
      <c r="K986"/>
    </row>
    <row r="987" spans="1:11" ht="12.75" x14ac:dyDescent="0.2">
      <c r="A987"/>
      <c r="B987"/>
      <c r="C987"/>
      <c r="D987"/>
      <c r="E987"/>
      <c r="F987"/>
      <c r="G987"/>
      <c r="H987"/>
      <c r="I987"/>
      <c r="J987"/>
      <c r="K987"/>
    </row>
    <row r="988" spans="1:11" ht="12.75" x14ac:dyDescent="0.2">
      <c r="A988"/>
      <c r="B988"/>
      <c r="C988"/>
      <c r="D988"/>
      <c r="E988"/>
      <c r="F988"/>
      <c r="G988"/>
      <c r="H988"/>
      <c r="I988"/>
      <c r="J988"/>
      <c r="K988"/>
    </row>
    <row r="989" spans="1:11" ht="12.75" x14ac:dyDescent="0.2">
      <c r="A989"/>
      <c r="B989"/>
      <c r="C989"/>
      <c r="D989"/>
      <c r="E989"/>
      <c r="F989"/>
      <c r="G989"/>
      <c r="H989"/>
      <c r="I989"/>
      <c r="J989"/>
      <c r="K989"/>
    </row>
    <row r="990" spans="1:11" ht="12.75" x14ac:dyDescent="0.2">
      <c r="A990"/>
      <c r="B990"/>
      <c r="C990"/>
      <c r="D990"/>
      <c r="E990"/>
      <c r="F990"/>
      <c r="G990"/>
      <c r="H990"/>
      <c r="I990"/>
      <c r="J990"/>
      <c r="K990"/>
    </row>
    <row r="991" spans="1:11" ht="12.75" x14ac:dyDescent="0.2">
      <c r="A991"/>
      <c r="B991"/>
      <c r="C991"/>
      <c r="D991"/>
      <c r="E991"/>
      <c r="F991"/>
      <c r="G991"/>
      <c r="H991"/>
      <c r="I991"/>
      <c r="J991"/>
      <c r="K991"/>
    </row>
    <row r="992" spans="1:11" ht="12.75" x14ac:dyDescent="0.2">
      <c r="A992"/>
      <c r="B992"/>
      <c r="C992"/>
      <c r="D992"/>
      <c r="E992"/>
      <c r="F992"/>
      <c r="G992"/>
      <c r="H992"/>
      <c r="I992"/>
      <c r="J992"/>
      <c r="K992"/>
    </row>
    <row r="993" spans="1:11" ht="12.75" x14ac:dyDescent="0.2">
      <c r="A993"/>
      <c r="B993"/>
      <c r="C993"/>
      <c r="D993"/>
      <c r="E993"/>
      <c r="F993"/>
      <c r="G993"/>
      <c r="H993"/>
      <c r="I993"/>
      <c r="J993"/>
      <c r="K993"/>
    </row>
    <row r="994" spans="1:11" ht="12.75" x14ac:dyDescent="0.2">
      <c r="A994"/>
      <c r="B994"/>
      <c r="C994"/>
      <c r="D994"/>
      <c r="E994"/>
      <c r="F994"/>
      <c r="G994"/>
      <c r="H994"/>
      <c r="I994"/>
      <c r="J994"/>
      <c r="K994"/>
    </row>
    <row r="995" spans="1:11" ht="12.75" x14ac:dyDescent="0.2">
      <c r="A995"/>
      <c r="B995"/>
      <c r="C995"/>
      <c r="D995"/>
      <c r="E995"/>
      <c r="F995"/>
      <c r="G995"/>
      <c r="H995"/>
      <c r="I995"/>
      <c r="J995"/>
      <c r="K995"/>
    </row>
    <row r="996" spans="1:11" ht="12.75" x14ac:dyDescent="0.2">
      <c r="A996"/>
      <c r="B996"/>
      <c r="C996"/>
      <c r="D996"/>
      <c r="E996"/>
      <c r="F996"/>
      <c r="G996"/>
      <c r="H996"/>
      <c r="I996"/>
      <c r="J996"/>
      <c r="K996"/>
    </row>
    <row r="997" spans="1:11" ht="12.75" x14ac:dyDescent="0.2">
      <c r="A997"/>
      <c r="B997"/>
      <c r="C997"/>
      <c r="D997"/>
      <c r="E997"/>
      <c r="F997"/>
      <c r="G997"/>
      <c r="H997"/>
      <c r="I997"/>
      <c r="J997"/>
      <c r="K997"/>
    </row>
    <row r="998" spans="1:11" ht="12.75" x14ac:dyDescent="0.2">
      <c r="A998"/>
      <c r="B998"/>
      <c r="C998"/>
      <c r="D998"/>
      <c r="E998"/>
      <c r="F998"/>
      <c r="G998"/>
      <c r="H998"/>
      <c r="I998"/>
      <c r="J998"/>
      <c r="K998"/>
    </row>
    <row r="999" spans="1:11" ht="12.75" x14ac:dyDescent="0.2">
      <c r="A999"/>
      <c r="B999"/>
      <c r="C999"/>
      <c r="D999"/>
      <c r="E999"/>
      <c r="F999"/>
      <c r="G999"/>
      <c r="H999"/>
      <c r="I999"/>
      <c r="J999"/>
      <c r="K999"/>
    </row>
    <row r="1000" spans="1:11" ht="12.75" x14ac:dyDescent="0.2">
      <c r="A1000"/>
      <c r="B1000"/>
      <c r="C1000"/>
      <c r="D1000"/>
      <c r="E1000"/>
      <c r="F1000"/>
      <c r="G1000"/>
      <c r="H1000"/>
      <c r="I1000"/>
      <c r="J1000"/>
      <c r="K1000"/>
    </row>
    <row r="1001" spans="1:11" ht="12.75" x14ac:dyDescent="0.2">
      <c r="A1001"/>
      <c r="B1001"/>
      <c r="C1001"/>
      <c r="D1001"/>
      <c r="E1001"/>
      <c r="F1001"/>
      <c r="G1001"/>
      <c r="H1001"/>
      <c r="I1001"/>
      <c r="J1001"/>
      <c r="K1001"/>
    </row>
    <row r="1002" spans="1:11" ht="12.75" x14ac:dyDescent="0.2">
      <c r="A1002"/>
      <c r="B1002"/>
      <c r="C1002"/>
      <c r="D1002"/>
      <c r="E1002"/>
      <c r="F1002"/>
      <c r="G1002"/>
      <c r="H1002"/>
      <c r="I1002"/>
      <c r="J1002"/>
      <c r="K1002"/>
    </row>
    <row r="1003" spans="1:11" ht="12.75" x14ac:dyDescent="0.2">
      <c r="A1003"/>
      <c r="B1003"/>
      <c r="C1003"/>
      <c r="D1003"/>
      <c r="E1003"/>
      <c r="F1003"/>
      <c r="G1003"/>
      <c r="H1003"/>
      <c r="I1003"/>
      <c r="J1003"/>
      <c r="K1003"/>
    </row>
    <row r="1004" spans="1:11" ht="12.75" x14ac:dyDescent="0.2">
      <c r="A1004"/>
      <c r="B1004"/>
      <c r="C1004"/>
      <c r="D1004"/>
      <c r="E1004"/>
      <c r="F1004"/>
      <c r="G1004"/>
      <c r="H1004"/>
      <c r="I1004"/>
      <c r="J1004"/>
      <c r="K1004"/>
    </row>
    <row r="1005" spans="1:11" ht="12.75" x14ac:dyDescent="0.2">
      <c r="A1005"/>
      <c r="B1005"/>
      <c r="C1005"/>
      <c r="D1005"/>
      <c r="E1005"/>
      <c r="F1005"/>
      <c r="G1005"/>
      <c r="H1005"/>
      <c r="I1005"/>
      <c r="J1005"/>
      <c r="K1005"/>
    </row>
    <row r="1006" spans="1:11" ht="12.75" x14ac:dyDescent="0.2">
      <c r="A1006"/>
      <c r="B1006"/>
      <c r="C1006"/>
      <c r="D1006"/>
      <c r="E1006"/>
      <c r="F1006"/>
      <c r="G1006"/>
      <c r="H1006"/>
      <c r="I1006"/>
      <c r="J1006"/>
      <c r="K1006"/>
    </row>
    <row r="1007" spans="1:11" ht="12.75" x14ac:dyDescent="0.2">
      <c r="A1007"/>
      <c r="B1007"/>
      <c r="C1007"/>
      <c r="D1007"/>
      <c r="E1007"/>
      <c r="F1007"/>
      <c r="G1007"/>
      <c r="H1007"/>
      <c r="I1007"/>
      <c r="J1007"/>
      <c r="K1007"/>
    </row>
    <row r="1008" spans="1:11" ht="12.75" x14ac:dyDescent="0.2">
      <c r="A1008"/>
      <c r="B1008"/>
      <c r="C1008"/>
      <c r="D1008"/>
      <c r="E1008"/>
      <c r="F1008"/>
      <c r="G1008"/>
      <c r="H1008"/>
      <c r="I1008"/>
      <c r="J1008"/>
      <c r="K1008"/>
    </row>
    <row r="1009" spans="1:11" ht="12.75" x14ac:dyDescent="0.2">
      <c r="A1009"/>
      <c r="B1009"/>
      <c r="C1009"/>
      <c r="D1009"/>
      <c r="E1009"/>
      <c r="F1009"/>
      <c r="G1009"/>
      <c r="H1009"/>
      <c r="I1009"/>
      <c r="J1009"/>
      <c r="K1009"/>
    </row>
    <row r="1010" spans="1:11" ht="12.75" x14ac:dyDescent="0.2">
      <c r="A1010"/>
      <c r="B1010"/>
      <c r="C1010"/>
      <c r="D1010"/>
      <c r="E1010"/>
      <c r="F1010"/>
      <c r="G1010"/>
      <c r="H1010"/>
      <c r="I1010"/>
      <c r="J1010"/>
      <c r="K1010"/>
    </row>
    <row r="1011" spans="1:11" ht="12.75" x14ac:dyDescent="0.2">
      <c r="A1011"/>
      <c r="B1011"/>
      <c r="C1011"/>
      <c r="D1011"/>
      <c r="E1011"/>
      <c r="F1011"/>
      <c r="G1011"/>
      <c r="H1011"/>
      <c r="I1011"/>
      <c r="J1011"/>
      <c r="K1011"/>
    </row>
    <row r="1012" spans="1:11" ht="12.75" x14ac:dyDescent="0.2">
      <c r="A1012"/>
      <c r="B1012"/>
      <c r="C1012"/>
      <c r="D1012"/>
      <c r="E1012"/>
      <c r="F1012"/>
      <c r="G1012"/>
      <c r="H1012"/>
      <c r="I1012"/>
      <c r="J1012"/>
      <c r="K1012"/>
    </row>
    <row r="1013" spans="1:11" ht="12.75" x14ac:dyDescent="0.2">
      <c r="A1013"/>
      <c r="B1013"/>
      <c r="C1013"/>
      <c r="D1013"/>
      <c r="E1013"/>
      <c r="F1013"/>
      <c r="G1013"/>
      <c r="H1013"/>
      <c r="I1013"/>
      <c r="J1013"/>
      <c r="K1013"/>
    </row>
    <row r="1014" spans="1:11" ht="12.75" x14ac:dyDescent="0.2">
      <c r="A1014"/>
      <c r="B1014"/>
      <c r="C1014"/>
      <c r="D1014"/>
      <c r="E1014"/>
      <c r="F1014"/>
      <c r="G1014"/>
      <c r="H1014"/>
      <c r="I1014"/>
      <c r="J1014"/>
      <c r="K1014"/>
    </row>
    <row r="1015" spans="1:11" ht="12.75" x14ac:dyDescent="0.2">
      <c r="A1015"/>
      <c r="B1015"/>
      <c r="C1015"/>
      <c r="D1015"/>
      <c r="E1015"/>
      <c r="F1015"/>
      <c r="G1015"/>
      <c r="H1015"/>
      <c r="I1015"/>
      <c r="J1015"/>
      <c r="K1015"/>
    </row>
    <row r="1016" spans="1:11" ht="12.75" x14ac:dyDescent="0.2">
      <c r="A1016"/>
      <c r="B1016"/>
      <c r="C1016"/>
      <c r="D1016"/>
      <c r="E1016"/>
      <c r="F1016"/>
      <c r="G1016"/>
      <c r="H1016"/>
      <c r="I1016"/>
      <c r="J1016"/>
      <c r="K1016"/>
    </row>
    <row r="1017" spans="1:11" ht="12.75" x14ac:dyDescent="0.2">
      <c r="A1017"/>
      <c r="B1017"/>
      <c r="C1017"/>
      <c r="D1017"/>
      <c r="E1017"/>
      <c r="F1017"/>
      <c r="G1017"/>
      <c r="H1017"/>
      <c r="I1017"/>
      <c r="J1017"/>
      <c r="K1017"/>
    </row>
    <row r="1018" spans="1:11" ht="12.75" x14ac:dyDescent="0.2">
      <c r="A1018"/>
      <c r="B1018"/>
      <c r="C1018"/>
      <c r="D1018"/>
      <c r="E1018"/>
      <c r="F1018"/>
      <c r="G1018"/>
      <c r="H1018"/>
      <c r="I1018"/>
      <c r="J1018"/>
      <c r="K1018"/>
    </row>
    <row r="1019" spans="1:11" ht="12.75" x14ac:dyDescent="0.2">
      <c r="A1019"/>
      <c r="B1019"/>
      <c r="C1019"/>
      <c r="D1019"/>
      <c r="E1019"/>
      <c r="F1019"/>
      <c r="G1019"/>
      <c r="H1019"/>
      <c r="I1019"/>
      <c r="J1019"/>
      <c r="K1019"/>
    </row>
    <row r="1020" spans="1:11" ht="12.75" x14ac:dyDescent="0.2">
      <c r="A1020"/>
      <c r="B1020"/>
      <c r="C1020"/>
      <c r="D1020"/>
      <c r="E1020"/>
      <c r="F1020"/>
      <c r="G1020"/>
      <c r="H1020"/>
      <c r="I1020"/>
      <c r="J1020"/>
      <c r="K1020"/>
    </row>
    <row r="1021" spans="1:11" ht="12.75" x14ac:dyDescent="0.2">
      <c r="A1021"/>
      <c r="B1021"/>
      <c r="C1021"/>
      <c r="D1021"/>
      <c r="E1021"/>
      <c r="F1021"/>
      <c r="G1021"/>
      <c r="H1021"/>
      <c r="I1021"/>
      <c r="J1021"/>
      <c r="K1021"/>
    </row>
    <row r="1022" spans="1:11" ht="12.75" x14ac:dyDescent="0.2">
      <c r="A1022"/>
      <c r="B1022"/>
      <c r="C1022"/>
      <c r="D1022"/>
      <c r="E1022"/>
      <c r="F1022"/>
      <c r="G1022"/>
      <c r="H1022"/>
      <c r="I1022"/>
      <c r="J1022"/>
      <c r="K1022"/>
    </row>
    <row r="1023" spans="1:11" ht="12.75" x14ac:dyDescent="0.2">
      <c r="A1023"/>
      <c r="B1023"/>
      <c r="C1023"/>
      <c r="D1023"/>
      <c r="E1023"/>
      <c r="F1023"/>
      <c r="G1023"/>
      <c r="H1023"/>
      <c r="I1023"/>
      <c r="J1023"/>
      <c r="K1023"/>
    </row>
    <row r="1024" spans="1:11" ht="12.75" x14ac:dyDescent="0.2">
      <c r="A1024"/>
      <c r="B1024"/>
      <c r="C1024"/>
      <c r="D1024"/>
      <c r="E1024"/>
      <c r="F1024"/>
      <c r="G1024"/>
      <c r="H1024"/>
      <c r="I1024"/>
      <c r="J1024"/>
      <c r="K1024"/>
    </row>
    <row r="1025" spans="1:11" ht="12.75" x14ac:dyDescent="0.2">
      <c r="A1025"/>
      <c r="B1025"/>
      <c r="C1025"/>
      <c r="D1025"/>
      <c r="E1025"/>
      <c r="F1025"/>
      <c r="G1025"/>
      <c r="H1025"/>
      <c r="I1025"/>
      <c r="J1025"/>
      <c r="K1025"/>
    </row>
    <row r="1026" spans="1:11" ht="12.75" x14ac:dyDescent="0.2">
      <c r="A1026"/>
      <c r="B1026"/>
      <c r="C1026"/>
      <c r="D1026"/>
      <c r="E1026"/>
      <c r="F1026"/>
      <c r="G1026"/>
      <c r="H1026"/>
      <c r="I1026"/>
      <c r="J1026"/>
      <c r="K1026"/>
    </row>
    <row r="1027" spans="1:11" ht="12.75" x14ac:dyDescent="0.2">
      <c r="A1027"/>
      <c r="B1027"/>
      <c r="C1027"/>
      <c r="D1027"/>
      <c r="E1027"/>
      <c r="F1027"/>
      <c r="G1027"/>
      <c r="H1027"/>
      <c r="I1027"/>
      <c r="J1027"/>
      <c r="K1027"/>
    </row>
    <row r="1028" spans="1:11" ht="12.75" x14ac:dyDescent="0.2">
      <c r="A1028"/>
      <c r="B1028"/>
      <c r="C1028"/>
      <c r="D1028"/>
      <c r="E1028"/>
      <c r="F1028"/>
      <c r="G1028"/>
      <c r="H1028"/>
      <c r="I1028"/>
      <c r="J1028"/>
      <c r="K1028"/>
    </row>
    <row r="1029" spans="1:11" ht="12.75" x14ac:dyDescent="0.2">
      <c r="A1029"/>
      <c r="B1029"/>
      <c r="C1029"/>
      <c r="D1029"/>
      <c r="E1029"/>
      <c r="F1029"/>
      <c r="G1029"/>
      <c r="H1029"/>
      <c r="I1029"/>
      <c r="J1029"/>
      <c r="K1029"/>
    </row>
    <row r="1030" spans="1:11" ht="12.75" x14ac:dyDescent="0.2">
      <c r="A1030"/>
      <c r="B1030"/>
      <c r="C1030"/>
      <c r="D1030"/>
      <c r="E1030"/>
      <c r="F1030"/>
      <c r="G1030"/>
      <c r="H1030"/>
      <c r="I1030"/>
      <c r="J1030"/>
      <c r="K1030"/>
    </row>
    <row r="1031" spans="1:11" ht="12.75" x14ac:dyDescent="0.2">
      <c r="A1031"/>
      <c r="B1031"/>
      <c r="C1031"/>
      <c r="D1031"/>
      <c r="E1031"/>
      <c r="F1031"/>
      <c r="G1031"/>
      <c r="H1031"/>
      <c r="I1031"/>
      <c r="J1031"/>
      <c r="K1031"/>
    </row>
    <row r="1032" spans="1:11" ht="12.75" x14ac:dyDescent="0.2">
      <c r="A1032"/>
      <c r="B1032"/>
      <c r="C1032"/>
      <c r="D1032"/>
      <c r="E1032"/>
      <c r="F1032"/>
      <c r="G1032"/>
      <c r="H1032"/>
      <c r="I1032"/>
      <c r="J1032"/>
      <c r="K1032"/>
    </row>
    <row r="1033" spans="1:11" ht="12.75" x14ac:dyDescent="0.2">
      <c r="A1033"/>
      <c r="B1033"/>
      <c r="C1033"/>
      <c r="D1033"/>
      <c r="E1033"/>
      <c r="F1033"/>
      <c r="G1033"/>
      <c r="H1033"/>
      <c r="I1033"/>
      <c r="J1033"/>
      <c r="K1033"/>
    </row>
    <row r="1034" spans="1:11" ht="12.75" x14ac:dyDescent="0.2">
      <c r="A1034"/>
      <c r="B1034"/>
      <c r="C1034"/>
      <c r="D1034"/>
      <c r="E1034"/>
      <c r="F1034"/>
      <c r="G1034"/>
      <c r="H1034"/>
      <c r="I1034"/>
      <c r="J1034"/>
      <c r="K1034"/>
    </row>
    <row r="1035" spans="1:11" ht="12.75" x14ac:dyDescent="0.2">
      <c r="A1035"/>
      <c r="B1035"/>
      <c r="C1035"/>
      <c r="D1035"/>
      <c r="E1035"/>
      <c r="F1035"/>
      <c r="G1035"/>
      <c r="H1035"/>
      <c r="I1035"/>
      <c r="J1035"/>
      <c r="K1035"/>
    </row>
    <row r="1036" spans="1:11" ht="12.75" x14ac:dyDescent="0.2">
      <c r="A1036"/>
      <c r="B1036"/>
      <c r="C1036"/>
      <c r="D1036"/>
      <c r="E1036"/>
      <c r="F1036"/>
      <c r="G1036"/>
      <c r="H1036"/>
      <c r="I1036"/>
      <c r="J1036"/>
      <c r="K1036"/>
    </row>
    <row r="1037" spans="1:11" ht="12.75" x14ac:dyDescent="0.2">
      <c r="A1037"/>
      <c r="B1037"/>
      <c r="C1037"/>
      <c r="D1037"/>
      <c r="E1037"/>
      <c r="F1037"/>
      <c r="G1037"/>
      <c r="H1037"/>
      <c r="I1037"/>
      <c r="J1037"/>
      <c r="K1037"/>
    </row>
    <row r="1038" spans="1:11" ht="12.75" x14ac:dyDescent="0.2">
      <c r="A1038"/>
      <c r="B1038"/>
      <c r="C1038"/>
      <c r="D1038"/>
      <c r="E1038"/>
      <c r="F1038"/>
      <c r="G1038"/>
      <c r="H1038"/>
      <c r="I1038"/>
      <c r="J1038"/>
      <c r="K1038"/>
    </row>
    <row r="1039" spans="1:11" ht="12.75" x14ac:dyDescent="0.2">
      <c r="A1039"/>
      <c r="B1039"/>
      <c r="C1039"/>
      <c r="D1039"/>
      <c r="E1039"/>
      <c r="F1039"/>
      <c r="G1039"/>
      <c r="H1039"/>
      <c r="I1039"/>
      <c r="J1039"/>
      <c r="K1039"/>
    </row>
    <row r="1040" spans="1:11" ht="12.75" x14ac:dyDescent="0.2">
      <c r="A1040"/>
      <c r="B1040"/>
      <c r="C1040"/>
      <c r="D1040"/>
      <c r="E1040"/>
      <c r="F1040"/>
      <c r="G1040"/>
      <c r="H1040"/>
      <c r="I1040"/>
      <c r="J1040"/>
      <c r="K1040"/>
    </row>
    <row r="1041" spans="1:11" ht="12.75" x14ac:dyDescent="0.2">
      <c r="A1041"/>
      <c r="B1041"/>
      <c r="C1041"/>
      <c r="D1041"/>
      <c r="E1041"/>
      <c r="F1041"/>
      <c r="G1041"/>
      <c r="H1041"/>
      <c r="I1041"/>
      <c r="J1041"/>
      <c r="K1041"/>
    </row>
    <row r="1042" spans="1:11" ht="12.75" x14ac:dyDescent="0.2">
      <c r="A1042"/>
      <c r="B1042"/>
      <c r="C1042"/>
      <c r="D1042"/>
      <c r="E1042"/>
      <c r="F1042"/>
      <c r="G1042"/>
      <c r="H1042"/>
      <c r="I1042"/>
      <c r="J1042"/>
      <c r="K1042"/>
    </row>
    <row r="1043" spans="1:11" ht="12.75" x14ac:dyDescent="0.2">
      <c r="A1043"/>
      <c r="B1043"/>
      <c r="C1043"/>
      <c r="D1043"/>
      <c r="E1043"/>
      <c r="F1043"/>
      <c r="G1043"/>
      <c r="H1043"/>
      <c r="I1043"/>
      <c r="J1043"/>
      <c r="K1043"/>
    </row>
    <row r="1044" spans="1:11" ht="12.75" x14ac:dyDescent="0.2">
      <c r="A1044"/>
      <c r="B1044"/>
      <c r="C1044"/>
      <c r="D1044"/>
      <c r="E1044"/>
      <c r="F1044"/>
      <c r="G1044"/>
      <c r="H1044"/>
      <c r="I1044"/>
      <c r="J1044"/>
      <c r="K1044"/>
    </row>
    <row r="1045" spans="1:11" ht="12.75" x14ac:dyDescent="0.2">
      <c r="A1045"/>
      <c r="B1045"/>
      <c r="C1045"/>
      <c r="D1045"/>
      <c r="E1045"/>
      <c r="F1045"/>
      <c r="G1045"/>
      <c r="H1045"/>
      <c r="I1045"/>
      <c r="J1045"/>
      <c r="K1045"/>
    </row>
    <row r="1046" spans="1:11" ht="12.75" x14ac:dyDescent="0.2">
      <c r="A1046"/>
      <c r="B1046"/>
      <c r="C1046"/>
      <c r="D1046"/>
      <c r="E1046"/>
      <c r="F1046"/>
      <c r="G1046"/>
      <c r="H1046"/>
      <c r="I1046"/>
      <c r="J1046"/>
      <c r="K1046"/>
    </row>
    <row r="1047" spans="1:11" ht="12.75" x14ac:dyDescent="0.2">
      <c r="A1047"/>
      <c r="B1047"/>
      <c r="C1047"/>
      <c r="D1047"/>
      <c r="E1047"/>
      <c r="F1047"/>
      <c r="G1047"/>
      <c r="H1047"/>
      <c r="I1047"/>
      <c r="J1047"/>
      <c r="K1047"/>
    </row>
    <row r="1048" spans="1:11" ht="12.75" x14ac:dyDescent="0.2">
      <c r="A1048"/>
      <c r="B1048"/>
      <c r="C1048"/>
      <c r="D1048"/>
      <c r="E1048"/>
      <c r="F1048"/>
      <c r="G1048"/>
      <c r="H1048"/>
      <c r="I1048"/>
      <c r="J1048"/>
      <c r="K1048"/>
    </row>
    <row r="1049" spans="1:11" ht="12.75" x14ac:dyDescent="0.2">
      <c r="A1049"/>
      <c r="B1049"/>
      <c r="C1049"/>
      <c r="D1049"/>
      <c r="E1049"/>
      <c r="F1049"/>
      <c r="G1049"/>
      <c r="H1049"/>
      <c r="I1049"/>
      <c r="J1049"/>
      <c r="K1049"/>
    </row>
    <row r="1050" spans="1:11" ht="12.75" x14ac:dyDescent="0.2">
      <c r="A1050"/>
      <c r="B1050"/>
      <c r="C1050"/>
      <c r="D1050"/>
      <c r="E1050"/>
      <c r="F1050"/>
      <c r="G1050"/>
      <c r="H1050"/>
      <c r="I1050"/>
      <c r="J1050"/>
      <c r="K1050"/>
    </row>
    <row r="1051" spans="1:11" ht="12.75" x14ac:dyDescent="0.2">
      <c r="A1051"/>
      <c r="B1051"/>
      <c r="C1051"/>
      <c r="D1051"/>
      <c r="E1051"/>
      <c r="F1051"/>
      <c r="G1051"/>
      <c r="H1051"/>
      <c r="I1051"/>
      <c r="J1051"/>
      <c r="K1051"/>
    </row>
    <row r="1052" spans="1:11" ht="12.75" x14ac:dyDescent="0.2">
      <c r="A1052"/>
      <c r="B1052"/>
      <c r="C1052"/>
      <c r="D1052"/>
      <c r="E1052"/>
      <c r="F1052"/>
      <c r="G1052"/>
      <c r="H1052"/>
      <c r="I1052"/>
      <c r="J1052"/>
      <c r="K1052"/>
    </row>
    <row r="1053" spans="1:11" ht="12.75" x14ac:dyDescent="0.2">
      <c r="A1053"/>
      <c r="B1053"/>
      <c r="C1053"/>
      <c r="D1053"/>
      <c r="E1053"/>
      <c r="F1053"/>
      <c r="G1053"/>
      <c r="H1053"/>
      <c r="I1053"/>
      <c r="J1053"/>
      <c r="K1053"/>
    </row>
    <row r="1054" spans="1:11" ht="12.75" x14ac:dyDescent="0.2">
      <c r="A1054"/>
      <c r="B1054"/>
      <c r="C1054"/>
      <c r="D1054"/>
      <c r="E1054"/>
      <c r="F1054"/>
      <c r="G1054"/>
      <c r="H1054"/>
      <c r="I1054"/>
      <c r="J1054"/>
      <c r="K1054"/>
    </row>
    <row r="1055" spans="1:11" ht="12.75" x14ac:dyDescent="0.2">
      <c r="A1055"/>
      <c r="B1055"/>
      <c r="C1055"/>
      <c r="D1055"/>
      <c r="E1055"/>
      <c r="F1055"/>
      <c r="G1055"/>
      <c r="H1055"/>
      <c r="I1055"/>
      <c r="J1055"/>
      <c r="K1055"/>
    </row>
    <row r="1056" spans="1:11" ht="12.75" x14ac:dyDescent="0.2">
      <c r="A1056"/>
      <c r="B1056"/>
      <c r="C1056"/>
      <c r="D1056"/>
      <c r="E1056"/>
      <c r="F1056"/>
      <c r="G1056"/>
      <c r="H1056"/>
      <c r="I1056"/>
      <c r="J1056"/>
      <c r="K1056"/>
    </row>
    <row r="1057" spans="1:11" ht="12.75" x14ac:dyDescent="0.2">
      <c r="A1057"/>
      <c r="B1057"/>
      <c r="C1057"/>
      <c r="D1057"/>
      <c r="E1057"/>
      <c r="F1057"/>
      <c r="G1057"/>
      <c r="H1057"/>
      <c r="I1057"/>
      <c r="J1057"/>
      <c r="K1057"/>
    </row>
    <row r="1058" spans="1:11" ht="12.75" x14ac:dyDescent="0.2">
      <c r="A1058"/>
      <c r="B1058"/>
      <c r="C1058"/>
      <c r="D1058"/>
      <c r="E1058"/>
      <c r="F1058"/>
      <c r="G1058"/>
      <c r="H1058"/>
      <c r="I1058"/>
      <c r="J1058"/>
      <c r="K1058"/>
    </row>
    <row r="1059" spans="1:11" ht="12.75" x14ac:dyDescent="0.2">
      <c r="A1059"/>
      <c r="B1059"/>
      <c r="C1059"/>
      <c r="D1059"/>
      <c r="E1059"/>
      <c r="F1059"/>
      <c r="G1059"/>
      <c r="H1059"/>
      <c r="I1059"/>
      <c r="J1059"/>
      <c r="K1059"/>
    </row>
    <row r="1060" spans="1:11" ht="12.75" x14ac:dyDescent="0.2">
      <c r="A1060"/>
      <c r="B1060"/>
      <c r="C1060"/>
      <c r="D1060"/>
      <c r="E1060"/>
      <c r="F1060"/>
      <c r="G1060"/>
      <c r="H1060"/>
      <c r="I1060"/>
      <c r="J1060"/>
      <c r="K1060"/>
    </row>
    <row r="1061" spans="1:11" ht="12.75" x14ac:dyDescent="0.2">
      <c r="A1061"/>
      <c r="B1061"/>
      <c r="C1061"/>
      <c r="D1061"/>
      <c r="E1061"/>
      <c r="F1061"/>
      <c r="G1061"/>
      <c r="H1061"/>
      <c r="I1061"/>
      <c r="J1061"/>
      <c r="K1061"/>
    </row>
    <row r="1062" spans="1:11" ht="12.75" x14ac:dyDescent="0.2">
      <c r="A1062"/>
      <c r="B1062"/>
      <c r="C1062"/>
      <c r="D1062"/>
      <c r="E1062"/>
      <c r="F1062"/>
      <c r="G1062"/>
      <c r="H1062"/>
      <c r="I1062"/>
      <c r="J1062"/>
      <c r="K1062"/>
    </row>
    <row r="1063" spans="1:11" ht="12.75" x14ac:dyDescent="0.2">
      <c r="A1063"/>
      <c r="B1063"/>
      <c r="C1063"/>
      <c r="D1063"/>
      <c r="E1063"/>
      <c r="F1063"/>
      <c r="G1063"/>
      <c r="H1063"/>
      <c r="I1063"/>
      <c r="J1063"/>
      <c r="K1063"/>
    </row>
    <row r="1064" spans="1:11" ht="12.75" x14ac:dyDescent="0.2">
      <c r="A1064"/>
      <c r="B1064"/>
      <c r="C1064"/>
      <c r="D1064"/>
      <c r="E1064"/>
      <c r="F1064"/>
      <c r="G1064"/>
      <c r="H1064"/>
      <c r="I1064"/>
      <c r="J1064"/>
      <c r="K1064"/>
    </row>
    <row r="1065" spans="1:11" ht="12.75" x14ac:dyDescent="0.2">
      <c r="A1065"/>
      <c r="B1065"/>
      <c r="C1065"/>
      <c r="D1065"/>
      <c r="E1065"/>
      <c r="F1065"/>
      <c r="G1065"/>
      <c r="H1065"/>
      <c r="I1065"/>
      <c r="J1065"/>
      <c r="K1065"/>
    </row>
    <row r="1066" spans="1:11" ht="12.75" x14ac:dyDescent="0.2">
      <c r="A1066"/>
      <c r="B1066"/>
      <c r="C1066"/>
      <c r="D1066"/>
      <c r="E1066"/>
      <c r="F1066"/>
      <c r="G1066"/>
      <c r="H1066"/>
      <c r="I1066"/>
      <c r="J1066"/>
      <c r="K1066"/>
    </row>
    <row r="1067" spans="1:11" ht="12.75" x14ac:dyDescent="0.2">
      <c r="A1067"/>
      <c r="B1067"/>
      <c r="C1067"/>
      <c r="D1067"/>
      <c r="E1067"/>
      <c r="F1067"/>
      <c r="G1067"/>
      <c r="H1067"/>
      <c r="I1067"/>
      <c r="J1067"/>
      <c r="K1067"/>
    </row>
    <row r="1068" spans="1:11" ht="12.75" x14ac:dyDescent="0.2">
      <c r="A1068"/>
      <c r="B1068"/>
      <c r="C1068"/>
      <c r="D1068"/>
      <c r="E1068"/>
      <c r="F1068"/>
      <c r="G1068"/>
      <c r="H1068"/>
      <c r="I1068"/>
      <c r="J1068"/>
      <c r="K1068"/>
    </row>
    <row r="1069" spans="1:11" ht="12.75" x14ac:dyDescent="0.2">
      <c r="A1069"/>
      <c r="B1069"/>
      <c r="C1069"/>
      <c r="D1069"/>
      <c r="E1069"/>
      <c r="F1069"/>
      <c r="G1069"/>
      <c r="H1069"/>
      <c r="I1069"/>
      <c r="J1069"/>
      <c r="K1069"/>
    </row>
    <row r="1070" spans="1:11" ht="12.75" x14ac:dyDescent="0.2">
      <c r="A1070"/>
      <c r="B1070"/>
      <c r="C1070"/>
      <c r="D1070"/>
      <c r="E1070"/>
      <c r="F1070"/>
      <c r="G1070"/>
      <c r="H1070"/>
      <c r="I1070"/>
      <c r="J1070"/>
      <c r="K1070"/>
    </row>
    <row r="1071" spans="1:11" ht="12.75" x14ac:dyDescent="0.2">
      <c r="A1071"/>
      <c r="B1071"/>
      <c r="C1071"/>
      <c r="D1071"/>
      <c r="E1071"/>
      <c r="F1071"/>
      <c r="G1071"/>
      <c r="H1071"/>
      <c r="I1071"/>
      <c r="J1071"/>
      <c r="K1071"/>
    </row>
    <row r="1072" spans="1:11" ht="12.75" x14ac:dyDescent="0.2">
      <c r="A1072"/>
      <c r="B1072"/>
      <c r="C1072"/>
      <c r="D1072"/>
      <c r="E1072"/>
      <c r="F1072"/>
      <c r="G1072"/>
      <c r="H1072"/>
      <c r="I1072"/>
      <c r="J1072"/>
      <c r="K1072"/>
    </row>
    <row r="1073" spans="1:11" ht="12.75" x14ac:dyDescent="0.2">
      <c r="A1073"/>
      <c r="B1073"/>
      <c r="C1073"/>
      <c r="D1073"/>
      <c r="E1073"/>
      <c r="F1073"/>
      <c r="G1073"/>
      <c r="H1073"/>
      <c r="I1073"/>
      <c r="J1073"/>
      <c r="K1073"/>
    </row>
    <row r="1074" spans="1:11" ht="12.75" x14ac:dyDescent="0.2">
      <c r="A1074"/>
      <c r="B1074"/>
      <c r="C1074"/>
      <c r="D1074"/>
      <c r="E1074"/>
      <c r="F1074"/>
      <c r="G1074"/>
      <c r="H1074"/>
      <c r="I1074"/>
      <c r="J1074"/>
      <c r="K1074"/>
    </row>
    <row r="1075" spans="1:11" ht="12.75" x14ac:dyDescent="0.2">
      <c r="A1075"/>
      <c r="B1075"/>
      <c r="C1075"/>
      <c r="D1075"/>
      <c r="E1075"/>
      <c r="F1075"/>
      <c r="G1075"/>
      <c r="H1075"/>
      <c r="I1075"/>
      <c r="J1075"/>
      <c r="K1075"/>
    </row>
    <row r="1076" spans="1:11" ht="12.75" x14ac:dyDescent="0.2">
      <c r="A1076"/>
      <c r="B1076"/>
      <c r="C1076"/>
      <c r="D1076"/>
      <c r="E1076"/>
      <c r="F1076"/>
      <c r="G1076"/>
      <c r="H1076"/>
      <c r="I1076"/>
      <c r="J1076"/>
      <c r="K1076"/>
    </row>
    <row r="1077" spans="1:11" ht="12.75" x14ac:dyDescent="0.2">
      <c r="A1077"/>
      <c r="B1077"/>
      <c r="C1077"/>
      <c r="D1077"/>
      <c r="E1077"/>
      <c r="F1077"/>
      <c r="G1077"/>
      <c r="H1077"/>
      <c r="I1077"/>
      <c r="J1077"/>
      <c r="K1077"/>
    </row>
    <row r="1078" spans="1:11" ht="12.75" x14ac:dyDescent="0.2">
      <c r="A1078"/>
      <c r="B1078"/>
      <c r="C1078"/>
      <c r="D1078"/>
      <c r="E1078"/>
      <c r="F1078"/>
      <c r="G1078"/>
      <c r="H1078"/>
      <c r="I1078"/>
      <c r="J1078"/>
      <c r="K1078"/>
    </row>
    <row r="1079" spans="1:11" ht="12.75" x14ac:dyDescent="0.2">
      <c r="A1079"/>
      <c r="B1079"/>
      <c r="C1079"/>
      <c r="D1079"/>
      <c r="E1079"/>
      <c r="F1079"/>
      <c r="G1079"/>
      <c r="H1079"/>
      <c r="I1079"/>
      <c r="J1079"/>
      <c r="K1079"/>
    </row>
    <row r="1080" spans="1:11" ht="12.75" x14ac:dyDescent="0.2">
      <c r="A1080"/>
      <c r="B1080"/>
      <c r="C1080"/>
      <c r="D1080"/>
      <c r="E1080"/>
      <c r="F1080"/>
      <c r="G1080"/>
      <c r="H1080"/>
      <c r="I1080"/>
      <c r="J1080"/>
      <c r="K1080"/>
    </row>
    <row r="1081" spans="1:11" ht="12.75" x14ac:dyDescent="0.2">
      <c r="A1081"/>
      <c r="B1081"/>
      <c r="C1081"/>
      <c r="D1081"/>
      <c r="E1081"/>
      <c r="F1081"/>
      <c r="G1081"/>
      <c r="H1081"/>
      <c r="I1081"/>
      <c r="J1081"/>
      <c r="K1081"/>
    </row>
    <row r="1082" spans="1:11" ht="12.75" x14ac:dyDescent="0.2">
      <c r="A1082"/>
      <c r="B1082"/>
      <c r="C1082"/>
      <c r="D1082"/>
      <c r="E1082"/>
      <c r="F1082"/>
      <c r="G1082"/>
      <c r="H1082"/>
      <c r="I1082"/>
      <c r="J1082"/>
      <c r="K1082"/>
    </row>
    <row r="1083" spans="1:11" ht="12.75" x14ac:dyDescent="0.2">
      <c r="A1083"/>
      <c r="B1083"/>
      <c r="C1083"/>
      <c r="D1083"/>
      <c r="E1083"/>
      <c r="F1083"/>
      <c r="G1083"/>
      <c r="H1083"/>
      <c r="I1083"/>
      <c r="J1083"/>
      <c r="K1083"/>
    </row>
    <row r="1084" spans="1:11" ht="12.75" x14ac:dyDescent="0.2">
      <c r="A1084"/>
      <c r="B1084"/>
      <c r="C1084"/>
      <c r="D1084"/>
      <c r="E1084"/>
      <c r="F1084"/>
      <c r="G1084"/>
      <c r="H1084"/>
      <c r="I1084"/>
      <c r="J1084"/>
      <c r="K1084"/>
    </row>
    <row r="1085" spans="1:11" ht="12.75" x14ac:dyDescent="0.2">
      <c r="A1085"/>
      <c r="B1085"/>
      <c r="C1085"/>
      <c r="D1085"/>
      <c r="E1085"/>
      <c r="F1085"/>
      <c r="G1085"/>
      <c r="H1085"/>
      <c r="I1085"/>
      <c r="J1085"/>
      <c r="K1085"/>
    </row>
    <row r="1086" spans="1:11" ht="12.75" x14ac:dyDescent="0.2">
      <c r="A1086"/>
      <c r="B1086"/>
      <c r="C1086"/>
      <c r="D1086"/>
      <c r="E1086"/>
      <c r="F1086"/>
      <c r="G1086"/>
      <c r="H1086"/>
      <c r="I1086"/>
      <c r="J1086"/>
      <c r="K1086"/>
    </row>
    <row r="1087" spans="1:11" ht="12.75" x14ac:dyDescent="0.2">
      <c r="A1087"/>
      <c r="B1087"/>
      <c r="C1087"/>
      <c r="D1087"/>
      <c r="E1087"/>
      <c r="F1087"/>
      <c r="G1087"/>
      <c r="H1087"/>
      <c r="I1087"/>
      <c r="J1087"/>
      <c r="K1087"/>
    </row>
    <row r="1088" spans="1:11" ht="12.75" x14ac:dyDescent="0.2">
      <c r="A1088"/>
      <c r="B1088"/>
      <c r="C1088"/>
      <c r="D1088"/>
      <c r="E1088"/>
      <c r="F1088"/>
      <c r="G1088"/>
      <c r="H1088"/>
      <c r="I1088"/>
      <c r="J1088"/>
      <c r="K1088"/>
    </row>
    <row r="1089" spans="1:11" ht="12.75" x14ac:dyDescent="0.2">
      <c r="A1089"/>
      <c r="B1089"/>
      <c r="C1089"/>
      <c r="D1089"/>
      <c r="E1089"/>
      <c r="F1089"/>
      <c r="G1089"/>
      <c r="H1089"/>
      <c r="I1089"/>
      <c r="J1089"/>
      <c r="K1089"/>
    </row>
    <row r="1090" spans="1:11" ht="12.75" x14ac:dyDescent="0.2">
      <c r="A1090"/>
      <c r="B1090"/>
      <c r="C1090"/>
      <c r="D1090"/>
      <c r="E1090"/>
      <c r="F1090"/>
      <c r="G1090"/>
      <c r="H1090"/>
      <c r="I1090"/>
      <c r="J1090"/>
      <c r="K1090"/>
    </row>
    <row r="1091" spans="1:11" ht="12.75" x14ac:dyDescent="0.2">
      <c r="A1091"/>
      <c r="B1091"/>
      <c r="C1091"/>
      <c r="D1091"/>
      <c r="E1091"/>
      <c r="F1091"/>
      <c r="G1091"/>
      <c r="H1091"/>
      <c r="I1091"/>
      <c r="J1091"/>
      <c r="K1091"/>
    </row>
    <row r="1092" spans="1:11" ht="12.75" x14ac:dyDescent="0.2">
      <c r="A1092"/>
      <c r="B1092"/>
      <c r="C1092"/>
      <c r="D1092"/>
      <c r="E1092"/>
      <c r="F1092"/>
      <c r="G1092"/>
      <c r="H1092"/>
      <c r="I1092"/>
      <c r="J1092"/>
      <c r="K1092"/>
    </row>
    <row r="1093" spans="1:11" ht="12.75" x14ac:dyDescent="0.2">
      <c r="A1093"/>
      <c r="B1093"/>
      <c r="C1093"/>
      <c r="D1093"/>
      <c r="E1093"/>
      <c r="F1093"/>
      <c r="G1093"/>
      <c r="H1093"/>
      <c r="I1093"/>
      <c r="J1093"/>
      <c r="K1093"/>
    </row>
    <row r="1094" spans="1:11" ht="12.75" x14ac:dyDescent="0.2">
      <c r="A1094"/>
      <c r="B1094"/>
      <c r="C1094"/>
      <c r="D1094"/>
      <c r="E1094"/>
      <c r="F1094"/>
      <c r="G1094"/>
      <c r="H1094"/>
      <c r="I1094"/>
      <c r="J1094"/>
      <c r="K1094"/>
    </row>
    <row r="1095" spans="1:11" ht="12.75" x14ac:dyDescent="0.2">
      <c r="A1095"/>
      <c r="B1095"/>
      <c r="C1095"/>
      <c r="D1095"/>
      <c r="E1095"/>
      <c r="F1095"/>
      <c r="G1095"/>
      <c r="H1095"/>
      <c r="I1095"/>
      <c r="J1095"/>
      <c r="K1095"/>
    </row>
    <row r="1096" spans="1:11" ht="12.75" x14ac:dyDescent="0.2">
      <c r="A1096"/>
      <c r="B1096"/>
      <c r="C1096"/>
      <c r="D1096"/>
      <c r="E1096"/>
      <c r="F1096"/>
      <c r="G1096"/>
      <c r="H1096"/>
      <c r="I1096"/>
      <c r="J1096"/>
      <c r="K1096"/>
    </row>
    <row r="1097" spans="1:11" ht="12.75" x14ac:dyDescent="0.2">
      <c r="A1097"/>
      <c r="B1097"/>
      <c r="C1097"/>
      <c r="D1097"/>
      <c r="E1097"/>
      <c r="F1097"/>
      <c r="G1097"/>
      <c r="H1097"/>
      <c r="I1097"/>
      <c r="J1097"/>
      <c r="K1097"/>
    </row>
    <row r="1098" spans="1:11" ht="12.75" x14ac:dyDescent="0.2">
      <c r="A1098"/>
      <c r="B1098"/>
      <c r="C1098"/>
      <c r="D1098"/>
      <c r="E1098"/>
      <c r="F1098"/>
      <c r="G1098"/>
      <c r="H1098"/>
      <c r="I1098"/>
      <c r="J1098"/>
      <c r="K1098"/>
    </row>
    <row r="1099" spans="1:11" ht="12.75" x14ac:dyDescent="0.2">
      <c r="A1099"/>
      <c r="B1099"/>
      <c r="C1099"/>
      <c r="D1099"/>
      <c r="E1099"/>
      <c r="F1099"/>
      <c r="G1099"/>
      <c r="H1099"/>
      <c r="I1099"/>
      <c r="J1099"/>
      <c r="K1099"/>
    </row>
    <row r="1100" spans="1:11" ht="12.75" x14ac:dyDescent="0.2">
      <c r="A1100"/>
      <c r="B1100"/>
      <c r="C1100"/>
      <c r="D1100"/>
      <c r="E1100"/>
      <c r="F1100"/>
      <c r="G1100"/>
      <c r="H1100"/>
      <c r="I1100"/>
      <c r="J1100"/>
      <c r="K1100"/>
    </row>
    <row r="1101" spans="1:11" ht="12.75" x14ac:dyDescent="0.2">
      <c r="A1101"/>
      <c r="B1101"/>
      <c r="C1101"/>
      <c r="D1101"/>
      <c r="E1101"/>
      <c r="F1101"/>
      <c r="G1101"/>
      <c r="H1101"/>
      <c r="I1101"/>
      <c r="J1101"/>
      <c r="K1101"/>
    </row>
    <row r="1102" spans="1:11" ht="12.75" x14ac:dyDescent="0.2">
      <c r="A1102"/>
      <c r="B1102"/>
      <c r="C1102"/>
      <c r="D1102"/>
      <c r="E1102"/>
      <c r="F1102"/>
      <c r="G1102"/>
      <c r="H1102"/>
      <c r="I1102"/>
      <c r="J1102"/>
      <c r="K1102"/>
    </row>
    <row r="1103" spans="1:11" ht="12.75" x14ac:dyDescent="0.2">
      <c r="A1103"/>
      <c r="B1103"/>
      <c r="C1103"/>
      <c r="D1103"/>
      <c r="E1103"/>
      <c r="F1103"/>
      <c r="G1103"/>
      <c r="H1103"/>
      <c r="I1103"/>
      <c r="J1103"/>
      <c r="K1103"/>
    </row>
    <row r="1104" spans="1:11" ht="12.75" x14ac:dyDescent="0.2">
      <c r="A1104"/>
      <c r="B1104"/>
      <c r="C1104"/>
      <c r="D1104"/>
      <c r="E1104"/>
      <c r="F1104"/>
      <c r="G1104"/>
      <c r="H1104"/>
      <c r="I1104"/>
      <c r="J1104"/>
      <c r="K1104"/>
    </row>
    <row r="1105" spans="1:11" ht="12.75" x14ac:dyDescent="0.2">
      <c r="A1105"/>
      <c r="B1105"/>
      <c r="C1105"/>
      <c r="D1105"/>
      <c r="E1105"/>
      <c r="F1105"/>
      <c r="G1105"/>
      <c r="H1105"/>
      <c r="I1105"/>
      <c r="J1105"/>
      <c r="K1105"/>
    </row>
    <row r="1106" spans="1:11" ht="12.75" x14ac:dyDescent="0.2">
      <c r="A1106"/>
      <c r="B1106"/>
      <c r="C1106"/>
      <c r="D1106"/>
      <c r="E1106"/>
      <c r="F1106"/>
      <c r="G1106"/>
      <c r="H1106"/>
      <c r="I1106"/>
      <c r="J1106"/>
      <c r="K1106"/>
    </row>
    <row r="1107" spans="1:11" ht="12.75" x14ac:dyDescent="0.2">
      <c r="A1107"/>
      <c r="B1107"/>
      <c r="C1107"/>
      <c r="D1107"/>
      <c r="E1107"/>
      <c r="F1107"/>
      <c r="G1107"/>
      <c r="H1107"/>
      <c r="I1107"/>
      <c r="J1107"/>
      <c r="K1107"/>
    </row>
    <row r="1108" spans="1:11" ht="12.75" x14ac:dyDescent="0.2">
      <c r="A1108"/>
      <c r="B1108"/>
      <c r="C1108"/>
      <c r="D1108"/>
      <c r="E1108"/>
      <c r="F1108"/>
      <c r="G1108"/>
      <c r="H1108"/>
      <c r="I1108"/>
      <c r="J1108"/>
      <c r="K1108"/>
    </row>
    <row r="1109" spans="1:11" ht="12.75" x14ac:dyDescent="0.2">
      <c r="A1109"/>
      <c r="B1109"/>
      <c r="C1109"/>
      <c r="D1109"/>
      <c r="E1109"/>
      <c r="F1109"/>
      <c r="G1109"/>
      <c r="H1109"/>
      <c r="I1109"/>
      <c r="J1109"/>
      <c r="K1109"/>
    </row>
    <row r="1110" spans="1:11" ht="12.75" x14ac:dyDescent="0.2">
      <c r="A1110"/>
      <c r="B1110"/>
      <c r="C1110"/>
      <c r="D1110"/>
      <c r="E1110"/>
      <c r="F1110"/>
      <c r="G1110"/>
      <c r="H1110"/>
      <c r="I1110"/>
      <c r="J1110"/>
      <c r="K1110"/>
    </row>
    <row r="1111" spans="1:11" ht="12.75" x14ac:dyDescent="0.2">
      <c r="A1111"/>
      <c r="B1111"/>
      <c r="C1111"/>
      <c r="D1111"/>
      <c r="E1111"/>
      <c r="F1111"/>
      <c r="G1111"/>
      <c r="H1111"/>
      <c r="I1111"/>
      <c r="J1111"/>
      <c r="K1111"/>
    </row>
    <row r="1112" spans="1:11" ht="12.75" x14ac:dyDescent="0.2">
      <c r="A1112"/>
      <c r="B1112"/>
      <c r="C1112"/>
      <c r="D1112"/>
      <c r="E1112"/>
      <c r="F1112"/>
      <c r="G1112"/>
      <c r="H1112"/>
      <c r="I1112"/>
      <c r="J1112"/>
      <c r="K1112"/>
    </row>
    <row r="1113" spans="1:11" ht="12.75" x14ac:dyDescent="0.2">
      <c r="A1113"/>
      <c r="B1113"/>
      <c r="C1113"/>
      <c r="D1113"/>
      <c r="E1113"/>
      <c r="F1113"/>
      <c r="G1113"/>
      <c r="H1113"/>
      <c r="I1113"/>
      <c r="J1113"/>
      <c r="K1113"/>
    </row>
    <row r="1114" spans="1:11" ht="12.75" x14ac:dyDescent="0.2">
      <c r="A1114"/>
      <c r="B1114"/>
      <c r="C1114"/>
      <c r="D1114"/>
      <c r="E1114"/>
      <c r="F1114"/>
      <c r="G1114"/>
      <c r="H1114"/>
      <c r="I1114"/>
      <c r="J1114"/>
      <c r="K1114"/>
    </row>
    <row r="1115" spans="1:11" ht="12.75" x14ac:dyDescent="0.2">
      <c r="A1115"/>
      <c r="B1115"/>
      <c r="C1115"/>
      <c r="D1115"/>
      <c r="E1115"/>
      <c r="F1115"/>
      <c r="G1115"/>
      <c r="H1115"/>
      <c r="I1115"/>
      <c r="J1115"/>
      <c r="K1115"/>
    </row>
    <row r="1116" spans="1:11" ht="12.75" x14ac:dyDescent="0.2">
      <c r="A1116"/>
      <c r="B1116"/>
      <c r="C1116"/>
      <c r="D1116"/>
      <c r="E1116"/>
      <c r="F1116"/>
      <c r="G1116"/>
      <c r="H1116"/>
      <c r="I1116"/>
      <c r="J1116"/>
      <c r="K1116"/>
    </row>
    <row r="1117" spans="1:11" ht="12.75" x14ac:dyDescent="0.2">
      <c r="A1117"/>
      <c r="B1117"/>
      <c r="C1117"/>
      <c r="D1117"/>
      <c r="E1117"/>
      <c r="F1117"/>
      <c r="G1117"/>
      <c r="H1117"/>
      <c r="I1117"/>
      <c r="J1117"/>
      <c r="K1117"/>
    </row>
    <row r="1118" spans="1:11" ht="12.75" x14ac:dyDescent="0.2">
      <c r="A1118"/>
      <c r="B1118"/>
      <c r="C1118"/>
      <c r="D1118"/>
      <c r="E1118"/>
      <c r="F1118"/>
      <c r="G1118"/>
      <c r="H1118"/>
      <c r="I1118"/>
      <c r="J1118"/>
      <c r="K1118"/>
    </row>
    <row r="1119" spans="1:11" ht="12.75" x14ac:dyDescent="0.2">
      <c r="A1119"/>
      <c r="B1119"/>
      <c r="C1119"/>
      <c r="D1119"/>
      <c r="E1119"/>
      <c r="F1119"/>
      <c r="G1119"/>
      <c r="H1119"/>
      <c r="I1119"/>
      <c r="J1119"/>
      <c r="K1119"/>
    </row>
    <row r="1120" spans="1:11" ht="12.75" x14ac:dyDescent="0.2">
      <c r="A1120"/>
      <c r="B1120"/>
      <c r="C1120"/>
      <c r="D1120"/>
      <c r="E1120"/>
      <c r="F1120"/>
      <c r="G1120"/>
      <c r="H1120"/>
      <c r="I1120"/>
      <c r="J1120"/>
      <c r="K1120"/>
    </row>
    <row r="1121" spans="1:11" ht="12.75" x14ac:dyDescent="0.2">
      <c r="A1121"/>
      <c r="B1121"/>
      <c r="C1121"/>
      <c r="D1121"/>
      <c r="E1121"/>
      <c r="F1121"/>
      <c r="G1121"/>
      <c r="H1121"/>
      <c r="I1121"/>
      <c r="J1121"/>
      <c r="K1121"/>
    </row>
    <row r="1122" spans="1:11" ht="12.75" x14ac:dyDescent="0.2">
      <c r="A1122"/>
      <c r="B1122"/>
      <c r="C1122"/>
      <c r="D1122"/>
      <c r="E1122"/>
      <c r="F1122"/>
      <c r="G1122"/>
      <c r="H1122"/>
      <c r="I1122"/>
      <c r="J1122"/>
      <c r="K1122"/>
    </row>
    <row r="1123" spans="1:11" ht="12.75" x14ac:dyDescent="0.2">
      <c r="A1123"/>
      <c r="B1123"/>
      <c r="C1123"/>
      <c r="D1123"/>
      <c r="E1123"/>
      <c r="F1123"/>
      <c r="G1123"/>
      <c r="H1123"/>
      <c r="I1123"/>
      <c r="J1123"/>
      <c r="K1123"/>
    </row>
    <row r="1124" spans="1:11" ht="12.75" x14ac:dyDescent="0.2">
      <c r="A1124"/>
      <c r="B1124"/>
      <c r="C1124"/>
      <c r="D1124"/>
      <c r="E1124"/>
      <c r="F1124"/>
      <c r="G1124"/>
      <c r="H1124"/>
      <c r="I1124"/>
      <c r="J1124"/>
      <c r="K1124"/>
    </row>
    <row r="1125" spans="1:11" ht="12.75" x14ac:dyDescent="0.2">
      <c r="A1125"/>
      <c r="B1125"/>
      <c r="C1125"/>
      <c r="D1125"/>
      <c r="E1125"/>
      <c r="F1125"/>
      <c r="G1125"/>
      <c r="H1125"/>
      <c r="I1125"/>
      <c r="J1125"/>
      <c r="K1125"/>
    </row>
    <row r="1126" spans="1:11" ht="12.75" x14ac:dyDescent="0.2">
      <c r="A1126"/>
      <c r="B1126"/>
      <c r="C1126"/>
      <c r="D1126"/>
      <c r="E1126"/>
      <c r="F1126"/>
      <c r="G1126"/>
      <c r="H1126"/>
      <c r="I1126"/>
      <c r="J1126"/>
      <c r="K1126"/>
    </row>
    <row r="1127" spans="1:11" ht="12.75" x14ac:dyDescent="0.2">
      <c r="A1127"/>
      <c r="B1127"/>
      <c r="C1127"/>
      <c r="D1127"/>
      <c r="E1127"/>
      <c r="F1127"/>
      <c r="G1127"/>
      <c r="H1127"/>
      <c r="I1127"/>
      <c r="J1127"/>
      <c r="K1127"/>
    </row>
    <row r="1128" spans="1:11" ht="12.75" x14ac:dyDescent="0.2">
      <c r="A1128"/>
      <c r="B1128"/>
      <c r="C1128"/>
      <c r="D1128"/>
      <c r="E1128"/>
      <c r="F1128"/>
      <c r="G1128"/>
      <c r="H1128"/>
      <c r="I1128"/>
      <c r="J1128"/>
      <c r="K1128"/>
    </row>
    <row r="1129" spans="1:11" ht="12.75" x14ac:dyDescent="0.2">
      <c r="A1129"/>
      <c r="B1129"/>
      <c r="C1129"/>
      <c r="D1129"/>
      <c r="E1129"/>
      <c r="F1129"/>
      <c r="G1129"/>
      <c r="H1129"/>
      <c r="I1129"/>
      <c r="J1129"/>
      <c r="K1129"/>
    </row>
    <row r="1130" spans="1:11" ht="12.75" x14ac:dyDescent="0.2">
      <c r="A1130"/>
      <c r="B1130"/>
      <c r="C1130"/>
      <c r="D1130"/>
      <c r="E1130"/>
      <c r="F1130"/>
      <c r="G1130"/>
      <c r="H1130"/>
      <c r="I1130"/>
      <c r="J1130"/>
      <c r="K1130"/>
    </row>
    <row r="1131" spans="1:11" ht="12.75" x14ac:dyDescent="0.2">
      <c r="A1131"/>
      <c r="B1131"/>
      <c r="C1131"/>
      <c r="D1131"/>
      <c r="E1131"/>
      <c r="F1131"/>
      <c r="G1131"/>
      <c r="H1131"/>
      <c r="I1131"/>
      <c r="J1131"/>
      <c r="K1131"/>
    </row>
    <row r="1132" spans="1:11" ht="12.75" x14ac:dyDescent="0.2">
      <c r="A1132"/>
      <c r="B1132"/>
      <c r="C1132"/>
      <c r="D1132"/>
      <c r="E1132"/>
      <c r="F1132"/>
      <c r="G1132"/>
      <c r="H1132"/>
      <c r="I1132"/>
      <c r="J1132"/>
      <c r="K1132"/>
    </row>
    <row r="1133" spans="1:11" ht="12.75" x14ac:dyDescent="0.2">
      <c r="A1133"/>
      <c r="B1133"/>
      <c r="C1133"/>
      <c r="D1133"/>
      <c r="E1133"/>
      <c r="F1133"/>
      <c r="G1133"/>
      <c r="H1133"/>
      <c r="I1133"/>
      <c r="J1133"/>
      <c r="K1133"/>
    </row>
    <row r="1134" spans="1:11" ht="12.75" x14ac:dyDescent="0.2">
      <c r="A1134"/>
      <c r="B1134"/>
      <c r="C1134"/>
      <c r="D1134"/>
      <c r="E1134"/>
      <c r="F1134"/>
      <c r="G1134"/>
      <c r="H1134"/>
      <c r="I1134"/>
      <c r="J1134"/>
      <c r="K1134"/>
    </row>
    <row r="1135" spans="1:11" ht="12.75" x14ac:dyDescent="0.2">
      <c r="A1135"/>
      <c r="B1135"/>
      <c r="C1135"/>
      <c r="D1135"/>
      <c r="E1135"/>
      <c r="F1135"/>
      <c r="G1135"/>
      <c r="H1135"/>
      <c r="I1135"/>
      <c r="J1135"/>
      <c r="K1135"/>
    </row>
    <row r="1136" spans="1:11" ht="12.75" x14ac:dyDescent="0.2">
      <c r="A1136"/>
      <c r="B1136"/>
      <c r="C1136"/>
      <c r="D1136"/>
      <c r="E1136"/>
      <c r="F1136"/>
      <c r="G1136"/>
      <c r="H1136"/>
      <c r="I1136"/>
      <c r="J1136"/>
      <c r="K1136"/>
    </row>
    <row r="1137" spans="1:11" ht="12.75" x14ac:dyDescent="0.2">
      <c r="A1137"/>
      <c r="B1137"/>
      <c r="C1137"/>
      <c r="D1137"/>
      <c r="E1137"/>
      <c r="F1137"/>
      <c r="G1137"/>
      <c r="H1137"/>
      <c r="I1137"/>
      <c r="J1137"/>
      <c r="K1137"/>
    </row>
    <row r="1138" spans="1:11" ht="12.75" x14ac:dyDescent="0.2">
      <c r="A1138"/>
      <c r="B1138"/>
      <c r="C1138"/>
      <c r="D1138"/>
      <c r="E1138"/>
      <c r="F1138"/>
      <c r="G1138"/>
      <c r="H1138"/>
      <c r="I1138"/>
      <c r="J1138"/>
      <c r="K1138"/>
    </row>
    <row r="1139" spans="1:11" ht="12.75" x14ac:dyDescent="0.2">
      <c r="A1139"/>
      <c r="B1139"/>
      <c r="C1139"/>
      <c r="D1139"/>
      <c r="E1139"/>
      <c r="F1139"/>
      <c r="G1139"/>
      <c r="H1139"/>
      <c r="I1139"/>
      <c r="J1139"/>
      <c r="K1139"/>
    </row>
    <row r="1140" spans="1:11" ht="12.75" x14ac:dyDescent="0.2">
      <c r="A1140"/>
      <c r="B1140"/>
      <c r="C1140"/>
      <c r="D1140"/>
      <c r="E1140"/>
      <c r="F1140"/>
      <c r="G1140"/>
      <c r="H1140"/>
      <c r="I1140"/>
      <c r="J1140"/>
      <c r="K1140"/>
    </row>
    <row r="1141" spans="1:11" ht="12.75" x14ac:dyDescent="0.2">
      <c r="A1141"/>
      <c r="B1141"/>
      <c r="C1141"/>
      <c r="D1141"/>
      <c r="E1141"/>
      <c r="F1141"/>
      <c r="G1141"/>
      <c r="H1141"/>
      <c r="I1141"/>
      <c r="J1141"/>
      <c r="K1141"/>
    </row>
    <row r="1142" spans="1:11" ht="12.75" x14ac:dyDescent="0.2">
      <c r="A1142"/>
      <c r="B1142"/>
      <c r="C1142"/>
      <c r="D1142"/>
      <c r="E1142"/>
      <c r="F1142"/>
      <c r="G1142"/>
      <c r="H1142"/>
      <c r="I1142"/>
      <c r="J1142"/>
      <c r="K1142"/>
    </row>
    <row r="1143" spans="1:11" ht="12.75" x14ac:dyDescent="0.2">
      <c r="A1143"/>
      <c r="B1143"/>
      <c r="C1143"/>
      <c r="D1143"/>
      <c r="E1143"/>
      <c r="F1143"/>
      <c r="G1143"/>
      <c r="H1143"/>
      <c r="I1143"/>
      <c r="J1143"/>
      <c r="K1143"/>
    </row>
    <row r="1144" spans="1:11" ht="12.75" x14ac:dyDescent="0.2">
      <c r="A1144"/>
      <c r="B1144"/>
      <c r="C1144"/>
      <c r="D1144"/>
      <c r="E1144"/>
      <c r="F1144"/>
      <c r="G1144"/>
      <c r="H1144"/>
      <c r="I1144"/>
      <c r="J1144"/>
      <c r="K1144"/>
    </row>
    <row r="1145" spans="1:11" ht="12.75" x14ac:dyDescent="0.2">
      <c r="A1145"/>
      <c r="B1145"/>
      <c r="C1145"/>
      <c r="D1145"/>
      <c r="E1145"/>
      <c r="F1145"/>
      <c r="G1145"/>
      <c r="H1145"/>
      <c r="I1145"/>
      <c r="J1145"/>
      <c r="K1145"/>
    </row>
    <row r="1146" spans="1:11" ht="12.75" x14ac:dyDescent="0.2">
      <c r="A1146"/>
      <c r="B1146"/>
      <c r="C1146"/>
      <c r="D1146"/>
      <c r="E1146"/>
      <c r="F1146"/>
      <c r="G1146"/>
      <c r="H1146"/>
      <c r="I1146"/>
      <c r="J1146"/>
      <c r="K1146"/>
    </row>
    <row r="1147" spans="1:11" ht="12.75" x14ac:dyDescent="0.2">
      <c r="A1147"/>
      <c r="B1147"/>
      <c r="C1147"/>
      <c r="D1147"/>
      <c r="E1147"/>
      <c r="F1147"/>
      <c r="G1147"/>
      <c r="H1147"/>
      <c r="I1147"/>
      <c r="J1147"/>
      <c r="K1147"/>
    </row>
    <row r="1148" spans="1:11" ht="12.75" x14ac:dyDescent="0.2">
      <c r="A1148"/>
      <c r="B1148"/>
      <c r="C1148"/>
      <c r="D1148"/>
      <c r="E1148"/>
      <c r="F1148"/>
      <c r="G1148"/>
      <c r="H1148"/>
      <c r="I1148"/>
      <c r="J1148"/>
      <c r="K1148"/>
    </row>
    <row r="1149" spans="1:11" ht="12.75" x14ac:dyDescent="0.2">
      <c r="A1149"/>
      <c r="B1149"/>
      <c r="C1149"/>
      <c r="D1149"/>
      <c r="E1149"/>
      <c r="F1149"/>
      <c r="G1149"/>
      <c r="H1149"/>
      <c r="I1149"/>
      <c r="J1149"/>
      <c r="K1149"/>
    </row>
    <row r="1150" spans="1:11" ht="12.75" x14ac:dyDescent="0.2">
      <c r="A1150"/>
      <c r="B1150"/>
      <c r="C1150"/>
      <c r="D1150"/>
      <c r="E1150"/>
      <c r="F1150"/>
      <c r="G1150"/>
      <c r="H1150"/>
      <c r="I1150"/>
      <c r="J1150"/>
      <c r="K1150"/>
    </row>
    <row r="1151" spans="1:11" ht="12.75" x14ac:dyDescent="0.2">
      <c r="A1151"/>
      <c r="B1151"/>
      <c r="C1151"/>
      <c r="D1151"/>
      <c r="E1151"/>
      <c r="F1151"/>
      <c r="G1151"/>
      <c r="H1151"/>
      <c r="I1151"/>
      <c r="J1151"/>
      <c r="K1151"/>
    </row>
    <row r="1152" spans="1:11" ht="12.75" x14ac:dyDescent="0.2">
      <c r="A1152"/>
      <c r="B1152"/>
      <c r="C1152"/>
      <c r="D1152"/>
      <c r="E1152"/>
      <c r="F1152"/>
      <c r="G1152"/>
      <c r="H1152"/>
      <c r="I1152"/>
      <c r="J1152"/>
      <c r="K1152"/>
    </row>
    <row r="1153" spans="1:11" ht="12.75" x14ac:dyDescent="0.2">
      <c r="A1153"/>
      <c r="B1153"/>
      <c r="C1153"/>
      <c r="D1153"/>
      <c r="E1153"/>
      <c r="F1153"/>
      <c r="G1153"/>
      <c r="H1153"/>
      <c r="I1153"/>
      <c r="J1153"/>
      <c r="K1153"/>
    </row>
    <row r="1154" spans="1:11" ht="12.75" x14ac:dyDescent="0.2">
      <c r="A1154"/>
      <c r="B1154"/>
      <c r="C1154"/>
      <c r="D1154"/>
      <c r="E1154"/>
      <c r="F1154"/>
      <c r="G1154"/>
      <c r="H1154"/>
      <c r="I1154"/>
      <c r="J1154"/>
      <c r="K1154"/>
    </row>
    <row r="1155" spans="1:11" ht="12.75" x14ac:dyDescent="0.2">
      <c r="A1155"/>
      <c r="B1155"/>
      <c r="C1155"/>
      <c r="D1155"/>
      <c r="E1155"/>
      <c r="F1155"/>
      <c r="G1155"/>
      <c r="H1155"/>
      <c r="I1155"/>
      <c r="J1155"/>
      <c r="K1155"/>
    </row>
    <row r="1156" spans="1:11" ht="12.75" x14ac:dyDescent="0.2">
      <c r="A1156"/>
      <c r="B1156"/>
      <c r="C1156"/>
      <c r="D1156"/>
      <c r="E1156"/>
      <c r="F1156"/>
      <c r="G1156"/>
      <c r="H1156"/>
      <c r="I1156"/>
      <c r="J1156"/>
      <c r="K1156"/>
    </row>
    <row r="1157" spans="1:11" ht="12.75" x14ac:dyDescent="0.2">
      <c r="A1157"/>
      <c r="B1157"/>
      <c r="C1157"/>
      <c r="D1157"/>
      <c r="E1157"/>
      <c r="F1157"/>
      <c r="G1157"/>
      <c r="H1157"/>
      <c r="I1157"/>
      <c r="J1157"/>
      <c r="K1157"/>
    </row>
    <row r="1158" spans="1:11" ht="12.75" x14ac:dyDescent="0.2">
      <c r="A1158"/>
      <c r="B1158"/>
      <c r="C1158"/>
      <c r="D1158"/>
      <c r="E1158"/>
      <c r="F1158"/>
      <c r="G1158"/>
      <c r="H1158"/>
      <c r="I1158"/>
      <c r="J1158"/>
      <c r="K1158"/>
    </row>
    <row r="1159" spans="1:11" ht="12.75" x14ac:dyDescent="0.2">
      <c r="A1159"/>
      <c r="B1159"/>
      <c r="C1159"/>
      <c r="D1159"/>
      <c r="E1159"/>
      <c r="F1159"/>
      <c r="G1159"/>
      <c r="H1159"/>
      <c r="I1159"/>
      <c r="J1159"/>
      <c r="K1159"/>
    </row>
    <row r="1160" spans="1:11" ht="12.75" x14ac:dyDescent="0.2">
      <c r="A1160"/>
      <c r="B1160"/>
      <c r="C1160"/>
      <c r="D1160"/>
      <c r="E1160"/>
      <c r="F1160"/>
      <c r="G1160"/>
      <c r="H1160"/>
      <c r="I1160"/>
      <c r="J1160"/>
      <c r="K1160"/>
    </row>
    <row r="1161" spans="1:11" ht="12.75" x14ac:dyDescent="0.2">
      <c r="A1161"/>
      <c r="B1161"/>
      <c r="C1161"/>
      <c r="D1161"/>
      <c r="E1161"/>
      <c r="F1161"/>
      <c r="G1161"/>
      <c r="H1161"/>
      <c r="I1161"/>
      <c r="J1161"/>
      <c r="K1161"/>
    </row>
    <row r="1162" spans="1:11" ht="12.75" x14ac:dyDescent="0.2">
      <c r="A1162"/>
      <c r="B1162"/>
      <c r="C1162"/>
      <c r="D1162"/>
      <c r="E1162"/>
      <c r="F1162"/>
      <c r="G1162"/>
      <c r="H1162"/>
      <c r="I1162"/>
      <c r="J1162"/>
      <c r="K1162"/>
    </row>
    <row r="1163" spans="1:11" ht="12.75" x14ac:dyDescent="0.2">
      <c r="A1163"/>
      <c r="B1163"/>
      <c r="C1163"/>
      <c r="D1163"/>
      <c r="E1163"/>
      <c r="F1163"/>
      <c r="G1163"/>
      <c r="H1163"/>
      <c r="I1163"/>
      <c r="J1163"/>
      <c r="K1163"/>
    </row>
    <row r="1164" spans="1:11" ht="12.75" x14ac:dyDescent="0.2">
      <c r="A1164"/>
      <c r="B1164"/>
      <c r="C1164"/>
      <c r="D1164"/>
      <c r="E1164"/>
      <c r="F1164"/>
      <c r="G1164"/>
      <c r="H1164"/>
      <c r="I1164"/>
      <c r="J1164"/>
      <c r="K1164"/>
    </row>
    <row r="1165" spans="1:11" ht="12.75" x14ac:dyDescent="0.2">
      <c r="A1165"/>
      <c r="B1165"/>
      <c r="C1165"/>
      <c r="D1165"/>
      <c r="E1165"/>
      <c r="F1165"/>
      <c r="G1165"/>
      <c r="H1165"/>
      <c r="I1165"/>
      <c r="J1165"/>
      <c r="K1165"/>
    </row>
    <row r="1166" spans="1:11" ht="12.75" x14ac:dyDescent="0.2">
      <c r="A1166"/>
      <c r="B1166"/>
      <c r="C1166"/>
      <c r="D1166"/>
      <c r="E1166"/>
      <c r="F1166"/>
      <c r="G1166"/>
      <c r="H1166"/>
      <c r="I1166"/>
      <c r="J1166"/>
      <c r="K1166"/>
    </row>
    <row r="1167" spans="1:11" ht="12.75" x14ac:dyDescent="0.2">
      <c r="A1167"/>
      <c r="B1167"/>
      <c r="C1167"/>
      <c r="D1167"/>
      <c r="E1167"/>
      <c r="F1167"/>
      <c r="G1167"/>
      <c r="H1167"/>
      <c r="I1167"/>
      <c r="J1167"/>
      <c r="K1167"/>
    </row>
    <row r="1168" spans="1:11" ht="12.75" x14ac:dyDescent="0.2">
      <c r="A1168"/>
      <c r="B1168"/>
      <c r="C1168"/>
      <c r="D1168"/>
      <c r="E1168"/>
      <c r="F1168"/>
      <c r="G1168"/>
      <c r="H1168"/>
      <c r="I1168"/>
      <c r="J1168"/>
      <c r="K1168"/>
    </row>
    <row r="1169" spans="1:11" ht="12.75" x14ac:dyDescent="0.2">
      <c r="A1169"/>
      <c r="B1169"/>
      <c r="C1169"/>
      <c r="D1169"/>
      <c r="E1169"/>
      <c r="F1169"/>
      <c r="G1169"/>
      <c r="H1169"/>
      <c r="I1169"/>
      <c r="J1169"/>
      <c r="K1169"/>
    </row>
    <row r="1170" spans="1:11" ht="12.75" x14ac:dyDescent="0.2">
      <c r="A1170"/>
      <c r="B1170"/>
      <c r="C1170"/>
      <c r="D1170"/>
      <c r="E1170"/>
      <c r="F1170"/>
      <c r="G1170"/>
      <c r="H1170"/>
      <c r="I1170"/>
      <c r="J1170"/>
      <c r="K1170"/>
    </row>
    <row r="1171" spans="1:11" ht="12.75" x14ac:dyDescent="0.2">
      <c r="A1171"/>
      <c r="B1171"/>
      <c r="C1171"/>
      <c r="D1171"/>
      <c r="E1171"/>
      <c r="F1171"/>
      <c r="G1171"/>
      <c r="H1171"/>
      <c r="I1171"/>
      <c r="J1171"/>
      <c r="K1171"/>
    </row>
    <row r="1172" spans="1:11" ht="12.75" x14ac:dyDescent="0.2">
      <c r="A1172"/>
      <c r="B1172"/>
      <c r="C1172"/>
      <c r="D1172"/>
      <c r="E1172"/>
      <c r="F1172"/>
      <c r="G1172"/>
      <c r="H1172"/>
      <c r="I1172"/>
      <c r="J1172"/>
      <c r="K1172"/>
    </row>
    <row r="1173" spans="1:11" ht="12.75" x14ac:dyDescent="0.2">
      <c r="A1173"/>
      <c r="B1173"/>
      <c r="C1173"/>
      <c r="D1173"/>
      <c r="E1173"/>
      <c r="F1173"/>
      <c r="G1173"/>
      <c r="H1173"/>
      <c r="I1173"/>
      <c r="J1173"/>
      <c r="K1173"/>
    </row>
    <row r="1174" spans="1:11" ht="12.75" x14ac:dyDescent="0.2">
      <c r="A1174"/>
      <c r="B1174"/>
      <c r="C1174"/>
      <c r="D1174"/>
      <c r="E1174"/>
      <c r="F1174"/>
      <c r="G1174"/>
      <c r="H1174"/>
      <c r="I1174"/>
      <c r="J1174"/>
      <c r="K1174"/>
    </row>
    <row r="1175" spans="1:11" ht="12.75" x14ac:dyDescent="0.2">
      <c r="A1175"/>
      <c r="B1175"/>
      <c r="C1175"/>
      <c r="D1175"/>
      <c r="E1175"/>
      <c r="F1175"/>
      <c r="G1175"/>
      <c r="H1175"/>
      <c r="I1175"/>
      <c r="J1175"/>
      <c r="K1175"/>
    </row>
    <row r="1176" spans="1:11" ht="12.75" x14ac:dyDescent="0.2">
      <c r="A1176"/>
      <c r="B1176"/>
      <c r="C1176"/>
      <c r="D1176"/>
      <c r="E1176"/>
      <c r="F1176"/>
      <c r="G1176"/>
      <c r="H1176"/>
      <c r="I1176"/>
      <c r="J1176"/>
      <c r="K1176"/>
    </row>
    <row r="1177" spans="1:11" ht="12.75" x14ac:dyDescent="0.2">
      <c r="A1177"/>
      <c r="B1177"/>
      <c r="C1177"/>
      <c r="D1177"/>
      <c r="E1177"/>
      <c r="F1177"/>
      <c r="G1177"/>
      <c r="H1177"/>
      <c r="I1177"/>
      <c r="J1177"/>
      <c r="K1177"/>
    </row>
    <row r="1178" spans="1:11" ht="12.75" x14ac:dyDescent="0.2">
      <c r="A1178"/>
      <c r="B1178"/>
      <c r="C1178"/>
      <c r="D1178"/>
      <c r="E1178"/>
      <c r="F1178"/>
      <c r="G1178"/>
      <c r="H1178"/>
      <c r="I1178"/>
      <c r="J1178"/>
      <c r="K1178"/>
    </row>
    <row r="1179" spans="1:11" ht="12.75" x14ac:dyDescent="0.2">
      <c r="A1179"/>
      <c r="B1179"/>
      <c r="C1179"/>
      <c r="D1179"/>
      <c r="E1179"/>
      <c r="F1179"/>
      <c r="G1179"/>
      <c r="H1179"/>
      <c r="I1179"/>
      <c r="J1179"/>
      <c r="K1179"/>
    </row>
    <row r="1180" spans="1:11" ht="12.75" x14ac:dyDescent="0.2">
      <c r="A1180"/>
      <c r="B1180"/>
      <c r="C1180"/>
      <c r="D1180"/>
      <c r="E1180"/>
      <c r="F1180"/>
      <c r="G1180"/>
      <c r="H1180"/>
      <c r="I1180"/>
      <c r="J1180"/>
      <c r="K1180"/>
    </row>
    <row r="1181" spans="1:11" ht="12.75" x14ac:dyDescent="0.2">
      <c r="A1181"/>
      <c r="B1181"/>
      <c r="C1181"/>
      <c r="D1181"/>
      <c r="E1181"/>
      <c r="F1181"/>
      <c r="G1181"/>
      <c r="H1181"/>
      <c r="I1181"/>
      <c r="J1181"/>
      <c r="K1181"/>
    </row>
    <row r="1182" spans="1:11" ht="12.75" x14ac:dyDescent="0.2">
      <c r="A1182"/>
      <c r="B1182"/>
      <c r="C1182"/>
      <c r="D1182"/>
      <c r="E1182"/>
      <c r="F1182"/>
      <c r="G1182"/>
      <c r="H1182"/>
      <c r="I1182"/>
      <c r="J1182"/>
      <c r="K1182"/>
    </row>
    <row r="1183" spans="1:11" ht="12.75" x14ac:dyDescent="0.2">
      <c r="A1183"/>
      <c r="B1183"/>
      <c r="C1183"/>
      <c r="D1183"/>
      <c r="E1183"/>
      <c r="F1183"/>
      <c r="G1183"/>
      <c r="H1183"/>
      <c r="I1183"/>
      <c r="J1183"/>
      <c r="K1183"/>
    </row>
    <row r="1184" spans="1:11" ht="12.75" x14ac:dyDescent="0.2">
      <c r="A1184"/>
      <c r="B1184"/>
      <c r="C1184"/>
      <c r="D1184"/>
      <c r="E1184"/>
      <c r="F1184"/>
      <c r="G1184"/>
      <c r="H1184"/>
      <c r="I1184"/>
      <c r="J1184"/>
      <c r="K1184"/>
    </row>
    <row r="1185" spans="1:11" ht="12.75" x14ac:dyDescent="0.2">
      <c r="A1185"/>
      <c r="B1185"/>
      <c r="C1185"/>
      <c r="D1185"/>
      <c r="E1185"/>
      <c r="F1185"/>
      <c r="G1185"/>
      <c r="H1185"/>
      <c r="I1185"/>
      <c r="J1185"/>
      <c r="K1185"/>
    </row>
    <row r="1186" spans="1:11" ht="12.75" x14ac:dyDescent="0.2">
      <c r="A1186"/>
      <c r="B1186"/>
      <c r="C1186"/>
      <c r="D1186"/>
      <c r="E1186"/>
      <c r="F1186"/>
      <c r="G1186"/>
      <c r="H1186"/>
      <c r="I1186"/>
      <c r="J1186"/>
      <c r="K1186"/>
    </row>
    <row r="1187" spans="1:11" ht="12.75" x14ac:dyDescent="0.2">
      <c r="A1187"/>
      <c r="B1187"/>
      <c r="C1187"/>
      <c r="D1187"/>
      <c r="E1187"/>
      <c r="F1187"/>
      <c r="G1187"/>
      <c r="H1187"/>
      <c r="I1187"/>
      <c r="J1187"/>
      <c r="K1187"/>
    </row>
    <row r="1188" spans="1:11" ht="12.75" x14ac:dyDescent="0.2">
      <c r="A1188"/>
      <c r="B1188"/>
      <c r="C1188"/>
      <c r="D1188"/>
      <c r="E1188"/>
      <c r="F1188"/>
      <c r="G1188"/>
      <c r="H1188"/>
      <c r="I1188"/>
      <c r="J1188"/>
      <c r="K1188"/>
    </row>
    <row r="1189" spans="1:11" ht="12.75" x14ac:dyDescent="0.2">
      <c r="A1189"/>
      <c r="B1189"/>
      <c r="C1189"/>
      <c r="D1189"/>
      <c r="E1189"/>
      <c r="F1189"/>
      <c r="G1189"/>
      <c r="H1189"/>
      <c r="I1189"/>
      <c r="J1189"/>
      <c r="K1189"/>
    </row>
    <row r="1190" spans="1:11" ht="12.75" x14ac:dyDescent="0.2">
      <c r="A1190"/>
      <c r="B1190"/>
      <c r="C1190"/>
      <c r="D1190"/>
      <c r="E1190"/>
      <c r="F1190"/>
      <c r="G1190"/>
      <c r="H1190"/>
      <c r="I1190"/>
      <c r="J1190"/>
      <c r="K1190"/>
    </row>
    <row r="1191" spans="1:11" ht="12.75" x14ac:dyDescent="0.2">
      <c r="A1191"/>
      <c r="B1191"/>
      <c r="C1191"/>
      <c r="D1191"/>
      <c r="E1191"/>
      <c r="F1191"/>
      <c r="G1191"/>
      <c r="H1191"/>
      <c r="I1191"/>
      <c r="J1191"/>
      <c r="K1191"/>
    </row>
    <row r="1192" spans="1:11" ht="12.75" x14ac:dyDescent="0.2">
      <c r="A1192"/>
      <c r="B1192"/>
      <c r="C1192"/>
      <c r="D1192"/>
      <c r="E1192"/>
      <c r="F1192"/>
      <c r="G1192"/>
      <c r="H1192"/>
      <c r="I1192"/>
      <c r="J1192"/>
      <c r="K1192"/>
    </row>
    <row r="1193" spans="1:11" ht="12.75" x14ac:dyDescent="0.2">
      <c r="A1193"/>
      <c r="B1193"/>
      <c r="C1193"/>
      <c r="D1193"/>
      <c r="E1193"/>
      <c r="F1193"/>
      <c r="G1193"/>
      <c r="H1193"/>
      <c r="I1193"/>
      <c r="J1193"/>
      <c r="K1193"/>
    </row>
    <row r="1194" spans="1:11" ht="12.75" x14ac:dyDescent="0.2">
      <c r="A1194"/>
      <c r="B1194"/>
      <c r="C1194"/>
      <c r="D1194"/>
      <c r="E1194"/>
      <c r="F1194"/>
      <c r="G1194"/>
      <c r="H1194"/>
      <c r="I1194"/>
      <c r="J1194"/>
      <c r="K1194"/>
    </row>
    <row r="1195" spans="1:11" ht="12.75" x14ac:dyDescent="0.2">
      <c r="A1195"/>
      <c r="B1195"/>
      <c r="C1195"/>
      <c r="D1195"/>
      <c r="E1195"/>
      <c r="F1195"/>
      <c r="G1195"/>
      <c r="H1195"/>
      <c r="I1195"/>
      <c r="J1195"/>
      <c r="K1195"/>
    </row>
    <row r="1196" spans="1:11" ht="12.75" x14ac:dyDescent="0.2">
      <c r="A1196"/>
      <c r="B1196"/>
      <c r="C1196"/>
      <c r="D1196"/>
      <c r="E1196"/>
      <c r="F1196"/>
      <c r="G1196"/>
      <c r="H1196"/>
      <c r="I1196"/>
      <c r="J1196"/>
      <c r="K1196"/>
    </row>
    <row r="1197" spans="1:11" ht="12.75" x14ac:dyDescent="0.2">
      <c r="A1197"/>
      <c r="B1197"/>
      <c r="C1197"/>
      <c r="D1197"/>
      <c r="E1197"/>
      <c r="F1197"/>
      <c r="G1197"/>
      <c r="H1197"/>
      <c r="I1197"/>
      <c r="J1197"/>
      <c r="K1197"/>
    </row>
    <row r="1198" spans="1:11" ht="12.75" x14ac:dyDescent="0.2">
      <c r="A1198"/>
      <c r="B1198"/>
      <c r="C1198"/>
      <c r="D1198"/>
      <c r="E1198"/>
      <c r="F1198"/>
      <c r="G1198"/>
      <c r="H1198"/>
      <c r="I1198"/>
      <c r="J1198"/>
      <c r="K1198"/>
    </row>
    <row r="1199" spans="1:11" ht="12.75" x14ac:dyDescent="0.2">
      <c r="A1199"/>
      <c r="B1199"/>
      <c r="C1199"/>
      <c r="D1199"/>
      <c r="E1199"/>
      <c r="F1199"/>
      <c r="G1199"/>
      <c r="H1199"/>
      <c r="I1199"/>
      <c r="J1199"/>
      <c r="K1199"/>
    </row>
    <row r="1200" spans="1:11" ht="12.75" x14ac:dyDescent="0.2">
      <c r="A1200"/>
      <c r="B1200"/>
      <c r="C1200"/>
      <c r="D1200"/>
      <c r="E1200"/>
      <c r="F1200"/>
      <c r="G1200"/>
      <c r="H1200"/>
      <c r="I1200"/>
      <c r="J1200"/>
      <c r="K1200"/>
    </row>
    <row r="1201" spans="1:11" ht="12.75" x14ac:dyDescent="0.2">
      <c r="A1201"/>
      <c r="B1201"/>
      <c r="C1201"/>
      <c r="D1201"/>
      <c r="E1201"/>
      <c r="F1201"/>
      <c r="G1201"/>
      <c r="H1201"/>
      <c r="I1201"/>
      <c r="J1201"/>
      <c r="K1201"/>
    </row>
    <row r="1202" spans="1:11" ht="12.75" x14ac:dyDescent="0.2">
      <c r="A1202"/>
      <c r="B1202"/>
      <c r="C1202"/>
      <c r="D1202"/>
      <c r="E1202"/>
      <c r="F1202"/>
      <c r="G1202"/>
      <c r="H1202"/>
      <c r="I1202"/>
      <c r="J1202"/>
      <c r="K1202"/>
    </row>
    <row r="1203" spans="1:11" ht="12.75" x14ac:dyDescent="0.2">
      <c r="A1203"/>
      <c r="B1203"/>
      <c r="C1203"/>
      <c r="D1203"/>
      <c r="E1203"/>
      <c r="F1203"/>
      <c r="G1203"/>
      <c r="H1203"/>
      <c r="I1203"/>
      <c r="J1203"/>
      <c r="K1203"/>
    </row>
    <row r="1204" spans="1:11" ht="12.75" x14ac:dyDescent="0.2">
      <c r="A1204"/>
      <c r="B1204"/>
      <c r="C1204"/>
      <c r="D1204"/>
      <c r="E1204"/>
      <c r="F1204"/>
      <c r="G1204"/>
      <c r="H1204"/>
      <c r="I1204"/>
      <c r="J1204"/>
      <c r="K1204"/>
    </row>
    <row r="1205" spans="1:11" ht="12.75" x14ac:dyDescent="0.2">
      <c r="A1205"/>
      <c r="B1205"/>
      <c r="C1205"/>
      <c r="D1205"/>
      <c r="E1205"/>
      <c r="F1205"/>
      <c r="G1205"/>
      <c r="H1205"/>
      <c r="I1205"/>
      <c r="J1205"/>
      <c r="K1205"/>
    </row>
    <row r="1206" spans="1:11" ht="12.75" x14ac:dyDescent="0.2">
      <c r="A1206"/>
      <c r="B1206"/>
      <c r="C1206"/>
      <c r="D1206"/>
      <c r="E1206"/>
      <c r="F1206"/>
      <c r="G1206"/>
      <c r="H1206"/>
      <c r="I1206"/>
      <c r="J1206"/>
      <c r="K1206"/>
    </row>
    <row r="1207" spans="1:11" ht="12.75" x14ac:dyDescent="0.2">
      <c r="A1207"/>
      <c r="B1207"/>
      <c r="C1207"/>
      <c r="D1207"/>
      <c r="E1207"/>
      <c r="F1207"/>
      <c r="G1207"/>
      <c r="H1207"/>
      <c r="I1207"/>
      <c r="J1207"/>
      <c r="K1207"/>
    </row>
    <row r="1208" spans="1:11" ht="12.75" x14ac:dyDescent="0.2">
      <c r="A1208"/>
      <c r="B1208"/>
      <c r="C1208"/>
      <c r="D1208"/>
      <c r="E1208"/>
      <c r="F1208"/>
      <c r="G1208"/>
      <c r="H1208"/>
      <c r="I1208"/>
      <c r="J1208"/>
      <c r="K1208"/>
    </row>
    <row r="1209" spans="1:11" ht="12.75" x14ac:dyDescent="0.2">
      <c r="A1209"/>
      <c r="B1209"/>
      <c r="C1209"/>
      <c r="D1209"/>
      <c r="E1209"/>
      <c r="F1209"/>
      <c r="G1209"/>
      <c r="H1209"/>
      <c r="I1209"/>
      <c r="J1209"/>
      <c r="K1209"/>
    </row>
    <row r="1210" spans="1:11" ht="12.75" x14ac:dyDescent="0.2">
      <c r="A1210"/>
      <c r="B1210"/>
      <c r="C1210"/>
      <c r="D1210"/>
      <c r="E1210"/>
      <c r="F1210"/>
      <c r="G1210"/>
      <c r="H1210"/>
      <c r="I1210"/>
      <c r="J1210"/>
      <c r="K1210"/>
    </row>
    <row r="1211" spans="1:11" ht="12.75" x14ac:dyDescent="0.2">
      <c r="A1211"/>
      <c r="B1211"/>
      <c r="C1211"/>
      <c r="D1211"/>
      <c r="E1211"/>
      <c r="F1211"/>
      <c r="G1211"/>
      <c r="H1211"/>
      <c r="I1211"/>
      <c r="J1211"/>
      <c r="K1211"/>
    </row>
    <row r="1212" spans="1:11" ht="12.75" x14ac:dyDescent="0.2">
      <c r="A1212"/>
      <c r="B1212"/>
      <c r="C1212"/>
      <c r="D1212"/>
      <c r="E1212"/>
      <c r="F1212"/>
      <c r="G1212"/>
      <c r="H1212"/>
      <c r="I1212"/>
      <c r="J1212"/>
      <c r="K1212"/>
    </row>
    <row r="1213" spans="1:11" ht="12.75" x14ac:dyDescent="0.2">
      <c r="A1213"/>
      <c r="B1213"/>
      <c r="C1213"/>
      <c r="D1213"/>
      <c r="E1213"/>
      <c r="F1213"/>
      <c r="G1213"/>
      <c r="H1213"/>
      <c r="I1213"/>
      <c r="J1213"/>
      <c r="K1213"/>
    </row>
    <row r="1214" spans="1:11" ht="12.75" x14ac:dyDescent="0.2">
      <c r="A1214"/>
      <c r="B1214"/>
      <c r="C1214"/>
      <c r="D1214"/>
      <c r="E1214"/>
      <c r="F1214"/>
      <c r="G1214"/>
      <c r="H1214"/>
      <c r="I1214"/>
      <c r="J1214"/>
      <c r="K1214"/>
    </row>
    <row r="1215" spans="1:11" ht="12.75" x14ac:dyDescent="0.2">
      <c r="A1215"/>
      <c r="B1215"/>
      <c r="C1215"/>
      <c r="D1215"/>
      <c r="E1215"/>
      <c r="F1215"/>
      <c r="G1215"/>
      <c r="H1215"/>
      <c r="I1215"/>
      <c r="J1215"/>
      <c r="K1215"/>
    </row>
    <row r="1216" spans="1:11" ht="12.75" x14ac:dyDescent="0.2">
      <c r="A1216"/>
      <c r="B1216"/>
      <c r="C1216"/>
      <c r="D1216"/>
      <c r="E1216"/>
      <c r="F1216"/>
      <c r="G1216"/>
      <c r="H1216"/>
      <c r="I1216"/>
      <c r="J1216"/>
      <c r="K1216"/>
    </row>
    <row r="1217" spans="1:11" ht="12.75" x14ac:dyDescent="0.2">
      <c r="A1217"/>
      <c r="B1217"/>
      <c r="C1217"/>
      <c r="D1217"/>
      <c r="E1217"/>
      <c r="F1217"/>
      <c r="G1217"/>
      <c r="H1217"/>
      <c r="I1217"/>
      <c r="J1217"/>
      <c r="K1217"/>
    </row>
    <row r="1218" spans="1:11" ht="12.75" x14ac:dyDescent="0.2">
      <c r="A1218"/>
      <c r="B1218"/>
      <c r="C1218"/>
      <c r="D1218"/>
      <c r="E1218"/>
      <c r="F1218"/>
      <c r="G1218"/>
      <c r="H1218"/>
      <c r="I1218"/>
      <c r="J1218"/>
      <c r="K1218"/>
    </row>
    <row r="1219" spans="1:11" ht="12.75" x14ac:dyDescent="0.2">
      <c r="A1219"/>
      <c r="B1219"/>
      <c r="C1219"/>
      <c r="D1219"/>
      <c r="E1219"/>
      <c r="F1219"/>
      <c r="G1219"/>
      <c r="H1219"/>
      <c r="I1219"/>
      <c r="J1219"/>
      <c r="K1219"/>
    </row>
    <row r="1220" spans="1:11" ht="12.75" x14ac:dyDescent="0.2">
      <c r="A1220"/>
      <c r="B1220"/>
      <c r="C1220"/>
      <c r="D1220"/>
      <c r="E1220"/>
      <c r="F1220"/>
      <c r="G1220"/>
      <c r="H1220"/>
      <c r="I1220"/>
      <c r="J1220"/>
      <c r="K1220"/>
    </row>
    <row r="1221" spans="1:11" ht="12.75" x14ac:dyDescent="0.2">
      <c r="A1221"/>
      <c r="B1221"/>
      <c r="C1221"/>
      <c r="D1221"/>
      <c r="E1221"/>
      <c r="F1221"/>
      <c r="G1221"/>
      <c r="H1221"/>
      <c r="I1221"/>
      <c r="J1221"/>
      <c r="K1221"/>
    </row>
    <row r="1222" spans="1:11" ht="12.75" x14ac:dyDescent="0.2">
      <c r="A1222"/>
      <c r="B1222"/>
      <c r="C1222"/>
      <c r="D1222"/>
      <c r="E1222"/>
      <c r="F1222"/>
      <c r="G1222"/>
      <c r="H1222"/>
      <c r="I1222"/>
      <c r="J1222"/>
      <c r="K1222"/>
    </row>
    <row r="1223" spans="1:11" ht="12.75" x14ac:dyDescent="0.2">
      <c r="A1223"/>
      <c r="B1223"/>
      <c r="C1223"/>
      <c r="D1223"/>
      <c r="E1223"/>
      <c r="F1223"/>
      <c r="G1223"/>
      <c r="H1223"/>
      <c r="I1223"/>
      <c r="J1223"/>
      <c r="K1223"/>
    </row>
    <row r="1224" spans="1:11" ht="12.75" x14ac:dyDescent="0.2">
      <c r="A1224"/>
      <c r="B1224"/>
      <c r="C1224"/>
      <c r="D1224"/>
      <c r="E1224"/>
      <c r="F1224"/>
      <c r="G1224"/>
      <c r="H1224"/>
      <c r="I1224"/>
      <c r="J1224"/>
      <c r="K1224"/>
    </row>
    <row r="1225" spans="1:11" ht="12.75" x14ac:dyDescent="0.2">
      <c r="A1225"/>
      <c r="B1225"/>
      <c r="C1225"/>
      <c r="D1225"/>
      <c r="E1225"/>
      <c r="F1225"/>
      <c r="G1225"/>
      <c r="H1225"/>
      <c r="I1225"/>
      <c r="J1225"/>
      <c r="K1225"/>
    </row>
    <row r="1226" spans="1:11" ht="12.75" x14ac:dyDescent="0.2">
      <c r="A1226"/>
      <c r="B1226"/>
      <c r="C1226"/>
      <c r="D1226"/>
      <c r="E1226"/>
      <c r="F1226"/>
      <c r="G1226"/>
      <c r="H1226"/>
      <c r="I1226"/>
      <c r="J1226"/>
      <c r="K1226"/>
    </row>
    <row r="1227" spans="1:11" ht="12.75" x14ac:dyDescent="0.2">
      <c r="A1227"/>
      <c r="B1227"/>
      <c r="C1227"/>
      <c r="D1227"/>
      <c r="E1227"/>
      <c r="F1227"/>
      <c r="G1227"/>
      <c r="H1227"/>
      <c r="I1227"/>
      <c r="J1227"/>
      <c r="K1227"/>
    </row>
    <row r="1228" spans="1:11" ht="12.75" x14ac:dyDescent="0.2">
      <c r="A1228"/>
      <c r="B1228"/>
      <c r="C1228"/>
      <c r="D1228"/>
      <c r="E1228"/>
      <c r="F1228"/>
      <c r="G1228"/>
      <c r="H1228"/>
      <c r="I1228"/>
      <c r="J1228"/>
      <c r="K1228"/>
    </row>
    <row r="1229" spans="1:11" ht="12.75" x14ac:dyDescent="0.2">
      <c r="A1229"/>
      <c r="B1229"/>
      <c r="C1229"/>
      <c r="D1229"/>
      <c r="E1229"/>
      <c r="F1229"/>
      <c r="G1229"/>
      <c r="H1229"/>
      <c r="I1229"/>
      <c r="J1229"/>
      <c r="K1229"/>
    </row>
    <row r="1230" spans="1:11" ht="12.75" x14ac:dyDescent="0.2">
      <c r="A1230"/>
      <c r="B1230"/>
      <c r="C1230"/>
      <c r="D1230"/>
      <c r="E1230"/>
      <c r="F1230"/>
      <c r="G1230"/>
      <c r="H1230"/>
      <c r="I1230"/>
      <c r="J1230"/>
      <c r="K1230"/>
    </row>
    <row r="1231" spans="1:11" ht="12.75" x14ac:dyDescent="0.2">
      <c r="A1231"/>
      <c r="B1231"/>
      <c r="C1231"/>
      <c r="D1231"/>
      <c r="E1231"/>
      <c r="F1231"/>
      <c r="G1231"/>
      <c r="H1231"/>
      <c r="I1231"/>
      <c r="J1231"/>
      <c r="K1231"/>
    </row>
    <row r="1232" spans="1:11" ht="12.75" x14ac:dyDescent="0.2">
      <c r="A1232"/>
      <c r="B1232"/>
      <c r="C1232"/>
      <c r="D1232"/>
      <c r="E1232"/>
      <c r="F1232"/>
      <c r="G1232"/>
      <c r="H1232"/>
      <c r="I1232"/>
      <c r="J1232"/>
      <c r="K1232"/>
    </row>
    <row r="1233" spans="1:11" ht="12.75" x14ac:dyDescent="0.2">
      <c r="A1233"/>
      <c r="B1233"/>
      <c r="C1233"/>
      <c r="D1233"/>
      <c r="E1233"/>
      <c r="F1233"/>
      <c r="G1233"/>
      <c r="H1233"/>
      <c r="I1233"/>
      <c r="J1233"/>
      <c r="K1233"/>
    </row>
    <row r="1234" spans="1:11" ht="12.75" x14ac:dyDescent="0.2">
      <c r="A1234"/>
      <c r="B1234"/>
      <c r="C1234"/>
      <c r="D1234"/>
      <c r="E1234"/>
      <c r="F1234"/>
      <c r="G1234"/>
      <c r="H1234"/>
      <c r="I1234"/>
      <c r="J1234"/>
      <c r="K1234"/>
    </row>
    <row r="1235" spans="1:11" ht="12.75" x14ac:dyDescent="0.2">
      <c r="A1235"/>
      <c r="B1235"/>
      <c r="C1235"/>
      <c r="D1235"/>
      <c r="E1235"/>
      <c r="F1235"/>
      <c r="G1235"/>
      <c r="H1235"/>
      <c r="I1235"/>
      <c r="J1235"/>
      <c r="K1235"/>
    </row>
    <row r="1236" spans="1:11" ht="12.75" x14ac:dyDescent="0.2">
      <c r="A1236"/>
      <c r="B1236"/>
      <c r="C1236"/>
      <c r="D1236"/>
      <c r="E1236"/>
      <c r="F1236"/>
      <c r="G1236"/>
      <c r="H1236"/>
      <c r="I1236"/>
      <c r="J1236"/>
      <c r="K1236"/>
    </row>
    <row r="1237" spans="1:11" ht="12.75" x14ac:dyDescent="0.2">
      <c r="A1237"/>
      <c r="B1237"/>
      <c r="C1237"/>
      <c r="D1237"/>
      <c r="E1237"/>
      <c r="F1237"/>
      <c r="G1237"/>
      <c r="H1237"/>
      <c r="I1237"/>
      <c r="J1237"/>
      <c r="K1237"/>
    </row>
    <row r="1238" spans="1:11" ht="12.75" x14ac:dyDescent="0.2">
      <c r="A1238"/>
      <c r="B1238"/>
      <c r="C1238"/>
      <c r="D1238"/>
      <c r="E1238"/>
      <c r="F1238"/>
      <c r="G1238"/>
      <c r="H1238"/>
      <c r="I1238"/>
      <c r="J1238"/>
      <c r="K1238"/>
    </row>
    <row r="1239" spans="1:11" ht="12.75" x14ac:dyDescent="0.2">
      <c r="A1239"/>
      <c r="B1239"/>
      <c r="C1239"/>
      <c r="D1239"/>
      <c r="E1239"/>
      <c r="F1239"/>
      <c r="G1239"/>
      <c r="H1239"/>
      <c r="I1239"/>
      <c r="J1239"/>
      <c r="K1239"/>
    </row>
    <row r="1240" spans="1:11" ht="12.75" x14ac:dyDescent="0.2">
      <c r="A1240"/>
      <c r="B1240"/>
      <c r="C1240"/>
      <c r="D1240"/>
      <c r="E1240"/>
      <c r="F1240"/>
      <c r="G1240"/>
      <c r="H1240"/>
      <c r="I1240"/>
      <c r="J1240"/>
      <c r="K1240"/>
    </row>
    <row r="1241" spans="1:11" ht="12.75" x14ac:dyDescent="0.2">
      <c r="A1241"/>
      <c r="B1241"/>
      <c r="C1241"/>
      <c r="D1241"/>
      <c r="E1241"/>
      <c r="F1241"/>
      <c r="G1241"/>
      <c r="H1241"/>
      <c r="I1241"/>
      <c r="J1241"/>
      <c r="K1241"/>
    </row>
    <row r="1242" spans="1:11" ht="12.75" x14ac:dyDescent="0.2">
      <c r="A1242"/>
      <c r="B1242"/>
      <c r="C1242"/>
      <c r="D1242"/>
      <c r="E1242"/>
      <c r="F1242"/>
      <c r="G1242"/>
      <c r="H1242"/>
      <c r="I1242"/>
      <c r="J1242"/>
      <c r="K1242"/>
    </row>
    <row r="1243" spans="1:11" ht="12.75" x14ac:dyDescent="0.2">
      <c r="A1243"/>
      <c r="B1243"/>
      <c r="C1243"/>
      <c r="D1243"/>
      <c r="E1243"/>
      <c r="F1243"/>
      <c r="G1243"/>
      <c r="H1243"/>
      <c r="I1243"/>
      <c r="J1243"/>
      <c r="K1243"/>
    </row>
    <row r="1244" spans="1:11" ht="12.75" x14ac:dyDescent="0.2">
      <c r="A1244"/>
      <c r="B1244"/>
      <c r="C1244"/>
      <c r="D1244"/>
      <c r="E1244"/>
      <c r="F1244"/>
      <c r="G1244"/>
      <c r="H1244"/>
      <c r="I1244"/>
      <c r="J1244"/>
      <c r="K1244"/>
    </row>
    <row r="1245" spans="1:11" ht="12.75" x14ac:dyDescent="0.2">
      <c r="A1245"/>
      <c r="B1245"/>
      <c r="C1245"/>
      <c r="D1245"/>
      <c r="E1245"/>
      <c r="F1245"/>
      <c r="G1245"/>
      <c r="H1245"/>
      <c r="I1245"/>
      <c r="J1245"/>
      <c r="K1245"/>
    </row>
    <row r="1246" spans="1:11" ht="12.75" x14ac:dyDescent="0.2">
      <c r="A1246"/>
      <c r="B1246"/>
      <c r="C1246"/>
      <c r="D1246"/>
      <c r="E1246"/>
      <c r="F1246"/>
      <c r="G1246"/>
      <c r="H1246"/>
      <c r="I1246"/>
      <c r="J1246"/>
      <c r="K1246"/>
    </row>
    <row r="1247" spans="1:11" ht="12.75" x14ac:dyDescent="0.2">
      <c r="A1247"/>
      <c r="B1247"/>
      <c r="C1247"/>
      <c r="D1247"/>
      <c r="E1247"/>
      <c r="F1247"/>
      <c r="G1247"/>
      <c r="H1247"/>
      <c r="I1247"/>
      <c r="J1247"/>
      <c r="K1247"/>
    </row>
    <row r="1248" spans="1:11" ht="12.75" x14ac:dyDescent="0.2">
      <c r="A1248"/>
      <c r="B1248"/>
      <c r="C1248"/>
      <c r="D1248"/>
      <c r="E1248"/>
      <c r="F1248"/>
      <c r="G1248"/>
      <c r="H1248"/>
      <c r="I1248"/>
      <c r="J1248"/>
      <c r="K1248"/>
    </row>
    <row r="1249" spans="1:11" ht="12.75" x14ac:dyDescent="0.2">
      <c r="A1249"/>
      <c r="B1249"/>
      <c r="C1249"/>
      <c r="D1249"/>
      <c r="E1249"/>
      <c r="F1249"/>
      <c r="G1249"/>
      <c r="H1249"/>
      <c r="I1249"/>
      <c r="J1249"/>
      <c r="K1249"/>
    </row>
    <row r="1250" spans="1:11" ht="12.75" x14ac:dyDescent="0.2">
      <c r="A1250"/>
      <c r="B1250"/>
      <c r="C1250"/>
      <c r="D1250"/>
      <c r="E1250"/>
      <c r="F1250"/>
      <c r="G1250"/>
      <c r="H1250"/>
      <c r="I1250"/>
      <c r="J1250"/>
      <c r="K1250"/>
    </row>
    <row r="1251" spans="1:11" ht="12.75" x14ac:dyDescent="0.2">
      <c r="A1251"/>
      <c r="B1251"/>
      <c r="C1251"/>
      <c r="D1251"/>
      <c r="E1251"/>
      <c r="F1251"/>
      <c r="G1251"/>
      <c r="H1251"/>
      <c r="I1251"/>
      <c r="J1251"/>
      <c r="K1251"/>
    </row>
    <row r="1252" spans="1:11" ht="12.75" x14ac:dyDescent="0.2">
      <c r="A1252"/>
      <c r="B1252"/>
      <c r="C1252"/>
      <c r="D1252"/>
      <c r="E1252"/>
      <c r="F1252"/>
      <c r="G1252"/>
      <c r="H1252"/>
      <c r="I1252"/>
      <c r="J1252"/>
      <c r="K1252"/>
    </row>
    <row r="1253" spans="1:11" ht="12.75" x14ac:dyDescent="0.2">
      <c r="A1253"/>
      <c r="B1253"/>
      <c r="C1253"/>
      <c r="D1253"/>
      <c r="E1253"/>
      <c r="F1253"/>
      <c r="G1253"/>
      <c r="H1253"/>
      <c r="I1253"/>
      <c r="J1253"/>
      <c r="K1253"/>
    </row>
    <row r="1254" spans="1:11" ht="12.75" x14ac:dyDescent="0.2">
      <c r="A1254"/>
      <c r="B1254"/>
      <c r="C1254"/>
      <c r="D1254"/>
      <c r="E1254"/>
      <c r="F1254"/>
      <c r="G1254"/>
      <c r="H1254"/>
      <c r="I1254"/>
      <c r="J1254"/>
      <c r="K1254"/>
    </row>
    <row r="1255" spans="1:11" ht="12.75" x14ac:dyDescent="0.2">
      <c r="A1255"/>
      <c r="B1255"/>
      <c r="C1255"/>
      <c r="D1255"/>
      <c r="E1255"/>
      <c r="F1255"/>
      <c r="G1255"/>
      <c r="H1255"/>
      <c r="I1255"/>
      <c r="J1255"/>
      <c r="K1255"/>
    </row>
    <row r="1256" spans="1:11" ht="12.75" x14ac:dyDescent="0.2">
      <c r="A1256"/>
      <c r="B1256"/>
      <c r="C1256"/>
      <c r="D1256"/>
      <c r="E1256"/>
      <c r="F1256"/>
      <c r="G1256"/>
      <c r="H1256"/>
      <c r="I1256"/>
      <c r="J1256"/>
      <c r="K1256"/>
    </row>
    <row r="1257" spans="1:11" ht="12.75" x14ac:dyDescent="0.2">
      <c r="A1257"/>
      <c r="B1257"/>
      <c r="C1257"/>
      <c r="D1257"/>
      <c r="E1257"/>
      <c r="F1257"/>
      <c r="G1257"/>
      <c r="H1257"/>
      <c r="I1257"/>
      <c r="J1257"/>
      <c r="K1257"/>
    </row>
    <row r="1258" spans="1:11" ht="12.75" x14ac:dyDescent="0.2">
      <c r="A1258"/>
      <c r="B1258"/>
      <c r="C1258"/>
      <c r="D1258"/>
      <c r="E1258"/>
      <c r="F1258"/>
      <c r="G1258"/>
      <c r="H1258"/>
      <c r="I1258"/>
      <c r="J1258"/>
      <c r="K1258"/>
    </row>
    <row r="1259" spans="1:11" ht="12.75" x14ac:dyDescent="0.2">
      <c r="A1259"/>
      <c r="B1259"/>
      <c r="C1259"/>
      <c r="D1259"/>
      <c r="E1259"/>
      <c r="F1259"/>
      <c r="G1259"/>
      <c r="H1259"/>
      <c r="I1259"/>
      <c r="J1259"/>
      <c r="K1259"/>
    </row>
    <row r="1260" spans="1:11" ht="12.75" x14ac:dyDescent="0.2">
      <c r="A1260"/>
      <c r="B1260"/>
      <c r="C1260"/>
      <c r="D1260"/>
      <c r="E1260"/>
      <c r="F1260"/>
      <c r="G1260"/>
      <c r="H1260"/>
      <c r="I1260"/>
      <c r="J1260"/>
      <c r="K1260"/>
    </row>
    <row r="1261" spans="1:11" ht="12.75" x14ac:dyDescent="0.2">
      <c r="A1261"/>
      <c r="B1261"/>
      <c r="C1261"/>
      <c r="D1261"/>
      <c r="E1261"/>
      <c r="F1261"/>
      <c r="G1261"/>
      <c r="H1261"/>
      <c r="I1261"/>
      <c r="J1261"/>
      <c r="K1261"/>
    </row>
    <row r="1262" spans="1:11" ht="12.75" x14ac:dyDescent="0.2">
      <c r="A1262"/>
      <c r="B1262"/>
      <c r="C1262"/>
      <c r="D1262"/>
      <c r="E1262"/>
      <c r="F1262"/>
      <c r="G1262"/>
      <c r="H1262"/>
      <c r="I1262"/>
      <c r="J1262"/>
      <c r="K1262"/>
    </row>
    <row r="1263" spans="1:11" ht="12.75" x14ac:dyDescent="0.2">
      <c r="A1263"/>
      <c r="B1263"/>
      <c r="C1263"/>
      <c r="D1263"/>
      <c r="E1263"/>
      <c r="F1263"/>
      <c r="G1263"/>
      <c r="H1263"/>
      <c r="I1263"/>
      <c r="J1263"/>
      <c r="K1263"/>
    </row>
    <row r="1264" spans="1:11" ht="12.75" x14ac:dyDescent="0.2">
      <c r="A1264"/>
      <c r="B1264"/>
      <c r="C1264"/>
      <c r="D1264"/>
      <c r="E1264"/>
      <c r="F1264"/>
      <c r="G1264"/>
      <c r="H1264"/>
      <c r="I1264"/>
      <c r="J1264"/>
      <c r="K1264"/>
    </row>
    <row r="1265" spans="1:11" ht="12.75" x14ac:dyDescent="0.2">
      <c r="A1265"/>
      <c r="B1265"/>
      <c r="C1265"/>
      <c r="D1265"/>
      <c r="E1265"/>
      <c r="F1265"/>
      <c r="G1265"/>
      <c r="H1265"/>
      <c r="I1265"/>
      <c r="J1265"/>
      <c r="K1265"/>
    </row>
    <row r="1266" spans="1:11" ht="12.75" x14ac:dyDescent="0.2">
      <c r="A1266"/>
      <c r="B1266"/>
      <c r="C1266"/>
      <c r="D1266"/>
      <c r="E1266"/>
      <c r="F1266"/>
      <c r="G1266"/>
      <c r="H1266"/>
      <c r="I1266"/>
      <c r="J1266"/>
      <c r="K1266"/>
    </row>
    <row r="1267" spans="1:11" ht="12.75" x14ac:dyDescent="0.2">
      <c r="A1267"/>
      <c r="B1267"/>
      <c r="C1267"/>
      <c r="D1267"/>
      <c r="E1267"/>
      <c r="F1267"/>
      <c r="G1267"/>
      <c r="H1267"/>
      <c r="I1267"/>
      <c r="J1267"/>
      <c r="K1267"/>
    </row>
    <row r="1268" spans="1:11" ht="12.75" x14ac:dyDescent="0.2">
      <c r="A1268"/>
      <c r="B1268"/>
      <c r="C1268"/>
      <c r="D1268"/>
      <c r="E1268"/>
      <c r="F1268"/>
      <c r="G1268"/>
      <c r="H1268"/>
      <c r="I1268"/>
      <c r="J1268"/>
      <c r="K1268"/>
    </row>
    <row r="1269" spans="1:11" ht="12.75" x14ac:dyDescent="0.2">
      <c r="A1269"/>
      <c r="B1269"/>
      <c r="C1269"/>
      <c r="D1269"/>
      <c r="E1269"/>
      <c r="F1269"/>
      <c r="G1269"/>
      <c r="H1269"/>
      <c r="I1269"/>
      <c r="J1269"/>
      <c r="K1269"/>
    </row>
    <row r="1270" spans="1:11" ht="12.75" x14ac:dyDescent="0.2">
      <c r="A1270"/>
      <c r="B1270"/>
      <c r="C1270"/>
      <c r="D1270"/>
      <c r="E1270"/>
      <c r="F1270"/>
      <c r="G1270"/>
      <c r="H1270"/>
      <c r="I1270"/>
      <c r="J1270"/>
      <c r="K1270"/>
    </row>
    <row r="1271" spans="1:11" ht="12.75" x14ac:dyDescent="0.2">
      <c r="A1271"/>
      <c r="B1271"/>
      <c r="C1271"/>
      <c r="D1271"/>
      <c r="E1271"/>
      <c r="F1271"/>
      <c r="G1271"/>
      <c r="H1271"/>
      <c r="I1271"/>
      <c r="J1271"/>
      <c r="K1271"/>
    </row>
    <row r="1272" spans="1:11" ht="12.75" x14ac:dyDescent="0.2">
      <c r="A1272"/>
      <c r="B1272"/>
      <c r="C1272"/>
      <c r="D1272"/>
      <c r="E1272"/>
      <c r="F1272"/>
      <c r="G1272"/>
      <c r="H1272"/>
      <c r="I1272"/>
      <c r="J1272"/>
      <c r="K1272"/>
    </row>
    <row r="1273" spans="1:11" ht="12.75" x14ac:dyDescent="0.2">
      <c r="A1273"/>
      <c r="B1273"/>
      <c r="C1273"/>
      <c r="D1273"/>
      <c r="E1273"/>
      <c r="F1273"/>
      <c r="G1273"/>
      <c r="H1273"/>
      <c r="I1273"/>
      <c r="J1273"/>
      <c r="K1273"/>
    </row>
    <row r="1274" spans="1:11" ht="12.75" x14ac:dyDescent="0.2">
      <c r="A1274"/>
      <c r="B1274"/>
      <c r="C1274"/>
      <c r="D1274"/>
      <c r="E1274"/>
      <c r="F1274"/>
      <c r="G1274"/>
      <c r="H1274"/>
      <c r="I1274"/>
      <c r="J1274"/>
      <c r="K1274"/>
    </row>
    <row r="1275" spans="1:11" ht="12.75" x14ac:dyDescent="0.2">
      <c r="A1275"/>
      <c r="B1275"/>
      <c r="C1275"/>
      <c r="D1275"/>
      <c r="E1275"/>
      <c r="F1275"/>
      <c r="G1275"/>
      <c r="H1275"/>
      <c r="I1275"/>
      <c r="J1275"/>
      <c r="K1275"/>
    </row>
    <row r="1276" spans="1:11" ht="12.75" x14ac:dyDescent="0.2">
      <c r="A1276"/>
      <c r="B1276"/>
      <c r="C1276"/>
      <c r="D1276"/>
      <c r="E1276"/>
      <c r="F1276"/>
      <c r="G1276"/>
      <c r="H1276"/>
      <c r="I1276"/>
      <c r="J1276"/>
      <c r="K1276"/>
    </row>
    <row r="1277" spans="1:11" ht="12.75" x14ac:dyDescent="0.2">
      <c r="A1277"/>
      <c r="B1277"/>
      <c r="C1277"/>
      <c r="D1277"/>
      <c r="E1277"/>
      <c r="F1277"/>
      <c r="G1277"/>
      <c r="H1277"/>
      <c r="I1277"/>
      <c r="J1277"/>
      <c r="K1277"/>
    </row>
    <row r="1278" spans="1:11" ht="12.75" x14ac:dyDescent="0.2">
      <c r="A1278"/>
      <c r="B1278"/>
      <c r="C1278"/>
      <c r="D1278"/>
      <c r="E1278"/>
      <c r="F1278"/>
      <c r="G1278"/>
      <c r="H1278"/>
      <c r="I1278"/>
      <c r="J1278"/>
      <c r="K1278"/>
    </row>
    <row r="1279" spans="1:11" ht="12.75" x14ac:dyDescent="0.2">
      <c r="A1279"/>
      <c r="B1279"/>
      <c r="C1279"/>
      <c r="D1279"/>
      <c r="E1279"/>
      <c r="F1279"/>
      <c r="G1279"/>
      <c r="H1279"/>
      <c r="I1279"/>
      <c r="J1279"/>
      <c r="K1279"/>
    </row>
    <row r="1280" spans="1:11" ht="12.75" x14ac:dyDescent="0.2">
      <c r="A1280"/>
      <c r="B1280"/>
      <c r="C1280"/>
      <c r="D1280"/>
      <c r="E1280"/>
      <c r="F1280"/>
      <c r="G1280"/>
      <c r="H1280"/>
      <c r="I1280"/>
      <c r="J1280"/>
      <c r="K1280"/>
    </row>
    <row r="1281" spans="1:11" ht="12.75" x14ac:dyDescent="0.2">
      <c r="A1281"/>
      <c r="B1281"/>
      <c r="C1281"/>
      <c r="D1281"/>
      <c r="E1281"/>
      <c r="F1281"/>
      <c r="G1281"/>
      <c r="H1281"/>
      <c r="I1281"/>
      <c r="J1281"/>
      <c r="K1281"/>
    </row>
    <row r="1282" spans="1:11" ht="12.75" x14ac:dyDescent="0.2">
      <c r="A1282"/>
      <c r="B1282"/>
      <c r="C1282"/>
      <c r="D1282"/>
      <c r="E1282"/>
      <c r="F1282"/>
      <c r="G1282"/>
      <c r="H1282"/>
      <c r="I1282"/>
      <c r="J1282"/>
      <c r="K1282"/>
    </row>
    <row r="1283" spans="1:11" ht="12.75" x14ac:dyDescent="0.2">
      <c r="A1283"/>
      <c r="B1283"/>
      <c r="C1283"/>
      <c r="D1283"/>
      <c r="E1283"/>
      <c r="F1283"/>
      <c r="G1283"/>
      <c r="H1283"/>
      <c r="I1283"/>
      <c r="J1283"/>
      <c r="K1283"/>
    </row>
    <row r="1284" spans="1:11" ht="12.75" x14ac:dyDescent="0.2">
      <c r="A1284"/>
      <c r="B1284"/>
      <c r="C1284"/>
      <c r="D1284"/>
      <c r="E1284"/>
      <c r="F1284"/>
      <c r="G1284"/>
      <c r="H1284"/>
      <c r="I1284"/>
      <c r="J1284"/>
      <c r="K1284"/>
    </row>
    <row r="1285" spans="1:11" ht="12.75" x14ac:dyDescent="0.2">
      <c r="A1285"/>
      <c r="B1285"/>
      <c r="C1285"/>
      <c r="D1285"/>
      <c r="E1285"/>
      <c r="F1285"/>
      <c r="G1285"/>
      <c r="H1285"/>
      <c r="I1285"/>
      <c r="J1285"/>
      <c r="K1285"/>
    </row>
    <row r="1286" spans="1:11" ht="12.75" x14ac:dyDescent="0.2">
      <c r="A1286"/>
      <c r="B1286"/>
      <c r="C1286"/>
      <c r="D1286"/>
      <c r="E1286"/>
      <c r="F1286"/>
      <c r="G1286"/>
      <c r="H1286"/>
      <c r="I1286"/>
      <c r="J1286"/>
      <c r="K1286"/>
    </row>
    <row r="1287" spans="1:11" ht="12.75" x14ac:dyDescent="0.2">
      <c r="A1287"/>
      <c r="B1287"/>
      <c r="C1287"/>
      <c r="D1287"/>
      <c r="E1287"/>
      <c r="F1287"/>
      <c r="G1287"/>
      <c r="H1287"/>
      <c r="I1287"/>
      <c r="J1287"/>
      <c r="K1287"/>
    </row>
    <row r="1288" spans="1:11" ht="12.75" x14ac:dyDescent="0.2">
      <c r="A1288"/>
      <c r="B1288"/>
      <c r="C1288"/>
      <c r="D1288"/>
      <c r="E1288"/>
      <c r="F1288"/>
      <c r="G1288"/>
      <c r="H1288"/>
      <c r="I1288"/>
      <c r="J1288"/>
      <c r="K1288"/>
    </row>
    <row r="1289" spans="1:11" ht="12.75" x14ac:dyDescent="0.2">
      <c r="A1289"/>
      <c r="B1289"/>
      <c r="C1289"/>
      <c r="D1289"/>
      <c r="E1289"/>
      <c r="F1289"/>
      <c r="G1289"/>
      <c r="H1289"/>
      <c r="I1289"/>
      <c r="J1289"/>
      <c r="K1289"/>
    </row>
    <row r="1290" spans="1:11" ht="12.75" x14ac:dyDescent="0.2">
      <c r="A1290"/>
      <c r="B1290"/>
      <c r="C1290"/>
      <c r="D1290"/>
      <c r="E1290"/>
      <c r="F1290"/>
      <c r="G1290"/>
      <c r="H1290"/>
      <c r="I1290"/>
      <c r="J1290"/>
      <c r="K1290"/>
    </row>
    <row r="1291" spans="1:11" ht="12.75" x14ac:dyDescent="0.2">
      <c r="A1291"/>
      <c r="B1291"/>
      <c r="C1291"/>
      <c r="D1291"/>
      <c r="E1291"/>
      <c r="F1291"/>
      <c r="G1291"/>
      <c r="H1291"/>
      <c r="I1291"/>
      <c r="J1291"/>
      <c r="K1291"/>
    </row>
    <row r="1292" spans="1:11" ht="12.75" x14ac:dyDescent="0.2">
      <c r="A1292"/>
      <c r="B1292"/>
      <c r="C1292"/>
      <c r="D1292"/>
      <c r="E1292"/>
      <c r="F1292"/>
      <c r="G1292"/>
      <c r="H1292"/>
      <c r="I1292"/>
      <c r="J1292"/>
      <c r="K1292"/>
    </row>
    <row r="1293" spans="1:11" ht="12.75" x14ac:dyDescent="0.2">
      <c r="A1293"/>
      <c r="B1293"/>
      <c r="C1293"/>
      <c r="D1293"/>
      <c r="E1293"/>
      <c r="F1293"/>
      <c r="G1293"/>
      <c r="H1293"/>
      <c r="I1293"/>
      <c r="J1293"/>
      <c r="K1293"/>
    </row>
    <row r="1294" spans="1:11" ht="12.75" x14ac:dyDescent="0.2">
      <c r="A1294"/>
      <c r="B1294"/>
      <c r="C1294"/>
      <c r="D1294"/>
      <c r="E1294"/>
      <c r="F1294"/>
      <c r="G1294"/>
      <c r="H1294"/>
      <c r="I1294"/>
      <c r="J1294"/>
      <c r="K1294"/>
    </row>
    <row r="1295" spans="1:11" ht="12.75" x14ac:dyDescent="0.2">
      <c r="A1295"/>
      <c r="B1295"/>
      <c r="C1295"/>
      <c r="D1295"/>
      <c r="E1295"/>
      <c r="F1295"/>
      <c r="G1295"/>
      <c r="H1295"/>
      <c r="I1295"/>
      <c r="J1295"/>
      <c r="K1295"/>
    </row>
    <row r="1296" spans="1:11" ht="12.75" x14ac:dyDescent="0.2">
      <c r="A1296"/>
      <c r="B1296"/>
      <c r="C1296"/>
      <c r="D1296"/>
      <c r="E1296"/>
      <c r="F1296"/>
      <c r="G1296"/>
      <c r="H1296"/>
      <c r="I1296"/>
      <c r="J1296"/>
      <c r="K1296"/>
    </row>
    <row r="1297" spans="1:11" ht="12.75" x14ac:dyDescent="0.2">
      <c r="A1297"/>
      <c r="B1297"/>
      <c r="C1297"/>
      <c r="D1297"/>
      <c r="E1297"/>
      <c r="F1297"/>
      <c r="G1297"/>
      <c r="H1297"/>
      <c r="I1297"/>
      <c r="J1297"/>
      <c r="K1297"/>
    </row>
    <row r="1298" spans="1:11" ht="12.75" x14ac:dyDescent="0.2">
      <c r="A1298"/>
      <c r="B1298"/>
      <c r="C1298"/>
      <c r="D1298"/>
      <c r="E1298"/>
      <c r="F1298"/>
      <c r="G1298"/>
      <c r="H1298"/>
      <c r="I1298"/>
      <c r="J1298"/>
      <c r="K1298"/>
    </row>
    <row r="1299" spans="1:11" ht="12.75" x14ac:dyDescent="0.2">
      <c r="A1299"/>
      <c r="B1299"/>
      <c r="C1299"/>
      <c r="D1299"/>
      <c r="E1299"/>
      <c r="F1299"/>
      <c r="G1299"/>
      <c r="H1299"/>
      <c r="I1299"/>
      <c r="J1299"/>
      <c r="K1299"/>
    </row>
    <row r="1300" spans="1:11" ht="12.75" x14ac:dyDescent="0.2">
      <c r="A1300"/>
      <c r="B1300"/>
      <c r="C1300"/>
      <c r="D1300"/>
      <c r="E1300"/>
      <c r="F1300"/>
      <c r="G1300"/>
      <c r="H1300"/>
      <c r="I1300"/>
      <c r="J1300"/>
      <c r="K1300"/>
    </row>
    <row r="1301" spans="1:11" ht="12.75" x14ac:dyDescent="0.2">
      <c r="A1301"/>
      <c r="B1301"/>
      <c r="C1301"/>
      <c r="D1301"/>
      <c r="E1301"/>
      <c r="F1301"/>
      <c r="G1301"/>
      <c r="H1301"/>
      <c r="I1301"/>
      <c r="J1301"/>
      <c r="K1301"/>
    </row>
    <row r="1302" spans="1:11" ht="12.75" x14ac:dyDescent="0.2">
      <c r="A1302"/>
      <c r="B1302"/>
      <c r="C1302"/>
      <c r="D1302"/>
      <c r="E1302"/>
      <c r="F1302"/>
      <c r="G1302"/>
      <c r="H1302"/>
      <c r="I1302"/>
      <c r="J1302"/>
      <c r="K1302"/>
    </row>
    <row r="1303" spans="1:11" ht="12.75" x14ac:dyDescent="0.2">
      <c r="A1303"/>
      <c r="B1303"/>
      <c r="C1303"/>
      <c r="D1303"/>
      <c r="E1303"/>
      <c r="F1303"/>
      <c r="G1303"/>
      <c r="H1303"/>
      <c r="I1303"/>
      <c r="J1303"/>
      <c r="K1303"/>
    </row>
    <row r="1304" spans="1:11" ht="12.75" x14ac:dyDescent="0.2">
      <c r="A1304"/>
      <c r="B1304"/>
      <c r="C1304"/>
      <c r="D1304"/>
      <c r="E1304"/>
      <c r="F1304"/>
      <c r="G1304"/>
      <c r="H1304"/>
      <c r="I1304"/>
      <c r="J1304"/>
      <c r="K1304"/>
    </row>
    <row r="1305" spans="1:11" ht="12.75" x14ac:dyDescent="0.2">
      <c r="A1305"/>
      <c r="B1305"/>
      <c r="C1305"/>
      <c r="D1305"/>
      <c r="E1305"/>
      <c r="F1305"/>
      <c r="G1305"/>
      <c r="H1305"/>
      <c r="I1305"/>
      <c r="J1305"/>
      <c r="K1305"/>
    </row>
    <row r="1306" spans="1:11" ht="12.75" x14ac:dyDescent="0.2">
      <c r="A1306"/>
      <c r="B1306"/>
      <c r="C1306"/>
      <c r="D1306"/>
      <c r="E1306"/>
      <c r="F1306"/>
      <c r="G1306"/>
      <c r="H1306"/>
      <c r="I1306"/>
      <c r="J1306"/>
      <c r="K1306"/>
    </row>
    <row r="1307" spans="1:11" ht="12.75" x14ac:dyDescent="0.2">
      <c r="A1307"/>
      <c r="B1307"/>
      <c r="C1307"/>
      <c r="D1307"/>
      <c r="E1307"/>
      <c r="F1307"/>
      <c r="G1307"/>
      <c r="H1307"/>
      <c r="I1307"/>
      <c r="J1307"/>
      <c r="K1307"/>
    </row>
    <row r="1308" spans="1:11" ht="12.75" x14ac:dyDescent="0.2">
      <c r="A1308"/>
      <c r="B1308"/>
      <c r="C1308"/>
      <c r="D1308"/>
      <c r="E1308"/>
      <c r="F1308"/>
      <c r="G1308"/>
      <c r="H1308"/>
      <c r="I1308"/>
      <c r="J1308"/>
      <c r="K1308"/>
    </row>
    <row r="1309" spans="1:11" ht="12.75" x14ac:dyDescent="0.2">
      <c r="A1309"/>
      <c r="B1309"/>
      <c r="C1309"/>
      <c r="D1309"/>
      <c r="E1309"/>
      <c r="F1309"/>
      <c r="G1309"/>
      <c r="H1309"/>
      <c r="I1309"/>
      <c r="J1309"/>
      <c r="K1309"/>
    </row>
    <row r="1310" spans="1:11" ht="12.75" x14ac:dyDescent="0.2">
      <c r="A1310"/>
      <c r="B1310"/>
      <c r="C1310"/>
      <c r="D1310"/>
      <c r="E1310"/>
      <c r="F1310"/>
      <c r="G1310"/>
      <c r="H1310"/>
      <c r="I1310"/>
      <c r="J1310"/>
      <c r="K1310"/>
    </row>
    <row r="1311" spans="1:11" ht="12.75" x14ac:dyDescent="0.2">
      <c r="A1311"/>
      <c r="B1311"/>
      <c r="C1311"/>
      <c r="D1311"/>
      <c r="E1311"/>
      <c r="F1311"/>
      <c r="G1311"/>
      <c r="H1311"/>
      <c r="I1311"/>
      <c r="J1311"/>
      <c r="K1311"/>
    </row>
    <row r="1312" spans="1:11" ht="12.75" x14ac:dyDescent="0.2">
      <c r="A1312"/>
      <c r="B1312"/>
      <c r="C1312"/>
      <c r="D1312"/>
      <c r="E1312"/>
      <c r="F1312"/>
      <c r="G1312"/>
      <c r="H1312"/>
      <c r="I1312"/>
      <c r="J1312"/>
      <c r="K1312"/>
    </row>
    <row r="1313" spans="1:11" ht="12.75" x14ac:dyDescent="0.2">
      <c r="A1313"/>
      <c r="B1313"/>
      <c r="C1313"/>
      <c r="D1313"/>
      <c r="E1313"/>
      <c r="F1313"/>
      <c r="G1313"/>
      <c r="H1313"/>
      <c r="I1313"/>
      <c r="J1313"/>
      <c r="K1313"/>
    </row>
    <row r="1314" spans="1:11" ht="12.75" x14ac:dyDescent="0.2">
      <c r="A1314"/>
      <c r="B1314"/>
      <c r="C1314"/>
      <c r="D1314"/>
      <c r="E1314"/>
      <c r="F1314"/>
      <c r="G1314"/>
      <c r="H1314"/>
      <c r="I1314"/>
      <c r="J1314"/>
      <c r="K1314"/>
    </row>
    <row r="1315" spans="1:11" ht="12.75" x14ac:dyDescent="0.2">
      <c r="A1315"/>
      <c r="B1315"/>
      <c r="C1315"/>
      <c r="D1315"/>
      <c r="E1315"/>
      <c r="F1315"/>
      <c r="G1315"/>
      <c r="H1315"/>
      <c r="I1315"/>
      <c r="J1315"/>
      <c r="K1315"/>
    </row>
    <row r="1316" spans="1:11" ht="12.75" x14ac:dyDescent="0.2">
      <c r="A1316"/>
      <c r="B1316"/>
      <c r="C1316"/>
      <c r="D1316"/>
      <c r="E1316"/>
      <c r="F1316"/>
      <c r="G1316"/>
      <c r="H1316"/>
      <c r="I1316"/>
      <c r="J1316"/>
      <c r="K1316"/>
    </row>
    <row r="1317" spans="1:11" ht="12.75" x14ac:dyDescent="0.2">
      <c r="A1317"/>
      <c r="B1317"/>
      <c r="C1317"/>
      <c r="D1317"/>
      <c r="E1317"/>
      <c r="F1317"/>
      <c r="G1317"/>
      <c r="H1317"/>
      <c r="I1317"/>
      <c r="J1317"/>
      <c r="K1317"/>
    </row>
    <row r="1318" spans="1:11" ht="12.75" x14ac:dyDescent="0.2">
      <c r="A1318"/>
      <c r="B1318"/>
      <c r="C1318"/>
      <c r="D1318"/>
      <c r="E1318"/>
      <c r="F1318"/>
      <c r="G1318"/>
      <c r="H1318"/>
      <c r="I1318"/>
      <c r="J1318"/>
      <c r="K1318"/>
    </row>
    <row r="1319" spans="1:11" ht="12.75" x14ac:dyDescent="0.2">
      <c r="A1319"/>
      <c r="B1319"/>
      <c r="C1319"/>
      <c r="D1319"/>
      <c r="E1319"/>
      <c r="F1319"/>
      <c r="G1319"/>
      <c r="H1319"/>
      <c r="I1319"/>
      <c r="J1319"/>
      <c r="K1319"/>
    </row>
    <row r="1320" spans="1:11" ht="12.75" x14ac:dyDescent="0.2">
      <c r="A1320"/>
      <c r="B1320"/>
      <c r="C1320"/>
      <c r="D1320"/>
      <c r="E1320"/>
      <c r="F1320"/>
      <c r="G1320"/>
      <c r="H1320"/>
      <c r="I1320"/>
      <c r="J1320"/>
      <c r="K1320"/>
    </row>
    <row r="1321" spans="1:11" ht="12.75" x14ac:dyDescent="0.2">
      <c r="A1321"/>
      <c r="B1321"/>
      <c r="C1321"/>
      <c r="D1321"/>
      <c r="E1321"/>
      <c r="F1321"/>
      <c r="G1321"/>
      <c r="H1321"/>
      <c r="I1321"/>
      <c r="J1321"/>
      <c r="K1321"/>
    </row>
    <row r="1322" spans="1:11" ht="12.75" x14ac:dyDescent="0.2">
      <c r="A1322"/>
      <c r="B1322"/>
      <c r="C1322"/>
      <c r="D1322"/>
      <c r="E1322"/>
      <c r="F1322"/>
      <c r="G1322"/>
      <c r="H1322"/>
      <c r="I1322"/>
      <c r="J1322"/>
      <c r="K1322"/>
    </row>
    <row r="1323" spans="1:11" ht="12.75" x14ac:dyDescent="0.2">
      <c r="A1323"/>
      <c r="B1323"/>
      <c r="C1323"/>
      <c r="D1323"/>
      <c r="E1323"/>
      <c r="F1323"/>
      <c r="G1323"/>
      <c r="H1323"/>
      <c r="I1323"/>
      <c r="J1323"/>
      <c r="K1323"/>
    </row>
    <row r="1324" spans="1:11" ht="12.75" x14ac:dyDescent="0.2">
      <c r="A1324"/>
      <c r="B1324"/>
      <c r="C1324"/>
      <c r="D1324"/>
      <c r="E1324"/>
      <c r="F1324"/>
      <c r="G1324"/>
      <c r="H1324"/>
      <c r="I1324"/>
      <c r="J1324"/>
      <c r="K1324"/>
    </row>
    <row r="1325" spans="1:11" ht="12.75" x14ac:dyDescent="0.2">
      <c r="A1325"/>
      <c r="B1325"/>
      <c r="C1325"/>
      <c r="D1325"/>
      <c r="E1325"/>
      <c r="F1325"/>
      <c r="G1325"/>
      <c r="H1325"/>
      <c r="I1325"/>
      <c r="J1325"/>
      <c r="K1325"/>
    </row>
    <row r="1326" spans="1:11" ht="12.75" x14ac:dyDescent="0.2">
      <c r="A1326"/>
      <c r="B1326"/>
      <c r="C1326"/>
      <c r="D1326"/>
      <c r="E1326"/>
      <c r="F1326"/>
      <c r="G1326"/>
      <c r="H1326"/>
      <c r="I1326"/>
      <c r="J1326"/>
      <c r="K1326"/>
    </row>
    <row r="1327" spans="1:11" ht="12.75" x14ac:dyDescent="0.2">
      <c r="A1327"/>
      <c r="B1327"/>
      <c r="C1327"/>
      <c r="D1327"/>
      <c r="E1327"/>
      <c r="F1327"/>
      <c r="G1327"/>
      <c r="H1327"/>
      <c r="I1327"/>
      <c r="J1327"/>
      <c r="K1327"/>
    </row>
    <row r="1328" spans="1:11" ht="12.75" x14ac:dyDescent="0.2">
      <c r="A1328"/>
      <c r="B1328"/>
      <c r="C1328"/>
      <c r="D1328"/>
      <c r="E1328"/>
      <c r="F1328"/>
      <c r="G1328"/>
      <c r="H1328"/>
      <c r="I1328"/>
      <c r="J1328"/>
      <c r="K1328"/>
    </row>
    <row r="1329" spans="1:11" ht="12.75" x14ac:dyDescent="0.2">
      <c r="A1329"/>
      <c r="B1329"/>
      <c r="C1329"/>
      <c r="D1329"/>
      <c r="E1329"/>
      <c r="F1329"/>
      <c r="G1329"/>
      <c r="H1329"/>
      <c r="I1329"/>
      <c r="J1329"/>
      <c r="K1329"/>
    </row>
    <row r="1330" spans="1:11" ht="12.75" x14ac:dyDescent="0.2">
      <c r="A1330"/>
      <c r="B1330"/>
      <c r="C1330"/>
      <c r="D1330"/>
      <c r="E1330"/>
      <c r="F1330"/>
      <c r="G1330"/>
      <c r="H1330"/>
      <c r="I1330"/>
      <c r="J1330"/>
      <c r="K1330"/>
    </row>
    <row r="1331" spans="1:11" ht="12.75" x14ac:dyDescent="0.2">
      <c r="A1331"/>
      <c r="B1331"/>
      <c r="C1331"/>
      <c r="D1331"/>
      <c r="E1331"/>
      <c r="F1331"/>
      <c r="G1331"/>
      <c r="H1331"/>
      <c r="I1331"/>
      <c r="J1331"/>
      <c r="K1331"/>
    </row>
    <row r="1332" spans="1:11" ht="12.75" x14ac:dyDescent="0.2">
      <c r="A1332"/>
      <c r="B1332"/>
      <c r="C1332"/>
      <c r="D1332"/>
      <c r="E1332"/>
      <c r="F1332"/>
      <c r="G1332"/>
      <c r="H1332"/>
      <c r="I1332"/>
      <c r="J1332"/>
      <c r="K1332"/>
    </row>
    <row r="1333" spans="1:11" ht="12.75" x14ac:dyDescent="0.2">
      <c r="A1333"/>
      <c r="B1333"/>
      <c r="C1333"/>
      <c r="D1333"/>
      <c r="E1333"/>
      <c r="F1333"/>
      <c r="G1333"/>
      <c r="H1333"/>
      <c r="I1333"/>
      <c r="J1333"/>
      <c r="K1333"/>
    </row>
    <row r="1334" spans="1:11" ht="12.75" x14ac:dyDescent="0.2">
      <c r="A1334"/>
      <c r="B1334"/>
      <c r="C1334"/>
      <c r="D1334"/>
      <c r="E1334"/>
      <c r="F1334"/>
      <c r="G1334"/>
      <c r="H1334"/>
      <c r="I1334"/>
      <c r="J1334"/>
      <c r="K1334"/>
    </row>
    <row r="1335" spans="1:11" ht="12.75" x14ac:dyDescent="0.2">
      <c r="A1335"/>
      <c r="B1335"/>
      <c r="C1335"/>
      <c r="D1335"/>
      <c r="E1335"/>
      <c r="F1335"/>
      <c r="G1335"/>
      <c r="H1335"/>
      <c r="I1335"/>
      <c r="J1335"/>
      <c r="K1335"/>
    </row>
    <row r="1336" spans="1:11" ht="12.75" x14ac:dyDescent="0.2">
      <c r="A1336"/>
      <c r="B1336"/>
      <c r="C1336"/>
      <c r="D1336"/>
      <c r="E1336"/>
      <c r="F1336"/>
      <c r="G1336"/>
      <c r="H1336"/>
      <c r="I1336"/>
      <c r="J1336"/>
      <c r="K1336"/>
    </row>
    <row r="1337" spans="1:11" ht="12.75" x14ac:dyDescent="0.2">
      <c r="A1337"/>
      <c r="B1337"/>
      <c r="C1337"/>
      <c r="D1337"/>
      <c r="E1337"/>
      <c r="F1337"/>
      <c r="G1337"/>
      <c r="H1337"/>
      <c r="I1337"/>
      <c r="J1337"/>
      <c r="K1337"/>
    </row>
    <row r="1338" spans="1:11" ht="12.75" x14ac:dyDescent="0.2">
      <c r="A1338"/>
      <c r="B1338"/>
      <c r="C1338"/>
      <c r="D1338"/>
      <c r="E1338"/>
      <c r="F1338"/>
      <c r="G1338"/>
      <c r="H1338"/>
      <c r="I1338"/>
      <c r="J1338"/>
      <c r="K1338"/>
    </row>
    <row r="1339" spans="1:11" ht="12.75" x14ac:dyDescent="0.2">
      <c r="A1339"/>
      <c r="B1339"/>
      <c r="C1339"/>
      <c r="D1339"/>
      <c r="E1339"/>
      <c r="F1339"/>
      <c r="G1339"/>
      <c r="H1339"/>
      <c r="I1339"/>
      <c r="J1339"/>
      <c r="K1339"/>
    </row>
    <row r="1340" spans="1:11" ht="12.75" x14ac:dyDescent="0.2">
      <c r="A1340"/>
      <c r="B1340"/>
      <c r="C1340"/>
      <c r="D1340"/>
      <c r="E1340"/>
      <c r="F1340"/>
      <c r="G1340"/>
      <c r="H1340"/>
      <c r="I1340"/>
      <c r="J1340"/>
      <c r="K1340"/>
    </row>
    <row r="1341" spans="1:11" ht="12.75" x14ac:dyDescent="0.2">
      <c r="A1341"/>
      <c r="B1341"/>
      <c r="C1341"/>
      <c r="D1341"/>
      <c r="E1341"/>
      <c r="F1341"/>
      <c r="G1341"/>
      <c r="H1341"/>
      <c r="I1341"/>
      <c r="J1341"/>
      <c r="K1341"/>
    </row>
    <row r="1342" spans="1:11" ht="12.75" x14ac:dyDescent="0.2">
      <c r="A1342"/>
      <c r="B1342"/>
      <c r="C1342"/>
      <c r="D1342"/>
      <c r="E1342"/>
      <c r="F1342"/>
      <c r="G1342"/>
      <c r="H1342"/>
      <c r="I1342"/>
      <c r="J1342"/>
      <c r="K1342"/>
    </row>
    <row r="1343" spans="1:11" ht="12.75" x14ac:dyDescent="0.2">
      <c r="A1343"/>
      <c r="B1343"/>
      <c r="C1343"/>
      <c r="D1343"/>
      <c r="E1343"/>
      <c r="F1343"/>
      <c r="G1343"/>
      <c r="H1343"/>
      <c r="I1343"/>
      <c r="J1343"/>
      <c r="K1343"/>
    </row>
    <row r="1344" spans="1:11" ht="12.75" x14ac:dyDescent="0.2">
      <c r="A1344"/>
      <c r="B1344"/>
      <c r="C1344"/>
      <c r="D1344"/>
      <c r="E1344"/>
      <c r="F1344"/>
      <c r="G1344"/>
      <c r="H1344"/>
      <c r="I1344"/>
      <c r="J1344"/>
      <c r="K1344"/>
    </row>
    <row r="1345" spans="1:11" ht="12.75" x14ac:dyDescent="0.2">
      <c r="A1345"/>
      <c r="B1345"/>
      <c r="C1345"/>
      <c r="D1345"/>
      <c r="E1345"/>
      <c r="F1345"/>
      <c r="G1345"/>
      <c r="H1345"/>
      <c r="I1345"/>
      <c r="J1345"/>
      <c r="K1345"/>
    </row>
    <row r="1346" spans="1:11" ht="12.75" x14ac:dyDescent="0.2">
      <c r="A1346"/>
      <c r="B1346"/>
      <c r="C1346"/>
      <c r="D1346"/>
      <c r="E1346"/>
      <c r="F1346"/>
      <c r="G1346"/>
      <c r="H1346"/>
      <c r="I1346"/>
      <c r="J1346"/>
      <c r="K1346"/>
    </row>
    <row r="1347" spans="1:11" ht="12.75" x14ac:dyDescent="0.2">
      <c r="A1347"/>
      <c r="B1347"/>
      <c r="C1347"/>
      <c r="D1347"/>
      <c r="E1347"/>
      <c r="F1347"/>
      <c r="G1347"/>
      <c r="H1347"/>
      <c r="I1347"/>
      <c r="J1347"/>
      <c r="K1347"/>
    </row>
    <row r="1348" spans="1:11" ht="12.75" x14ac:dyDescent="0.2">
      <c r="A1348"/>
      <c r="B1348"/>
      <c r="C1348"/>
      <c r="D1348"/>
      <c r="E1348"/>
      <c r="F1348"/>
      <c r="G1348"/>
      <c r="H1348"/>
      <c r="I1348"/>
      <c r="J1348"/>
      <c r="K1348"/>
    </row>
    <row r="1349" spans="1:11" ht="12.75" x14ac:dyDescent="0.2">
      <c r="A1349"/>
      <c r="B1349"/>
      <c r="C1349"/>
      <c r="D1349"/>
      <c r="E1349"/>
      <c r="F1349"/>
      <c r="G1349"/>
      <c r="H1349"/>
      <c r="I1349"/>
      <c r="J1349"/>
      <c r="K1349"/>
    </row>
    <row r="1350" spans="1:11" ht="12.75" x14ac:dyDescent="0.2">
      <c r="A1350"/>
      <c r="B1350"/>
      <c r="C1350"/>
      <c r="D1350"/>
      <c r="E1350"/>
      <c r="F1350"/>
      <c r="G1350"/>
      <c r="H1350"/>
      <c r="I1350"/>
      <c r="J1350"/>
      <c r="K1350"/>
    </row>
    <row r="1351" spans="1:11" ht="12.75" x14ac:dyDescent="0.2">
      <c r="A1351"/>
      <c r="B1351"/>
      <c r="C1351"/>
      <c r="D1351"/>
      <c r="E1351"/>
      <c r="F1351"/>
      <c r="G1351"/>
      <c r="H1351"/>
      <c r="I1351"/>
      <c r="J1351"/>
      <c r="K1351"/>
    </row>
    <row r="1352" spans="1:11" ht="12.75" x14ac:dyDescent="0.2">
      <c r="A1352"/>
      <c r="B1352"/>
      <c r="C1352"/>
      <c r="D1352"/>
      <c r="E1352"/>
      <c r="F1352"/>
      <c r="G1352"/>
      <c r="H1352"/>
      <c r="I1352"/>
      <c r="J1352"/>
      <c r="K1352"/>
    </row>
    <row r="1353" spans="1:11" ht="12.75" x14ac:dyDescent="0.2">
      <c r="A1353"/>
      <c r="B1353"/>
      <c r="C1353"/>
      <c r="D1353"/>
      <c r="E1353"/>
      <c r="F1353"/>
      <c r="G1353"/>
      <c r="H1353"/>
      <c r="I1353"/>
      <c r="J1353"/>
      <c r="K1353"/>
    </row>
    <row r="1354" spans="1:11" ht="12.75" x14ac:dyDescent="0.2">
      <c r="A1354"/>
      <c r="B1354"/>
      <c r="C1354"/>
      <c r="D1354"/>
      <c r="E1354"/>
      <c r="F1354"/>
      <c r="G1354"/>
      <c r="H1354"/>
      <c r="I1354"/>
      <c r="J1354"/>
      <c r="K1354"/>
    </row>
    <row r="1355" spans="1:11" ht="12.75" x14ac:dyDescent="0.2">
      <c r="A1355"/>
      <c r="B1355"/>
      <c r="C1355"/>
      <c r="D1355"/>
      <c r="E1355"/>
      <c r="F1355"/>
      <c r="G1355"/>
      <c r="H1355"/>
      <c r="I1355"/>
      <c r="J1355"/>
      <c r="K1355"/>
    </row>
    <row r="1356" spans="1:11" ht="12.75" x14ac:dyDescent="0.2">
      <c r="A1356"/>
      <c r="B1356"/>
      <c r="C1356"/>
      <c r="D1356"/>
      <c r="E1356"/>
      <c r="F1356"/>
      <c r="G1356"/>
      <c r="H1356"/>
      <c r="I1356"/>
      <c r="J1356"/>
      <c r="K1356"/>
    </row>
    <row r="1357" spans="1:11" ht="12.75" x14ac:dyDescent="0.2">
      <c r="A1357"/>
      <c r="B1357"/>
      <c r="C1357"/>
      <c r="D1357"/>
      <c r="E1357"/>
      <c r="F1357"/>
      <c r="G1357"/>
      <c r="H1357"/>
      <c r="I1357"/>
      <c r="J1357"/>
      <c r="K1357"/>
    </row>
    <row r="1358" spans="1:11" ht="12.75" x14ac:dyDescent="0.2">
      <c r="A1358"/>
      <c r="B1358"/>
      <c r="C1358"/>
      <c r="D1358"/>
      <c r="E1358"/>
      <c r="F1358"/>
      <c r="G1358"/>
      <c r="H1358"/>
      <c r="I1358"/>
      <c r="J1358"/>
      <c r="K1358"/>
    </row>
    <row r="1359" spans="1:11" ht="12.75" x14ac:dyDescent="0.2">
      <c r="A1359"/>
      <c r="B1359"/>
      <c r="C1359"/>
      <c r="D1359"/>
      <c r="E1359"/>
      <c r="F1359"/>
      <c r="G1359"/>
      <c r="H1359"/>
      <c r="I1359"/>
      <c r="J1359"/>
      <c r="K1359"/>
    </row>
    <row r="1360" spans="1:11" ht="12.75" x14ac:dyDescent="0.2">
      <c r="A1360"/>
      <c r="B1360"/>
      <c r="C1360"/>
      <c r="D1360"/>
      <c r="E1360"/>
      <c r="F1360"/>
      <c r="G1360"/>
      <c r="H1360"/>
      <c r="I1360"/>
      <c r="J1360"/>
      <c r="K1360"/>
    </row>
    <row r="1361" spans="1:11" ht="12.75" x14ac:dyDescent="0.2">
      <c r="A1361"/>
      <c r="B1361"/>
      <c r="C1361"/>
      <c r="D1361"/>
      <c r="E1361"/>
      <c r="F1361"/>
      <c r="G1361"/>
      <c r="H1361"/>
      <c r="I1361"/>
      <c r="J1361"/>
      <c r="K1361"/>
    </row>
    <row r="1362" spans="1:11" ht="12.75" x14ac:dyDescent="0.2">
      <c r="A1362"/>
      <c r="B1362"/>
      <c r="C1362"/>
      <c r="D1362"/>
      <c r="E1362"/>
      <c r="F1362"/>
      <c r="G1362"/>
      <c r="H1362"/>
      <c r="I1362"/>
      <c r="J1362"/>
      <c r="K1362"/>
    </row>
    <row r="1363" spans="1:11" ht="12.75" x14ac:dyDescent="0.2">
      <c r="A1363"/>
      <c r="B1363"/>
      <c r="C1363"/>
      <c r="D1363"/>
      <c r="E1363"/>
      <c r="F1363"/>
      <c r="G1363"/>
      <c r="H1363"/>
      <c r="I1363"/>
      <c r="J1363"/>
      <c r="K1363"/>
    </row>
    <row r="1364" spans="1:11" ht="12.75" x14ac:dyDescent="0.2">
      <c r="A1364"/>
      <c r="B1364"/>
      <c r="C1364"/>
      <c r="D1364"/>
      <c r="E1364"/>
      <c r="F1364"/>
      <c r="G1364"/>
      <c r="H1364"/>
      <c r="I1364"/>
      <c r="J1364"/>
      <c r="K1364"/>
    </row>
    <row r="1365" spans="1:11" ht="12.75" x14ac:dyDescent="0.2">
      <c r="A1365"/>
      <c r="B1365"/>
      <c r="C1365"/>
      <c r="D1365"/>
      <c r="E1365"/>
      <c r="F1365"/>
      <c r="G1365"/>
      <c r="H1365"/>
      <c r="I1365"/>
      <c r="J1365"/>
      <c r="K1365"/>
    </row>
    <row r="1366" spans="1:11" ht="12.75" x14ac:dyDescent="0.2">
      <c r="A1366"/>
      <c r="B1366"/>
      <c r="C1366"/>
      <c r="D1366"/>
      <c r="E1366"/>
      <c r="F1366"/>
      <c r="G1366"/>
      <c r="H1366"/>
      <c r="I1366"/>
      <c r="J1366"/>
      <c r="K1366"/>
    </row>
    <row r="1367" spans="1:11" ht="12.75" x14ac:dyDescent="0.2">
      <c r="A1367"/>
      <c r="B1367"/>
      <c r="C1367"/>
      <c r="D1367"/>
      <c r="E1367"/>
      <c r="F1367"/>
      <c r="G1367"/>
      <c r="H1367"/>
      <c r="I1367"/>
      <c r="J1367"/>
      <c r="K1367"/>
    </row>
    <row r="1368" spans="1:11" ht="12.75" x14ac:dyDescent="0.2">
      <c r="A1368"/>
      <c r="B1368"/>
      <c r="C1368"/>
      <c r="D1368"/>
      <c r="E1368"/>
      <c r="F1368"/>
      <c r="G1368"/>
      <c r="H1368"/>
      <c r="I1368"/>
      <c r="J1368"/>
      <c r="K1368"/>
    </row>
    <row r="1369" spans="1:11" ht="12.75" x14ac:dyDescent="0.2">
      <c r="A1369"/>
      <c r="B1369"/>
      <c r="C1369"/>
      <c r="D1369"/>
      <c r="E1369"/>
      <c r="F1369"/>
      <c r="G1369"/>
      <c r="H1369"/>
      <c r="I1369"/>
      <c r="J1369"/>
      <c r="K1369"/>
    </row>
    <row r="1370" spans="1:11" ht="12.75" x14ac:dyDescent="0.2">
      <c r="A1370"/>
      <c r="B1370"/>
      <c r="C1370"/>
      <c r="D1370"/>
      <c r="E1370"/>
      <c r="F1370"/>
      <c r="G1370"/>
      <c r="H1370"/>
      <c r="I1370"/>
      <c r="J1370"/>
      <c r="K1370"/>
    </row>
    <row r="1371" spans="1:11" ht="12.75" x14ac:dyDescent="0.2">
      <c r="A1371"/>
      <c r="B1371"/>
      <c r="C1371"/>
      <c r="D1371"/>
      <c r="E1371"/>
      <c r="F1371"/>
      <c r="G1371"/>
      <c r="H1371"/>
      <c r="I1371"/>
      <c r="J1371"/>
      <c r="K1371"/>
    </row>
    <row r="1372" spans="1:11" ht="12.75" x14ac:dyDescent="0.2">
      <c r="A1372"/>
      <c r="B1372"/>
      <c r="C1372"/>
      <c r="D1372"/>
      <c r="E1372"/>
      <c r="F1372"/>
      <c r="G1372"/>
      <c r="H1372"/>
      <c r="I1372"/>
      <c r="J1372"/>
      <c r="K1372"/>
    </row>
    <row r="1373" spans="1:11" ht="12.75" x14ac:dyDescent="0.2">
      <c r="A1373"/>
      <c r="B1373"/>
      <c r="C1373"/>
      <c r="D1373"/>
      <c r="E1373"/>
      <c r="F1373"/>
      <c r="G1373"/>
      <c r="H1373"/>
      <c r="I1373"/>
      <c r="J1373"/>
      <c r="K1373"/>
    </row>
    <row r="1374" spans="1:11" ht="12.75" x14ac:dyDescent="0.2">
      <c r="A1374"/>
      <c r="B1374"/>
      <c r="C1374"/>
      <c r="D1374"/>
      <c r="E1374"/>
      <c r="F1374"/>
      <c r="G1374"/>
      <c r="H1374"/>
      <c r="I1374"/>
      <c r="J1374"/>
      <c r="K1374"/>
    </row>
    <row r="1375" spans="1:11" ht="12.75" x14ac:dyDescent="0.2">
      <c r="A1375"/>
      <c r="B1375"/>
      <c r="C1375"/>
      <c r="D1375"/>
      <c r="E1375"/>
      <c r="F1375"/>
      <c r="G1375"/>
      <c r="H1375"/>
      <c r="I1375"/>
      <c r="J1375"/>
      <c r="K1375"/>
    </row>
    <row r="1376" spans="1:11" ht="12.75" x14ac:dyDescent="0.2">
      <c r="A1376"/>
      <c r="B1376"/>
      <c r="C1376"/>
      <c r="D1376"/>
      <c r="E1376"/>
      <c r="F1376"/>
      <c r="G1376"/>
      <c r="H1376"/>
      <c r="I1376"/>
      <c r="J1376"/>
      <c r="K1376"/>
    </row>
    <row r="1377" spans="1:11" ht="12.75" x14ac:dyDescent="0.2">
      <c r="A1377"/>
      <c r="B1377"/>
      <c r="C1377"/>
      <c r="D1377"/>
      <c r="E1377"/>
      <c r="F1377"/>
      <c r="G1377"/>
      <c r="H1377"/>
      <c r="I1377"/>
      <c r="J1377"/>
      <c r="K1377"/>
    </row>
    <row r="1378" spans="1:11" ht="12.75" x14ac:dyDescent="0.2">
      <c r="A1378"/>
      <c r="B1378"/>
      <c r="C1378"/>
      <c r="D1378"/>
      <c r="E1378"/>
      <c r="F1378"/>
      <c r="G1378"/>
      <c r="H1378"/>
      <c r="I1378"/>
      <c r="J1378"/>
      <c r="K1378"/>
    </row>
    <row r="1379" spans="1:11" ht="12.75" x14ac:dyDescent="0.2">
      <c r="A1379"/>
      <c r="B1379"/>
      <c r="C1379"/>
      <c r="D1379"/>
      <c r="E1379"/>
      <c r="F1379"/>
      <c r="G1379"/>
      <c r="H1379"/>
      <c r="I1379"/>
      <c r="J1379"/>
      <c r="K1379"/>
    </row>
    <row r="1380" spans="1:11" ht="12.75" x14ac:dyDescent="0.2">
      <c r="A1380"/>
      <c r="B1380"/>
      <c r="C1380"/>
      <c r="D1380"/>
      <c r="E1380"/>
      <c r="F1380"/>
      <c r="G1380"/>
      <c r="H1380"/>
      <c r="I1380"/>
      <c r="J1380"/>
      <c r="K1380"/>
    </row>
    <row r="1381" spans="1:11" ht="12.75" x14ac:dyDescent="0.2">
      <c r="A1381"/>
      <c r="B1381"/>
      <c r="C1381"/>
      <c r="D1381"/>
      <c r="E1381"/>
      <c r="F1381"/>
      <c r="G1381"/>
      <c r="H1381"/>
      <c r="I1381"/>
      <c r="J1381"/>
      <c r="K1381"/>
    </row>
    <row r="1382" spans="1:11" ht="12.75" x14ac:dyDescent="0.2">
      <c r="A1382"/>
      <c r="B1382"/>
      <c r="C1382"/>
      <c r="D1382"/>
      <c r="E1382"/>
      <c r="F1382"/>
      <c r="G1382"/>
      <c r="H1382"/>
      <c r="I1382"/>
      <c r="J1382"/>
      <c r="K1382"/>
    </row>
    <row r="1383" spans="1:11" ht="12.75" x14ac:dyDescent="0.2">
      <c r="A1383"/>
      <c r="B1383"/>
      <c r="C1383"/>
      <c r="D1383"/>
      <c r="E1383"/>
      <c r="F1383"/>
      <c r="G1383"/>
      <c r="H1383"/>
      <c r="I1383"/>
      <c r="J1383"/>
      <c r="K1383"/>
    </row>
    <row r="1384" spans="1:11" ht="12.75" x14ac:dyDescent="0.2">
      <c r="A1384"/>
      <c r="B1384"/>
      <c r="C1384"/>
      <c r="D1384"/>
      <c r="E1384"/>
      <c r="F1384"/>
      <c r="G1384"/>
      <c r="H1384"/>
      <c r="I1384"/>
      <c r="J1384"/>
      <c r="K1384"/>
    </row>
    <row r="1385" spans="1:11" ht="12.75" x14ac:dyDescent="0.2">
      <c r="A1385"/>
      <c r="B1385"/>
      <c r="C1385"/>
      <c r="D1385"/>
      <c r="E1385"/>
      <c r="F1385"/>
      <c r="G1385"/>
      <c r="H1385"/>
      <c r="I1385"/>
      <c r="J1385"/>
      <c r="K1385"/>
    </row>
    <row r="1386" spans="1:11" ht="12.75" x14ac:dyDescent="0.2">
      <c r="A1386"/>
      <c r="B1386"/>
      <c r="C1386"/>
      <c r="D1386"/>
      <c r="E1386"/>
      <c r="F1386"/>
      <c r="G1386"/>
      <c r="H1386"/>
      <c r="I1386"/>
      <c r="J1386"/>
      <c r="K1386"/>
    </row>
    <row r="1387" spans="1:11" ht="12.75" x14ac:dyDescent="0.2">
      <c r="A1387"/>
      <c r="B1387"/>
      <c r="C1387"/>
      <c r="D1387"/>
      <c r="E1387"/>
      <c r="F1387"/>
      <c r="G1387"/>
      <c r="H1387"/>
      <c r="I1387"/>
      <c r="J1387"/>
      <c r="K1387"/>
    </row>
    <row r="1388" spans="1:11" ht="12.75" x14ac:dyDescent="0.2">
      <c r="A1388"/>
      <c r="B1388"/>
      <c r="C1388"/>
      <c r="D1388"/>
      <c r="E1388"/>
      <c r="F1388"/>
      <c r="G1388"/>
      <c r="H1388"/>
      <c r="I1388"/>
      <c r="J1388"/>
      <c r="K1388"/>
    </row>
    <row r="1389" spans="1:11" ht="12.75" x14ac:dyDescent="0.2">
      <c r="A1389"/>
      <c r="B1389"/>
      <c r="C1389"/>
      <c r="D1389"/>
      <c r="E1389"/>
      <c r="F1389"/>
      <c r="G1389"/>
      <c r="H1389"/>
      <c r="I1389"/>
      <c r="J1389"/>
      <c r="K1389"/>
    </row>
    <row r="1390" spans="1:11" ht="12.75" x14ac:dyDescent="0.2">
      <c r="A1390"/>
      <c r="B1390"/>
      <c r="C1390"/>
      <c r="D1390"/>
      <c r="E1390"/>
      <c r="F1390"/>
      <c r="G1390"/>
      <c r="H1390"/>
      <c r="I1390"/>
      <c r="J1390"/>
      <c r="K1390"/>
    </row>
    <row r="1391" spans="1:11" ht="12.75" x14ac:dyDescent="0.2">
      <c r="A1391"/>
      <c r="B1391"/>
      <c r="C1391"/>
      <c r="D1391"/>
      <c r="E1391"/>
      <c r="F1391"/>
      <c r="G1391"/>
      <c r="H1391"/>
      <c r="I1391"/>
      <c r="J1391"/>
      <c r="K1391"/>
    </row>
    <row r="1392" spans="1:11" ht="12.75" x14ac:dyDescent="0.2">
      <c r="A1392"/>
      <c r="B1392"/>
      <c r="C1392"/>
      <c r="D1392"/>
      <c r="E1392"/>
      <c r="F1392"/>
      <c r="G1392"/>
      <c r="H1392"/>
      <c r="I1392"/>
      <c r="J1392"/>
      <c r="K1392"/>
    </row>
    <row r="1393" spans="1:11" ht="12.75" x14ac:dyDescent="0.2">
      <c r="A1393"/>
      <c r="B1393"/>
      <c r="C1393"/>
      <c r="D1393"/>
      <c r="E1393"/>
      <c r="F1393"/>
      <c r="G1393"/>
      <c r="H1393"/>
      <c r="I1393"/>
      <c r="J1393"/>
      <c r="K1393"/>
    </row>
    <row r="1394" spans="1:11" ht="12.75" x14ac:dyDescent="0.2">
      <c r="A1394"/>
      <c r="B1394"/>
      <c r="C1394"/>
      <c r="D1394"/>
      <c r="E1394"/>
      <c r="F1394"/>
      <c r="G1394"/>
      <c r="H1394"/>
      <c r="I1394"/>
      <c r="J1394"/>
      <c r="K1394"/>
    </row>
    <row r="1395" spans="1:11" ht="12.75" x14ac:dyDescent="0.2">
      <c r="A1395"/>
      <c r="B1395"/>
      <c r="C1395"/>
      <c r="D1395"/>
      <c r="E1395"/>
      <c r="F1395"/>
      <c r="G1395"/>
      <c r="H1395"/>
      <c r="I1395"/>
      <c r="J1395"/>
      <c r="K1395"/>
    </row>
    <row r="1396" spans="1:11" ht="12.75" x14ac:dyDescent="0.2">
      <c r="A1396"/>
      <c r="B1396"/>
      <c r="C1396"/>
      <c r="D1396"/>
      <c r="E1396"/>
      <c r="F1396"/>
      <c r="G1396"/>
      <c r="H1396"/>
      <c r="I1396"/>
      <c r="J1396"/>
      <c r="K1396"/>
    </row>
    <row r="1397" spans="1:11" ht="12.75" x14ac:dyDescent="0.2">
      <c r="A1397"/>
      <c r="B1397"/>
      <c r="C1397"/>
      <c r="D1397"/>
      <c r="E1397"/>
      <c r="F1397"/>
      <c r="G1397"/>
      <c r="H1397"/>
      <c r="I1397"/>
      <c r="J1397"/>
      <c r="K1397"/>
    </row>
    <row r="1398" spans="1:11" ht="12.75" x14ac:dyDescent="0.2">
      <c r="A1398"/>
      <c r="B1398"/>
      <c r="C1398"/>
      <c r="D1398"/>
      <c r="E1398"/>
      <c r="F1398"/>
      <c r="G1398"/>
      <c r="H1398"/>
      <c r="I1398"/>
      <c r="J1398"/>
      <c r="K1398"/>
    </row>
    <row r="1399" spans="1:11" ht="12.75" x14ac:dyDescent="0.2">
      <c r="A1399"/>
      <c r="B1399"/>
      <c r="C1399"/>
      <c r="D1399"/>
      <c r="E1399"/>
      <c r="F1399"/>
      <c r="G1399"/>
      <c r="H1399"/>
      <c r="I1399"/>
      <c r="J1399"/>
      <c r="K1399"/>
    </row>
    <row r="1400" spans="1:11" ht="12.75" x14ac:dyDescent="0.2">
      <c r="A1400"/>
      <c r="B1400"/>
      <c r="C1400"/>
      <c r="D1400"/>
      <c r="E1400"/>
      <c r="F1400"/>
      <c r="G1400"/>
      <c r="H1400"/>
      <c r="I1400"/>
      <c r="J1400"/>
      <c r="K1400"/>
    </row>
    <row r="1401" spans="1:11" ht="12.75" x14ac:dyDescent="0.2">
      <c r="A1401"/>
      <c r="B1401"/>
      <c r="C1401"/>
      <c r="D1401"/>
      <c r="E1401"/>
      <c r="F1401"/>
      <c r="G1401"/>
      <c r="H1401"/>
      <c r="I1401"/>
      <c r="J1401"/>
      <c r="K1401"/>
    </row>
    <row r="1402" spans="1:11" ht="12.75" x14ac:dyDescent="0.2">
      <c r="A1402"/>
      <c r="B1402"/>
      <c r="C1402"/>
      <c r="D1402"/>
      <c r="E1402"/>
      <c r="F1402"/>
      <c r="G1402"/>
      <c r="H1402"/>
      <c r="I1402"/>
      <c r="J1402"/>
      <c r="K1402"/>
    </row>
    <row r="1403" spans="1:11" ht="12.75" x14ac:dyDescent="0.2">
      <c r="A1403"/>
      <c r="B1403"/>
      <c r="C1403"/>
      <c r="D1403"/>
      <c r="E1403"/>
      <c r="F1403"/>
      <c r="G1403"/>
      <c r="H1403"/>
      <c r="I1403"/>
      <c r="J1403"/>
      <c r="K1403"/>
    </row>
    <row r="1404" spans="1:11" ht="12.75" x14ac:dyDescent="0.2">
      <c r="A1404"/>
      <c r="B1404"/>
      <c r="C1404"/>
      <c r="D1404"/>
      <c r="E1404"/>
      <c r="F1404"/>
      <c r="G1404"/>
      <c r="H1404"/>
      <c r="I1404"/>
      <c r="J1404"/>
      <c r="K1404"/>
    </row>
    <row r="1405" spans="1:11" ht="12.75" x14ac:dyDescent="0.2">
      <c r="A1405"/>
      <c r="B1405"/>
      <c r="C1405"/>
      <c r="D1405"/>
      <c r="E1405"/>
      <c r="F1405"/>
      <c r="G1405"/>
      <c r="H1405"/>
      <c r="I1405"/>
      <c r="J1405"/>
      <c r="K1405"/>
    </row>
    <row r="1406" spans="1:11" ht="12.75" x14ac:dyDescent="0.2">
      <c r="A1406"/>
      <c r="B1406"/>
      <c r="C1406"/>
      <c r="D1406"/>
      <c r="E1406"/>
      <c r="F1406"/>
      <c r="G1406"/>
      <c r="H1406"/>
      <c r="I1406"/>
      <c r="J1406"/>
      <c r="K1406"/>
    </row>
    <row r="1407" spans="1:11" ht="12.75" x14ac:dyDescent="0.2">
      <c r="A1407"/>
      <c r="B1407"/>
      <c r="C1407"/>
      <c r="D1407"/>
      <c r="E1407"/>
      <c r="F1407"/>
      <c r="G1407"/>
      <c r="H1407"/>
      <c r="I1407"/>
      <c r="J1407"/>
      <c r="K1407"/>
    </row>
    <row r="1408" spans="1:11" ht="12.75" x14ac:dyDescent="0.2">
      <c r="A1408"/>
      <c r="B1408"/>
      <c r="C1408"/>
      <c r="D1408"/>
      <c r="E1408"/>
      <c r="F1408"/>
      <c r="G1408"/>
      <c r="H1408"/>
      <c r="I1408"/>
      <c r="J1408"/>
      <c r="K1408"/>
    </row>
    <row r="1409" spans="1:11" ht="12.75" x14ac:dyDescent="0.2">
      <c r="A1409"/>
      <c r="B1409"/>
      <c r="C1409"/>
      <c r="D1409"/>
      <c r="E1409"/>
      <c r="F1409"/>
      <c r="G1409"/>
      <c r="H1409"/>
      <c r="I1409"/>
      <c r="J1409"/>
      <c r="K1409"/>
    </row>
    <row r="1410" spans="1:11" ht="12.75" x14ac:dyDescent="0.2">
      <c r="A1410"/>
      <c r="B1410"/>
      <c r="C1410"/>
      <c r="D1410"/>
      <c r="E1410"/>
      <c r="F1410"/>
      <c r="G1410"/>
      <c r="H1410"/>
      <c r="I1410"/>
      <c r="J1410"/>
      <c r="K1410"/>
    </row>
    <row r="1411" spans="1:11" ht="12.75" x14ac:dyDescent="0.2">
      <c r="A1411"/>
      <c r="B1411"/>
      <c r="C1411"/>
      <c r="D1411"/>
      <c r="E1411"/>
      <c r="F1411"/>
      <c r="G1411"/>
      <c r="H1411"/>
      <c r="I1411"/>
      <c r="J1411"/>
      <c r="K1411"/>
    </row>
    <row r="1412" spans="1:11" ht="12.75" x14ac:dyDescent="0.2">
      <c r="A1412"/>
      <c r="B1412"/>
      <c r="C1412"/>
      <c r="D1412"/>
      <c r="E1412"/>
      <c r="F1412"/>
      <c r="G1412"/>
      <c r="H1412"/>
      <c r="I1412"/>
      <c r="J1412"/>
      <c r="K1412"/>
    </row>
    <row r="1413" spans="1:11" ht="12.75" x14ac:dyDescent="0.2">
      <c r="A1413"/>
      <c r="B1413"/>
      <c r="C1413"/>
      <c r="D1413"/>
      <c r="E1413"/>
      <c r="F1413"/>
      <c r="G1413"/>
      <c r="H1413"/>
      <c r="I1413"/>
      <c r="J1413"/>
      <c r="K1413"/>
    </row>
    <row r="1414" spans="1:11" ht="12.75" x14ac:dyDescent="0.2">
      <c r="A1414"/>
      <c r="B1414"/>
      <c r="C1414"/>
      <c r="D1414"/>
      <c r="E1414"/>
      <c r="F1414"/>
      <c r="G1414"/>
      <c r="H1414"/>
      <c r="I1414"/>
      <c r="J1414"/>
      <c r="K1414"/>
    </row>
    <row r="1415" spans="1:11" ht="12.75" x14ac:dyDescent="0.2">
      <c r="A1415"/>
      <c r="B1415"/>
      <c r="C1415"/>
      <c r="D1415"/>
      <c r="E1415"/>
      <c r="F1415"/>
      <c r="G1415"/>
      <c r="H1415"/>
      <c r="I1415"/>
      <c r="J1415"/>
      <c r="K1415"/>
    </row>
    <row r="1416" spans="1:11" ht="12.75" x14ac:dyDescent="0.2">
      <c r="A1416"/>
      <c r="B1416"/>
      <c r="C1416"/>
      <c r="D1416"/>
      <c r="E1416"/>
      <c r="F1416"/>
      <c r="G1416"/>
      <c r="H1416"/>
      <c r="I1416"/>
      <c r="J1416"/>
      <c r="K1416"/>
    </row>
    <row r="1417" spans="1:11" ht="12.75" x14ac:dyDescent="0.2">
      <c r="A1417"/>
      <c r="B1417"/>
      <c r="C1417"/>
      <c r="D1417"/>
      <c r="E1417"/>
      <c r="F1417"/>
      <c r="G1417"/>
      <c r="H1417"/>
      <c r="I1417"/>
      <c r="J1417"/>
      <c r="K1417"/>
    </row>
    <row r="1418" spans="1:11" ht="12.75" x14ac:dyDescent="0.2">
      <c r="A1418"/>
      <c r="B1418"/>
      <c r="C1418"/>
      <c r="D1418"/>
      <c r="E1418"/>
      <c r="F1418"/>
      <c r="G1418"/>
      <c r="H1418"/>
      <c r="I1418"/>
      <c r="J1418"/>
      <c r="K1418"/>
    </row>
    <row r="1419" spans="1:11" ht="12.75" x14ac:dyDescent="0.2">
      <c r="A1419"/>
      <c r="B1419"/>
      <c r="C1419"/>
      <c r="D1419"/>
      <c r="E1419"/>
      <c r="F1419"/>
      <c r="G1419"/>
      <c r="H1419"/>
      <c r="I1419"/>
      <c r="J1419"/>
      <c r="K1419"/>
    </row>
    <row r="1420" spans="1:11" ht="12.75" x14ac:dyDescent="0.2">
      <c r="A1420"/>
      <c r="B1420"/>
      <c r="C1420"/>
      <c r="D1420"/>
      <c r="E1420"/>
      <c r="F1420"/>
      <c r="G1420"/>
      <c r="H1420"/>
      <c r="I1420"/>
      <c r="J1420"/>
      <c r="K1420"/>
    </row>
    <row r="1421" spans="1:11" ht="12.75" x14ac:dyDescent="0.2">
      <c r="A1421"/>
      <c r="B1421"/>
      <c r="C1421"/>
      <c r="D1421"/>
      <c r="E1421"/>
      <c r="F1421"/>
      <c r="G1421"/>
      <c r="H1421"/>
      <c r="I1421"/>
      <c r="J1421"/>
      <c r="K1421"/>
    </row>
    <row r="1422" spans="1:11" ht="12.75" x14ac:dyDescent="0.2">
      <c r="A1422"/>
      <c r="B1422"/>
      <c r="C1422"/>
      <c r="D1422"/>
      <c r="E1422"/>
      <c r="F1422"/>
      <c r="G1422"/>
      <c r="H1422"/>
      <c r="I1422"/>
      <c r="J1422"/>
      <c r="K1422"/>
    </row>
    <row r="1423" spans="1:11" ht="12.75" x14ac:dyDescent="0.2">
      <c r="A1423"/>
      <c r="B1423"/>
      <c r="C1423"/>
      <c r="D1423"/>
      <c r="E1423"/>
      <c r="F1423"/>
      <c r="G1423"/>
      <c r="H1423"/>
      <c r="I1423"/>
      <c r="J1423"/>
      <c r="K1423"/>
    </row>
    <row r="1424" spans="1:11" ht="12.75" x14ac:dyDescent="0.2">
      <c r="A1424"/>
      <c r="B1424"/>
      <c r="C1424"/>
      <c r="D1424"/>
      <c r="E1424"/>
      <c r="F1424"/>
      <c r="G1424"/>
      <c r="H1424"/>
      <c r="I1424"/>
      <c r="J1424"/>
      <c r="K1424"/>
    </row>
    <row r="1425" spans="1:11" ht="12.75" x14ac:dyDescent="0.2">
      <c r="A1425"/>
      <c r="B1425"/>
      <c r="C1425"/>
      <c r="D1425"/>
      <c r="E1425"/>
      <c r="F1425"/>
      <c r="G1425"/>
      <c r="H1425"/>
      <c r="I1425"/>
      <c r="J1425"/>
      <c r="K1425"/>
    </row>
    <row r="1426" spans="1:11" ht="12.75" x14ac:dyDescent="0.2">
      <c r="A1426"/>
      <c r="B1426"/>
      <c r="C1426"/>
      <c r="D1426"/>
      <c r="E1426"/>
      <c r="F1426"/>
      <c r="G1426"/>
      <c r="H1426"/>
      <c r="I1426"/>
      <c r="J1426"/>
      <c r="K1426"/>
    </row>
    <row r="1427" spans="1:11" ht="12.75" x14ac:dyDescent="0.2">
      <c r="A1427"/>
      <c r="B1427"/>
      <c r="C1427"/>
      <c r="D1427"/>
      <c r="E1427"/>
      <c r="F1427"/>
      <c r="G1427"/>
      <c r="H1427"/>
      <c r="I1427"/>
      <c r="J1427"/>
      <c r="K1427"/>
    </row>
    <row r="1428" spans="1:11" ht="12.75" x14ac:dyDescent="0.2">
      <c r="A1428"/>
      <c r="B1428"/>
      <c r="C1428"/>
      <c r="D1428"/>
      <c r="E1428"/>
      <c r="F1428"/>
      <c r="G1428"/>
      <c r="H1428"/>
      <c r="I1428"/>
      <c r="J1428"/>
      <c r="K1428"/>
    </row>
    <row r="1429" spans="1:11" ht="12.75" x14ac:dyDescent="0.2">
      <c r="A1429"/>
      <c r="B1429"/>
      <c r="C1429"/>
      <c r="D1429"/>
      <c r="E1429"/>
      <c r="F1429"/>
      <c r="G1429"/>
      <c r="H1429"/>
      <c r="I1429"/>
      <c r="J1429"/>
      <c r="K1429"/>
    </row>
    <row r="1430" spans="1:11" ht="12.75" x14ac:dyDescent="0.2">
      <c r="A1430"/>
      <c r="B1430"/>
      <c r="C1430"/>
      <c r="D1430"/>
      <c r="E1430"/>
      <c r="F1430"/>
      <c r="G1430"/>
      <c r="H1430"/>
      <c r="I1430"/>
      <c r="J1430"/>
      <c r="K1430"/>
    </row>
    <row r="1431" spans="1:11" ht="12.75" x14ac:dyDescent="0.2">
      <c r="A1431"/>
      <c r="B1431"/>
      <c r="C1431"/>
      <c r="D1431"/>
      <c r="E1431"/>
      <c r="F1431"/>
      <c r="G1431"/>
      <c r="H1431"/>
      <c r="I1431"/>
      <c r="J1431"/>
      <c r="K1431"/>
    </row>
    <row r="1432" spans="1:11" ht="12.75" x14ac:dyDescent="0.2">
      <c r="A1432"/>
      <c r="B1432"/>
      <c r="C1432"/>
      <c r="D1432"/>
      <c r="E1432"/>
      <c r="F1432"/>
      <c r="G1432"/>
      <c r="H1432"/>
      <c r="I1432"/>
      <c r="J1432"/>
      <c r="K1432"/>
    </row>
    <row r="1433" spans="1:11" ht="12.75" x14ac:dyDescent="0.2">
      <c r="A1433"/>
      <c r="B1433"/>
      <c r="C1433"/>
      <c r="D1433"/>
      <c r="E1433"/>
      <c r="F1433"/>
      <c r="G1433"/>
      <c r="H1433"/>
      <c r="I1433"/>
      <c r="J1433"/>
      <c r="K1433"/>
    </row>
    <row r="1434" spans="1:11" ht="12.75" x14ac:dyDescent="0.2">
      <c r="A1434"/>
      <c r="B1434"/>
      <c r="C1434"/>
      <c r="D1434"/>
      <c r="E1434"/>
      <c r="F1434"/>
      <c r="G1434"/>
      <c r="H1434"/>
      <c r="I1434"/>
      <c r="J1434"/>
      <c r="K1434"/>
    </row>
    <row r="1435" spans="1:11" ht="12.75" x14ac:dyDescent="0.2">
      <c r="A1435"/>
      <c r="B1435"/>
      <c r="C1435"/>
      <c r="D1435"/>
      <c r="E1435"/>
      <c r="F1435"/>
      <c r="G1435"/>
      <c r="H1435"/>
      <c r="I1435"/>
      <c r="J1435"/>
      <c r="K1435"/>
    </row>
    <row r="1436" spans="1:11" ht="12.75" x14ac:dyDescent="0.2">
      <c r="A1436"/>
      <c r="B1436"/>
      <c r="C1436"/>
      <c r="D1436"/>
      <c r="E1436"/>
      <c r="F1436"/>
      <c r="G1436"/>
      <c r="H1436"/>
      <c r="I1436"/>
      <c r="J1436"/>
      <c r="K1436"/>
    </row>
    <row r="1437" spans="1:11" ht="12.75" x14ac:dyDescent="0.2">
      <c r="A1437"/>
      <c r="B1437"/>
      <c r="C1437"/>
      <c r="D1437"/>
      <c r="E1437"/>
      <c r="F1437"/>
      <c r="G1437"/>
      <c r="H1437"/>
      <c r="I1437"/>
      <c r="J1437"/>
      <c r="K1437"/>
    </row>
    <row r="1438" spans="1:11" ht="12.75" x14ac:dyDescent="0.2">
      <c r="A1438"/>
      <c r="B1438"/>
      <c r="C1438"/>
      <c r="D1438"/>
      <c r="E1438"/>
      <c r="F1438"/>
      <c r="G1438"/>
      <c r="H1438"/>
      <c r="I1438"/>
      <c r="J1438"/>
      <c r="K1438"/>
    </row>
    <row r="1439" spans="1:11" ht="12.75" x14ac:dyDescent="0.2">
      <c r="A1439"/>
      <c r="B1439"/>
      <c r="C1439"/>
      <c r="D1439"/>
      <c r="E1439"/>
      <c r="F1439"/>
      <c r="G1439"/>
      <c r="H1439"/>
      <c r="I1439"/>
      <c r="J1439"/>
      <c r="K1439"/>
    </row>
    <row r="1440" spans="1:11" ht="12.75" x14ac:dyDescent="0.2">
      <c r="A1440"/>
      <c r="B1440"/>
      <c r="C1440"/>
      <c r="D1440"/>
      <c r="E1440"/>
      <c r="F1440"/>
      <c r="G1440"/>
      <c r="H1440"/>
      <c r="I1440"/>
      <c r="J1440"/>
      <c r="K1440"/>
    </row>
    <row r="1441" spans="1:11" ht="12.75" x14ac:dyDescent="0.2">
      <c r="A1441"/>
      <c r="B1441"/>
      <c r="C1441"/>
      <c r="D1441"/>
      <c r="E1441"/>
      <c r="F1441"/>
      <c r="G1441"/>
      <c r="H1441"/>
      <c r="I1441"/>
      <c r="J1441"/>
      <c r="K1441"/>
    </row>
    <row r="1442" spans="1:11" ht="12.75" x14ac:dyDescent="0.2">
      <c r="A1442"/>
      <c r="B1442"/>
      <c r="C1442"/>
      <c r="D1442"/>
      <c r="E1442"/>
      <c r="F1442"/>
      <c r="G1442"/>
      <c r="H1442"/>
      <c r="I1442"/>
      <c r="J1442"/>
      <c r="K1442"/>
    </row>
    <row r="1443" spans="1:11" ht="12.75" x14ac:dyDescent="0.2">
      <c r="A1443"/>
      <c r="B1443"/>
      <c r="C1443"/>
      <c r="D1443"/>
      <c r="E1443"/>
      <c r="F1443"/>
      <c r="G1443"/>
      <c r="H1443"/>
      <c r="I1443"/>
      <c r="J1443"/>
      <c r="K1443"/>
    </row>
    <row r="1444" spans="1:11" ht="12.75" x14ac:dyDescent="0.2">
      <c r="A1444"/>
      <c r="B1444"/>
      <c r="C1444"/>
      <c r="D1444"/>
      <c r="E1444"/>
      <c r="F1444"/>
      <c r="G1444"/>
      <c r="H1444"/>
      <c r="I1444"/>
      <c r="J1444"/>
      <c r="K1444"/>
    </row>
    <row r="1445" spans="1:11" ht="12.75" x14ac:dyDescent="0.2">
      <c r="A1445"/>
      <c r="B1445"/>
      <c r="C1445"/>
      <c r="D1445"/>
      <c r="E1445"/>
      <c r="F1445"/>
      <c r="G1445"/>
      <c r="H1445"/>
      <c r="I1445"/>
      <c r="J1445"/>
      <c r="K1445"/>
    </row>
    <row r="1446" spans="1:11" ht="12.75" x14ac:dyDescent="0.2">
      <c r="A1446"/>
      <c r="B1446"/>
      <c r="C1446"/>
      <c r="D1446"/>
      <c r="E1446"/>
      <c r="F1446"/>
      <c r="G1446"/>
      <c r="H1446"/>
      <c r="I1446"/>
      <c r="J1446"/>
      <c r="K1446"/>
    </row>
    <row r="1447" spans="1:11" ht="12.75" x14ac:dyDescent="0.2">
      <c r="A1447"/>
      <c r="B1447"/>
      <c r="C1447"/>
      <c r="D1447"/>
      <c r="E1447"/>
      <c r="F1447"/>
      <c r="G1447"/>
      <c r="H1447"/>
      <c r="I1447"/>
      <c r="J1447"/>
      <c r="K1447"/>
    </row>
    <row r="1448" spans="1:11" ht="12.75" x14ac:dyDescent="0.2">
      <c r="A1448"/>
      <c r="B1448"/>
      <c r="C1448"/>
      <c r="D1448"/>
      <c r="E1448"/>
      <c r="F1448"/>
      <c r="G1448"/>
      <c r="H1448"/>
      <c r="I1448"/>
      <c r="J1448"/>
      <c r="K1448"/>
    </row>
    <row r="1449" spans="1:11" ht="12.75" x14ac:dyDescent="0.2">
      <c r="A1449"/>
      <c r="B1449"/>
      <c r="C1449"/>
      <c r="D1449"/>
      <c r="E1449"/>
      <c r="F1449"/>
      <c r="G1449"/>
      <c r="H1449"/>
      <c r="I1449"/>
      <c r="J1449"/>
      <c r="K1449"/>
    </row>
    <row r="1450" spans="1:11" ht="12.75" x14ac:dyDescent="0.2">
      <c r="A1450"/>
      <c r="B1450"/>
      <c r="C1450"/>
      <c r="D1450"/>
      <c r="E1450"/>
      <c r="F1450"/>
      <c r="G1450"/>
      <c r="H1450"/>
      <c r="I1450"/>
      <c r="J1450"/>
      <c r="K1450"/>
    </row>
    <row r="1451" spans="1:11" ht="12.75" x14ac:dyDescent="0.2">
      <c r="A1451"/>
      <c r="B1451"/>
      <c r="C1451"/>
      <c r="D1451"/>
      <c r="E1451"/>
      <c r="F1451"/>
      <c r="G1451"/>
      <c r="H1451"/>
      <c r="I1451"/>
      <c r="J1451"/>
      <c r="K1451"/>
    </row>
    <row r="1452" spans="1:11" ht="12.75" x14ac:dyDescent="0.2">
      <c r="A1452"/>
      <c r="B1452"/>
      <c r="C1452"/>
      <c r="D1452"/>
      <c r="E1452"/>
      <c r="F1452"/>
      <c r="G1452"/>
      <c r="H1452"/>
      <c r="I1452"/>
      <c r="J1452"/>
      <c r="K1452"/>
    </row>
    <row r="1453" spans="1:11" ht="12.75" x14ac:dyDescent="0.2">
      <c r="A1453"/>
      <c r="B1453"/>
      <c r="C1453"/>
      <c r="D1453"/>
      <c r="E1453"/>
      <c r="F1453"/>
      <c r="G1453"/>
      <c r="H1453"/>
      <c r="I1453"/>
      <c r="J1453"/>
      <c r="K1453"/>
    </row>
    <row r="1454" spans="1:11" ht="12.75" x14ac:dyDescent="0.2">
      <c r="A1454"/>
      <c r="B1454"/>
      <c r="C1454"/>
      <c r="D1454"/>
      <c r="E1454"/>
      <c r="F1454"/>
      <c r="G1454"/>
      <c r="H1454"/>
      <c r="I1454"/>
      <c r="J1454"/>
      <c r="K1454"/>
    </row>
    <row r="1455" spans="1:11" ht="12.75" x14ac:dyDescent="0.2">
      <c r="A1455"/>
      <c r="B1455"/>
      <c r="C1455"/>
      <c r="D1455"/>
      <c r="E1455"/>
      <c r="F1455"/>
      <c r="G1455"/>
      <c r="H1455"/>
      <c r="I1455"/>
      <c r="J1455"/>
      <c r="K1455"/>
    </row>
    <row r="1456" spans="1:11" ht="12.75" x14ac:dyDescent="0.2">
      <c r="A1456"/>
      <c r="B1456"/>
      <c r="C1456"/>
      <c r="D1456"/>
      <c r="E1456"/>
      <c r="F1456"/>
      <c r="G1456"/>
      <c r="H1456"/>
      <c r="I1456"/>
      <c r="J1456"/>
      <c r="K1456"/>
    </row>
    <row r="1457" spans="1:11" ht="12.75" x14ac:dyDescent="0.2">
      <c r="A1457"/>
      <c r="B1457"/>
      <c r="C1457"/>
      <c r="D1457"/>
      <c r="E1457"/>
      <c r="F1457"/>
      <c r="G1457"/>
      <c r="H1457"/>
      <c r="I1457"/>
      <c r="J1457"/>
      <c r="K1457"/>
    </row>
    <row r="1458" spans="1:11" ht="12.75" x14ac:dyDescent="0.2">
      <c r="A1458"/>
      <c r="B1458"/>
      <c r="C1458"/>
      <c r="D1458"/>
      <c r="E1458"/>
      <c r="F1458"/>
      <c r="G1458"/>
      <c r="H1458"/>
      <c r="I1458"/>
      <c r="J1458"/>
      <c r="K1458"/>
    </row>
    <row r="1459" spans="1:11" ht="12.75" x14ac:dyDescent="0.2">
      <c r="A1459"/>
      <c r="B1459"/>
      <c r="C1459"/>
      <c r="D1459"/>
      <c r="E1459"/>
      <c r="F1459"/>
      <c r="G1459"/>
      <c r="H1459"/>
      <c r="I1459"/>
      <c r="J1459"/>
      <c r="K1459"/>
    </row>
    <row r="1460" spans="1:11" ht="12.75" x14ac:dyDescent="0.2">
      <c r="A1460"/>
      <c r="B1460"/>
      <c r="C1460"/>
      <c r="D1460"/>
      <c r="E1460"/>
      <c r="F1460"/>
      <c r="G1460"/>
      <c r="H1460"/>
      <c r="I1460"/>
      <c r="J1460"/>
      <c r="K1460"/>
    </row>
    <row r="1461" spans="1:11" ht="12.75" x14ac:dyDescent="0.2">
      <c r="A1461"/>
      <c r="B1461"/>
      <c r="C1461"/>
      <c r="D1461"/>
      <c r="E1461"/>
      <c r="F1461"/>
      <c r="G1461"/>
      <c r="H1461"/>
      <c r="I1461"/>
      <c r="J1461"/>
      <c r="K1461"/>
    </row>
    <row r="1462" spans="1:11" ht="12.75" x14ac:dyDescent="0.2">
      <c r="A1462"/>
      <c r="B1462"/>
      <c r="C1462"/>
      <c r="D1462"/>
      <c r="E1462"/>
      <c r="F1462"/>
      <c r="G1462"/>
      <c r="H1462"/>
      <c r="I1462"/>
      <c r="J1462"/>
      <c r="K1462"/>
    </row>
    <row r="1463" spans="1:11" ht="12.75" x14ac:dyDescent="0.2">
      <c r="A1463"/>
      <c r="B1463"/>
      <c r="C1463"/>
      <c r="D1463"/>
      <c r="E1463"/>
      <c r="F1463"/>
      <c r="G1463"/>
      <c r="H1463"/>
      <c r="I1463"/>
      <c r="J1463"/>
      <c r="K1463"/>
    </row>
    <row r="1464" spans="1:11" ht="12.75" x14ac:dyDescent="0.2">
      <c r="A1464"/>
      <c r="B1464"/>
      <c r="C1464"/>
      <c r="D1464"/>
      <c r="E1464"/>
      <c r="F1464"/>
      <c r="G1464"/>
      <c r="H1464"/>
      <c r="I1464"/>
      <c r="J1464"/>
      <c r="K1464"/>
    </row>
    <row r="1465" spans="1:11" ht="12.75" x14ac:dyDescent="0.2">
      <c r="A1465"/>
      <c r="B1465"/>
      <c r="C1465"/>
      <c r="D1465"/>
      <c r="E1465"/>
      <c r="F1465"/>
      <c r="G1465"/>
      <c r="H1465"/>
      <c r="I1465"/>
      <c r="J1465"/>
      <c r="K1465"/>
    </row>
    <row r="1466" spans="1:11" ht="12.75" x14ac:dyDescent="0.2">
      <c r="A1466"/>
      <c r="B1466"/>
      <c r="C1466"/>
      <c r="D1466"/>
      <c r="E1466"/>
      <c r="F1466"/>
      <c r="G1466"/>
      <c r="H1466"/>
      <c r="I1466"/>
      <c r="J1466"/>
      <c r="K1466"/>
    </row>
    <row r="1467" spans="1:11" ht="12.75" x14ac:dyDescent="0.2">
      <c r="A1467"/>
      <c r="B1467"/>
      <c r="C1467"/>
      <c r="D1467"/>
      <c r="E1467"/>
      <c r="F1467"/>
      <c r="G1467"/>
      <c r="H1467"/>
      <c r="I1467"/>
      <c r="J1467"/>
      <c r="K1467"/>
    </row>
    <row r="1468" spans="1:11" ht="12.75" x14ac:dyDescent="0.2">
      <c r="A1468"/>
      <c r="B1468"/>
      <c r="C1468"/>
      <c r="D1468"/>
      <c r="E1468"/>
      <c r="F1468"/>
      <c r="G1468"/>
      <c r="H1468"/>
      <c r="I1468"/>
      <c r="J1468"/>
      <c r="K1468"/>
    </row>
    <row r="1469" spans="1:11" ht="12.75" x14ac:dyDescent="0.2">
      <c r="A1469"/>
      <c r="B1469"/>
      <c r="C1469"/>
      <c r="D1469"/>
      <c r="E1469"/>
      <c r="F1469"/>
      <c r="G1469"/>
      <c r="H1469"/>
      <c r="I1469"/>
      <c r="J1469"/>
      <c r="K1469"/>
    </row>
    <row r="1470" spans="1:11" ht="12.75" x14ac:dyDescent="0.2">
      <c r="A1470"/>
      <c r="B1470"/>
      <c r="C1470"/>
      <c r="D1470"/>
      <c r="E1470"/>
      <c r="F1470"/>
      <c r="G1470"/>
      <c r="H1470"/>
      <c r="I1470"/>
      <c r="J1470"/>
      <c r="K1470"/>
    </row>
    <row r="1471" spans="1:11" ht="12.75" x14ac:dyDescent="0.2">
      <c r="A1471"/>
      <c r="B1471"/>
      <c r="C1471"/>
      <c r="D1471"/>
      <c r="E1471"/>
      <c r="F1471"/>
      <c r="G1471"/>
      <c r="H1471"/>
      <c r="I1471"/>
      <c r="J1471"/>
      <c r="K1471"/>
    </row>
    <row r="1472" spans="1:11" ht="12.75" x14ac:dyDescent="0.2">
      <c r="A1472"/>
      <c r="B1472"/>
      <c r="C1472"/>
      <c r="D1472"/>
      <c r="E1472"/>
      <c r="F1472"/>
      <c r="G1472"/>
      <c r="H1472"/>
      <c r="I1472"/>
      <c r="J1472"/>
      <c r="K1472"/>
    </row>
    <row r="1473" spans="1:11" ht="12.75" x14ac:dyDescent="0.2">
      <c r="A1473"/>
      <c r="B1473"/>
      <c r="C1473"/>
      <c r="D1473"/>
      <c r="E1473"/>
      <c r="F1473"/>
      <c r="G1473"/>
      <c r="H1473"/>
      <c r="I1473"/>
      <c r="J1473"/>
      <c r="K1473"/>
    </row>
    <row r="1474" spans="1:11" ht="12.75" x14ac:dyDescent="0.2">
      <c r="A1474"/>
      <c r="B1474"/>
      <c r="C1474"/>
      <c r="D1474"/>
      <c r="E1474"/>
      <c r="F1474"/>
      <c r="G1474"/>
      <c r="H1474"/>
      <c r="I1474"/>
      <c r="J1474"/>
      <c r="K1474"/>
    </row>
    <row r="1475" spans="1:11" ht="12.75" x14ac:dyDescent="0.2">
      <c r="A1475"/>
      <c r="B1475"/>
      <c r="C1475"/>
      <c r="D1475"/>
      <c r="E1475"/>
      <c r="F1475"/>
      <c r="G1475"/>
      <c r="H1475"/>
      <c r="I1475"/>
      <c r="J1475"/>
      <c r="K1475"/>
    </row>
    <row r="1476" spans="1:11" ht="12.75" x14ac:dyDescent="0.2">
      <c r="A1476"/>
      <c r="B1476"/>
      <c r="C1476"/>
      <c r="D1476"/>
      <c r="E1476"/>
      <c r="F1476"/>
      <c r="G1476"/>
      <c r="H1476"/>
      <c r="I1476"/>
      <c r="J1476"/>
      <c r="K1476"/>
    </row>
    <row r="1477" spans="1:11" ht="12.75" x14ac:dyDescent="0.2">
      <c r="A1477"/>
      <c r="B1477"/>
      <c r="C1477"/>
      <c r="D1477"/>
      <c r="E1477"/>
      <c r="F1477"/>
      <c r="G1477"/>
      <c r="H1477"/>
      <c r="I1477"/>
      <c r="J1477"/>
      <c r="K1477"/>
    </row>
    <row r="1478" spans="1:11" ht="12.75" x14ac:dyDescent="0.2">
      <c r="A1478"/>
      <c r="B1478"/>
      <c r="C1478"/>
      <c r="D1478"/>
      <c r="E1478"/>
      <c r="F1478"/>
      <c r="G1478"/>
      <c r="H1478"/>
      <c r="I1478"/>
      <c r="J1478"/>
      <c r="K1478"/>
    </row>
    <row r="1479" spans="1:11" ht="12.75" x14ac:dyDescent="0.2">
      <c r="A1479"/>
      <c r="B1479"/>
      <c r="C1479"/>
      <c r="D1479"/>
      <c r="E1479"/>
      <c r="F1479"/>
      <c r="G1479"/>
      <c r="H1479"/>
      <c r="I1479"/>
      <c r="J1479"/>
      <c r="K1479"/>
    </row>
    <row r="1480" spans="1:11" ht="12.75" x14ac:dyDescent="0.2">
      <c r="A1480"/>
      <c r="B1480"/>
      <c r="C1480"/>
      <c r="D1480"/>
      <c r="E1480"/>
      <c r="F1480"/>
      <c r="G1480"/>
      <c r="H1480"/>
      <c r="I1480"/>
      <c r="J1480"/>
      <c r="K1480"/>
    </row>
    <row r="1481" spans="1:11" ht="12.75" x14ac:dyDescent="0.2">
      <c r="A1481"/>
      <c r="B1481"/>
      <c r="C1481"/>
      <c r="D1481"/>
      <c r="E1481"/>
      <c r="F1481"/>
      <c r="G1481"/>
      <c r="H1481"/>
      <c r="I1481"/>
      <c r="J1481"/>
      <c r="K1481"/>
    </row>
    <row r="1482" spans="1:11" ht="12.75" x14ac:dyDescent="0.2">
      <c r="A1482"/>
      <c r="B1482"/>
      <c r="C1482"/>
      <c r="D1482"/>
      <c r="E1482"/>
      <c r="F1482"/>
      <c r="G1482"/>
      <c r="H1482"/>
      <c r="I1482"/>
      <c r="J1482"/>
      <c r="K1482"/>
    </row>
    <row r="1483" spans="1:11" ht="12.75" x14ac:dyDescent="0.2">
      <c r="A1483"/>
      <c r="B1483"/>
      <c r="C1483"/>
      <c r="D1483"/>
      <c r="E1483"/>
      <c r="F1483"/>
      <c r="G1483"/>
      <c r="H1483"/>
      <c r="I1483"/>
      <c r="J1483"/>
      <c r="K1483"/>
    </row>
    <row r="1484" spans="1:11" ht="12.75" x14ac:dyDescent="0.2">
      <c r="A1484"/>
      <c r="B1484"/>
      <c r="C1484"/>
      <c r="D1484"/>
      <c r="E1484"/>
      <c r="F1484"/>
      <c r="G1484"/>
      <c r="H1484"/>
      <c r="I1484"/>
      <c r="J1484"/>
      <c r="K1484"/>
    </row>
    <row r="1485" spans="1:11" ht="12.75" x14ac:dyDescent="0.2">
      <c r="A1485"/>
      <c r="B1485"/>
      <c r="C1485"/>
      <c r="D1485"/>
      <c r="E1485"/>
      <c r="F1485"/>
      <c r="G1485"/>
      <c r="H1485"/>
      <c r="I1485"/>
      <c r="J1485"/>
      <c r="K1485"/>
    </row>
    <row r="1486" spans="1:11" ht="12.75" x14ac:dyDescent="0.2">
      <c r="A1486"/>
      <c r="B1486"/>
      <c r="C1486"/>
      <c r="D1486"/>
      <c r="E1486"/>
      <c r="F1486"/>
      <c r="G1486"/>
      <c r="H1486"/>
      <c r="I1486"/>
      <c r="J1486"/>
      <c r="K1486"/>
    </row>
    <row r="1487" spans="1:11" ht="12.75" x14ac:dyDescent="0.2">
      <c r="A1487"/>
      <c r="B1487"/>
      <c r="C1487"/>
      <c r="D1487"/>
      <c r="E1487"/>
      <c r="F1487"/>
      <c r="G1487"/>
      <c r="H1487"/>
      <c r="I1487"/>
      <c r="J1487"/>
      <c r="K1487"/>
    </row>
    <row r="1488" spans="1:11" ht="12.75" x14ac:dyDescent="0.2">
      <c r="A1488"/>
      <c r="B1488"/>
      <c r="C1488"/>
      <c r="D1488"/>
      <c r="E1488"/>
      <c r="F1488"/>
      <c r="G1488"/>
      <c r="H1488"/>
      <c r="I1488"/>
      <c r="J1488"/>
      <c r="K1488"/>
    </row>
    <row r="1489" spans="1:11" ht="12.75" x14ac:dyDescent="0.2">
      <c r="A1489"/>
      <c r="B1489"/>
      <c r="C1489"/>
      <c r="D1489"/>
      <c r="E1489"/>
      <c r="F1489"/>
      <c r="G1489"/>
      <c r="H1489"/>
      <c r="I1489"/>
      <c r="J1489"/>
      <c r="K1489"/>
    </row>
    <row r="1490" spans="1:11" ht="12.75" x14ac:dyDescent="0.2">
      <c r="A1490"/>
      <c r="B1490"/>
      <c r="C1490"/>
      <c r="D1490"/>
      <c r="E1490"/>
      <c r="F1490"/>
      <c r="G1490"/>
      <c r="H1490"/>
      <c r="I1490"/>
      <c r="J1490"/>
      <c r="K1490"/>
    </row>
    <row r="1491" spans="1:11" ht="12.75" x14ac:dyDescent="0.2">
      <c r="A1491"/>
      <c r="B1491"/>
      <c r="C1491"/>
      <c r="D1491"/>
      <c r="E1491"/>
      <c r="F1491"/>
      <c r="G1491"/>
      <c r="H1491"/>
      <c r="I1491"/>
      <c r="J1491"/>
      <c r="K1491"/>
    </row>
    <row r="1492" spans="1:11" ht="12.75" x14ac:dyDescent="0.2">
      <c r="A1492"/>
      <c r="B1492"/>
      <c r="C1492"/>
      <c r="D1492"/>
      <c r="E1492"/>
      <c r="F1492"/>
      <c r="G1492"/>
      <c r="H1492"/>
      <c r="I1492"/>
      <c r="J1492"/>
      <c r="K1492"/>
    </row>
    <row r="1493" spans="1:11" ht="12.75" x14ac:dyDescent="0.2">
      <c r="A1493"/>
      <c r="B1493"/>
      <c r="C1493"/>
      <c r="D1493"/>
      <c r="E1493"/>
      <c r="F1493"/>
      <c r="G1493"/>
      <c r="H1493"/>
      <c r="I1493"/>
      <c r="J1493"/>
      <c r="K1493"/>
    </row>
    <row r="1494" spans="1:11" ht="12.75" x14ac:dyDescent="0.2">
      <c r="A1494"/>
      <c r="B1494"/>
      <c r="C1494"/>
      <c r="D1494"/>
      <c r="E1494"/>
      <c r="F1494"/>
      <c r="G1494"/>
      <c r="H1494"/>
      <c r="I1494"/>
      <c r="J1494"/>
      <c r="K1494"/>
    </row>
    <row r="1495" spans="1:11" ht="12.75" x14ac:dyDescent="0.2">
      <c r="A1495"/>
      <c r="B1495"/>
      <c r="C1495"/>
      <c r="D1495"/>
      <c r="E1495"/>
      <c r="F1495"/>
      <c r="G1495"/>
      <c r="H1495"/>
      <c r="I1495"/>
      <c r="J1495"/>
      <c r="K1495"/>
    </row>
    <row r="1496" spans="1:11" ht="12.75" x14ac:dyDescent="0.2">
      <c r="A1496"/>
      <c r="B1496"/>
      <c r="C1496"/>
      <c r="D1496"/>
      <c r="E1496"/>
      <c r="F1496"/>
      <c r="G1496"/>
      <c r="H1496"/>
      <c r="I1496"/>
      <c r="J1496"/>
      <c r="K1496"/>
    </row>
    <row r="1497" spans="1:11" ht="12.75" x14ac:dyDescent="0.2">
      <c r="A1497"/>
      <c r="B1497"/>
      <c r="C1497"/>
      <c r="D1497"/>
      <c r="E1497"/>
      <c r="F1497"/>
      <c r="G1497"/>
      <c r="H1497"/>
      <c r="I1497"/>
      <c r="J1497"/>
      <c r="K1497"/>
    </row>
    <row r="1498" spans="1:11" ht="12.75" x14ac:dyDescent="0.2">
      <c r="A1498"/>
      <c r="B1498"/>
      <c r="C1498"/>
      <c r="D1498"/>
      <c r="E1498"/>
      <c r="F1498"/>
      <c r="G1498"/>
      <c r="H1498"/>
      <c r="I1498"/>
      <c r="J1498"/>
      <c r="K1498"/>
    </row>
    <row r="1499" spans="1:11" ht="12.75" x14ac:dyDescent="0.2">
      <c r="A1499"/>
      <c r="B1499"/>
      <c r="C1499"/>
      <c r="D1499"/>
      <c r="E1499"/>
      <c r="F1499"/>
      <c r="G1499"/>
      <c r="H1499"/>
      <c r="I1499"/>
      <c r="J1499"/>
      <c r="K1499"/>
    </row>
    <row r="1500" spans="1:11" ht="12.75" x14ac:dyDescent="0.2">
      <c r="A1500"/>
      <c r="B1500"/>
      <c r="C1500"/>
      <c r="D1500"/>
      <c r="E1500"/>
      <c r="F1500"/>
      <c r="G1500"/>
      <c r="H1500"/>
      <c r="I1500"/>
      <c r="J1500"/>
      <c r="K1500"/>
    </row>
    <row r="1501" spans="1:11" ht="12.75" x14ac:dyDescent="0.2">
      <c r="A1501"/>
      <c r="B1501"/>
      <c r="C1501"/>
      <c r="D1501"/>
      <c r="E1501"/>
      <c r="F1501"/>
      <c r="G1501"/>
      <c r="H1501"/>
      <c r="I1501"/>
      <c r="J1501"/>
      <c r="K1501"/>
    </row>
    <row r="1502" spans="1:11" ht="12.75" x14ac:dyDescent="0.2">
      <c r="A1502"/>
      <c r="B1502"/>
      <c r="C1502"/>
      <c r="D1502"/>
      <c r="E1502"/>
      <c r="F1502"/>
      <c r="G1502"/>
      <c r="H1502"/>
      <c r="I1502"/>
      <c r="J1502"/>
      <c r="K1502"/>
    </row>
    <row r="1503" spans="1:11" ht="12.75" x14ac:dyDescent="0.2">
      <c r="A1503"/>
      <c r="B1503"/>
      <c r="C1503"/>
      <c r="D1503"/>
      <c r="E1503"/>
      <c r="F1503"/>
      <c r="G1503"/>
      <c r="H1503"/>
      <c r="I1503"/>
      <c r="J1503"/>
      <c r="K1503"/>
    </row>
    <row r="1504" spans="1:11" ht="12.75" x14ac:dyDescent="0.2">
      <c r="A1504"/>
      <c r="B1504"/>
      <c r="C1504"/>
      <c r="D1504"/>
      <c r="E1504"/>
      <c r="F1504"/>
      <c r="G1504"/>
      <c r="H1504"/>
      <c r="I1504"/>
      <c r="J1504"/>
      <c r="K1504"/>
    </row>
    <row r="1505" spans="1:11" ht="12.75" x14ac:dyDescent="0.2">
      <c r="A1505"/>
      <c r="B1505"/>
      <c r="C1505"/>
      <c r="D1505"/>
      <c r="E1505"/>
      <c r="F1505"/>
      <c r="G1505"/>
      <c r="H1505"/>
      <c r="I1505"/>
      <c r="J1505"/>
      <c r="K1505"/>
    </row>
    <row r="1506" spans="1:11" ht="12.75" x14ac:dyDescent="0.2">
      <c r="A1506"/>
      <c r="B1506"/>
      <c r="C1506"/>
      <c r="D1506"/>
      <c r="E1506"/>
      <c r="F1506"/>
      <c r="G1506"/>
      <c r="H1506"/>
      <c r="I1506"/>
      <c r="J1506"/>
      <c r="K1506"/>
    </row>
    <row r="1507" spans="1:11" ht="12.75" x14ac:dyDescent="0.2">
      <c r="A1507"/>
      <c r="B1507"/>
      <c r="C1507"/>
      <c r="D1507"/>
      <c r="E1507"/>
      <c r="F1507"/>
      <c r="G1507"/>
      <c r="H1507"/>
      <c r="I1507"/>
      <c r="J1507"/>
      <c r="K1507"/>
    </row>
    <row r="1508" spans="1:11" ht="12.75" x14ac:dyDescent="0.2">
      <c r="A1508"/>
      <c r="B1508"/>
      <c r="C1508"/>
      <c r="D1508"/>
      <c r="E1508"/>
      <c r="F1508"/>
      <c r="G1508"/>
      <c r="H1508"/>
      <c r="I1508"/>
      <c r="J1508"/>
      <c r="K1508"/>
    </row>
    <row r="1509" spans="1:11" ht="12.75" x14ac:dyDescent="0.2">
      <c r="A1509"/>
      <c r="B1509"/>
      <c r="C1509"/>
      <c r="D1509"/>
      <c r="E1509"/>
      <c r="F1509"/>
      <c r="G1509"/>
      <c r="H1509"/>
      <c r="I1509"/>
      <c r="J1509"/>
      <c r="K1509"/>
    </row>
    <row r="1510" spans="1:11" ht="12.75" x14ac:dyDescent="0.2">
      <c r="A1510"/>
      <c r="B1510"/>
      <c r="C1510"/>
      <c r="D1510"/>
      <c r="E1510"/>
      <c r="F1510"/>
      <c r="G1510"/>
      <c r="H1510"/>
      <c r="I1510"/>
      <c r="J1510"/>
      <c r="K1510"/>
    </row>
    <row r="1511" spans="1:11" ht="12.75" x14ac:dyDescent="0.2">
      <c r="A1511"/>
      <c r="B1511"/>
      <c r="C1511"/>
      <c r="D1511"/>
      <c r="E1511"/>
      <c r="F1511"/>
      <c r="G1511"/>
      <c r="H1511"/>
      <c r="I1511"/>
      <c r="J1511"/>
      <c r="K1511"/>
    </row>
    <row r="1512" spans="1:11" ht="12.75" x14ac:dyDescent="0.2">
      <c r="A1512"/>
      <c r="B1512"/>
      <c r="C1512"/>
      <c r="D1512"/>
      <c r="E1512"/>
      <c r="F1512"/>
      <c r="G1512"/>
      <c r="H1512"/>
      <c r="I1512"/>
      <c r="J1512"/>
      <c r="K1512"/>
    </row>
    <row r="1513" spans="1:11" ht="12.75" x14ac:dyDescent="0.2">
      <c r="A1513"/>
      <c r="B1513"/>
      <c r="C1513"/>
      <c r="D1513"/>
      <c r="E1513"/>
      <c r="F1513"/>
      <c r="G1513"/>
      <c r="H1513"/>
      <c r="I1513"/>
      <c r="J1513"/>
      <c r="K1513"/>
    </row>
    <row r="1514" spans="1:11" ht="12.75" x14ac:dyDescent="0.2">
      <c r="A1514"/>
      <c r="B1514"/>
      <c r="C1514"/>
      <c r="D1514"/>
      <c r="E1514"/>
      <c r="F1514"/>
      <c r="G1514"/>
      <c r="H1514"/>
      <c r="I1514"/>
      <c r="J1514"/>
      <c r="K1514"/>
    </row>
    <row r="1515" spans="1:11" ht="12.75" x14ac:dyDescent="0.2">
      <c r="A1515"/>
      <c r="B1515"/>
      <c r="C1515"/>
      <c r="D1515"/>
      <c r="E1515"/>
      <c r="F1515"/>
      <c r="G1515"/>
      <c r="H1515"/>
      <c r="I1515"/>
      <c r="J1515"/>
      <c r="K1515"/>
    </row>
    <row r="1516" spans="1:11" ht="12.75" x14ac:dyDescent="0.2">
      <c r="A1516"/>
      <c r="B1516"/>
      <c r="C1516"/>
      <c r="D1516"/>
      <c r="E1516"/>
      <c r="F1516"/>
      <c r="G1516"/>
      <c r="H1516"/>
      <c r="I1516"/>
      <c r="J1516"/>
      <c r="K1516"/>
    </row>
    <row r="1517" spans="1:11" ht="12.75" x14ac:dyDescent="0.2">
      <c r="A1517"/>
      <c r="B1517"/>
      <c r="C1517"/>
      <c r="D1517"/>
      <c r="E1517"/>
      <c r="F1517"/>
      <c r="G1517"/>
      <c r="H1517"/>
      <c r="I1517"/>
      <c r="J1517"/>
      <c r="K1517"/>
    </row>
    <row r="1518" spans="1:11" ht="12.75" x14ac:dyDescent="0.2">
      <c r="A1518"/>
      <c r="B1518"/>
      <c r="C1518"/>
      <c r="D1518"/>
      <c r="E1518"/>
      <c r="F1518"/>
      <c r="G1518"/>
      <c r="H1518"/>
      <c r="I1518"/>
      <c r="J1518"/>
      <c r="K1518"/>
    </row>
    <row r="1519" spans="1:11" ht="12.75" x14ac:dyDescent="0.2">
      <c r="A1519"/>
      <c r="B1519"/>
      <c r="C1519"/>
      <c r="D1519"/>
      <c r="E1519"/>
      <c r="F1519"/>
      <c r="G1519"/>
      <c r="H1519"/>
      <c r="I1519"/>
      <c r="J1519"/>
      <c r="K1519"/>
    </row>
    <row r="1520" spans="1:11" ht="12.75" x14ac:dyDescent="0.2">
      <c r="A1520"/>
      <c r="B1520"/>
      <c r="C1520"/>
      <c r="D1520"/>
      <c r="E1520"/>
      <c r="F1520"/>
      <c r="G1520"/>
      <c r="H1520"/>
      <c r="I1520"/>
      <c r="J1520"/>
      <c r="K1520"/>
    </row>
    <row r="1521" spans="1:11" ht="12.75" x14ac:dyDescent="0.2">
      <c r="A1521"/>
      <c r="B1521"/>
      <c r="C1521"/>
      <c r="D1521"/>
      <c r="E1521"/>
      <c r="F1521"/>
      <c r="G1521"/>
      <c r="H1521"/>
      <c r="I1521"/>
      <c r="J1521"/>
      <c r="K1521"/>
    </row>
    <row r="1522" spans="1:11" ht="12.75" x14ac:dyDescent="0.2">
      <c r="A1522"/>
      <c r="B1522"/>
      <c r="C1522"/>
      <c r="D1522"/>
      <c r="E1522"/>
      <c r="F1522"/>
      <c r="G1522"/>
      <c r="H1522"/>
      <c r="I1522"/>
      <c r="J1522"/>
      <c r="K1522"/>
    </row>
    <row r="1523" spans="1:11" ht="12.75" x14ac:dyDescent="0.2">
      <c r="A1523"/>
      <c r="B1523"/>
      <c r="C1523"/>
      <c r="D1523"/>
      <c r="E1523"/>
      <c r="F1523"/>
      <c r="G1523"/>
      <c r="H1523"/>
      <c r="I1523"/>
      <c r="J1523"/>
      <c r="K1523"/>
    </row>
    <row r="1524" spans="1:11" ht="12.75" x14ac:dyDescent="0.2">
      <c r="A1524"/>
      <c r="B1524"/>
      <c r="C1524"/>
      <c r="D1524"/>
      <c r="E1524"/>
      <c r="F1524"/>
      <c r="G1524"/>
      <c r="H1524"/>
      <c r="I1524"/>
      <c r="J1524"/>
      <c r="K1524"/>
    </row>
    <row r="1525" spans="1:11" ht="12.75" x14ac:dyDescent="0.2">
      <c r="A1525"/>
      <c r="B1525"/>
      <c r="C1525"/>
      <c r="D1525"/>
      <c r="E1525"/>
      <c r="F1525"/>
      <c r="G1525"/>
      <c r="H1525"/>
      <c r="I1525"/>
      <c r="J1525"/>
      <c r="K1525"/>
    </row>
    <row r="1526" spans="1:11" ht="12.75" x14ac:dyDescent="0.2">
      <c r="A1526"/>
      <c r="B1526"/>
      <c r="C1526"/>
      <c r="D1526"/>
      <c r="E1526"/>
      <c r="F1526"/>
      <c r="G1526"/>
      <c r="H1526"/>
      <c r="I1526"/>
      <c r="J1526"/>
      <c r="K1526"/>
    </row>
    <row r="1527" spans="1:11" ht="12.75" x14ac:dyDescent="0.2">
      <c r="A1527"/>
      <c r="B1527"/>
      <c r="C1527"/>
      <c r="D1527"/>
      <c r="E1527"/>
      <c r="F1527"/>
      <c r="G1527"/>
      <c r="H1527"/>
      <c r="I1527"/>
      <c r="J1527"/>
      <c r="K1527"/>
    </row>
    <row r="1528" spans="1:11" ht="12.75" x14ac:dyDescent="0.2">
      <c r="A1528"/>
      <c r="B1528"/>
      <c r="C1528"/>
      <c r="D1528"/>
      <c r="E1528"/>
      <c r="F1528"/>
      <c r="G1528"/>
      <c r="H1528"/>
      <c r="I1528"/>
      <c r="J1528"/>
      <c r="K1528"/>
    </row>
    <row r="1529" spans="1:11" ht="12.75" x14ac:dyDescent="0.2">
      <c r="A1529"/>
      <c r="B1529"/>
      <c r="C1529"/>
      <c r="D1529"/>
      <c r="E1529"/>
      <c r="F1529"/>
      <c r="G1529"/>
      <c r="H1529"/>
      <c r="I1529"/>
      <c r="J1529"/>
      <c r="K1529"/>
    </row>
    <row r="1530" spans="1:11" ht="12.75" x14ac:dyDescent="0.2">
      <c r="A1530"/>
      <c r="B1530"/>
      <c r="C1530"/>
      <c r="D1530"/>
      <c r="E1530"/>
      <c r="F1530"/>
      <c r="G1530"/>
      <c r="H1530"/>
      <c r="I1530"/>
      <c r="J1530"/>
      <c r="K1530"/>
    </row>
    <row r="1531" spans="1:11" ht="12.75" x14ac:dyDescent="0.2">
      <c r="A1531"/>
      <c r="B1531"/>
      <c r="C1531"/>
      <c r="D1531"/>
      <c r="E1531"/>
      <c r="F1531"/>
      <c r="G1531"/>
      <c r="H1531"/>
      <c r="I1531"/>
      <c r="J1531"/>
      <c r="K1531"/>
    </row>
    <row r="1532" spans="1:11" ht="12.75" x14ac:dyDescent="0.2">
      <c r="A1532"/>
      <c r="B1532"/>
      <c r="C1532"/>
      <c r="D1532"/>
      <c r="E1532"/>
      <c r="F1532"/>
      <c r="G1532"/>
      <c r="H1532"/>
      <c r="I1532"/>
      <c r="J1532"/>
      <c r="K1532"/>
    </row>
    <row r="1533" spans="1:11" ht="12.75" x14ac:dyDescent="0.2">
      <c r="A1533"/>
      <c r="B1533"/>
      <c r="C1533"/>
      <c r="D1533"/>
      <c r="E1533"/>
      <c r="F1533"/>
      <c r="G1533"/>
      <c r="H1533"/>
      <c r="I1533"/>
      <c r="J1533"/>
      <c r="K1533"/>
    </row>
    <row r="1534" spans="1:11" ht="12.75" x14ac:dyDescent="0.2">
      <c r="A1534"/>
      <c r="B1534"/>
      <c r="C1534"/>
      <c r="D1534"/>
      <c r="E1534"/>
      <c r="F1534"/>
      <c r="G1534"/>
      <c r="H1534"/>
      <c r="I1534"/>
      <c r="J1534"/>
      <c r="K1534"/>
    </row>
    <row r="1535" spans="1:11" ht="12.75" x14ac:dyDescent="0.2">
      <c r="A1535"/>
      <c r="B1535"/>
      <c r="C1535"/>
      <c r="D1535"/>
      <c r="E1535"/>
      <c r="F1535"/>
      <c r="G1535"/>
      <c r="H1535"/>
      <c r="I1535"/>
      <c r="J1535"/>
      <c r="K1535"/>
    </row>
    <row r="1536" spans="1:11" ht="12.75" x14ac:dyDescent="0.2">
      <c r="A1536"/>
      <c r="B1536"/>
      <c r="C1536"/>
      <c r="D1536"/>
      <c r="E1536"/>
      <c r="F1536"/>
      <c r="G1536"/>
      <c r="H1536"/>
      <c r="I1536"/>
      <c r="J1536"/>
      <c r="K1536"/>
    </row>
    <row r="1537" spans="1:11" ht="12.75" x14ac:dyDescent="0.2">
      <c r="A1537"/>
      <c r="B1537"/>
      <c r="C1537"/>
      <c r="D1537"/>
      <c r="E1537"/>
      <c r="F1537"/>
      <c r="G1537"/>
      <c r="H1537"/>
      <c r="I1537"/>
      <c r="J1537"/>
      <c r="K1537"/>
    </row>
    <row r="1538" spans="1:11" ht="12.75" x14ac:dyDescent="0.2">
      <c r="A1538"/>
      <c r="B1538"/>
      <c r="C1538"/>
      <c r="D1538"/>
      <c r="E1538"/>
      <c r="F1538"/>
      <c r="G1538"/>
      <c r="H1538"/>
      <c r="I1538"/>
      <c r="J1538"/>
      <c r="K1538"/>
    </row>
    <row r="1539" spans="1:11" ht="12.75" x14ac:dyDescent="0.2">
      <c r="A1539"/>
      <c r="B1539"/>
      <c r="C1539"/>
      <c r="D1539"/>
      <c r="E1539"/>
      <c r="F1539"/>
      <c r="G1539"/>
      <c r="H1539"/>
      <c r="I1539"/>
      <c r="J1539"/>
      <c r="K1539"/>
    </row>
    <row r="1540" spans="1:11" ht="12.75" x14ac:dyDescent="0.2">
      <c r="A1540"/>
      <c r="B1540"/>
      <c r="C1540"/>
      <c r="D1540"/>
      <c r="E1540"/>
      <c r="F1540"/>
      <c r="G1540"/>
      <c r="H1540"/>
      <c r="I1540"/>
      <c r="J1540"/>
      <c r="K1540"/>
    </row>
    <row r="1541" spans="1:11" ht="12.75" x14ac:dyDescent="0.2">
      <c r="A1541"/>
      <c r="B1541"/>
      <c r="C1541"/>
      <c r="D1541"/>
      <c r="E1541"/>
      <c r="F1541"/>
      <c r="G1541"/>
      <c r="H1541"/>
      <c r="I1541"/>
      <c r="J1541"/>
      <c r="K1541"/>
    </row>
    <row r="1542" spans="1:11" ht="12.75" x14ac:dyDescent="0.2">
      <c r="A1542"/>
      <c r="B1542"/>
      <c r="C1542"/>
      <c r="D1542"/>
      <c r="E1542"/>
      <c r="F1542"/>
      <c r="G1542"/>
      <c r="H1542"/>
      <c r="I1542"/>
      <c r="J1542"/>
      <c r="K1542"/>
    </row>
    <row r="1543" spans="1:11" ht="12.75" x14ac:dyDescent="0.2">
      <c r="A1543"/>
      <c r="B1543"/>
      <c r="C1543"/>
      <c r="D1543"/>
      <c r="E1543"/>
      <c r="F1543"/>
      <c r="G1543"/>
      <c r="H1543"/>
      <c r="I1543"/>
      <c r="J1543"/>
      <c r="K1543"/>
    </row>
    <row r="1544" spans="1:11" ht="12.75" x14ac:dyDescent="0.2">
      <c r="A1544"/>
      <c r="B1544"/>
      <c r="C1544"/>
      <c r="D1544"/>
      <c r="E1544"/>
      <c r="F1544"/>
      <c r="G1544"/>
      <c r="H1544"/>
      <c r="I1544"/>
      <c r="J1544"/>
      <c r="K1544"/>
    </row>
    <row r="1545" spans="1:11" ht="12.75" x14ac:dyDescent="0.2">
      <c r="A1545"/>
      <c r="B1545"/>
      <c r="C1545"/>
      <c r="D1545"/>
      <c r="E1545"/>
      <c r="F1545"/>
      <c r="G1545"/>
      <c r="H1545"/>
      <c r="I1545"/>
      <c r="J1545"/>
      <c r="K1545"/>
    </row>
    <row r="1546" spans="1:11" ht="12.75" x14ac:dyDescent="0.2">
      <c r="A1546"/>
      <c r="B1546"/>
      <c r="C1546"/>
      <c r="D1546"/>
      <c r="E1546"/>
      <c r="F1546"/>
      <c r="G1546"/>
      <c r="H1546"/>
      <c r="I1546"/>
      <c r="J1546"/>
      <c r="K1546"/>
    </row>
    <row r="1547" spans="1:11" ht="12.75" x14ac:dyDescent="0.2">
      <c r="A1547"/>
      <c r="B1547"/>
      <c r="C1547"/>
      <c r="D1547"/>
      <c r="E1547"/>
      <c r="F1547"/>
      <c r="G1547"/>
      <c r="H1547"/>
      <c r="I1547"/>
      <c r="J1547"/>
      <c r="K1547"/>
    </row>
    <row r="1548" spans="1:11" ht="12.75" x14ac:dyDescent="0.2">
      <c r="A1548"/>
      <c r="B1548"/>
      <c r="C1548"/>
      <c r="D1548"/>
      <c r="E1548"/>
      <c r="F1548"/>
      <c r="G1548"/>
      <c r="H1548"/>
      <c r="I1548"/>
      <c r="J1548"/>
      <c r="K1548"/>
    </row>
    <row r="1549" spans="1:11" ht="12.75" x14ac:dyDescent="0.2">
      <c r="A1549"/>
      <c r="B1549"/>
      <c r="C1549"/>
      <c r="D1549"/>
      <c r="E1549"/>
      <c r="F1549"/>
      <c r="G1549"/>
      <c r="H1549"/>
      <c r="I1549"/>
      <c r="J1549"/>
      <c r="K1549"/>
    </row>
    <row r="1550" spans="1:11" ht="12.75" x14ac:dyDescent="0.2">
      <c r="A1550"/>
      <c r="B1550"/>
      <c r="C1550"/>
      <c r="D1550"/>
      <c r="E1550"/>
      <c r="F1550"/>
      <c r="G1550"/>
      <c r="H1550"/>
      <c r="I1550"/>
      <c r="J1550"/>
      <c r="K1550"/>
    </row>
    <row r="1551" spans="1:11" ht="12.75" x14ac:dyDescent="0.2">
      <c r="A1551"/>
      <c r="B1551"/>
      <c r="C1551"/>
      <c r="D1551"/>
      <c r="E1551"/>
      <c r="F1551"/>
      <c r="G1551"/>
      <c r="H1551"/>
      <c r="I1551"/>
      <c r="J1551"/>
      <c r="K1551"/>
    </row>
    <row r="1552" spans="1:11" ht="12.75" x14ac:dyDescent="0.2">
      <c r="A1552"/>
      <c r="B1552"/>
      <c r="C1552"/>
      <c r="D1552"/>
      <c r="E1552"/>
      <c r="F1552"/>
      <c r="G1552"/>
      <c r="H1552"/>
      <c r="I1552"/>
      <c r="J1552"/>
      <c r="K1552"/>
    </row>
    <row r="1553" spans="1:11" ht="12.75" x14ac:dyDescent="0.2">
      <c r="A1553"/>
      <c r="B1553"/>
      <c r="C1553"/>
      <c r="D1553"/>
      <c r="E1553"/>
      <c r="F1553"/>
      <c r="G1553"/>
      <c r="H1553"/>
      <c r="I1553"/>
      <c r="J1553"/>
      <c r="K1553"/>
    </row>
    <row r="1554" spans="1:11" ht="12.75" x14ac:dyDescent="0.2">
      <c r="A1554"/>
      <c r="B1554"/>
      <c r="C1554"/>
      <c r="D1554"/>
      <c r="E1554"/>
      <c r="F1554"/>
      <c r="G1554"/>
      <c r="H1554"/>
      <c r="I1554"/>
      <c r="J1554"/>
      <c r="K1554"/>
    </row>
    <row r="1555" spans="1:11" ht="12.75" x14ac:dyDescent="0.2">
      <c r="A1555"/>
      <c r="B1555"/>
      <c r="C1555"/>
      <c r="D1555"/>
      <c r="E1555"/>
      <c r="F1555"/>
      <c r="G1555"/>
      <c r="H1555"/>
      <c r="I1555"/>
      <c r="J1555"/>
      <c r="K1555"/>
    </row>
    <row r="1556" spans="1:11" ht="12.75" x14ac:dyDescent="0.2">
      <c r="A1556"/>
      <c r="B1556"/>
      <c r="C1556"/>
      <c r="D1556"/>
      <c r="E1556"/>
      <c r="F1556"/>
      <c r="G1556"/>
      <c r="H1556"/>
      <c r="I1556"/>
      <c r="J1556"/>
      <c r="K1556"/>
    </row>
    <row r="1557" spans="1:11" ht="12.75" x14ac:dyDescent="0.2">
      <c r="A1557"/>
      <c r="B1557"/>
      <c r="C1557"/>
      <c r="D1557"/>
      <c r="E1557"/>
      <c r="F1557"/>
      <c r="G1557"/>
      <c r="H1557"/>
      <c r="I1557"/>
      <c r="J1557"/>
      <c r="K1557"/>
    </row>
    <row r="1558" spans="1:11" ht="12.75" x14ac:dyDescent="0.2">
      <c r="A1558"/>
      <c r="B1558"/>
      <c r="C1558"/>
      <c r="D1558"/>
      <c r="E1558"/>
      <c r="F1558"/>
      <c r="G1558"/>
      <c r="H1558"/>
      <c r="I1558"/>
      <c r="J1558"/>
      <c r="K1558"/>
    </row>
    <row r="1559" spans="1:11" ht="12.75" x14ac:dyDescent="0.2">
      <c r="A1559"/>
      <c r="B1559"/>
      <c r="C1559"/>
      <c r="D1559"/>
      <c r="E1559"/>
      <c r="F1559"/>
      <c r="G1559"/>
      <c r="H1559"/>
      <c r="I1559"/>
      <c r="J1559"/>
      <c r="K1559"/>
    </row>
    <row r="1560" spans="1:11" ht="12.75" x14ac:dyDescent="0.2">
      <c r="A1560"/>
      <c r="B1560"/>
      <c r="C1560"/>
      <c r="D1560"/>
      <c r="E1560"/>
      <c r="F1560"/>
      <c r="G1560"/>
      <c r="H1560"/>
      <c r="I1560"/>
      <c r="J1560"/>
      <c r="K1560"/>
    </row>
    <row r="1561" spans="1:11" ht="12.75" x14ac:dyDescent="0.2">
      <c r="A1561"/>
      <c r="B1561"/>
      <c r="C1561"/>
      <c r="D1561"/>
      <c r="E1561"/>
      <c r="F1561"/>
      <c r="G1561"/>
      <c r="H1561"/>
      <c r="I1561"/>
      <c r="J1561"/>
      <c r="K1561"/>
    </row>
    <row r="1562" spans="1:11" ht="12.75" x14ac:dyDescent="0.2">
      <c r="A1562"/>
      <c r="B1562"/>
      <c r="C1562"/>
      <c r="D1562"/>
      <c r="E1562"/>
      <c r="F1562"/>
      <c r="G1562"/>
      <c r="H1562"/>
      <c r="I1562"/>
      <c r="J1562"/>
      <c r="K1562"/>
    </row>
    <row r="1563" spans="1:11" ht="12.75" x14ac:dyDescent="0.2">
      <c r="A1563"/>
      <c r="B1563"/>
      <c r="C1563"/>
      <c r="D1563"/>
      <c r="E1563"/>
      <c r="F1563"/>
      <c r="G1563"/>
      <c r="H1563"/>
      <c r="I1563"/>
      <c r="J1563"/>
      <c r="K1563"/>
    </row>
    <row r="1564" spans="1:11" ht="12.75" x14ac:dyDescent="0.2">
      <c r="A1564"/>
      <c r="B1564"/>
      <c r="C1564"/>
      <c r="D1564"/>
      <c r="E1564"/>
      <c r="F1564"/>
      <c r="G1564"/>
      <c r="H1564"/>
      <c r="I1564"/>
      <c r="J1564"/>
      <c r="K1564"/>
    </row>
    <row r="1565" spans="1:11" ht="12.75" x14ac:dyDescent="0.2">
      <c r="A1565"/>
      <c r="B1565"/>
      <c r="C1565"/>
      <c r="D1565"/>
      <c r="E1565"/>
      <c r="F1565"/>
      <c r="G1565"/>
      <c r="H1565"/>
      <c r="I1565"/>
      <c r="J1565"/>
      <c r="K1565"/>
    </row>
    <row r="1566" spans="1:11" ht="12.75" x14ac:dyDescent="0.2">
      <c r="A1566"/>
      <c r="B1566"/>
      <c r="C1566"/>
      <c r="D1566"/>
      <c r="E1566"/>
      <c r="F1566"/>
      <c r="G1566"/>
      <c r="H1566"/>
      <c r="I1566"/>
      <c r="J1566"/>
      <c r="K1566"/>
    </row>
    <row r="1567" spans="1:11" ht="12.75" x14ac:dyDescent="0.2">
      <c r="A1567"/>
      <c r="B1567"/>
      <c r="C1567"/>
      <c r="D1567"/>
      <c r="E1567"/>
      <c r="F1567"/>
      <c r="G1567"/>
      <c r="H1567"/>
      <c r="I1567"/>
      <c r="J1567"/>
      <c r="K1567"/>
    </row>
    <row r="1568" spans="1:11" ht="12.75" x14ac:dyDescent="0.2">
      <c r="A1568"/>
      <c r="B1568"/>
      <c r="C1568"/>
      <c r="D1568"/>
      <c r="E1568"/>
      <c r="F1568"/>
      <c r="G1568"/>
      <c r="H1568"/>
      <c r="I1568"/>
      <c r="J1568"/>
      <c r="K1568"/>
    </row>
    <row r="1569" spans="1:11" ht="12.75" x14ac:dyDescent="0.2">
      <c r="A1569"/>
      <c r="B1569"/>
      <c r="C1569"/>
      <c r="D1569"/>
      <c r="E1569"/>
      <c r="F1569"/>
      <c r="G1569"/>
      <c r="H1569"/>
      <c r="I1569"/>
      <c r="J1569"/>
      <c r="K1569"/>
    </row>
    <row r="1570" spans="1:11" ht="12.75" x14ac:dyDescent="0.2">
      <c r="A1570"/>
      <c r="B1570"/>
      <c r="C1570"/>
      <c r="D1570"/>
      <c r="E1570"/>
      <c r="F1570"/>
      <c r="G1570"/>
      <c r="H1570"/>
      <c r="I1570"/>
      <c r="J1570"/>
      <c r="K1570"/>
    </row>
    <row r="1571" spans="1:11" ht="12.75" x14ac:dyDescent="0.2">
      <c r="A1571"/>
      <c r="B1571"/>
      <c r="C1571"/>
      <c r="D1571"/>
      <c r="E1571"/>
      <c r="F1571"/>
      <c r="G1571"/>
      <c r="H1571"/>
      <c r="I1571"/>
      <c r="J1571"/>
      <c r="K1571"/>
    </row>
    <row r="1572" spans="1:11" ht="12.75" x14ac:dyDescent="0.2">
      <c r="A1572"/>
      <c r="B1572"/>
      <c r="C1572"/>
      <c r="D1572"/>
      <c r="E1572"/>
      <c r="F1572"/>
      <c r="G1572"/>
      <c r="H1572"/>
      <c r="I1572"/>
      <c r="J1572"/>
      <c r="K1572"/>
    </row>
    <row r="1573" spans="1:11" ht="12.75" x14ac:dyDescent="0.2">
      <c r="A1573"/>
      <c r="B1573"/>
      <c r="C1573"/>
      <c r="D1573"/>
      <c r="E1573"/>
      <c r="F1573"/>
      <c r="G1573"/>
      <c r="H1573"/>
      <c r="I1573"/>
      <c r="J1573"/>
      <c r="K1573"/>
    </row>
    <row r="1574" spans="1:11" ht="12.75" x14ac:dyDescent="0.2">
      <c r="A1574"/>
      <c r="B1574"/>
      <c r="C1574"/>
      <c r="D1574"/>
      <c r="E1574"/>
      <c r="F1574"/>
      <c r="G1574"/>
      <c r="H1574"/>
      <c r="I1574"/>
      <c r="J1574"/>
      <c r="K1574"/>
    </row>
    <row r="1575" spans="1:11" ht="12.75" x14ac:dyDescent="0.2">
      <c r="A1575"/>
      <c r="B1575"/>
      <c r="C1575"/>
      <c r="D1575"/>
      <c r="E1575"/>
      <c r="F1575"/>
      <c r="G1575"/>
      <c r="H1575"/>
      <c r="I1575"/>
      <c r="J1575"/>
      <c r="K1575"/>
    </row>
    <row r="1576" spans="1:11" ht="12.75" x14ac:dyDescent="0.2">
      <c r="A1576"/>
      <c r="B1576"/>
      <c r="C1576"/>
      <c r="D1576"/>
      <c r="E1576"/>
      <c r="F1576"/>
      <c r="G1576"/>
      <c r="H1576"/>
      <c r="I1576"/>
      <c r="J1576"/>
      <c r="K1576"/>
    </row>
    <row r="1577" spans="1:11" ht="12.75" x14ac:dyDescent="0.2">
      <c r="A1577"/>
      <c r="B1577"/>
      <c r="C1577"/>
      <c r="D1577"/>
      <c r="E1577"/>
      <c r="F1577"/>
      <c r="G1577"/>
      <c r="H1577"/>
      <c r="I1577"/>
      <c r="J1577"/>
      <c r="K1577"/>
    </row>
    <row r="1578" spans="1:11" ht="12.75" x14ac:dyDescent="0.2">
      <c r="A1578"/>
      <c r="B1578"/>
      <c r="C1578"/>
      <c r="D1578"/>
      <c r="E1578"/>
      <c r="F1578"/>
      <c r="G1578"/>
      <c r="H1578"/>
      <c r="I1578"/>
      <c r="J1578"/>
      <c r="K1578"/>
    </row>
    <row r="1579" spans="1:11" ht="12.75" x14ac:dyDescent="0.2">
      <c r="A1579"/>
      <c r="B1579"/>
      <c r="C1579"/>
      <c r="D1579"/>
      <c r="E1579"/>
      <c r="F1579"/>
      <c r="G1579"/>
      <c r="H1579"/>
      <c r="I1579"/>
      <c r="J1579"/>
      <c r="K1579"/>
    </row>
    <row r="1580" spans="1:11" ht="12.75" x14ac:dyDescent="0.2">
      <c r="A1580"/>
      <c r="B1580"/>
      <c r="C1580"/>
      <c r="D1580"/>
      <c r="E1580"/>
      <c r="F1580"/>
      <c r="G1580"/>
      <c r="H1580"/>
      <c r="I1580"/>
      <c r="J1580"/>
      <c r="K1580"/>
    </row>
    <row r="1581" spans="1:11" ht="12.75" x14ac:dyDescent="0.2">
      <c r="A1581"/>
      <c r="B1581"/>
      <c r="C1581"/>
      <c r="D1581"/>
      <c r="E1581"/>
      <c r="F1581"/>
      <c r="G1581"/>
      <c r="H1581"/>
      <c r="I1581"/>
      <c r="J1581"/>
      <c r="K1581"/>
    </row>
    <row r="1582" spans="1:11" ht="12.75" x14ac:dyDescent="0.2">
      <c r="A1582"/>
      <c r="B1582"/>
      <c r="C1582"/>
      <c r="D1582"/>
      <c r="E1582"/>
      <c r="F1582"/>
      <c r="G1582"/>
      <c r="H1582"/>
      <c r="I1582"/>
      <c r="J1582"/>
      <c r="K1582"/>
    </row>
    <row r="1583" spans="1:11" ht="12.75" x14ac:dyDescent="0.2">
      <c r="A1583"/>
      <c r="B1583"/>
      <c r="C1583"/>
      <c r="D1583"/>
      <c r="E1583"/>
      <c r="F1583"/>
      <c r="G1583"/>
      <c r="H1583"/>
      <c r="I1583"/>
      <c r="J1583"/>
      <c r="K1583"/>
    </row>
    <row r="1584" spans="1:11" ht="12.75" x14ac:dyDescent="0.2">
      <c r="A1584"/>
      <c r="B1584"/>
      <c r="C1584"/>
      <c r="D1584"/>
      <c r="E1584"/>
      <c r="F1584"/>
      <c r="G1584"/>
      <c r="H1584"/>
      <c r="I1584"/>
      <c r="J1584"/>
      <c r="K1584"/>
    </row>
    <row r="1585" spans="1:11" ht="12.75" x14ac:dyDescent="0.2">
      <c r="A1585"/>
      <c r="B1585"/>
      <c r="C1585"/>
      <c r="D1585"/>
      <c r="E1585"/>
      <c r="F1585"/>
      <c r="G1585"/>
      <c r="H1585"/>
      <c r="I1585"/>
      <c r="J1585"/>
      <c r="K1585"/>
    </row>
    <row r="1586" spans="1:11" ht="12.75" x14ac:dyDescent="0.2">
      <c r="A1586"/>
      <c r="B1586"/>
      <c r="C1586"/>
      <c r="D1586"/>
      <c r="E1586"/>
      <c r="F1586"/>
      <c r="G1586"/>
      <c r="H1586"/>
      <c r="I1586"/>
      <c r="J1586"/>
      <c r="K1586"/>
    </row>
    <row r="1587" spans="1:11" ht="12.75" x14ac:dyDescent="0.2">
      <c r="A1587"/>
      <c r="B1587"/>
      <c r="C1587"/>
      <c r="D1587"/>
      <c r="E1587"/>
      <c r="F1587"/>
      <c r="G1587"/>
      <c r="H1587"/>
      <c r="I1587"/>
      <c r="J1587"/>
      <c r="K1587"/>
    </row>
    <row r="1588" spans="1:11" ht="12.75" x14ac:dyDescent="0.2">
      <c r="A1588"/>
      <c r="B1588"/>
      <c r="C1588"/>
      <c r="D1588"/>
      <c r="E1588"/>
      <c r="F1588"/>
      <c r="G1588"/>
      <c r="H1588"/>
      <c r="I1588"/>
      <c r="J1588"/>
      <c r="K1588"/>
    </row>
    <row r="1589" spans="1:11" ht="12.75" x14ac:dyDescent="0.2">
      <c r="A1589"/>
      <c r="B1589"/>
      <c r="C1589"/>
      <c r="D1589"/>
      <c r="E1589"/>
      <c r="F1589"/>
      <c r="G1589"/>
      <c r="H1589"/>
      <c r="I1589"/>
      <c r="J1589"/>
      <c r="K1589"/>
    </row>
    <row r="1590" spans="1:11" ht="12.75" x14ac:dyDescent="0.2">
      <c r="A1590"/>
      <c r="B1590"/>
      <c r="C1590"/>
      <c r="D1590"/>
      <c r="E1590"/>
      <c r="F1590"/>
      <c r="G1590"/>
      <c r="H1590"/>
      <c r="I1590"/>
      <c r="J1590"/>
      <c r="K1590"/>
    </row>
    <row r="1591" spans="1:11" ht="12.75" x14ac:dyDescent="0.2">
      <c r="A1591"/>
      <c r="B1591"/>
      <c r="C1591"/>
      <c r="D1591"/>
      <c r="E1591"/>
      <c r="F1591"/>
      <c r="G1591"/>
      <c r="H1591"/>
      <c r="I1591"/>
      <c r="J1591"/>
      <c r="K1591"/>
    </row>
    <row r="1592" spans="1:11" ht="12.75" x14ac:dyDescent="0.2">
      <c r="A1592"/>
      <c r="B1592"/>
      <c r="C1592"/>
      <c r="D1592"/>
      <c r="E1592"/>
      <c r="F1592"/>
      <c r="G1592"/>
      <c r="H1592"/>
      <c r="I1592"/>
      <c r="J1592"/>
      <c r="K1592"/>
    </row>
    <row r="1593" spans="1:11" ht="12.75" x14ac:dyDescent="0.2">
      <c r="A1593"/>
      <c r="B1593"/>
      <c r="C1593"/>
      <c r="D1593"/>
      <c r="E1593"/>
      <c r="F1593"/>
      <c r="G1593"/>
      <c r="H1593"/>
      <c r="I1593"/>
      <c r="J1593"/>
      <c r="K1593"/>
    </row>
    <row r="1594" spans="1:11" ht="12.75" x14ac:dyDescent="0.2">
      <c r="A1594"/>
      <c r="B1594"/>
      <c r="C1594"/>
      <c r="D1594"/>
      <c r="E1594"/>
      <c r="F1594"/>
      <c r="G1594"/>
      <c r="H1594"/>
      <c r="I1594"/>
      <c r="J1594"/>
      <c r="K1594"/>
    </row>
    <row r="1595" spans="1:11" ht="12.75" x14ac:dyDescent="0.2">
      <c r="A1595"/>
      <c r="B1595"/>
      <c r="C1595"/>
      <c r="D1595"/>
      <c r="E1595"/>
      <c r="F1595"/>
      <c r="G1595"/>
      <c r="H1595"/>
      <c r="I1595"/>
      <c r="J1595"/>
      <c r="K1595"/>
    </row>
    <row r="1596" spans="1:11" ht="12.75" x14ac:dyDescent="0.2">
      <c r="A1596"/>
      <c r="B1596"/>
      <c r="C1596"/>
      <c r="D1596"/>
      <c r="E1596"/>
      <c r="F1596"/>
      <c r="G1596"/>
      <c r="H1596"/>
      <c r="I1596"/>
      <c r="J1596"/>
      <c r="K1596"/>
    </row>
    <row r="1597" spans="1:11" ht="12.75" x14ac:dyDescent="0.2">
      <c r="A1597"/>
      <c r="B1597"/>
      <c r="C1597"/>
      <c r="D1597"/>
      <c r="E1597"/>
      <c r="F1597"/>
      <c r="G1597"/>
      <c r="H1597"/>
      <c r="I1597"/>
      <c r="J1597"/>
      <c r="K1597"/>
    </row>
    <row r="1598" spans="1:11" ht="12.75" x14ac:dyDescent="0.2">
      <c r="A1598"/>
      <c r="B1598"/>
      <c r="C1598"/>
      <c r="D1598"/>
      <c r="E1598"/>
      <c r="F1598"/>
      <c r="G1598"/>
      <c r="H1598"/>
      <c r="I1598"/>
      <c r="J1598"/>
      <c r="K1598"/>
    </row>
    <row r="1599" spans="1:11" ht="12.75" x14ac:dyDescent="0.2">
      <c r="A1599"/>
      <c r="B1599"/>
      <c r="C1599"/>
      <c r="D1599"/>
      <c r="E1599"/>
      <c r="F1599"/>
      <c r="G1599"/>
      <c r="H1599"/>
      <c r="I1599"/>
      <c r="J1599"/>
      <c r="K1599"/>
    </row>
    <row r="1600" spans="1:11" ht="12.75" x14ac:dyDescent="0.2">
      <c r="A1600"/>
      <c r="B1600"/>
      <c r="C1600"/>
      <c r="D1600"/>
      <c r="E1600"/>
      <c r="F1600"/>
      <c r="G1600"/>
      <c r="H1600"/>
      <c r="I1600"/>
      <c r="J1600"/>
      <c r="K1600"/>
    </row>
    <row r="1601" spans="1:11" ht="12.75" x14ac:dyDescent="0.2">
      <c r="A1601"/>
      <c r="B1601"/>
      <c r="C1601"/>
      <c r="D1601"/>
      <c r="E1601"/>
      <c r="F1601"/>
      <c r="G1601"/>
      <c r="H1601"/>
      <c r="I1601"/>
      <c r="J1601"/>
      <c r="K1601"/>
    </row>
    <row r="1602" spans="1:11" ht="12.75" x14ac:dyDescent="0.2">
      <c r="A1602"/>
      <c r="B1602"/>
      <c r="C1602"/>
      <c r="D1602"/>
      <c r="E1602"/>
      <c r="F1602"/>
      <c r="G1602"/>
      <c r="H1602"/>
      <c r="I1602"/>
      <c r="J1602"/>
      <c r="K1602"/>
    </row>
    <row r="1603" spans="1:11" ht="12.75" x14ac:dyDescent="0.2">
      <c r="A1603"/>
      <c r="B1603"/>
      <c r="C1603"/>
      <c r="D1603"/>
      <c r="E1603"/>
      <c r="F1603"/>
      <c r="G1603"/>
      <c r="H1603"/>
      <c r="I1603"/>
      <c r="J1603"/>
      <c r="K1603"/>
    </row>
    <row r="1604" spans="1:11" ht="12.75" x14ac:dyDescent="0.2">
      <c r="A1604"/>
      <c r="B1604"/>
      <c r="C1604"/>
      <c r="D1604"/>
      <c r="E1604"/>
      <c r="F1604"/>
      <c r="G1604"/>
      <c r="H1604"/>
      <c r="I1604"/>
      <c r="J1604"/>
      <c r="K1604"/>
    </row>
    <row r="1605" spans="1:11" ht="12.75" x14ac:dyDescent="0.2">
      <c r="A1605"/>
      <c r="B1605"/>
      <c r="C1605"/>
      <c r="D1605"/>
      <c r="E1605"/>
      <c r="F1605"/>
      <c r="G1605"/>
      <c r="H1605"/>
      <c r="I1605"/>
      <c r="J1605"/>
      <c r="K1605"/>
    </row>
    <row r="1606" spans="1:11" ht="12.75" x14ac:dyDescent="0.2">
      <c r="A1606"/>
      <c r="B1606"/>
      <c r="C1606"/>
      <c r="D1606"/>
      <c r="E1606"/>
      <c r="F1606"/>
      <c r="G1606"/>
      <c r="H1606"/>
      <c r="I1606"/>
      <c r="J1606"/>
      <c r="K1606"/>
    </row>
    <row r="1607" spans="1:11" ht="12.75" x14ac:dyDescent="0.2">
      <c r="A1607"/>
      <c r="B1607"/>
      <c r="C1607"/>
      <c r="D1607"/>
      <c r="E1607"/>
      <c r="F1607"/>
      <c r="G1607"/>
      <c r="H1607"/>
      <c r="I1607"/>
      <c r="J1607"/>
      <c r="K1607"/>
    </row>
    <row r="1608" spans="1:11" ht="12.75" x14ac:dyDescent="0.2">
      <c r="A1608"/>
      <c r="B1608"/>
      <c r="C1608"/>
      <c r="D1608"/>
      <c r="E1608"/>
      <c r="F1608"/>
      <c r="G1608"/>
      <c r="H1608"/>
      <c r="I1608"/>
      <c r="J1608"/>
      <c r="K1608"/>
    </row>
    <row r="1609" spans="1:11" ht="12.75" x14ac:dyDescent="0.2">
      <c r="A1609"/>
      <c r="B1609"/>
      <c r="C1609"/>
      <c r="D1609"/>
      <c r="E1609"/>
      <c r="F1609"/>
      <c r="G1609"/>
      <c r="H1609"/>
      <c r="I1609"/>
      <c r="J1609"/>
      <c r="K1609"/>
    </row>
    <row r="1610" spans="1:11" ht="12.75" x14ac:dyDescent="0.2">
      <c r="A1610"/>
      <c r="B1610"/>
      <c r="C1610"/>
      <c r="D1610"/>
      <c r="E1610"/>
      <c r="F1610"/>
      <c r="G1610"/>
      <c r="H1610"/>
      <c r="I1610"/>
      <c r="J1610"/>
      <c r="K1610"/>
    </row>
    <row r="1611" spans="1:11" ht="12.75" x14ac:dyDescent="0.2">
      <c r="A1611"/>
      <c r="B1611"/>
      <c r="C1611"/>
      <c r="D1611"/>
      <c r="E1611"/>
      <c r="F1611"/>
      <c r="G1611"/>
      <c r="H1611"/>
      <c r="I1611"/>
      <c r="J1611"/>
      <c r="K1611"/>
    </row>
    <row r="1612" spans="1:11" ht="12.75" x14ac:dyDescent="0.2">
      <c r="A1612"/>
      <c r="B1612"/>
      <c r="C1612"/>
      <c r="D1612"/>
      <c r="E1612"/>
      <c r="F1612"/>
      <c r="G1612"/>
      <c r="H1612"/>
      <c r="I1612"/>
      <c r="J1612"/>
      <c r="K1612"/>
    </row>
    <row r="1613" spans="1:11" ht="12.75" x14ac:dyDescent="0.2">
      <c r="A1613"/>
      <c r="B1613"/>
      <c r="C1613"/>
      <c r="D1613"/>
      <c r="E1613"/>
      <c r="F1613"/>
      <c r="G1613"/>
      <c r="H1613"/>
      <c r="I1613"/>
      <c r="J1613"/>
      <c r="K1613"/>
    </row>
    <row r="1614" spans="1:11" ht="12.75" x14ac:dyDescent="0.2">
      <c r="A1614"/>
      <c r="B1614"/>
      <c r="C1614"/>
      <c r="D1614"/>
      <c r="E1614"/>
      <c r="F1614"/>
      <c r="G1614"/>
      <c r="H1614"/>
      <c r="I1614"/>
      <c r="J1614"/>
      <c r="K1614"/>
    </row>
    <row r="1615" spans="1:11" ht="12.75" x14ac:dyDescent="0.2">
      <c r="A1615"/>
      <c r="B1615"/>
      <c r="C1615"/>
      <c r="D1615"/>
      <c r="E1615"/>
      <c r="F1615"/>
      <c r="G1615"/>
      <c r="H1615"/>
      <c r="I1615"/>
      <c r="J1615"/>
      <c r="K1615"/>
    </row>
    <row r="1616" spans="1:11" ht="12.75" x14ac:dyDescent="0.2">
      <c r="A1616"/>
      <c r="B1616"/>
      <c r="C1616"/>
      <c r="D1616"/>
      <c r="E1616"/>
      <c r="F1616"/>
      <c r="G1616"/>
      <c r="H1616"/>
      <c r="I1616"/>
      <c r="J1616"/>
      <c r="K1616"/>
    </row>
    <row r="1617" spans="1:11" ht="12.75" x14ac:dyDescent="0.2">
      <c r="A1617"/>
      <c r="B1617"/>
      <c r="C1617"/>
      <c r="D1617"/>
      <c r="E1617"/>
      <c r="F1617"/>
      <c r="G1617"/>
      <c r="H1617"/>
      <c r="I1617"/>
      <c r="J1617"/>
      <c r="K1617"/>
    </row>
    <row r="1618" spans="1:11" ht="12.75" x14ac:dyDescent="0.2">
      <c r="A1618"/>
      <c r="B1618"/>
      <c r="C1618"/>
      <c r="D1618"/>
      <c r="E1618"/>
      <c r="F1618"/>
      <c r="G1618"/>
      <c r="H1618"/>
      <c r="I1618"/>
      <c r="J1618"/>
      <c r="K1618"/>
    </row>
    <row r="1619" spans="1:11" ht="12.75" x14ac:dyDescent="0.2">
      <c r="A1619"/>
      <c r="B1619"/>
      <c r="C1619"/>
      <c r="D1619"/>
      <c r="E1619"/>
      <c r="F1619"/>
      <c r="G1619"/>
      <c r="H1619"/>
      <c r="I1619"/>
      <c r="J1619"/>
      <c r="K1619"/>
    </row>
    <row r="1620" spans="1:11" ht="12.75" x14ac:dyDescent="0.2">
      <c r="A1620"/>
      <c r="B1620"/>
      <c r="C1620"/>
      <c r="D1620"/>
      <c r="E1620"/>
      <c r="F1620"/>
      <c r="G1620"/>
      <c r="H1620"/>
      <c r="I1620"/>
      <c r="J1620"/>
      <c r="K1620"/>
    </row>
    <row r="1621" spans="1:11" ht="12.75" x14ac:dyDescent="0.2">
      <c r="A1621"/>
      <c r="B1621"/>
      <c r="C1621"/>
      <c r="D1621"/>
      <c r="E1621"/>
      <c r="F1621"/>
      <c r="G1621"/>
      <c r="H1621"/>
      <c r="I1621"/>
      <c r="J1621"/>
      <c r="K1621"/>
    </row>
    <row r="1622" spans="1:11" ht="12.75" x14ac:dyDescent="0.2">
      <c r="A1622"/>
      <c r="B1622"/>
      <c r="C1622"/>
      <c r="D1622"/>
      <c r="E1622"/>
      <c r="F1622"/>
      <c r="G1622"/>
      <c r="H1622"/>
      <c r="I1622"/>
      <c r="J1622"/>
      <c r="K1622"/>
    </row>
    <row r="1623" spans="1:11" ht="12.75" x14ac:dyDescent="0.2">
      <c r="A1623"/>
      <c r="B1623"/>
      <c r="C1623"/>
      <c r="D1623"/>
      <c r="E1623"/>
      <c r="F1623"/>
      <c r="G1623"/>
      <c r="H1623"/>
      <c r="I1623"/>
      <c r="J1623"/>
      <c r="K1623"/>
    </row>
    <row r="1624" spans="1:11" ht="12.75" x14ac:dyDescent="0.2">
      <c r="A1624"/>
      <c r="B1624"/>
      <c r="C1624"/>
      <c r="D1624"/>
      <c r="E1624"/>
      <c r="F1624"/>
      <c r="G1624"/>
      <c r="H1624"/>
      <c r="I1624"/>
      <c r="J1624"/>
      <c r="K1624"/>
    </row>
    <row r="1625" spans="1:11" ht="12.75" x14ac:dyDescent="0.2">
      <c r="A1625"/>
      <c r="B1625"/>
      <c r="C1625"/>
      <c r="D1625"/>
      <c r="E1625"/>
      <c r="F1625"/>
      <c r="G1625"/>
      <c r="H1625"/>
      <c r="I1625"/>
      <c r="J1625"/>
      <c r="K1625"/>
    </row>
    <row r="1626" spans="1:11" ht="12.75" x14ac:dyDescent="0.2">
      <c r="A1626"/>
      <c r="B1626"/>
      <c r="C1626"/>
      <c r="D1626"/>
      <c r="E1626"/>
      <c r="F1626"/>
      <c r="G1626"/>
      <c r="H1626"/>
      <c r="I1626"/>
      <c r="J1626"/>
      <c r="K1626"/>
    </row>
    <row r="1627" spans="1:11" ht="12.75" x14ac:dyDescent="0.2">
      <c r="A1627"/>
      <c r="B1627"/>
      <c r="C1627"/>
      <c r="D1627"/>
      <c r="E1627"/>
      <c r="F1627"/>
      <c r="G1627"/>
      <c r="H1627"/>
      <c r="I1627"/>
      <c r="J1627"/>
      <c r="K1627"/>
    </row>
    <row r="1628" spans="1:11" ht="12.75" x14ac:dyDescent="0.2">
      <c r="A1628"/>
      <c r="B1628"/>
      <c r="C1628"/>
      <c r="D1628"/>
      <c r="E1628"/>
      <c r="F1628"/>
      <c r="G1628"/>
      <c r="H1628"/>
      <c r="I1628"/>
      <c r="J1628"/>
      <c r="K1628"/>
    </row>
    <row r="1629" spans="1:11" ht="12.75" x14ac:dyDescent="0.2">
      <c r="A1629"/>
      <c r="B1629"/>
      <c r="C1629"/>
      <c r="D1629"/>
      <c r="E1629"/>
      <c r="F1629"/>
      <c r="G1629"/>
      <c r="H1629"/>
      <c r="I1629"/>
      <c r="J1629"/>
      <c r="K1629"/>
    </row>
    <row r="1630" spans="1:11" ht="12.75" x14ac:dyDescent="0.2">
      <c r="A1630"/>
      <c r="B1630"/>
      <c r="C1630"/>
      <c r="D1630"/>
      <c r="E1630"/>
      <c r="F1630"/>
      <c r="G1630"/>
      <c r="H1630"/>
      <c r="I1630"/>
      <c r="J1630"/>
      <c r="K1630"/>
    </row>
    <row r="1631" spans="1:11" ht="12.75" x14ac:dyDescent="0.2">
      <c r="A1631"/>
      <c r="B1631"/>
      <c r="C1631"/>
      <c r="D1631"/>
      <c r="E1631"/>
      <c r="F1631"/>
      <c r="G1631"/>
      <c r="H1631"/>
      <c r="I1631"/>
      <c r="J1631"/>
      <c r="K1631"/>
    </row>
    <row r="1632" spans="1:11" ht="12.75" x14ac:dyDescent="0.2">
      <c r="A1632"/>
      <c r="B1632"/>
      <c r="C1632"/>
      <c r="D1632"/>
      <c r="E1632"/>
      <c r="F1632"/>
      <c r="G1632"/>
      <c r="H1632"/>
      <c r="I1632"/>
      <c r="J1632"/>
      <c r="K1632"/>
    </row>
    <row r="1633" spans="1:11" ht="12.75" x14ac:dyDescent="0.2">
      <c r="A1633"/>
      <c r="B1633"/>
      <c r="C1633"/>
      <c r="D1633"/>
      <c r="E1633"/>
      <c r="F1633"/>
      <c r="G1633"/>
      <c r="H1633"/>
      <c r="I1633"/>
      <c r="J1633"/>
      <c r="K1633"/>
    </row>
    <row r="1634" spans="1:11" ht="12.75" x14ac:dyDescent="0.2">
      <c r="A1634"/>
      <c r="B1634"/>
      <c r="C1634"/>
      <c r="D1634"/>
      <c r="E1634"/>
      <c r="F1634"/>
      <c r="G1634"/>
      <c r="H1634"/>
      <c r="I1634"/>
      <c r="J1634"/>
      <c r="K1634"/>
    </row>
    <row r="1635" spans="1:11" ht="12.75" x14ac:dyDescent="0.2">
      <c r="A1635"/>
      <c r="B1635"/>
      <c r="C1635"/>
      <c r="D1635"/>
      <c r="E1635"/>
      <c r="F1635"/>
      <c r="G1635"/>
      <c r="H1635"/>
      <c r="I1635"/>
      <c r="J1635"/>
      <c r="K1635"/>
    </row>
    <row r="1636" spans="1:11" ht="12.75" x14ac:dyDescent="0.2">
      <c r="A1636"/>
      <c r="B1636"/>
      <c r="C1636"/>
      <c r="D1636"/>
      <c r="E1636"/>
      <c r="F1636"/>
      <c r="G1636"/>
      <c r="H1636"/>
      <c r="I1636"/>
      <c r="J1636"/>
      <c r="K1636"/>
    </row>
    <row r="1637" spans="1:11" ht="12.75" x14ac:dyDescent="0.2">
      <c r="A1637"/>
      <c r="B1637"/>
      <c r="C1637"/>
      <c r="D1637"/>
      <c r="E1637"/>
      <c r="F1637"/>
      <c r="G1637"/>
      <c r="H1637"/>
      <c r="I1637"/>
      <c r="J1637"/>
      <c r="K1637"/>
    </row>
    <row r="1638" spans="1:11" ht="12.75" x14ac:dyDescent="0.2">
      <c r="A1638"/>
      <c r="B1638"/>
      <c r="C1638"/>
      <c r="D1638"/>
      <c r="E1638"/>
      <c r="F1638"/>
      <c r="G1638"/>
      <c r="H1638"/>
      <c r="I1638"/>
      <c r="J1638"/>
      <c r="K1638"/>
    </row>
    <row r="1639" spans="1:11" ht="12.75" x14ac:dyDescent="0.2">
      <c r="A1639"/>
      <c r="B1639"/>
      <c r="C1639"/>
      <c r="D1639"/>
      <c r="E1639"/>
      <c r="F1639"/>
      <c r="G1639"/>
      <c r="H1639"/>
      <c r="I1639"/>
      <c r="J1639"/>
      <c r="K1639"/>
    </row>
    <row r="1640" spans="1:11" ht="12.75" x14ac:dyDescent="0.2">
      <c r="A1640"/>
      <c r="B1640"/>
      <c r="C1640"/>
      <c r="D1640"/>
      <c r="E1640"/>
      <c r="F1640"/>
      <c r="G1640"/>
      <c r="H1640"/>
      <c r="I1640"/>
      <c r="J1640"/>
      <c r="K1640"/>
    </row>
    <row r="1641" spans="1:11" ht="12.75" x14ac:dyDescent="0.2">
      <c r="A1641"/>
      <c r="B1641"/>
      <c r="C1641"/>
      <c r="D1641"/>
      <c r="E1641"/>
      <c r="F1641"/>
      <c r="G1641"/>
      <c r="H1641"/>
      <c r="I1641"/>
      <c r="J1641"/>
      <c r="K1641"/>
    </row>
    <row r="1642" spans="1:11" ht="12.75" x14ac:dyDescent="0.2">
      <c r="A1642"/>
      <c r="B1642"/>
      <c r="C1642"/>
      <c r="D1642"/>
      <c r="E1642"/>
      <c r="F1642"/>
      <c r="G1642"/>
      <c r="H1642"/>
      <c r="I1642"/>
      <c r="J1642"/>
      <c r="K1642"/>
    </row>
    <row r="1643" spans="1:11" ht="12.75" x14ac:dyDescent="0.2">
      <c r="A1643"/>
      <c r="B1643"/>
      <c r="C1643"/>
      <c r="D1643"/>
      <c r="E1643"/>
      <c r="F1643"/>
      <c r="G1643"/>
      <c r="H1643"/>
      <c r="I1643"/>
      <c r="J1643"/>
      <c r="K1643"/>
    </row>
    <row r="1644" spans="1:11" ht="12.75" x14ac:dyDescent="0.2">
      <c r="A1644"/>
      <c r="B1644"/>
      <c r="C1644"/>
      <c r="D1644"/>
      <c r="E1644"/>
      <c r="F1644"/>
      <c r="G1644"/>
      <c r="H1644"/>
      <c r="I1644"/>
      <c r="J1644"/>
      <c r="K1644"/>
    </row>
    <row r="1645" spans="1:11" ht="12.75" x14ac:dyDescent="0.2">
      <c r="A1645"/>
      <c r="B1645"/>
      <c r="C1645"/>
      <c r="D1645"/>
      <c r="E1645"/>
      <c r="F1645"/>
      <c r="G1645"/>
      <c r="H1645"/>
      <c r="I1645"/>
      <c r="J1645"/>
      <c r="K1645"/>
    </row>
    <row r="1646" spans="1:11" ht="12.75" x14ac:dyDescent="0.2">
      <c r="A1646"/>
      <c r="B1646"/>
      <c r="C1646"/>
      <c r="D1646"/>
      <c r="E1646"/>
      <c r="F1646"/>
      <c r="G1646"/>
      <c r="H1646"/>
      <c r="I1646"/>
      <c r="J1646"/>
      <c r="K1646"/>
    </row>
    <row r="1647" spans="1:11" ht="12.75" x14ac:dyDescent="0.2">
      <c r="A1647"/>
      <c r="B1647"/>
      <c r="C1647"/>
      <c r="D1647"/>
      <c r="E1647"/>
      <c r="F1647"/>
      <c r="G1647"/>
      <c r="H1647"/>
      <c r="I1647"/>
      <c r="J1647"/>
      <c r="K1647"/>
    </row>
    <row r="1648" spans="1:11" ht="12.75" x14ac:dyDescent="0.2">
      <c r="A1648"/>
      <c r="B1648"/>
      <c r="C1648"/>
      <c r="D1648"/>
      <c r="E1648"/>
      <c r="F1648"/>
      <c r="G1648"/>
      <c r="H1648"/>
      <c r="I1648"/>
      <c r="J1648"/>
      <c r="K1648"/>
    </row>
    <row r="1649" spans="1:11" ht="12.75" x14ac:dyDescent="0.2">
      <c r="A1649"/>
      <c r="B1649"/>
      <c r="C1649"/>
      <c r="D1649"/>
      <c r="E1649"/>
      <c r="F1649"/>
      <c r="G1649"/>
      <c r="H1649"/>
      <c r="I1649"/>
      <c r="J1649"/>
      <c r="K1649"/>
    </row>
    <row r="1650" spans="1:11" ht="12.75" x14ac:dyDescent="0.2">
      <c r="A1650"/>
      <c r="B1650"/>
      <c r="C1650"/>
      <c r="D1650"/>
      <c r="E1650"/>
      <c r="F1650"/>
      <c r="G1650"/>
      <c r="H1650"/>
      <c r="I1650"/>
      <c r="J1650"/>
      <c r="K1650"/>
    </row>
    <row r="1651" spans="1:11" ht="12.75" x14ac:dyDescent="0.2">
      <c r="A1651"/>
      <c r="B1651"/>
      <c r="C1651"/>
      <c r="D1651"/>
      <c r="E1651"/>
      <c r="F1651"/>
      <c r="G1651"/>
      <c r="H1651"/>
      <c r="I1651"/>
      <c r="J1651"/>
      <c r="K1651"/>
    </row>
    <row r="1652" spans="1:11" ht="12.75" x14ac:dyDescent="0.2">
      <c r="A1652"/>
      <c r="B1652"/>
      <c r="C1652"/>
      <c r="D1652"/>
      <c r="E1652"/>
      <c r="F1652"/>
      <c r="G1652"/>
      <c r="H1652"/>
      <c r="I1652"/>
      <c r="J1652"/>
      <c r="K1652"/>
    </row>
    <row r="1653" spans="1:11" ht="12.75" x14ac:dyDescent="0.2">
      <c r="A1653"/>
      <c r="B1653"/>
      <c r="C1653"/>
      <c r="D1653"/>
      <c r="E1653"/>
      <c r="F1653"/>
      <c r="G1653"/>
      <c r="H1653"/>
      <c r="I1653"/>
      <c r="J1653"/>
      <c r="K1653"/>
    </row>
    <row r="1654" spans="1:11" ht="12.75" x14ac:dyDescent="0.2">
      <c r="A1654"/>
      <c r="B1654"/>
      <c r="C1654"/>
      <c r="D1654"/>
      <c r="E1654"/>
      <c r="F1654"/>
      <c r="G1654"/>
      <c r="H1654"/>
      <c r="I1654"/>
      <c r="J1654"/>
      <c r="K1654"/>
    </row>
    <row r="1655" spans="1:11" ht="12.75" x14ac:dyDescent="0.2">
      <c r="A1655"/>
      <c r="B1655"/>
      <c r="C1655"/>
      <c r="D1655"/>
      <c r="E1655"/>
      <c r="F1655"/>
      <c r="G1655"/>
      <c r="H1655"/>
      <c r="I1655"/>
      <c r="J1655"/>
      <c r="K1655"/>
    </row>
    <row r="1656" spans="1:11" ht="12.75" x14ac:dyDescent="0.2">
      <c r="A1656"/>
      <c r="B1656"/>
      <c r="C1656"/>
      <c r="D1656"/>
      <c r="E1656"/>
      <c r="F1656"/>
      <c r="G1656"/>
      <c r="H1656"/>
      <c r="I1656"/>
      <c r="J1656"/>
      <c r="K1656"/>
    </row>
    <row r="1657" spans="1:11" ht="12.75" x14ac:dyDescent="0.2">
      <c r="A1657"/>
      <c r="B1657"/>
      <c r="C1657"/>
      <c r="D1657"/>
      <c r="E1657"/>
      <c r="F1657"/>
      <c r="G1657"/>
      <c r="H1657"/>
      <c r="I1657"/>
      <c r="J1657"/>
      <c r="K1657"/>
    </row>
    <row r="1658" spans="1:11" ht="12.75" x14ac:dyDescent="0.2">
      <c r="A1658"/>
      <c r="B1658"/>
      <c r="C1658"/>
      <c r="D1658"/>
      <c r="E1658"/>
      <c r="F1658"/>
      <c r="G1658"/>
      <c r="H1658"/>
      <c r="I1658"/>
      <c r="J1658"/>
      <c r="K1658"/>
    </row>
    <row r="1659" spans="1:11" ht="12.75" x14ac:dyDescent="0.2">
      <c r="A1659"/>
      <c r="B1659"/>
      <c r="C1659"/>
      <c r="D1659"/>
      <c r="E1659"/>
      <c r="F1659"/>
      <c r="G1659"/>
      <c r="H1659"/>
      <c r="I1659"/>
      <c r="J1659"/>
      <c r="K1659"/>
    </row>
    <row r="1660" spans="1:11" ht="12.75" x14ac:dyDescent="0.2">
      <c r="A1660"/>
      <c r="B1660"/>
      <c r="C1660"/>
      <c r="D1660"/>
      <c r="E1660"/>
      <c r="F1660"/>
      <c r="G1660"/>
      <c r="H1660"/>
      <c r="I1660"/>
      <c r="J1660"/>
      <c r="K1660"/>
    </row>
    <row r="1661" spans="1:11" ht="12.75" x14ac:dyDescent="0.2">
      <c r="A1661"/>
      <c r="B1661"/>
      <c r="C1661"/>
      <c r="D1661"/>
      <c r="E1661"/>
      <c r="F1661"/>
      <c r="G1661"/>
      <c r="H1661"/>
      <c r="I1661"/>
      <c r="J1661"/>
      <c r="K1661"/>
    </row>
    <row r="1662" spans="1:11" ht="12.75" x14ac:dyDescent="0.2">
      <c r="A1662"/>
      <c r="B1662"/>
      <c r="C1662"/>
      <c r="D1662"/>
      <c r="E1662"/>
      <c r="F1662"/>
      <c r="G1662"/>
      <c r="H1662"/>
      <c r="I1662"/>
      <c r="J1662"/>
      <c r="K1662"/>
    </row>
    <row r="1663" spans="1:11" ht="12.75" x14ac:dyDescent="0.2">
      <c r="A1663"/>
      <c r="B1663"/>
      <c r="C1663"/>
      <c r="D1663"/>
      <c r="E1663"/>
      <c r="F1663"/>
      <c r="G1663"/>
      <c r="H1663"/>
      <c r="I1663"/>
      <c r="J1663"/>
      <c r="K1663"/>
    </row>
    <row r="1664" spans="1:11" ht="12.75" x14ac:dyDescent="0.2">
      <c r="A1664"/>
      <c r="B1664"/>
      <c r="C1664"/>
      <c r="D1664"/>
      <c r="E1664"/>
      <c r="F1664"/>
      <c r="G1664"/>
      <c r="H1664"/>
      <c r="I1664"/>
      <c r="J1664"/>
      <c r="K1664"/>
    </row>
    <row r="1665" spans="1:11" ht="12.75" x14ac:dyDescent="0.2">
      <c r="A1665"/>
      <c r="B1665"/>
      <c r="C1665"/>
      <c r="D1665"/>
      <c r="E1665"/>
      <c r="F1665"/>
      <c r="G1665"/>
      <c r="H1665"/>
      <c r="I1665"/>
      <c r="J1665"/>
      <c r="K1665"/>
    </row>
    <row r="1666" spans="1:11" ht="12.75" x14ac:dyDescent="0.2">
      <c r="A1666"/>
      <c r="B1666"/>
      <c r="C1666"/>
      <c r="D1666"/>
      <c r="E1666"/>
      <c r="F1666"/>
      <c r="G1666"/>
      <c r="H1666"/>
      <c r="I1666"/>
      <c r="J1666"/>
      <c r="K1666"/>
    </row>
    <row r="1667" spans="1:11" ht="12.75" x14ac:dyDescent="0.2">
      <c r="A1667"/>
      <c r="B1667"/>
      <c r="C1667"/>
      <c r="D1667"/>
      <c r="E1667"/>
      <c r="F1667"/>
      <c r="G1667"/>
      <c r="H1667"/>
      <c r="I1667"/>
      <c r="J1667"/>
      <c r="K1667"/>
    </row>
    <row r="1668" spans="1:11" ht="12.75" x14ac:dyDescent="0.2">
      <c r="A1668"/>
      <c r="B1668"/>
      <c r="C1668"/>
      <c r="D1668"/>
      <c r="E1668"/>
      <c r="F1668"/>
      <c r="G1668"/>
      <c r="H1668"/>
      <c r="I1668"/>
      <c r="J1668"/>
      <c r="K1668"/>
    </row>
    <row r="1669" spans="1:11" ht="12.75" x14ac:dyDescent="0.2">
      <c r="A1669"/>
      <c r="B1669"/>
      <c r="C1669"/>
      <c r="D1669"/>
      <c r="E1669"/>
      <c r="F1669"/>
      <c r="G1669"/>
      <c r="H1669"/>
      <c r="I1669"/>
      <c r="J1669"/>
      <c r="K1669"/>
    </row>
    <row r="1670" spans="1:11" ht="12.75" x14ac:dyDescent="0.2">
      <c r="A1670"/>
      <c r="B1670"/>
      <c r="C1670"/>
      <c r="D1670"/>
      <c r="E1670"/>
      <c r="F1670"/>
      <c r="G1670"/>
      <c r="H1670"/>
      <c r="I1670"/>
      <c r="J1670"/>
      <c r="K1670"/>
    </row>
    <row r="1671" spans="1:11" ht="12.75" x14ac:dyDescent="0.2">
      <c r="A1671"/>
      <c r="B1671"/>
      <c r="C1671"/>
      <c r="D1671"/>
      <c r="E1671"/>
      <c r="F1671"/>
      <c r="G1671"/>
      <c r="H1671"/>
      <c r="I1671"/>
      <c r="J1671"/>
      <c r="K1671"/>
    </row>
    <row r="1672" spans="1:11" ht="12.75" x14ac:dyDescent="0.2">
      <c r="A1672"/>
      <c r="B1672"/>
      <c r="C1672"/>
      <c r="D1672"/>
      <c r="E1672"/>
      <c r="F1672"/>
      <c r="G1672"/>
      <c r="H1672"/>
      <c r="I1672"/>
      <c r="J1672"/>
      <c r="K1672"/>
    </row>
    <row r="1673" spans="1:11" ht="12.75" x14ac:dyDescent="0.2">
      <c r="A1673"/>
      <c r="B1673"/>
      <c r="C1673"/>
      <c r="D1673"/>
      <c r="E1673"/>
      <c r="F1673"/>
      <c r="G1673"/>
      <c r="H1673"/>
      <c r="I1673"/>
      <c r="J1673"/>
      <c r="K1673"/>
    </row>
    <row r="1674" spans="1:11" ht="12.75" x14ac:dyDescent="0.2">
      <c r="A1674"/>
      <c r="B1674"/>
      <c r="C1674"/>
      <c r="D1674"/>
      <c r="E1674"/>
      <c r="F1674"/>
      <c r="G1674"/>
      <c r="H1674"/>
      <c r="I1674"/>
      <c r="J1674"/>
      <c r="K1674"/>
    </row>
    <row r="1675" spans="1:11" ht="12.75" x14ac:dyDescent="0.2">
      <c r="A1675"/>
      <c r="B1675"/>
      <c r="C1675"/>
      <c r="D1675"/>
      <c r="E1675"/>
      <c r="F1675"/>
      <c r="G1675"/>
      <c r="H1675"/>
      <c r="I1675"/>
      <c r="J1675"/>
      <c r="K1675"/>
    </row>
    <row r="1676" spans="1:11" ht="12.75" x14ac:dyDescent="0.2">
      <c r="A1676"/>
      <c r="B1676"/>
      <c r="C1676"/>
      <c r="D1676"/>
      <c r="E1676"/>
      <c r="F1676"/>
      <c r="G1676"/>
      <c r="H1676"/>
      <c r="I1676"/>
      <c r="J1676"/>
      <c r="K1676"/>
    </row>
    <row r="1677" spans="1:11" ht="12.75" x14ac:dyDescent="0.2">
      <c r="A1677"/>
      <c r="B1677"/>
      <c r="C1677"/>
      <c r="D1677"/>
      <c r="E1677"/>
      <c r="F1677"/>
      <c r="G1677"/>
      <c r="H1677"/>
      <c r="I1677"/>
      <c r="J1677"/>
      <c r="K1677"/>
    </row>
    <row r="1678" spans="1:11" ht="12.75" x14ac:dyDescent="0.2">
      <c r="A1678"/>
      <c r="B1678"/>
      <c r="C1678"/>
      <c r="D1678"/>
      <c r="E1678"/>
      <c r="F1678"/>
      <c r="G1678"/>
      <c r="H1678"/>
      <c r="I1678"/>
      <c r="J1678"/>
      <c r="K1678"/>
    </row>
    <row r="1679" spans="1:11" ht="12.75" x14ac:dyDescent="0.2">
      <c r="A1679"/>
      <c r="B1679"/>
      <c r="C1679"/>
      <c r="D1679"/>
      <c r="E1679"/>
      <c r="F1679"/>
      <c r="G1679"/>
      <c r="H1679"/>
      <c r="I1679"/>
      <c r="J1679"/>
      <c r="K1679"/>
    </row>
    <row r="1680" spans="1:11" ht="12.75" x14ac:dyDescent="0.2">
      <c r="A1680"/>
      <c r="B1680"/>
      <c r="C1680"/>
      <c r="D1680"/>
      <c r="E1680"/>
      <c r="F1680"/>
      <c r="G1680"/>
      <c r="H1680"/>
      <c r="I1680"/>
      <c r="J1680"/>
      <c r="K1680"/>
    </row>
    <row r="1681" spans="1:11" ht="12.75" x14ac:dyDescent="0.2">
      <c r="A1681"/>
      <c r="B1681"/>
      <c r="C1681"/>
      <c r="D1681"/>
      <c r="E1681"/>
      <c r="F1681"/>
      <c r="G1681"/>
      <c r="H1681"/>
      <c r="I1681"/>
      <c r="J1681"/>
      <c r="K1681"/>
    </row>
    <row r="1682" spans="1:11" ht="12.75" x14ac:dyDescent="0.2">
      <c r="A1682"/>
      <c r="B1682"/>
      <c r="C1682"/>
      <c r="D1682"/>
      <c r="E1682"/>
      <c r="F1682"/>
      <c r="G1682"/>
      <c r="H1682"/>
      <c r="I1682"/>
      <c r="J1682"/>
      <c r="K1682"/>
    </row>
    <row r="1683" spans="1:11" ht="12.75" x14ac:dyDescent="0.2">
      <c r="A1683"/>
      <c r="B1683"/>
      <c r="C1683"/>
      <c r="D1683"/>
      <c r="E1683"/>
      <c r="F1683"/>
      <c r="G1683"/>
      <c r="H1683"/>
      <c r="I1683"/>
      <c r="J1683"/>
      <c r="K1683"/>
    </row>
    <row r="1684" spans="1:11" ht="12.75" x14ac:dyDescent="0.2">
      <c r="A1684"/>
      <c r="B1684"/>
      <c r="C1684"/>
      <c r="D1684"/>
      <c r="E1684"/>
      <c r="F1684"/>
      <c r="G1684"/>
      <c r="H1684"/>
      <c r="I1684"/>
      <c r="J1684"/>
      <c r="K1684"/>
    </row>
    <row r="1685" spans="1:11" ht="12.75" x14ac:dyDescent="0.2">
      <c r="A1685"/>
      <c r="B1685"/>
      <c r="C1685"/>
      <c r="D1685"/>
      <c r="E1685"/>
      <c r="F1685"/>
      <c r="G1685"/>
      <c r="H1685"/>
      <c r="I1685"/>
      <c r="J1685"/>
      <c r="K1685"/>
    </row>
    <row r="1686" spans="1:11" ht="12.75" x14ac:dyDescent="0.2">
      <c r="A1686"/>
      <c r="B1686"/>
      <c r="C1686"/>
      <c r="D1686"/>
      <c r="E1686"/>
      <c r="F1686"/>
      <c r="G1686"/>
      <c r="H1686"/>
      <c r="I1686"/>
      <c r="J1686"/>
      <c r="K1686"/>
    </row>
    <row r="1687" spans="1:11" ht="12.75" x14ac:dyDescent="0.2">
      <c r="A1687"/>
      <c r="B1687"/>
      <c r="C1687"/>
      <c r="D1687"/>
      <c r="E1687"/>
      <c r="F1687"/>
      <c r="G1687"/>
      <c r="H1687"/>
      <c r="I1687"/>
      <c r="J1687"/>
      <c r="K1687"/>
    </row>
    <row r="1688" spans="1:11" ht="12.75" x14ac:dyDescent="0.2">
      <c r="A1688"/>
      <c r="B1688"/>
      <c r="C1688"/>
      <c r="D1688"/>
      <c r="E1688"/>
      <c r="F1688"/>
      <c r="G1688"/>
      <c r="H1688"/>
      <c r="I1688"/>
      <c r="J1688"/>
      <c r="K1688"/>
    </row>
    <row r="1689" spans="1:11" ht="12.75" x14ac:dyDescent="0.2">
      <c r="A1689"/>
      <c r="B1689"/>
      <c r="C1689"/>
      <c r="D1689"/>
      <c r="E1689"/>
      <c r="F1689"/>
      <c r="G1689"/>
      <c r="H1689"/>
      <c r="I1689"/>
      <c r="J1689"/>
      <c r="K1689"/>
    </row>
    <row r="1690" spans="1:11" ht="12.75" x14ac:dyDescent="0.2">
      <c r="A1690"/>
      <c r="B1690"/>
      <c r="C1690"/>
      <c r="D1690"/>
      <c r="E1690"/>
      <c r="F1690"/>
      <c r="G1690"/>
      <c r="H1690"/>
      <c r="I1690"/>
      <c r="J1690"/>
      <c r="K1690"/>
    </row>
    <row r="1691" spans="1:11" ht="12.75" x14ac:dyDescent="0.2">
      <c r="A1691"/>
      <c r="B1691"/>
      <c r="C1691"/>
      <c r="D1691"/>
      <c r="E1691"/>
      <c r="F1691"/>
      <c r="G1691"/>
      <c r="H1691"/>
      <c r="I1691"/>
      <c r="J1691"/>
      <c r="K1691"/>
    </row>
    <row r="1692" spans="1:11" ht="12.75" x14ac:dyDescent="0.2">
      <c r="A1692"/>
      <c r="B1692"/>
      <c r="C1692"/>
      <c r="D1692"/>
      <c r="E1692"/>
      <c r="F1692"/>
      <c r="G1692"/>
      <c r="H1692"/>
      <c r="I1692"/>
      <c r="J1692"/>
      <c r="K1692"/>
    </row>
    <row r="1693" spans="1:11" ht="12.75" x14ac:dyDescent="0.2">
      <c r="A1693"/>
      <c r="B1693"/>
      <c r="C1693"/>
      <c r="D1693"/>
      <c r="E1693"/>
      <c r="F1693"/>
      <c r="G1693"/>
      <c r="H1693"/>
      <c r="I1693"/>
      <c r="J1693"/>
      <c r="K1693"/>
    </row>
    <row r="1694" spans="1:11" ht="12.75" x14ac:dyDescent="0.2">
      <c r="A1694"/>
      <c r="B1694"/>
      <c r="C1694"/>
      <c r="D1694"/>
      <c r="E1694"/>
      <c r="F1694"/>
      <c r="G1694"/>
      <c r="H1694"/>
      <c r="I1694"/>
      <c r="J1694"/>
      <c r="K1694"/>
    </row>
    <row r="1695" spans="1:11" ht="12.75" x14ac:dyDescent="0.2">
      <c r="A1695"/>
      <c r="B1695"/>
      <c r="C1695"/>
      <c r="D1695"/>
      <c r="E1695"/>
      <c r="F1695"/>
      <c r="G1695"/>
      <c r="H1695"/>
      <c r="I1695"/>
      <c r="J1695"/>
      <c r="K1695"/>
    </row>
    <row r="1696" spans="1:11" ht="12.75" x14ac:dyDescent="0.2">
      <c r="A1696"/>
      <c r="B1696"/>
      <c r="C1696"/>
      <c r="D1696"/>
      <c r="E1696"/>
      <c r="F1696"/>
      <c r="G1696"/>
      <c r="H1696"/>
      <c r="I1696"/>
      <c r="J1696"/>
      <c r="K1696"/>
    </row>
    <row r="1697" spans="1:11" ht="12.75" x14ac:dyDescent="0.2">
      <c r="A1697"/>
      <c r="B1697"/>
      <c r="C1697"/>
      <c r="D1697"/>
      <c r="E1697"/>
      <c r="F1697"/>
      <c r="G1697"/>
      <c r="H1697"/>
      <c r="I1697"/>
      <c r="J1697"/>
      <c r="K1697"/>
    </row>
    <row r="1698" spans="1:11" ht="12.75" x14ac:dyDescent="0.2">
      <c r="A1698"/>
      <c r="B1698"/>
      <c r="C1698"/>
      <c r="D1698"/>
      <c r="E1698"/>
      <c r="F1698"/>
      <c r="G1698"/>
      <c r="H1698"/>
      <c r="I1698"/>
      <c r="J1698"/>
      <c r="K1698"/>
    </row>
    <row r="1699" spans="1:11" ht="12.75" x14ac:dyDescent="0.2">
      <c r="A1699"/>
      <c r="B1699"/>
      <c r="C1699"/>
      <c r="D1699"/>
      <c r="E1699"/>
      <c r="F1699"/>
      <c r="G1699"/>
      <c r="H1699"/>
      <c r="I1699"/>
      <c r="J1699"/>
      <c r="K1699"/>
    </row>
    <row r="1700" spans="1:11" ht="12.75" x14ac:dyDescent="0.2">
      <c r="A1700"/>
      <c r="B1700"/>
      <c r="C1700"/>
      <c r="D1700"/>
      <c r="E1700"/>
      <c r="F1700"/>
      <c r="G1700"/>
      <c r="H1700"/>
      <c r="I1700"/>
      <c r="J1700"/>
      <c r="K1700"/>
    </row>
    <row r="1701" spans="1:11" ht="12.75" x14ac:dyDescent="0.2">
      <c r="A1701"/>
      <c r="B1701"/>
      <c r="C1701"/>
      <c r="D1701"/>
      <c r="E1701"/>
      <c r="F1701"/>
      <c r="G1701"/>
      <c r="H1701"/>
      <c r="I1701"/>
      <c r="J1701"/>
      <c r="K1701"/>
    </row>
    <row r="1702" spans="1:11" ht="12.75" x14ac:dyDescent="0.2">
      <c r="A1702"/>
      <c r="B1702"/>
      <c r="C1702"/>
      <c r="D1702"/>
      <c r="E1702"/>
      <c r="F1702"/>
      <c r="G1702"/>
      <c r="H1702"/>
      <c r="I1702"/>
      <c r="J1702"/>
      <c r="K1702"/>
    </row>
    <row r="1703" spans="1:11" ht="12.75" x14ac:dyDescent="0.2">
      <c r="A1703"/>
      <c r="B1703"/>
      <c r="C1703"/>
      <c r="D1703"/>
      <c r="E1703"/>
      <c r="F1703"/>
      <c r="G1703"/>
      <c r="H1703"/>
      <c r="I1703"/>
      <c r="J1703"/>
      <c r="K1703"/>
    </row>
    <row r="1704" spans="1:11" ht="12.75" x14ac:dyDescent="0.2">
      <c r="A1704"/>
      <c r="B1704"/>
      <c r="C1704"/>
      <c r="D1704"/>
      <c r="E1704"/>
      <c r="F1704"/>
      <c r="G1704"/>
      <c r="H1704"/>
      <c r="I1704"/>
      <c r="J1704"/>
      <c r="K1704"/>
    </row>
    <row r="1705" spans="1:11" ht="12.75" x14ac:dyDescent="0.2">
      <c r="A1705"/>
      <c r="B1705"/>
      <c r="C1705"/>
      <c r="D1705"/>
      <c r="E1705"/>
      <c r="F1705"/>
      <c r="G1705"/>
      <c r="H1705"/>
      <c r="I1705"/>
      <c r="J1705"/>
      <c r="K1705"/>
    </row>
    <row r="1706" spans="1:11" ht="12.75" x14ac:dyDescent="0.2">
      <c r="A1706"/>
      <c r="B1706"/>
      <c r="C1706"/>
      <c r="D1706"/>
      <c r="E1706"/>
      <c r="F1706"/>
      <c r="G1706"/>
      <c r="H1706"/>
      <c r="I1706"/>
      <c r="J1706"/>
      <c r="K1706"/>
    </row>
    <row r="1707" spans="1:11" ht="12.75" x14ac:dyDescent="0.2">
      <c r="A1707"/>
      <c r="B1707"/>
      <c r="C1707"/>
      <c r="D1707"/>
      <c r="E1707"/>
      <c r="F1707"/>
      <c r="G1707"/>
      <c r="H1707"/>
      <c r="I1707"/>
      <c r="J1707"/>
      <c r="K1707"/>
    </row>
    <row r="1708" spans="1:11" ht="12.75" x14ac:dyDescent="0.2">
      <c r="A1708"/>
      <c r="B1708"/>
      <c r="C1708"/>
      <c r="D1708"/>
      <c r="E1708"/>
      <c r="F1708"/>
      <c r="G1708"/>
      <c r="H1708"/>
      <c r="I1708"/>
      <c r="J1708"/>
      <c r="K1708"/>
    </row>
    <row r="1709" spans="1:11" ht="12.75" x14ac:dyDescent="0.2">
      <c r="A1709"/>
      <c r="B1709"/>
      <c r="C1709"/>
      <c r="D1709"/>
      <c r="E1709"/>
      <c r="F1709"/>
      <c r="G1709"/>
      <c r="H1709"/>
      <c r="I1709"/>
      <c r="J1709"/>
      <c r="K1709"/>
    </row>
    <row r="1710" spans="1:11" ht="12.75" x14ac:dyDescent="0.2">
      <c r="A1710"/>
      <c r="B1710"/>
      <c r="C1710"/>
      <c r="D1710"/>
      <c r="E1710"/>
      <c r="F1710"/>
      <c r="G1710"/>
      <c r="H1710"/>
      <c r="I1710"/>
      <c r="J1710"/>
      <c r="K1710"/>
    </row>
    <row r="1711" spans="1:11" ht="12.75" x14ac:dyDescent="0.2">
      <c r="A1711"/>
      <c r="B1711"/>
      <c r="C1711"/>
      <c r="D1711"/>
      <c r="E1711"/>
      <c r="F1711"/>
      <c r="G1711"/>
      <c r="H1711"/>
      <c r="I1711"/>
      <c r="J1711"/>
      <c r="K1711"/>
    </row>
    <row r="1712" spans="1:11" ht="12.75" x14ac:dyDescent="0.2">
      <c r="A1712"/>
      <c r="B1712"/>
      <c r="C1712"/>
      <c r="D1712"/>
      <c r="E1712"/>
      <c r="F1712"/>
      <c r="G1712"/>
      <c r="H1712"/>
      <c r="I1712"/>
      <c r="J1712"/>
      <c r="K1712"/>
    </row>
    <row r="1713" spans="1:11" ht="12.75" x14ac:dyDescent="0.2">
      <c r="A1713"/>
      <c r="B1713"/>
      <c r="C1713"/>
      <c r="D1713"/>
      <c r="E1713"/>
      <c r="F1713"/>
      <c r="G1713"/>
      <c r="H1713"/>
      <c r="I1713"/>
      <c r="J1713"/>
      <c r="K1713"/>
    </row>
    <row r="1714" spans="1:11" ht="12.75" x14ac:dyDescent="0.2">
      <c r="A1714"/>
      <c r="B1714"/>
      <c r="C1714"/>
      <c r="D1714"/>
      <c r="E1714"/>
      <c r="F1714"/>
      <c r="G1714"/>
      <c r="H1714"/>
      <c r="I1714"/>
      <c r="J1714"/>
      <c r="K1714"/>
    </row>
    <row r="1715" spans="1:11" ht="12.75" x14ac:dyDescent="0.2">
      <c r="A1715"/>
      <c r="B1715"/>
      <c r="C1715"/>
      <c r="D1715"/>
      <c r="E1715"/>
      <c r="F1715"/>
      <c r="G1715"/>
      <c r="H1715"/>
      <c r="I1715"/>
      <c r="J1715"/>
      <c r="K1715"/>
    </row>
    <row r="1716" spans="1:11" ht="12.75" x14ac:dyDescent="0.2">
      <c r="A1716"/>
      <c r="B1716"/>
      <c r="C1716"/>
      <c r="D1716"/>
      <c r="E1716"/>
      <c r="F1716"/>
      <c r="G1716"/>
      <c r="H1716"/>
      <c r="I1716"/>
      <c r="J1716"/>
      <c r="K1716"/>
    </row>
    <row r="1717" spans="1:11" ht="12.75" x14ac:dyDescent="0.2">
      <c r="A1717"/>
      <c r="B1717"/>
      <c r="C1717"/>
      <c r="D1717"/>
      <c r="E1717"/>
      <c r="F1717"/>
      <c r="G1717"/>
      <c r="H1717"/>
      <c r="I1717"/>
      <c r="J1717"/>
      <c r="K1717"/>
    </row>
    <row r="1718" spans="1:11" ht="12.75" x14ac:dyDescent="0.2">
      <c r="A1718"/>
      <c r="B1718"/>
      <c r="C1718"/>
      <c r="D1718"/>
      <c r="E1718"/>
      <c r="F1718"/>
      <c r="G1718"/>
      <c r="H1718"/>
      <c r="I1718"/>
      <c r="J1718"/>
      <c r="K1718"/>
    </row>
    <row r="1719" spans="1:11" ht="12.75" x14ac:dyDescent="0.2">
      <c r="A1719"/>
      <c r="B1719"/>
      <c r="C1719"/>
      <c r="D1719"/>
      <c r="E1719"/>
      <c r="F1719"/>
      <c r="G1719"/>
      <c r="H1719"/>
      <c r="I1719"/>
      <c r="J1719"/>
      <c r="K1719"/>
    </row>
    <row r="1720" spans="1:11" ht="12.75" x14ac:dyDescent="0.2">
      <c r="A1720"/>
      <c r="B1720"/>
      <c r="C1720"/>
      <c r="D1720"/>
      <c r="E1720"/>
      <c r="F1720"/>
      <c r="G1720"/>
      <c r="H1720"/>
      <c r="I1720"/>
      <c r="J1720"/>
      <c r="K1720"/>
    </row>
    <row r="1721" spans="1:11" ht="12.75" x14ac:dyDescent="0.2">
      <c r="A1721"/>
      <c r="B1721"/>
      <c r="C1721"/>
      <c r="D1721"/>
      <c r="E1721"/>
      <c r="F1721"/>
      <c r="G1721"/>
      <c r="H1721"/>
      <c r="I1721"/>
      <c r="J1721"/>
      <c r="K1721"/>
    </row>
    <row r="1722" spans="1:11" ht="12.75" x14ac:dyDescent="0.2">
      <c r="A1722"/>
      <c r="B1722"/>
      <c r="C1722"/>
      <c r="D1722"/>
      <c r="E1722"/>
      <c r="F1722"/>
      <c r="G1722"/>
      <c r="H1722"/>
      <c r="I1722"/>
      <c r="J1722"/>
      <c r="K1722"/>
    </row>
    <row r="1723" spans="1:11" ht="12.75" x14ac:dyDescent="0.2">
      <c r="A1723"/>
      <c r="B1723"/>
      <c r="C1723"/>
      <c r="D1723"/>
      <c r="E1723"/>
      <c r="F1723"/>
      <c r="G1723"/>
      <c r="H1723"/>
      <c r="I1723"/>
      <c r="J1723"/>
      <c r="K1723"/>
    </row>
    <row r="1724" spans="1:11" ht="12.75" x14ac:dyDescent="0.2">
      <c r="A1724"/>
      <c r="B1724"/>
      <c r="C1724"/>
      <c r="D1724"/>
      <c r="E1724"/>
      <c r="F1724"/>
      <c r="G1724"/>
      <c r="H1724"/>
      <c r="I1724"/>
      <c r="J1724"/>
      <c r="K1724"/>
    </row>
    <row r="1725" spans="1:11" ht="12.75" x14ac:dyDescent="0.2">
      <c r="A1725"/>
      <c r="B1725"/>
      <c r="C1725"/>
      <c r="D1725"/>
      <c r="E1725"/>
      <c r="F1725"/>
      <c r="G1725"/>
      <c r="H1725"/>
      <c r="I1725"/>
      <c r="J1725"/>
      <c r="K1725"/>
    </row>
    <row r="1726" spans="1:11" ht="12.75" x14ac:dyDescent="0.2">
      <c r="A1726"/>
      <c r="B1726"/>
      <c r="C1726"/>
      <c r="D1726"/>
      <c r="E1726"/>
      <c r="F1726"/>
      <c r="G1726"/>
      <c r="H1726"/>
      <c r="I1726"/>
      <c r="J1726"/>
      <c r="K1726"/>
    </row>
    <row r="1727" spans="1:11" ht="12.75" x14ac:dyDescent="0.2">
      <c r="A1727"/>
      <c r="B1727"/>
      <c r="C1727"/>
      <c r="D1727"/>
      <c r="E1727"/>
      <c r="F1727"/>
      <c r="G1727"/>
      <c r="H1727"/>
      <c r="I1727"/>
      <c r="J1727"/>
      <c r="K1727"/>
    </row>
    <row r="1728" spans="1:11" ht="12.75" x14ac:dyDescent="0.2">
      <c r="A1728"/>
      <c r="B1728"/>
      <c r="C1728"/>
      <c r="D1728"/>
      <c r="E1728"/>
      <c r="F1728"/>
      <c r="G1728"/>
      <c r="H1728"/>
      <c r="I1728"/>
      <c r="J1728"/>
      <c r="K1728"/>
    </row>
    <row r="1729" spans="1:11" ht="12.75" x14ac:dyDescent="0.2">
      <c r="A1729"/>
      <c r="B1729"/>
      <c r="C1729"/>
      <c r="D1729"/>
      <c r="E1729"/>
      <c r="F1729"/>
      <c r="G1729"/>
      <c r="H1729"/>
      <c r="I1729"/>
      <c r="J1729"/>
      <c r="K1729"/>
    </row>
    <row r="1730" spans="1:11" ht="12.75" x14ac:dyDescent="0.2">
      <c r="A1730"/>
      <c r="B1730"/>
      <c r="C1730"/>
      <c r="D1730"/>
      <c r="E1730"/>
      <c r="F1730"/>
      <c r="G1730"/>
      <c r="H1730"/>
      <c r="I1730"/>
      <c r="J1730"/>
      <c r="K1730"/>
    </row>
    <row r="1731" spans="1:11" ht="12.75" x14ac:dyDescent="0.2">
      <c r="A1731"/>
      <c r="B1731"/>
      <c r="C1731"/>
      <c r="D1731"/>
      <c r="E1731"/>
      <c r="F1731"/>
      <c r="G1731"/>
      <c r="H1731"/>
      <c r="I1731"/>
      <c r="J1731"/>
      <c r="K1731"/>
    </row>
    <row r="1732" spans="1:11" ht="12.75" x14ac:dyDescent="0.2">
      <c r="A1732"/>
      <c r="B1732"/>
      <c r="C1732"/>
      <c r="D1732"/>
      <c r="E1732"/>
      <c r="F1732"/>
      <c r="G1732"/>
      <c r="H1732"/>
      <c r="I1732"/>
      <c r="J1732"/>
      <c r="K1732"/>
    </row>
    <row r="1733" spans="1:11" ht="12.75" x14ac:dyDescent="0.2">
      <c r="A1733"/>
      <c r="B1733"/>
      <c r="C1733"/>
      <c r="D1733"/>
      <c r="E1733"/>
      <c r="F1733"/>
      <c r="G1733"/>
      <c r="H1733"/>
      <c r="I1733"/>
      <c r="J1733"/>
      <c r="K1733"/>
    </row>
    <row r="1734" spans="1:11" ht="12.75" x14ac:dyDescent="0.2">
      <c r="A1734"/>
      <c r="B1734"/>
      <c r="C1734"/>
      <c r="D1734"/>
      <c r="E1734"/>
      <c r="F1734"/>
      <c r="G1734"/>
      <c r="H1734"/>
      <c r="I1734"/>
      <c r="J1734"/>
      <c r="K1734"/>
    </row>
    <row r="1735" spans="1:11" ht="12.75" x14ac:dyDescent="0.2">
      <c r="A1735"/>
      <c r="B1735"/>
      <c r="C1735"/>
      <c r="D1735"/>
      <c r="E1735"/>
      <c r="F1735"/>
      <c r="G1735"/>
      <c r="H1735"/>
      <c r="I1735"/>
      <c r="J1735"/>
      <c r="K1735"/>
    </row>
    <row r="1736" spans="1:11" ht="12.75" x14ac:dyDescent="0.2">
      <c r="A1736"/>
      <c r="B1736"/>
      <c r="C1736"/>
      <c r="D1736"/>
      <c r="E1736"/>
      <c r="F1736"/>
      <c r="G1736"/>
      <c r="H1736"/>
      <c r="I1736"/>
      <c r="J1736"/>
      <c r="K1736"/>
    </row>
    <row r="1737" spans="1:11" ht="12.75" x14ac:dyDescent="0.2">
      <c r="A1737"/>
      <c r="B1737"/>
      <c r="C1737"/>
      <c r="D1737"/>
      <c r="E1737"/>
      <c r="F1737"/>
      <c r="G1737"/>
      <c r="H1737"/>
      <c r="I1737"/>
      <c r="J1737"/>
      <c r="K1737"/>
    </row>
    <row r="1738" spans="1:11" ht="12.75" x14ac:dyDescent="0.2">
      <c r="A1738"/>
      <c r="B1738"/>
      <c r="C1738"/>
      <c r="D1738"/>
      <c r="E1738"/>
      <c r="F1738"/>
      <c r="G1738"/>
      <c r="H1738"/>
      <c r="I1738"/>
      <c r="J1738"/>
      <c r="K1738"/>
    </row>
    <row r="1739" spans="1:11" ht="12.75" x14ac:dyDescent="0.2">
      <c r="A1739"/>
      <c r="B1739"/>
      <c r="C1739"/>
      <c r="D1739"/>
      <c r="E1739"/>
      <c r="F1739"/>
      <c r="G1739"/>
      <c r="H1739"/>
      <c r="I1739"/>
      <c r="J1739"/>
      <c r="K1739"/>
    </row>
    <row r="1740" spans="1:11" ht="12.75" x14ac:dyDescent="0.2">
      <c r="A1740"/>
      <c r="B1740"/>
      <c r="C1740"/>
      <c r="D1740"/>
      <c r="E1740"/>
      <c r="F1740"/>
      <c r="G1740"/>
      <c r="H1740"/>
      <c r="I1740"/>
      <c r="J1740"/>
      <c r="K1740"/>
    </row>
    <row r="1741" spans="1:11" ht="12.75" x14ac:dyDescent="0.2">
      <c r="A1741"/>
      <c r="B1741"/>
      <c r="C1741"/>
      <c r="D1741"/>
      <c r="E1741"/>
      <c r="F1741"/>
      <c r="G1741"/>
      <c r="H1741"/>
      <c r="I1741"/>
      <c r="J1741"/>
      <c r="K1741"/>
    </row>
    <row r="1742" spans="1:11" ht="12.75" x14ac:dyDescent="0.2">
      <c r="A1742"/>
      <c r="B1742"/>
      <c r="C1742"/>
      <c r="D1742"/>
      <c r="E1742"/>
      <c r="F1742"/>
      <c r="G1742"/>
      <c r="H1742"/>
      <c r="I1742"/>
      <c r="J1742"/>
      <c r="K1742"/>
    </row>
    <row r="1743" spans="1:11" ht="12.75" x14ac:dyDescent="0.2">
      <c r="A1743"/>
      <c r="B1743"/>
      <c r="C1743"/>
      <c r="D1743"/>
      <c r="E1743"/>
      <c r="F1743"/>
      <c r="G1743"/>
      <c r="H1743"/>
      <c r="I1743"/>
      <c r="J1743"/>
      <c r="K1743"/>
    </row>
    <row r="1744" spans="1:11" ht="12.75" x14ac:dyDescent="0.2">
      <c r="A1744"/>
      <c r="B1744"/>
      <c r="C1744"/>
      <c r="D1744"/>
      <c r="E1744"/>
      <c r="F1744"/>
      <c r="G1744"/>
      <c r="H1744"/>
      <c r="I1744"/>
      <c r="J1744"/>
      <c r="K1744"/>
    </row>
    <row r="1745" spans="1:11" ht="12.75" x14ac:dyDescent="0.2">
      <c r="A1745"/>
      <c r="B1745"/>
      <c r="C1745"/>
      <c r="D1745"/>
      <c r="E1745"/>
      <c r="F1745"/>
      <c r="G1745"/>
      <c r="H1745"/>
      <c r="I1745"/>
      <c r="J1745"/>
      <c r="K1745"/>
    </row>
    <row r="1746" spans="1:11" ht="12.75" x14ac:dyDescent="0.2">
      <c r="A1746"/>
      <c r="B1746"/>
      <c r="C1746"/>
      <c r="D1746"/>
      <c r="E1746"/>
      <c r="F1746"/>
      <c r="G1746"/>
      <c r="H1746"/>
      <c r="I1746"/>
      <c r="J1746"/>
      <c r="K1746"/>
    </row>
    <row r="1747" spans="1:11" ht="12.75" x14ac:dyDescent="0.2">
      <c r="A1747"/>
      <c r="B1747"/>
      <c r="C1747"/>
      <c r="D1747"/>
      <c r="E1747"/>
      <c r="F1747"/>
      <c r="G1747"/>
      <c r="H1747"/>
      <c r="I1747"/>
      <c r="J1747"/>
      <c r="K1747"/>
    </row>
    <row r="1748" spans="1:11" ht="12.75" x14ac:dyDescent="0.2">
      <c r="A1748"/>
      <c r="B1748"/>
      <c r="C1748"/>
      <c r="D1748"/>
      <c r="E1748"/>
      <c r="F1748"/>
      <c r="G1748"/>
      <c r="H1748"/>
      <c r="I1748"/>
      <c r="J1748"/>
      <c r="K1748"/>
    </row>
    <row r="1749" spans="1:11" ht="12.75" x14ac:dyDescent="0.2">
      <c r="A1749"/>
      <c r="B1749"/>
      <c r="C1749"/>
      <c r="D1749"/>
      <c r="E1749"/>
      <c r="F1749"/>
      <c r="G1749"/>
      <c r="H1749"/>
      <c r="I1749"/>
      <c r="J1749"/>
      <c r="K1749"/>
    </row>
    <row r="1750" spans="1:11" ht="12.75" x14ac:dyDescent="0.2">
      <c r="A1750"/>
      <c r="B1750"/>
      <c r="C1750"/>
      <c r="D1750"/>
      <c r="E1750"/>
      <c r="F1750"/>
      <c r="G1750"/>
      <c r="H1750"/>
      <c r="I1750"/>
      <c r="J1750"/>
      <c r="K1750"/>
    </row>
    <row r="1751" spans="1:11" ht="12.75" x14ac:dyDescent="0.2">
      <c r="A1751"/>
      <c r="B1751"/>
      <c r="C1751"/>
      <c r="D1751"/>
      <c r="E1751"/>
      <c r="F1751"/>
      <c r="G1751"/>
      <c r="H1751"/>
      <c r="I1751"/>
      <c r="J1751"/>
      <c r="K1751"/>
    </row>
    <row r="1752" spans="1:11" ht="12.75" x14ac:dyDescent="0.2">
      <c r="A1752"/>
      <c r="B1752"/>
      <c r="C1752"/>
      <c r="D1752"/>
      <c r="E1752"/>
      <c r="F1752"/>
      <c r="G1752"/>
      <c r="H1752"/>
      <c r="I1752"/>
      <c r="J1752"/>
      <c r="K1752"/>
    </row>
    <row r="1753" spans="1:11" ht="12.75" x14ac:dyDescent="0.2">
      <c r="A1753"/>
      <c r="B1753"/>
      <c r="C1753"/>
      <c r="D1753"/>
      <c r="E1753"/>
      <c r="F1753"/>
      <c r="G1753"/>
      <c r="H1753"/>
      <c r="I1753"/>
      <c r="J1753"/>
      <c r="K1753"/>
    </row>
    <row r="1754" spans="1:11" ht="12.75" x14ac:dyDescent="0.2">
      <c r="A1754"/>
      <c r="B1754"/>
      <c r="C1754"/>
      <c r="D1754"/>
      <c r="E1754"/>
      <c r="F1754"/>
      <c r="G1754"/>
      <c r="H1754"/>
      <c r="I1754"/>
      <c r="J1754"/>
      <c r="K1754"/>
    </row>
    <row r="1755" spans="1:11" ht="12.75" x14ac:dyDescent="0.2">
      <c r="A1755"/>
      <c r="B1755"/>
      <c r="C1755"/>
      <c r="D1755"/>
      <c r="E1755"/>
      <c r="F1755"/>
      <c r="G1755"/>
      <c r="H1755"/>
      <c r="I1755"/>
      <c r="J1755"/>
      <c r="K1755"/>
    </row>
    <row r="1756" spans="1:11" ht="12.75" x14ac:dyDescent="0.2">
      <c r="A1756"/>
      <c r="B1756"/>
      <c r="C1756"/>
      <c r="D1756"/>
      <c r="E1756"/>
      <c r="F1756"/>
      <c r="G1756"/>
      <c r="H1756"/>
      <c r="I1756"/>
      <c r="J1756"/>
      <c r="K1756"/>
    </row>
    <row r="1757" spans="1:11" ht="12.75" x14ac:dyDescent="0.2">
      <c r="A1757"/>
      <c r="B1757"/>
      <c r="C1757"/>
      <c r="D1757"/>
      <c r="E1757"/>
      <c r="F1757"/>
      <c r="G1757"/>
      <c r="H1757"/>
      <c r="I1757"/>
      <c r="J1757"/>
      <c r="K1757"/>
    </row>
    <row r="1758" spans="1:11" ht="12.75" x14ac:dyDescent="0.2">
      <c r="A1758"/>
      <c r="B1758"/>
      <c r="C1758"/>
      <c r="D1758"/>
      <c r="E1758"/>
      <c r="F1758"/>
      <c r="G1758"/>
      <c r="H1758"/>
      <c r="I1758"/>
      <c r="J1758"/>
      <c r="K1758"/>
    </row>
    <row r="1759" spans="1:11" ht="12.75" x14ac:dyDescent="0.2">
      <c r="A1759"/>
      <c r="B1759"/>
      <c r="C1759"/>
      <c r="D1759"/>
      <c r="E1759"/>
      <c r="F1759"/>
      <c r="G1759"/>
      <c r="H1759"/>
      <c r="I1759"/>
      <c r="J1759"/>
      <c r="K1759"/>
    </row>
    <row r="1760" spans="1:11" ht="12.75" x14ac:dyDescent="0.2">
      <c r="A1760"/>
      <c r="B1760"/>
      <c r="C1760"/>
      <c r="D1760"/>
      <c r="E1760"/>
      <c r="F1760"/>
      <c r="G1760"/>
      <c r="H1760"/>
      <c r="I1760"/>
      <c r="J1760"/>
      <c r="K1760"/>
    </row>
    <row r="1761" spans="1:11" ht="12.75" x14ac:dyDescent="0.2">
      <c r="A1761"/>
      <c r="B1761"/>
      <c r="C1761"/>
      <c r="D1761"/>
      <c r="E1761"/>
      <c r="F1761"/>
      <c r="G1761"/>
      <c r="H1761"/>
      <c r="I1761"/>
      <c r="J1761"/>
      <c r="K1761"/>
    </row>
    <row r="1762" spans="1:11" ht="12.75" x14ac:dyDescent="0.2">
      <c r="A1762"/>
      <c r="B1762"/>
      <c r="C1762"/>
      <c r="D1762"/>
      <c r="E1762"/>
      <c r="F1762"/>
      <c r="G1762"/>
      <c r="H1762"/>
      <c r="I1762"/>
      <c r="J1762"/>
      <c r="K1762"/>
    </row>
    <row r="1763" spans="1:11" ht="12.75" x14ac:dyDescent="0.2">
      <c r="A1763"/>
      <c r="B1763"/>
      <c r="C1763"/>
      <c r="D1763"/>
      <c r="E1763"/>
      <c r="F1763"/>
      <c r="G1763"/>
      <c r="H1763"/>
      <c r="I1763"/>
      <c r="J1763"/>
      <c r="K1763"/>
    </row>
    <row r="1764" spans="1:11" ht="12.75" x14ac:dyDescent="0.2">
      <c r="A1764"/>
      <c r="B1764"/>
      <c r="C1764"/>
      <c r="D1764"/>
      <c r="E1764"/>
      <c r="F1764"/>
      <c r="G1764"/>
      <c r="H1764"/>
      <c r="I1764"/>
      <c r="J1764"/>
      <c r="K1764"/>
    </row>
    <row r="1765" spans="1:11" ht="12.75" x14ac:dyDescent="0.2">
      <c r="A1765"/>
      <c r="B1765"/>
      <c r="C1765"/>
      <c r="D1765"/>
      <c r="E1765"/>
      <c r="F1765"/>
      <c r="G1765"/>
      <c r="H1765"/>
      <c r="I1765"/>
      <c r="J1765"/>
      <c r="K1765"/>
    </row>
    <row r="1766" spans="1:11" ht="12.75" x14ac:dyDescent="0.2">
      <c r="A1766"/>
      <c r="B1766"/>
      <c r="C1766"/>
      <c r="D1766"/>
      <c r="E1766"/>
      <c r="F1766"/>
      <c r="G1766"/>
      <c r="H1766"/>
      <c r="I1766"/>
      <c r="J1766"/>
      <c r="K1766"/>
    </row>
    <row r="1767" spans="1:11" ht="12.75" x14ac:dyDescent="0.2">
      <c r="A1767"/>
      <c r="B1767"/>
      <c r="C1767"/>
      <c r="D1767"/>
      <c r="E1767"/>
      <c r="F1767"/>
      <c r="G1767"/>
      <c r="H1767"/>
      <c r="I1767"/>
      <c r="J1767"/>
      <c r="K1767"/>
    </row>
    <row r="1768" spans="1:11" ht="12.75" x14ac:dyDescent="0.2">
      <c r="A1768"/>
      <c r="B1768"/>
      <c r="C1768"/>
      <c r="D1768"/>
      <c r="E1768"/>
      <c r="F1768"/>
      <c r="G1768"/>
      <c r="H1768"/>
      <c r="I1768"/>
      <c r="J1768"/>
      <c r="K1768"/>
    </row>
    <row r="1769" spans="1:11" ht="12.75" x14ac:dyDescent="0.2">
      <c r="A1769"/>
      <c r="B1769"/>
      <c r="C1769"/>
      <c r="D1769"/>
      <c r="E1769"/>
      <c r="F1769"/>
      <c r="G1769"/>
      <c r="H1769"/>
      <c r="I1769"/>
      <c r="J1769"/>
      <c r="K1769"/>
    </row>
    <row r="1770" spans="1:11" ht="12.75" x14ac:dyDescent="0.2">
      <c r="A1770"/>
      <c r="B1770"/>
      <c r="C1770"/>
      <c r="D1770"/>
      <c r="E1770"/>
      <c r="F1770"/>
      <c r="G1770"/>
      <c r="H1770"/>
      <c r="I1770"/>
      <c r="J1770"/>
      <c r="K1770"/>
    </row>
    <row r="1771" spans="1:11" ht="12.75" x14ac:dyDescent="0.2">
      <c r="A1771"/>
      <c r="B1771"/>
      <c r="C1771"/>
      <c r="D1771"/>
      <c r="E1771"/>
      <c r="F1771"/>
      <c r="G1771"/>
      <c r="H1771"/>
      <c r="I1771"/>
      <c r="J1771"/>
      <c r="K1771"/>
    </row>
    <row r="1772" spans="1:11" ht="12.75" x14ac:dyDescent="0.2">
      <c r="A1772"/>
      <c r="B1772"/>
      <c r="C1772"/>
      <c r="D1772"/>
      <c r="E1772"/>
      <c r="F1772"/>
      <c r="G1772"/>
      <c r="H1772"/>
      <c r="I1772"/>
      <c r="J1772"/>
      <c r="K1772"/>
    </row>
    <row r="1773" spans="1:11" ht="12.75" x14ac:dyDescent="0.2">
      <c r="A1773"/>
      <c r="B1773"/>
      <c r="C1773"/>
      <c r="D1773"/>
      <c r="E1773"/>
      <c r="F1773"/>
      <c r="G1773"/>
      <c r="H1773"/>
      <c r="I1773"/>
      <c r="J1773"/>
      <c r="K1773"/>
    </row>
    <row r="1774" spans="1:11" ht="12.75" x14ac:dyDescent="0.2">
      <c r="A1774"/>
      <c r="B1774"/>
      <c r="C1774"/>
      <c r="D1774"/>
      <c r="E1774"/>
      <c r="F1774"/>
      <c r="G1774"/>
      <c r="H1774"/>
      <c r="I1774"/>
      <c r="J1774"/>
      <c r="K1774"/>
    </row>
    <row r="1775" spans="1:11" ht="12.75" x14ac:dyDescent="0.2">
      <c r="A1775"/>
      <c r="B1775"/>
      <c r="C1775"/>
      <c r="D1775"/>
      <c r="E1775"/>
      <c r="F1775"/>
      <c r="G1775"/>
      <c r="H1775"/>
      <c r="I1775"/>
      <c r="J1775"/>
      <c r="K1775"/>
    </row>
    <row r="1776" spans="1:11" ht="12.75" x14ac:dyDescent="0.2">
      <c r="A1776"/>
      <c r="B1776"/>
      <c r="C1776"/>
      <c r="D1776"/>
      <c r="E1776"/>
      <c r="F1776"/>
      <c r="G1776"/>
      <c r="H1776"/>
      <c r="I1776"/>
      <c r="J1776"/>
      <c r="K1776"/>
    </row>
    <row r="1777" spans="1:11" ht="12.75" x14ac:dyDescent="0.2">
      <c r="A1777"/>
      <c r="B1777"/>
      <c r="C1777"/>
      <c r="D1777"/>
      <c r="E1777"/>
      <c r="F1777"/>
      <c r="G1777"/>
      <c r="H1777"/>
      <c r="I1777"/>
      <c r="J1777"/>
      <c r="K1777"/>
    </row>
    <row r="1778" spans="1:11" ht="12.75" x14ac:dyDescent="0.2">
      <c r="A1778"/>
      <c r="B1778"/>
      <c r="C1778"/>
      <c r="D1778"/>
      <c r="E1778"/>
      <c r="F1778"/>
      <c r="G1778"/>
      <c r="H1778"/>
      <c r="I1778"/>
      <c r="J1778"/>
      <c r="K1778"/>
    </row>
    <row r="1779" spans="1:11" ht="12.75" x14ac:dyDescent="0.2">
      <c r="A1779"/>
      <c r="B1779"/>
      <c r="C1779"/>
      <c r="D1779"/>
      <c r="E1779"/>
      <c r="F1779"/>
      <c r="G1779"/>
      <c r="H1779"/>
      <c r="I1779"/>
      <c r="J1779"/>
      <c r="K1779"/>
    </row>
    <row r="1780" spans="1:11" ht="12.75" x14ac:dyDescent="0.2">
      <c r="A1780"/>
      <c r="B1780"/>
      <c r="C1780"/>
      <c r="D1780"/>
      <c r="E1780"/>
      <c r="F1780"/>
      <c r="G1780"/>
      <c r="H1780"/>
      <c r="I1780"/>
      <c r="J1780"/>
      <c r="K1780"/>
    </row>
    <row r="1781" spans="1:11" ht="12.75" x14ac:dyDescent="0.2">
      <c r="A1781"/>
      <c r="B1781"/>
      <c r="C1781"/>
      <c r="D1781"/>
      <c r="E1781"/>
      <c r="F1781"/>
      <c r="G1781"/>
      <c r="H1781"/>
      <c r="I1781"/>
      <c r="J1781"/>
      <c r="K1781"/>
    </row>
    <row r="1782" spans="1:11" ht="12.75" x14ac:dyDescent="0.2">
      <c r="A1782"/>
      <c r="B1782"/>
      <c r="C1782"/>
      <c r="D1782"/>
      <c r="E1782"/>
      <c r="F1782"/>
      <c r="G1782"/>
      <c r="H1782"/>
      <c r="I1782"/>
      <c r="J1782"/>
      <c r="K1782"/>
    </row>
    <row r="1783" spans="1:11" ht="12.75" x14ac:dyDescent="0.2">
      <c r="A1783"/>
      <c r="B1783"/>
      <c r="C1783"/>
      <c r="D1783"/>
      <c r="E1783"/>
      <c r="F1783"/>
      <c r="G1783"/>
      <c r="H1783"/>
      <c r="I1783"/>
      <c r="J1783"/>
      <c r="K1783"/>
    </row>
    <row r="1784" spans="1:11" ht="12.75" x14ac:dyDescent="0.2">
      <c r="A1784"/>
      <c r="B1784"/>
      <c r="C1784"/>
      <c r="D1784"/>
      <c r="E1784"/>
      <c r="F1784"/>
      <c r="G1784"/>
      <c r="H1784"/>
      <c r="I1784"/>
      <c r="J1784"/>
      <c r="K1784"/>
    </row>
    <row r="1785" spans="1:11" ht="12.75" x14ac:dyDescent="0.2">
      <c r="A1785"/>
      <c r="B1785"/>
      <c r="C1785"/>
      <c r="D1785"/>
      <c r="E1785"/>
      <c r="F1785"/>
      <c r="G1785"/>
      <c r="H1785"/>
      <c r="I1785"/>
      <c r="J1785"/>
      <c r="K1785"/>
    </row>
    <row r="1786" spans="1:11" ht="12.75" x14ac:dyDescent="0.2">
      <c r="A1786"/>
      <c r="B1786"/>
      <c r="C1786"/>
      <c r="D1786"/>
      <c r="E1786"/>
      <c r="F1786"/>
      <c r="G1786"/>
      <c r="H1786"/>
      <c r="I1786"/>
      <c r="J1786"/>
      <c r="K1786"/>
    </row>
    <row r="1787" spans="1:11" ht="12.75" x14ac:dyDescent="0.2">
      <c r="A1787"/>
      <c r="B1787"/>
      <c r="C1787"/>
      <c r="D1787"/>
      <c r="E1787"/>
      <c r="F1787"/>
      <c r="G1787"/>
      <c r="H1787"/>
      <c r="I1787"/>
      <c r="J1787"/>
      <c r="K1787"/>
    </row>
    <row r="1788" spans="1:11" ht="12.75" x14ac:dyDescent="0.2">
      <c r="A1788"/>
      <c r="B1788"/>
      <c r="C1788"/>
      <c r="D1788"/>
      <c r="E1788"/>
      <c r="F1788"/>
      <c r="G1788"/>
      <c r="H1788"/>
      <c r="I1788"/>
      <c r="J1788"/>
      <c r="K1788"/>
    </row>
    <row r="1789" spans="1:11" ht="12.75" x14ac:dyDescent="0.2">
      <c r="A1789"/>
      <c r="B1789"/>
      <c r="C1789"/>
      <c r="D1789"/>
      <c r="E1789"/>
      <c r="F1789"/>
      <c r="G1789"/>
      <c r="H1789"/>
      <c r="I1789"/>
      <c r="J1789"/>
      <c r="K1789"/>
    </row>
    <row r="1790" spans="1:11" ht="12.75" x14ac:dyDescent="0.2">
      <c r="A1790"/>
      <c r="B1790"/>
      <c r="C1790"/>
      <c r="D1790"/>
      <c r="E1790"/>
      <c r="F1790"/>
      <c r="G1790"/>
      <c r="H1790"/>
      <c r="I1790"/>
      <c r="J1790"/>
      <c r="K1790"/>
    </row>
    <row r="1791" spans="1:11" ht="12.75" x14ac:dyDescent="0.2">
      <c r="A1791"/>
      <c r="B1791"/>
      <c r="C1791"/>
      <c r="D1791"/>
      <c r="E1791"/>
      <c r="F1791"/>
      <c r="G1791"/>
      <c r="H1791"/>
      <c r="I1791"/>
      <c r="J1791"/>
      <c r="K1791"/>
    </row>
    <row r="1792" spans="1:11" ht="12.75" x14ac:dyDescent="0.2">
      <c r="A1792"/>
      <c r="B1792"/>
      <c r="C1792"/>
      <c r="D1792"/>
      <c r="E1792"/>
      <c r="F1792"/>
      <c r="G1792"/>
      <c r="H1792"/>
      <c r="I1792"/>
      <c r="J1792"/>
      <c r="K1792"/>
    </row>
    <row r="1793" spans="1:11" ht="12.75" x14ac:dyDescent="0.2">
      <c r="A1793"/>
      <c r="B1793"/>
      <c r="C1793"/>
      <c r="D1793"/>
      <c r="E1793"/>
      <c r="F1793"/>
      <c r="G1793"/>
      <c r="H1793"/>
      <c r="I1793"/>
      <c r="J1793"/>
      <c r="K1793"/>
    </row>
    <row r="1794" spans="1:11" ht="12.75" x14ac:dyDescent="0.2">
      <c r="A1794"/>
      <c r="B1794"/>
      <c r="C1794"/>
      <c r="D1794"/>
      <c r="E1794"/>
      <c r="F1794"/>
      <c r="G1794"/>
      <c r="H1794"/>
      <c r="I1794"/>
      <c r="J1794"/>
      <c r="K1794"/>
    </row>
    <row r="1795" spans="1:11" ht="12.75" x14ac:dyDescent="0.2">
      <c r="A1795"/>
      <c r="B1795"/>
      <c r="C1795"/>
      <c r="D1795"/>
      <c r="E1795"/>
      <c r="F1795"/>
      <c r="G1795"/>
      <c r="H1795"/>
      <c r="I1795"/>
      <c r="J1795"/>
      <c r="K1795"/>
    </row>
    <row r="1796" spans="1:11" ht="12.75" x14ac:dyDescent="0.2">
      <c r="A1796"/>
      <c r="B1796"/>
      <c r="C1796"/>
      <c r="D1796"/>
      <c r="E1796"/>
      <c r="F1796"/>
      <c r="G1796"/>
      <c r="H1796"/>
      <c r="I1796"/>
      <c r="J1796"/>
      <c r="K1796"/>
    </row>
    <row r="1797" spans="1:11" ht="12.75" x14ac:dyDescent="0.2">
      <c r="A1797"/>
      <c r="B1797"/>
      <c r="C1797"/>
      <c r="D1797"/>
      <c r="E1797"/>
      <c r="F1797"/>
      <c r="G1797"/>
      <c r="H1797"/>
      <c r="I1797"/>
      <c r="J1797"/>
      <c r="K1797"/>
    </row>
    <row r="1798" spans="1:11" ht="12.75" x14ac:dyDescent="0.2">
      <c r="A1798"/>
      <c r="B1798"/>
      <c r="C1798"/>
      <c r="D1798"/>
      <c r="E1798"/>
      <c r="F1798"/>
      <c r="G1798"/>
      <c r="H1798"/>
      <c r="I1798"/>
      <c r="J1798"/>
      <c r="K1798"/>
    </row>
    <row r="1799" spans="1:11" ht="12.75" x14ac:dyDescent="0.2">
      <c r="A1799"/>
      <c r="B1799"/>
      <c r="C1799"/>
      <c r="D1799"/>
      <c r="E1799"/>
      <c r="F1799"/>
      <c r="G1799"/>
      <c r="H1799"/>
      <c r="I1799"/>
      <c r="J1799"/>
      <c r="K1799"/>
    </row>
    <row r="1800" spans="1:11" ht="12.75" x14ac:dyDescent="0.2">
      <c r="A1800"/>
      <c r="B1800"/>
      <c r="C1800"/>
      <c r="D1800"/>
      <c r="E1800"/>
      <c r="F1800"/>
      <c r="G1800"/>
      <c r="H1800"/>
      <c r="I1800"/>
      <c r="J1800"/>
      <c r="K1800"/>
    </row>
    <row r="1801" spans="1:11" ht="12.75" x14ac:dyDescent="0.2">
      <c r="A1801"/>
      <c r="B1801"/>
      <c r="C1801"/>
      <c r="D1801"/>
      <c r="E1801"/>
      <c r="F1801"/>
      <c r="G1801"/>
      <c r="H1801"/>
      <c r="I1801"/>
      <c r="J1801"/>
      <c r="K1801"/>
    </row>
    <row r="1802" spans="1:11" ht="12.75" x14ac:dyDescent="0.2">
      <c r="A1802"/>
      <c r="B1802"/>
      <c r="C1802"/>
      <c r="D1802"/>
      <c r="E1802"/>
      <c r="F1802"/>
      <c r="G1802"/>
      <c r="H1802"/>
      <c r="I1802"/>
      <c r="J1802"/>
      <c r="K1802"/>
    </row>
    <row r="1803" spans="1:11" ht="12.75" x14ac:dyDescent="0.2">
      <c r="A1803"/>
      <c r="B1803"/>
      <c r="C1803"/>
      <c r="D1803"/>
      <c r="E1803"/>
      <c r="F1803"/>
      <c r="G1803"/>
      <c r="H1803"/>
      <c r="I1803"/>
      <c r="J1803"/>
      <c r="K1803"/>
    </row>
    <row r="1804" spans="1:11" ht="12.75" x14ac:dyDescent="0.2">
      <c r="A1804"/>
      <c r="B1804"/>
      <c r="C1804"/>
      <c r="D1804"/>
      <c r="E1804"/>
      <c r="F1804"/>
      <c r="G1804"/>
      <c r="H1804"/>
      <c r="I1804"/>
      <c r="J1804"/>
      <c r="K1804"/>
    </row>
    <row r="1805" spans="1:11" ht="12.75" x14ac:dyDescent="0.2">
      <c r="A1805"/>
      <c r="B1805"/>
      <c r="C1805"/>
      <c r="D1805"/>
      <c r="E1805"/>
      <c r="F1805"/>
      <c r="G1805"/>
      <c r="H1805"/>
      <c r="I1805"/>
      <c r="J1805"/>
      <c r="K1805"/>
    </row>
    <row r="1806" spans="1:11" ht="12.75" x14ac:dyDescent="0.2">
      <c r="A1806"/>
      <c r="B1806"/>
      <c r="C1806"/>
      <c r="D1806"/>
      <c r="E1806"/>
      <c r="F1806"/>
      <c r="G1806"/>
      <c r="H1806"/>
      <c r="I1806"/>
      <c r="J1806"/>
      <c r="K1806"/>
    </row>
    <row r="1807" spans="1:11" ht="12.75" x14ac:dyDescent="0.2">
      <c r="A1807"/>
      <c r="B1807"/>
      <c r="C1807"/>
      <c r="D1807"/>
      <c r="E1807"/>
      <c r="F1807"/>
      <c r="G1807"/>
      <c r="H1807"/>
      <c r="I1807"/>
      <c r="J1807"/>
      <c r="K1807"/>
    </row>
    <row r="1808" spans="1:11" ht="12.75" x14ac:dyDescent="0.2">
      <c r="A1808"/>
      <c r="B1808"/>
      <c r="C1808"/>
      <c r="D1808"/>
      <c r="E1808"/>
      <c r="F1808"/>
      <c r="G1808"/>
      <c r="H1808"/>
      <c r="I1808"/>
      <c r="J1808"/>
      <c r="K1808"/>
    </row>
    <row r="1809" spans="1:11" ht="12.75" x14ac:dyDescent="0.2">
      <c r="A1809"/>
      <c r="B1809"/>
      <c r="C1809"/>
      <c r="D1809"/>
      <c r="E1809"/>
      <c r="F1809"/>
      <c r="G1809"/>
      <c r="H1809"/>
      <c r="I1809"/>
      <c r="J1809"/>
      <c r="K1809"/>
    </row>
    <row r="1810" spans="1:11" ht="12.75" x14ac:dyDescent="0.2">
      <c r="A1810"/>
      <c r="B1810"/>
      <c r="C1810"/>
      <c r="D1810"/>
      <c r="E1810"/>
      <c r="F1810"/>
      <c r="G1810"/>
      <c r="H1810"/>
      <c r="I1810"/>
      <c r="J1810"/>
      <c r="K1810"/>
    </row>
    <row r="1811" spans="1:11" ht="12.75" x14ac:dyDescent="0.2">
      <c r="A1811"/>
      <c r="B1811"/>
      <c r="C1811"/>
      <c r="D1811"/>
      <c r="E1811"/>
      <c r="F1811"/>
      <c r="G1811"/>
      <c r="H1811"/>
      <c r="I1811"/>
      <c r="J1811"/>
      <c r="K1811"/>
    </row>
    <row r="1812" spans="1:11" ht="12.75" x14ac:dyDescent="0.2">
      <c r="A1812"/>
      <c r="B1812"/>
      <c r="C1812"/>
      <c r="D1812"/>
      <c r="E1812"/>
      <c r="F1812"/>
      <c r="G1812"/>
      <c r="H1812"/>
      <c r="I1812"/>
      <c r="J1812"/>
      <c r="K1812"/>
    </row>
    <row r="1813" spans="1:11" ht="12.75" x14ac:dyDescent="0.2">
      <c r="A1813"/>
      <c r="B1813"/>
      <c r="C1813"/>
      <c r="D1813"/>
      <c r="E1813"/>
      <c r="F1813"/>
      <c r="G1813"/>
      <c r="H1813"/>
      <c r="I1813"/>
      <c r="J1813"/>
      <c r="K1813"/>
    </row>
    <row r="1814" spans="1:11" ht="12.75" x14ac:dyDescent="0.2">
      <c r="A1814"/>
      <c r="B1814"/>
      <c r="C1814"/>
      <c r="D1814"/>
      <c r="E1814"/>
      <c r="F1814"/>
      <c r="G1814"/>
      <c r="H1814"/>
      <c r="I1814"/>
      <c r="J1814"/>
      <c r="K1814"/>
    </row>
    <row r="1815" spans="1:11" ht="12.75" x14ac:dyDescent="0.2">
      <c r="A1815"/>
      <c r="B1815"/>
      <c r="C1815"/>
      <c r="D1815"/>
      <c r="E1815"/>
      <c r="F1815"/>
      <c r="G1815"/>
      <c r="H1815"/>
      <c r="I1815"/>
      <c r="J1815"/>
      <c r="K1815"/>
    </row>
    <row r="1816" spans="1:11" ht="12.75" x14ac:dyDescent="0.2">
      <c r="A1816"/>
      <c r="B1816"/>
      <c r="C1816"/>
      <c r="D1816"/>
      <c r="E1816"/>
      <c r="F1816"/>
      <c r="G1816"/>
      <c r="H1816"/>
      <c r="I1816"/>
      <c r="J1816"/>
      <c r="K1816"/>
    </row>
    <row r="1817" spans="1:11" ht="12.75" x14ac:dyDescent="0.2">
      <c r="A1817"/>
      <c r="B1817"/>
      <c r="C1817"/>
      <c r="D1817"/>
      <c r="E1817"/>
      <c r="F1817"/>
      <c r="G1817"/>
      <c r="H1817"/>
      <c r="I1817"/>
      <c r="J1817"/>
      <c r="K1817"/>
    </row>
    <row r="1818" spans="1:11" ht="12.75" x14ac:dyDescent="0.2">
      <c r="A1818"/>
      <c r="B1818"/>
      <c r="C1818"/>
      <c r="D1818"/>
      <c r="E1818"/>
      <c r="F1818"/>
      <c r="G1818"/>
      <c r="H1818"/>
      <c r="I1818"/>
      <c r="J1818"/>
      <c r="K1818"/>
    </row>
    <row r="1819" spans="1:11" ht="12.75" x14ac:dyDescent="0.2">
      <c r="A1819"/>
      <c r="B1819"/>
      <c r="C1819"/>
      <c r="D1819"/>
      <c r="E1819"/>
      <c r="F1819"/>
      <c r="G1819"/>
      <c r="H1819"/>
      <c r="I1819"/>
      <c r="J1819"/>
      <c r="K1819"/>
    </row>
    <row r="1820" spans="1:11" ht="12.75" x14ac:dyDescent="0.2">
      <c r="A1820"/>
      <c r="B1820"/>
      <c r="C1820"/>
      <c r="D1820"/>
      <c r="E1820"/>
      <c r="F1820"/>
      <c r="G1820"/>
      <c r="H1820"/>
      <c r="I1820"/>
      <c r="J1820"/>
      <c r="K1820"/>
    </row>
    <row r="1821" spans="1:11" ht="12.75" x14ac:dyDescent="0.2">
      <c r="A1821"/>
      <c r="B1821"/>
      <c r="C1821"/>
      <c r="D1821"/>
      <c r="E1821"/>
      <c r="F1821"/>
      <c r="G1821"/>
      <c r="H1821"/>
      <c r="I1821"/>
      <c r="J1821"/>
      <c r="K1821"/>
    </row>
    <row r="1822" spans="1:11" ht="12.75" x14ac:dyDescent="0.2">
      <c r="A1822"/>
      <c r="B1822"/>
      <c r="C1822"/>
      <c r="D1822"/>
      <c r="E1822"/>
      <c r="F1822"/>
      <c r="G1822"/>
      <c r="H1822"/>
      <c r="I1822"/>
      <c r="J1822"/>
      <c r="K1822"/>
    </row>
    <row r="1823" spans="1:11" ht="12.75" x14ac:dyDescent="0.2">
      <c r="A1823"/>
      <c r="B1823"/>
      <c r="C1823"/>
      <c r="D1823"/>
      <c r="E1823"/>
      <c r="F1823"/>
      <c r="G1823"/>
      <c r="H1823"/>
      <c r="I1823"/>
      <c r="J1823"/>
      <c r="K1823"/>
    </row>
    <row r="1824" spans="1:11" ht="12.75" x14ac:dyDescent="0.2">
      <c r="A1824"/>
      <c r="B1824"/>
      <c r="C1824"/>
      <c r="D1824"/>
      <c r="E1824"/>
      <c r="F1824"/>
      <c r="G1824"/>
      <c r="H1824"/>
      <c r="I1824"/>
      <c r="J1824"/>
      <c r="K1824"/>
    </row>
    <row r="1825" spans="1:11" ht="12.75" x14ac:dyDescent="0.2">
      <c r="A1825"/>
      <c r="B1825"/>
      <c r="C1825"/>
      <c r="D1825"/>
      <c r="E1825"/>
      <c r="F1825"/>
      <c r="G1825"/>
      <c r="H1825"/>
      <c r="I1825"/>
      <c r="J1825"/>
      <c r="K1825"/>
    </row>
    <row r="1826" spans="1:11" ht="12.75" x14ac:dyDescent="0.2">
      <c r="A1826"/>
      <c r="B1826"/>
      <c r="C1826"/>
      <c r="D1826"/>
      <c r="E1826"/>
      <c r="F1826"/>
      <c r="G1826"/>
      <c r="H1826"/>
      <c r="I1826"/>
      <c r="J1826"/>
      <c r="K1826"/>
    </row>
    <row r="1827" spans="1:11" ht="12.75" x14ac:dyDescent="0.2">
      <c r="A1827"/>
      <c r="B1827"/>
      <c r="C1827"/>
      <c r="D1827"/>
      <c r="E1827"/>
      <c r="F1827"/>
      <c r="G1827"/>
      <c r="H1827"/>
      <c r="I1827"/>
      <c r="J1827"/>
      <c r="K1827"/>
    </row>
    <row r="1828" spans="1:11" ht="12.75" x14ac:dyDescent="0.2">
      <c r="A1828"/>
      <c r="B1828"/>
      <c r="C1828"/>
      <c r="D1828"/>
      <c r="E1828"/>
      <c r="F1828"/>
      <c r="G1828"/>
      <c r="H1828"/>
      <c r="I1828"/>
      <c r="J1828"/>
      <c r="K1828"/>
    </row>
    <row r="1829" spans="1:11" ht="12.75" x14ac:dyDescent="0.2">
      <c r="A1829"/>
      <c r="B1829"/>
      <c r="C1829"/>
      <c r="D1829"/>
      <c r="E1829"/>
      <c r="F1829"/>
      <c r="G1829"/>
      <c r="H1829"/>
      <c r="I1829"/>
      <c r="J1829"/>
      <c r="K1829"/>
    </row>
    <row r="1830" spans="1:11" ht="12.75" x14ac:dyDescent="0.2">
      <c r="A1830"/>
      <c r="B1830"/>
      <c r="C1830"/>
      <c r="D1830"/>
      <c r="E1830"/>
      <c r="F1830"/>
      <c r="G1830"/>
      <c r="H1830"/>
      <c r="I1830"/>
      <c r="J1830"/>
      <c r="K1830"/>
    </row>
    <row r="1831" spans="1:11" ht="12.75" x14ac:dyDescent="0.2">
      <c r="A1831"/>
      <c r="B1831"/>
      <c r="C1831"/>
      <c r="D1831"/>
      <c r="E1831"/>
      <c r="F1831"/>
      <c r="G1831"/>
      <c r="H1831"/>
      <c r="I1831"/>
      <c r="J1831"/>
      <c r="K1831"/>
    </row>
    <row r="1832" spans="1:11" ht="12.75" x14ac:dyDescent="0.2">
      <c r="A1832"/>
      <c r="B1832"/>
      <c r="C1832"/>
      <c r="D1832"/>
      <c r="E1832"/>
      <c r="F1832"/>
      <c r="G1832"/>
      <c r="H1832"/>
      <c r="I1832"/>
      <c r="J1832"/>
      <c r="K1832"/>
    </row>
    <row r="1833" spans="1:11" ht="12.75" x14ac:dyDescent="0.2">
      <c r="A1833"/>
      <c r="B1833"/>
      <c r="C1833"/>
      <c r="D1833"/>
      <c r="E1833"/>
      <c r="F1833"/>
      <c r="G1833"/>
      <c r="H1833"/>
      <c r="I1833"/>
      <c r="J1833"/>
      <c r="K1833"/>
    </row>
    <row r="1834" spans="1:11" ht="12.75" x14ac:dyDescent="0.2">
      <c r="A1834"/>
      <c r="B1834"/>
      <c r="C1834"/>
      <c r="D1834"/>
      <c r="E1834"/>
      <c r="F1834"/>
      <c r="G1834"/>
      <c r="H1834"/>
      <c r="I1834"/>
      <c r="J1834"/>
      <c r="K1834"/>
    </row>
    <row r="1835" spans="1:11" ht="12.75" x14ac:dyDescent="0.2">
      <c r="A1835"/>
      <c r="B1835"/>
      <c r="C1835"/>
      <c r="D1835"/>
      <c r="E1835"/>
      <c r="F1835"/>
      <c r="G1835"/>
      <c r="H1835"/>
      <c r="I1835"/>
      <c r="J1835"/>
      <c r="K1835"/>
    </row>
    <row r="1836" spans="1:11" ht="12.75" x14ac:dyDescent="0.2">
      <c r="A1836"/>
      <c r="B1836"/>
      <c r="C1836"/>
      <c r="D1836"/>
      <c r="E1836"/>
      <c r="F1836"/>
      <c r="G1836"/>
      <c r="H1836"/>
      <c r="I1836"/>
      <c r="J1836"/>
      <c r="K1836"/>
    </row>
    <row r="1837" spans="1:11" ht="12.75" x14ac:dyDescent="0.2">
      <c r="A1837"/>
      <c r="B1837"/>
      <c r="C1837"/>
      <c r="D1837"/>
      <c r="E1837"/>
      <c r="F1837"/>
      <c r="G1837"/>
      <c r="H1837"/>
      <c r="I1837"/>
      <c r="J1837"/>
      <c r="K1837"/>
    </row>
    <row r="1838" spans="1:11" ht="12.75" x14ac:dyDescent="0.2">
      <c r="A1838"/>
      <c r="B1838"/>
      <c r="C1838"/>
      <c r="D1838"/>
      <c r="E1838"/>
      <c r="F1838"/>
      <c r="G1838"/>
      <c r="H1838"/>
      <c r="I1838"/>
      <c r="J1838"/>
      <c r="K1838"/>
    </row>
    <row r="1839" spans="1:11" ht="12.75" x14ac:dyDescent="0.2">
      <c r="A1839"/>
      <c r="B1839"/>
      <c r="C1839"/>
      <c r="D1839"/>
      <c r="E1839"/>
      <c r="F1839"/>
      <c r="G1839"/>
      <c r="H1839"/>
      <c r="I1839"/>
      <c r="J1839"/>
      <c r="K1839"/>
    </row>
    <row r="1840" spans="1:11" ht="12.75" x14ac:dyDescent="0.2">
      <c r="A1840"/>
      <c r="B1840"/>
      <c r="C1840"/>
      <c r="D1840"/>
      <c r="E1840"/>
      <c r="F1840"/>
      <c r="G1840"/>
      <c r="H1840"/>
      <c r="I1840"/>
      <c r="J1840"/>
      <c r="K1840"/>
    </row>
    <row r="1841" spans="1:11" ht="12.75" x14ac:dyDescent="0.2">
      <c r="A1841"/>
      <c r="B1841"/>
      <c r="C1841"/>
      <c r="D1841"/>
      <c r="E1841"/>
      <c r="F1841"/>
      <c r="G1841"/>
      <c r="H1841"/>
      <c r="I1841"/>
      <c r="J1841"/>
      <c r="K1841"/>
    </row>
    <row r="1842" spans="1:11" ht="12.75" x14ac:dyDescent="0.2">
      <c r="A1842"/>
      <c r="B1842"/>
      <c r="C1842"/>
      <c r="D1842"/>
      <c r="E1842"/>
      <c r="F1842"/>
      <c r="G1842"/>
      <c r="H1842"/>
      <c r="I1842"/>
      <c r="J1842"/>
      <c r="K1842"/>
    </row>
    <row r="1843" spans="1:11" ht="12.75" x14ac:dyDescent="0.2">
      <c r="A1843"/>
      <c r="B1843"/>
      <c r="C1843"/>
      <c r="D1843"/>
      <c r="E1843"/>
      <c r="F1843"/>
      <c r="G1843"/>
      <c r="H1843"/>
      <c r="I1843"/>
      <c r="J1843"/>
      <c r="K1843"/>
    </row>
    <row r="1844" spans="1:11" ht="12.75" x14ac:dyDescent="0.2">
      <c r="A1844"/>
      <c r="B1844"/>
      <c r="C1844"/>
      <c r="D1844"/>
      <c r="E1844"/>
      <c r="F1844"/>
      <c r="G1844"/>
      <c r="H1844"/>
      <c r="I1844"/>
      <c r="J1844"/>
      <c r="K1844"/>
    </row>
    <row r="1845" spans="1:11" ht="12.75" x14ac:dyDescent="0.2">
      <c r="A1845"/>
      <c r="B1845"/>
      <c r="C1845"/>
      <c r="D1845"/>
      <c r="E1845"/>
      <c r="F1845"/>
      <c r="G1845"/>
      <c r="H1845"/>
      <c r="I1845"/>
      <c r="J1845"/>
      <c r="K1845"/>
    </row>
    <row r="1846" spans="1:11" ht="12.75" x14ac:dyDescent="0.2">
      <c r="A1846"/>
      <c r="B1846"/>
      <c r="C1846"/>
      <c r="D1846"/>
      <c r="E1846"/>
      <c r="F1846"/>
      <c r="G1846"/>
      <c r="H1846"/>
      <c r="I1846"/>
      <c r="J1846"/>
      <c r="K1846"/>
    </row>
    <row r="1847" spans="1:11" ht="12.75" x14ac:dyDescent="0.2">
      <c r="A1847"/>
      <c r="B1847"/>
      <c r="C1847"/>
      <c r="D1847"/>
      <c r="E1847"/>
      <c r="F1847"/>
      <c r="G1847"/>
      <c r="H1847"/>
      <c r="I1847"/>
      <c r="J1847"/>
      <c r="K1847"/>
    </row>
    <row r="1848" spans="1:11" ht="12.75" x14ac:dyDescent="0.2">
      <c r="A1848"/>
      <c r="B1848"/>
      <c r="C1848"/>
      <c r="D1848"/>
      <c r="E1848"/>
      <c r="F1848"/>
      <c r="G1848"/>
      <c r="H1848"/>
      <c r="I1848"/>
      <c r="J1848"/>
      <c r="K1848"/>
    </row>
    <row r="1849" spans="1:11" ht="12.75" x14ac:dyDescent="0.2">
      <c r="A1849"/>
      <c r="B1849"/>
      <c r="C1849"/>
      <c r="D1849"/>
      <c r="E1849"/>
      <c r="F1849"/>
      <c r="G1849"/>
      <c r="H1849"/>
      <c r="I1849"/>
      <c r="J1849"/>
      <c r="K1849"/>
    </row>
    <row r="1850" spans="1:11" ht="12.75" x14ac:dyDescent="0.2">
      <c r="A1850"/>
      <c r="B1850"/>
      <c r="C1850"/>
      <c r="D1850"/>
      <c r="E1850"/>
      <c r="F1850"/>
      <c r="G1850"/>
      <c r="H1850"/>
      <c r="I1850"/>
      <c r="J1850"/>
      <c r="K1850"/>
    </row>
    <row r="1851" spans="1:11" ht="12.75" x14ac:dyDescent="0.2">
      <c r="A1851"/>
      <c r="B1851"/>
      <c r="C1851"/>
      <c r="D1851"/>
      <c r="E1851"/>
      <c r="F1851"/>
      <c r="G1851"/>
      <c r="H1851"/>
      <c r="I1851"/>
      <c r="J1851"/>
      <c r="K1851"/>
    </row>
    <row r="1852" spans="1:11" ht="12.75" x14ac:dyDescent="0.2">
      <c r="A1852"/>
      <c r="B1852"/>
      <c r="C1852"/>
      <c r="D1852"/>
      <c r="E1852"/>
      <c r="F1852"/>
      <c r="G1852"/>
      <c r="H1852"/>
      <c r="I1852"/>
      <c r="J1852"/>
      <c r="K1852"/>
    </row>
    <row r="1853" spans="1:11" ht="12.75" x14ac:dyDescent="0.2">
      <c r="A1853"/>
      <c r="B1853"/>
      <c r="C1853"/>
      <c r="D1853"/>
      <c r="E1853"/>
      <c r="F1853"/>
      <c r="G1853"/>
      <c r="H1853"/>
      <c r="I1853"/>
      <c r="J1853"/>
      <c r="K1853"/>
    </row>
    <row r="1854" spans="1:11" ht="12.75" x14ac:dyDescent="0.2">
      <c r="A1854"/>
      <c r="B1854"/>
      <c r="C1854"/>
      <c r="D1854"/>
      <c r="E1854"/>
      <c r="F1854"/>
      <c r="G1854"/>
      <c r="H1854"/>
      <c r="I1854"/>
      <c r="J1854"/>
      <c r="K1854"/>
    </row>
    <row r="1855" spans="1:11" ht="12.75" x14ac:dyDescent="0.2">
      <c r="A1855"/>
      <c r="B1855"/>
      <c r="C1855"/>
      <c r="D1855"/>
      <c r="E1855"/>
      <c r="F1855"/>
      <c r="G1855"/>
      <c r="H1855"/>
      <c r="I1855"/>
      <c r="J1855"/>
      <c r="K1855"/>
    </row>
    <row r="1856" spans="1:11" ht="12.75" x14ac:dyDescent="0.2">
      <c r="A1856"/>
      <c r="B1856"/>
      <c r="C1856"/>
      <c r="D1856"/>
      <c r="E1856"/>
      <c r="F1856"/>
      <c r="G1856"/>
      <c r="H1856"/>
      <c r="I1856"/>
      <c r="J1856"/>
      <c r="K1856"/>
    </row>
    <row r="1857" spans="1:11" ht="12.75" x14ac:dyDescent="0.2">
      <c r="A1857"/>
      <c r="B1857"/>
      <c r="C1857"/>
      <c r="D1857"/>
      <c r="E1857"/>
      <c r="F1857"/>
      <c r="G1857"/>
      <c r="H1857"/>
      <c r="I1857"/>
      <c r="J1857"/>
      <c r="K1857"/>
    </row>
    <row r="1858" spans="1:11" ht="12.75" x14ac:dyDescent="0.2">
      <c r="A1858"/>
      <c r="B1858"/>
      <c r="C1858"/>
      <c r="D1858"/>
      <c r="E1858"/>
      <c r="F1858"/>
      <c r="G1858"/>
      <c r="H1858"/>
      <c r="I1858"/>
      <c r="J1858"/>
      <c r="K1858"/>
    </row>
    <row r="1859" spans="1:11" ht="12.75" x14ac:dyDescent="0.2">
      <c r="A1859"/>
      <c r="B1859"/>
      <c r="C1859"/>
      <c r="D1859"/>
      <c r="E1859"/>
      <c r="F1859"/>
      <c r="G1859"/>
      <c r="H1859"/>
      <c r="I1859"/>
      <c r="J1859"/>
      <c r="K1859"/>
    </row>
    <row r="1860" spans="1:11" ht="12.75" x14ac:dyDescent="0.2">
      <c r="A1860"/>
      <c r="B1860"/>
      <c r="C1860"/>
      <c r="D1860"/>
      <c r="E1860"/>
      <c r="F1860"/>
      <c r="G1860"/>
      <c r="H1860"/>
      <c r="I1860"/>
      <c r="J1860"/>
      <c r="K1860"/>
    </row>
    <row r="1861" spans="1:11" ht="12.75" x14ac:dyDescent="0.2">
      <c r="A1861"/>
      <c r="B1861"/>
      <c r="C1861"/>
      <c r="D1861"/>
      <c r="E1861"/>
      <c r="F1861"/>
      <c r="G1861"/>
      <c r="H1861"/>
      <c r="I1861"/>
      <c r="J1861"/>
      <c r="K1861"/>
    </row>
    <row r="1862" spans="1:11" ht="12.75" x14ac:dyDescent="0.2">
      <c r="A1862"/>
      <c r="B1862"/>
      <c r="C1862"/>
      <c r="D1862"/>
      <c r="E1862"/>
      <c r="F1862"/>
      <c r="G1862"/>
      <c r="H1862"/>
      <c r="I1862"/>
      <c r="J1862"/>
      <c r="K1862"/>
    </row>
    <row r="1863" spans="1:11" ht="12.75" x14ac:dyDescent="0.2">
      <c r="A1863"/>
      <c r="B1863"/>
      <c r="C1863"/>
      <c r="D1863"/>
      <c r="E1863"/>
      <c r="F1863"/>
      <c r="G1863"/>
      <c r="H1863"/>
      <c r="I1863"/>
      <c r="J1863"/>
      <c r="K1863"/>
    </row>
    <row r="1864" spans="1:11" ht="12.75" x14ac:dyDescent="0.2">
      <c r="A1864"/>
      <c r="B1864"/>
      <c r="C1864"/>
      <c r="D1864"/>
      <c r="E1864"/>
      <c r="F1864"/>
      <c r="G1864"/>
      <c r="H1864"/>
      <c r="I1864"/>
      <c r="J1864"/>
      <c r="K1864"/>
    </row>
    <row r="1865" spans="1:11" ht="12.75" x14ac:dyDescent="0.2">
      <c r="A1865"/>
      <c r="B1865"/>
      <c r="C1865"/>
      <c r="D1865"/>
      <c r="E1865"/>
      <c r="F1865"/>
      <c r="G1865"/>
      <c r="H1865"/>
      <c r="I1865"/>
      <c r="J1865"/>
      <c r="K1865"/>
    </row>
    <row r="1866" spans="1:11" ht="12.75" x14ac:dyDescent="0.2">
      <c r="A1866"/>
      <c r="B1866"/>
      <c r="C1866"/>
      <c r="D1866"/>
      <c r="E1866"/>
      <c r="F1866"/>
      <c r="G1866"/>
      <c r="H1866"/>
      <c r="I1866"/>
      <c r="J1866"/>
      <c r="K1866"/>
    </row>
    <row r="1867" spans="1:11" ht="12.75" x14ac:dyDescent="0.2">
      <c r="A1867"/>
      <c r="B1867"/>
      <c r="C1867"/>
      <c r="D1867"/>
      <c r="E1867"/>
      <c r="F1867"/>
      <c r="G1867"/>
      <c r="H1867"/>
      <c r="I1867"/>
      <c r="J1867"/>
      <c r="K1867"/>
    </row>
    <row r="1868" spans="1:11" ht="12.75" x14ac:dyDescent="0.2">
      <c r="A1868"/>
      <c r="B1868"/>
      <c r="C1868"/>
      <c r="D1868"/>
      <c r="E1868"/>
      <c r="F1868"/>
      <c r="G1868"/>
      <c r="H1868"/>
      <c r="I1868"/>
      <c r="J1868"/>
      <c r="K1868"/>
    </row>
    <row r="1869" spans="1:11" ht="12.75" x14ac:dyDescent="0.2">
      <c r="A1869"/>
      <c r="B1869"/>
      <c r="C1869"/>
      <c r="D1869"/>
      <c r="E1869"/>
      <c r="F1869"/>
      <c r="G1869"/>
      <c r="H1869"/>
      <c r="I1869"/>
      <c r="J1869"/>
      <c r="K1869"/>
    </row>
    <row r="1870" spans="1:11" ht="12.75" x14ac:dyDescent="0.2">
      <c r="A1870"/>
      <c r="B1870"/>
      <c r="C1870"/>
      <c r="D1870"/>
      <c r="E1870"/>
      <c r="F1870"/>
      <c r="G1870"/>
      <c r="H1870"/>
      <c r="I1870"/>
      <c r="J1870"/>
      <c r="K1870"/>
    </row>
    <row r="1871" spans="1:11" ht="12.75" x14ac:dyDescent="0.2">
      <c r="A1871"/>
      <c r="B1871"/>
      <c r="C1871"/>
      <c r="D1871"/>
      <c r="E1871"/>
      <c r="F1871"/>
      <c r="G1871"/>
      <c r="H1871"/>
      <c r="I1871"/>
      <c r="J1871"/>
      <c r="K1871"/>
    </row>
    <row r="1872" spans="1:11" ht="12.75" x14ac:dyDescent="0.2">
      <c r="A1872"/>
      <c r="B1872"/>
      <c r="C1872"/>
      <c r="D1872"/>
      <c r="E1872"/>
      <c r="F1872"/>
      <c r="G1872"/>
      <c r="H1872"/>
      <c r="I1872"/>
      <c r="J1872"/>
      <c r="K1872"/>
    </row>
    <row r="1873" spans="1:11" ht="12.75" x14ac:dyDescent="0.2">
      <c r="A1873"/>
      <c r="B1873"/>
      <c r="C1873"/>
      <c r="D1873"/>
      <c r="E1873"/>
      <c r="F1873"/>
      <c r="G1873"/>
      <c r="H1873"/>
      <c r="I1873"/>
      <c r="J1873"/>
      <c r="K1873"/>
    </row>
    <row r="1874" spans="1:11" ht="12.75" x14ac:dyDescent="0.2">
      <c r="A1874"/>
      <c r="B1874"/>
      <c r="C1874"/>
      <c r="D1874"/>
      <c r="E1874"/>
      <c r="F1874"/>
      <c r="G1874"/>
      <c r="H1874"/>
      <c r="I1874"/>
      <c r="J1874"/>
      <c r="K1874"/>
    </row>
    <row r="1875" spans="1:11" ht="12.75" x14ac:dyDescent="0.2">
      <c r="A1875"/>
      <c r="B1875"/>
      <c r="C1875"/>
      <c r="D1875"/>
      <c r="E1875"/>
      <c r="F1875"/>
      <c r="G1875"/>
      <c r="H1875"/>
      <c r="I1875"/>
      <c r="J1875"/>
      <c r="K1875"/>
    </row>
    <row r="1876" spans="1:11" ht="12.75" x14ac:dyDescent="0.2">
      <c r="A1876"/>
      <c r="B1876"/>
      <c r="C1876"/>
      <c r="D1876"/>
      <c r="E1876"/>
      <c r="F1876"/>
      <c r="G1876"/>
      <c r="H1876"/>
      <c r="I1876"/>
      <c r="J1876"/>
      <c r="K1876"/>
    </row>
    <row r="1877" spans="1:11" ht="12.75" x14ac:dyDescent="0.2">
      <c r="A1877"/>
      <c r="B1877"/>
      <c r="C1877"/>
      <c r="D1877"/>
      <c r="E1877"/>
      <c r="F1877"/>
      <c r="G1877"/>
      <c r="H1877"/>
      <c r="I1877"/>
      <c r="J1877"/>
      <c r="K1877"/>
    </row>
    <row r="1878" spans="1:11" ht="12.75" x14ac:dyDescent="0.2">
      <c r="A1878"/>
      <c r="B1878"/>
      <c r="C1878"/>
      <c r="D1878"/>
      <c r="E1878"/>
      <c r="F1878"/>
      <c r="G1878"/>
      <c r="H1878"/>
      <c r="I1878"/>
      <c r="J1878"/>
      <c r="K1878"/>
    </row>
    <row r="1879" spans="1:11" ht="12.75" x14ac:dyDescent="0.2">
      <c r="A1879"/>
      <c r="B1879"/>
      <c r="C1879"/>
      <c r="D1879"/>
      <c r="E1879"/>
      <c r="F1879"/>
      <c r="G1879"/>
      <c r="H1879"/>
      <c r="I1879"/>
      <c r="J1879"/>
      <c r="K1879"/>
    </row>
    <row r="1880" spans="1:11" ht="12.75" x14ac:dyDescent="0.2">
      <c r="A1880"/>
      <c r="B1880"/>
      <c r="C1880"/>
      <c r="D1880"/>
      <c r="E1880"/>
      <c r="F1880"/>
      <c r="G1880"/>
      <c r="H1880"/>
      <c r="I1880"/>
      <c r="J1880"/>
      <c r="K1880"/>
    </row>
    <row r="1881" spans="1:11" ht="12.75" x14ac:dyDescent="0.2">
      <c r="A1881"/>
      <c r="B1881"/>
      <c r="C1881"/>
      <c r="D1881"/>
      <c r="E1881"/>
      <c r="F1881"/>
      <c r="G1881"/>
      <c r="H1881"/>
      <c r="I1881"/>
      <c r="J1881"/>
      <c r="K1881"/>
    </row>
    <row r="1882" spans="1:11" ht="12.75" x14ac:dyDescent="0.2">
      <c r="A1882"/>
      <c r="B1882"/>
      <c r="C1882"/>
      <c r="D1882"/>
      <c r="E1882"/>
      <c r="F1882"/>
      <c r="G1882"/>
      <c r="H1882"/>
      <c r="I1882"/>
      <c r="J1882"/>
      <c r="K1882"/>
    </row>
    <row r="1883" spans="1:11" ht="12.75" x14ac:dyDescent="0.2">
      <c r="A1883"/>
      <c r="B1883"/>
      <c r="C1883"/>
      <c r="D1883"/>
      <c r="E1883"/>
      <c r="F1883"/>
      <c r="G1883"/>
      <c r="H1883"/>
      <c r="I1883"/>
      <c r="J1883"/>
      <c r="K1883"/>
    </row>
    <row r="1884" spans="1:11" ht="12.75" x14ac:dyDescent="0.2">
      <c r="A1884"/>
      <c r="B1884"/>
      <c r="C1884"/>
      <c r="D1884"/>
      <c r="E1884"/>
      <c r="F1884"/>
      <c r="G1884"/>
      <c r="H1884"/>
      <c r="I1884"/>
      <c r="J1884"/>
      <c r="K1884"/>
    </row>
    <row r="1885" spans="1:11" ht="12.75" x14ac:dyDescent="0.2">
      <c r="A1885"/>
      <c r="B1885"/>
      <c r="C1885"/>
      <c r="D1885"/>
      <c r="E1885"/>
      <c r="F1885"/>
      <c r="G1885"/>
      <c r="H1885"/>
      <c r="I1885"/>
      <c r="J1885"/>
      <c r="K1885"/>
    </row>
    <row r="1886" spans="1:11" ht="12.75" x14ac:dyDescent="0.2">
      <c r="A1886"/>
      <c r="B1886"/>
      <c r="C1886"/>
      <c r="D1886"/>
      <c r="E1886"/>
      <c r="F1886"/>
      <c r="G1886"/>
      <c r="H1886"/>
      <c r="I1886"/>
      <c r="J1886"/>
      <c r="K1886"/>
    </row>
    <row r="1887" spans="1:11" ht="12.75" x14ac:dyDescent="0.2">
      <c r="A1887"/>
      <c r="B1887"/>
      <c r="C1887"/>
      <c r="D1887"/>
      <c r="E1887"/>
      <c r="F1887"/>
      <c r="G1887"/>
      <c r="H1887"/>
      <c r="I1887"/>
      <c r="J1887"/>
      <c r="K1887"/>
    </row>
    <row r="1888" spans="1:11" ht="12.75" x14ac:dyDescent="0.2">
      <c r="A1888"/>
      <c r="B1888"/>
      <c r="C1888"/>
      <c r="D1888"/>
      <c r="E1888"/>
      <c r="F1888"/>
      <c r="G1888"/>
      <c r="H1888"/>
      <c r="I1888"/>
      <c r="J1888"/>
      <c r="K1888"/>
    </row>
    <row r="1889" spans="1:11" ht="12.75" x14ac:dyDescent="0.2">
      <c r="A1889"/>
      <c r="B1889"/>
      <c r="C1889"/>
      <c r="D1889"/>
      <c r="E1889"/>
      <c r="F1889"/>
      <c r="G1889"/>
      <c r="H1889"/>
      <c r="I1889"/>
      <c r="J1889"/>
      <c r="K1889"/>
    </row>
    <row r="1890" spans="1:11" ht="12.75" x14ac:dyDescent="0.2">
      <c r="A1890"/>
      <c r="B1890"/>
      <c r="C1890"/>
      <c r="D1890"/>
      <c r="E1890"/>
      <c r="F1890"/>
      <c r="G1890"/>
      <c r="H1890"/>
      <c r="I1890"/>
      <c r="J1890"/>
      <c r="K1890"/>
    </row>
    <row r="1891" spans="1:11" ht="12.75" x14ac:dyDescent="0.2">
      <c r="A1891"/>
      <c r="B1891"/>
      <c r="C1891"/>
      <c r="D1891"/>
      <c r="E1891"/>
      <c r="F1891"/>
      <c r="G1891"/>
      <c r="H1891"/>
      <c r="I1891"/>
      <c r="J1891"/>
      <c r="K1891"/>
    </row>
    <row r="1892" spans="1:11" ht="12.75" x14ac:dyDescent="0.2">
      <c r="A1892"/>
      <c r="B1892"/>
      <c r="C1892"/>
      <c r="D1892"/>
      <c r="E1892"/>
      <c r="F1892"/>
      <c r="G1892"/>
      <c r="H1892"/>
      <c r="I1892"/>
      <c r="J1892"/>
      <c r="K1892"/>
    </row>
    <row r="1893" spans="1:11" ht="12.75" x14ac:dyDescent="0.2">
      <c r="A1893"/>
      <c r="B1893"/>
      <c r="C1893"/>
      <c r="D1893"/>
      <c r="E1893"/>
      <c r="F1893"/>
      <c r="G1893"/>
      <c r="H1893"/>
      <c r="I1893"/>
      <c r="J1893"/>
      <c r="K1893"/>
    </row>
    <row r="1894" spans="1:11" ht="12.75" x14ac:dyDescent="0.2">
      <c r="A1894"/>
      <c r="B1894"/>
      <c r="C1894"/>
      <c r="D1894"/>
      <c r="E1894"/>
      <c r="F1894"/>
      <c r="G1894"/>
      <c r="H1894"/>
      <c r="I1894"/>
      <c r="J1894"/>
      <c r="K1894"/>
    </row>
    <row r="1895" spans="1:11" ht="12.75" x14ac:dyDescent="0.2">
      <c r="A1895"/>
      <c r="B1895"/>
      <c r="C1895"/>
      <c r="D1895"/>
      <c r="E1895"/>
      <c r="F1895"/>
      <c r="G1895"/>
      <c r="H1895"/>
      <c r="I1895"/>
      <c r="J1895"/>
      <c r="K1895"/>
    </row>
    <row r="1896" spans="1:11" ht="12.75" x14ac:dyDescent="0.2">
      <c r="A1896"/>
      <c r="B1896"/>
      <c r="C1896"/>
      <c r="D1896"/>
      <c r="E1896"/>
      <c r="F1896"/>
      <c r="G1896"/>
      <c r="H1896"/>
      <c r="I1896"/>
      <c r="J1896"/>
      <c r="K1896"/>
    </row>
    <row r="1897" spans="1:11" ht="12.75" x14ac:dyDescent="0.2">
      <c r="A1897"/>
      <c r="B1897"/>
      <c r="C1897"/>
      <c r="D1897"/>
      <c r="E1897"/>
      <c r="F1897"/>
      <c r="G1897"/>
      <c r="H1897"/>
      <c r="I1897"/>
      <c r="J1897"/>
      <c r="K1897"/>
    </row>
    <row r="1898" spans="1:11" ht="12.75" x14ac:dyDescent="0.2">
      <c r="A1898"/>
      <c r="B1898"/>
      <c r="C1898"/>
      <c r="D1898"/>
      <c r="E1898"/>
      <c r="F1898"/>
      <c r="G1898"/>
      <c r="H1898"/>
      <c r="I1898"/>
      <c r="J1898"/>
      <c r="K1898"/>
    </row>
    <row r="1899" spans="1:11" ht="12.75" x14ac:dyDescent="0.2">
      <c r="A1899"/>
      <c r="B1899"/>
      <c r="C1899"/>
      <c r="D1899"/>
      <c r="E1899"/>
      <c r="F1899"/>
      <c r="G1899"/>
      <c r="H1899"/>
      <c r="I1899"/>
      <c r="J1899"/>
      <c r="K1899"/>
    </row>
    <row r="1900" spans="1:11" ht="12.75" x14ac:dyDescent="0.2">
      <c r="A1900"/>
      <c r="B1900"/>
      <c r="C1900"/>
      <c r="D1900"/>
      <c r="E1900"/>
      <c r="F1900"/>
      <c r="G1900"/>
      <c r="H1900"/>
      <c r="I1900"/>
      <c r="J1900"/>
      <c r="K1900"/>
    </row>
    <row r="1901" spans="1:11" ht="12.75" x14ac:dyDescent="0.2">
      <c r="A1901"/>
      <c r="B1901"/>
      <c r="C1901"/>
      <c r="D1901"/>
      <c r="E1901"/>
      <c r="F1901"/>
      <c r="G1901"/>
      <c r="H1901"/>
      <c r="I1901"/>
      <c r="J1901"/>
      <c r="K1901"/>
    </row>
    <row r="1902" spans="1:11" ht="12.75" x14ac:dyDescent="0.2">
      <c r="A1902"/>
      <c r="B1902"/>
      <c r="C1902"/>
      <c r="D1902"/>
      <c r="E1902"/>
      <c r="F1902"/>
      <c r="G1902"/>
      <c r="H1902"/>
      <c r="I1902"/>
      <c r="J1902"/>
      <c r="K1902"/>
    </row>
    <row r="1903" spans="1:11" ht="12.75" x14ac:dyDescent="0.2">
      <c r="A1903"/>
      <c r="B1903"/>
      <c r="C1903"/>
      <c r="D1903"/>
      <c r="E1903"/>
      <c r="F1903"/>
      <c r="G1903"/>
      <c r="H1903"/>
      <c r="I1903"/>
      <c r="J1903"/>
      <c r="K1903"/>
    </row>
    <row r="1904" spans="1:11" ht="12.75" x14ac:dyDescent="0.2">
      <c r="A1904"/>
      <c r="B1904"/>
      <c r="C1904"/>
      <c r="D1904"/>
      <c r="E1904"/>
      <c r="F1904"/>
      <c r="G1904"/>
      <c r="H1904"/>
      <c r="I1904"/>
      <c r="J1904"/>
      <c r="K1904"/>
    </row>
    <row r="1905" spans="1:11" ht="12.75" x14ac:dyDescent="0.2">
      <c r="A1905"/>
      <c r="B1905"/>
      <c r="C1905"/>
      <c r="D1905"/>
      <c r="E1905"/>
      <c r="F1905"/>
      <c r="G1905"/>
      <c r="H1905"/>
      <c r="I1905"/>
      <c r="J1905"/>
      <c r="K1905"/>
    </row>
    <row r="1906" spans="1:11" ht="12.75" x14ac:dyDescent="0.2">
      <c r="A1906"/>
      <c r="B1906"/>
      <c r="C1906"/>
      <c r="D1906"/>
      <c r="E1906"/>
      <c r="F1906"/>
      <c r="G1906"/>
      <c r="H1906"/>
      <c r="I1906"/>
      <c r="J1906"/>
      <c r="K1906"/>
    </row>
    <row r="1907" spans="1:11" ht="12.75" x14ac:dyDescent="0.2">
      <c r="A1907"/>
      <c r="B1907"/>
      <c r="C1907"/>
      <c r="D1907"/>
      <c r="E1907"/>
      <c r="F1907"/>
      <c r="G1907"/>
      <c r="H1907"/>
      <c r="I1907"/>
      <c r="J1907"/>
      <c r="K1907"/>
    </row>
    <row r="1908" spans="1:11" ht="12.75" x14ac:dyDescent="0.2">
      <c r="A1908"/>
      <c r="B1908"/>
      <c r="C1908"/>
      <c r="D1908"/>
      <c r="E1908"/>
      <c r="F1908"/>
      <c r="G1908"/>
      <c r="H1908"/>
      <c r="I1908"/>
      <c r="J1908"/>
      <c r="K1908"/>
    </row>
    <row r="1909" spans="1:11" ht="12.75" x14ac:dyDescent="0.2">
      <c r="A1909"/>
      <c r="B1909"/>
      <c r="C1909"/>
      <c r="D1909"/>
      <c r="E1909"/>
      <c r="F1909"/>
      <c r="G1909"/>
      <c r="H1909"/>
      <c r="I1909"/>
      <c r="J1909"/>
      <c r="K1909"/>
    </row>
    <row r="1910" spans="1:11" ht="12.75" x14ac:dyDescent="0.2">
      <c r="A1910"/>
      <c r="B1910"/>
      <c r="C1910"/>
      <c r="D1910"/>
      <c r="E1910"/>
      <c r="F1910"/>
      <c r="G1910"/>
      <c r="H1910"/>
      <c r="I1910"/>
      <c r="J1910"/>
      <c r="K1910"/>
    </row>
    <row r="1911" spans="1:11" ht="12.75" x14ac:dyDescent="0.2">
      <c r="A1911"/>
      <c r="B1911"/>
      <c r="C1911"/>
      <c r="D1911"/>
      <c r="E1911"/>
      <c r="F1911"/>
      <c r="G1911"/>
      <c r="H1911"/>
      <c r="I1911"/>
      <c r="J1911"/>
      <c r="K1911"/>
    </row>
    <row r="1912" spans="1:11" ht="12.75" x14ac:dyDescent="0.2">
      <c r="A1912"/>
      <c r="B1912"/>
      <c r="C1912"/>
      <c r="D1912"/>
      <c r="E1912"/>
      <c r="F1912"/>
      <c r="G1912"/>
      <c r="H1912"/>
      <c r="I1912"/>
      <c r="J1912"/>
      <c r="K1912"/>
    </row>
    <row r="1913" spans="1:11" ht="12.75" x14ac:dyDescent="0.2">
      <c r="A1913"/>
      <c r="B1913"/>
      <c r="C1913"/>
      <c r="D1913"/>
      <c r="E1913"/>
      <c r="F1913"/>
      <c r="G1913"/>
      <c r="H1913"/>
      <c r="I1913"/>
      <c r="J1913"/>
      <c r="K1913"/>
    </row>
    <row r="1914" spans="1:11" ht="12.75" x14ac:dyDescent="0.2">
      <c r="A1914"/>
      <c r="B1914"/>
      <c r="C1914"/>
      <c r="D1914"/>
      <c r="E1914"/>
      <c r="F1914"/>
      <c r="G1914"/>
      <c r="H1914"/>
      <c r="I1914"/>
      <c r="J1914"/>
      <c r="K1914"/>
    </row>
    <row r="1915" spans="1:11" ht="12.75" x14ac:dyDescent="0.2">
      <c r="A1915"/>
      <c r="B1915"/>
      <c r="C1915"/>
      <c r="D1915"/>
      <c r="E1915"/>
      <c r="F1915"/>
      <c r="G1915"/>
      <c r="H1915"/>
      <c r="I1915"/>
      <c r="J1915"/>
      <c r="K1915"/>
    </row>
    <row r="1916" spans="1:11" ht="12.75" x14ac:dyDescent="0.2">
      <c r="A1916"/>
      <c r="B1916"/>
      <c r="C1916"/>
      <c r="D1916"/>
      <c r="E1916"/>
      <c r="F1916"/>
      <c r="G1916"/>
      <c r="H1916"/>
      <c r="I1916"/>
      <c r="J1916"/>
      <c r="K1916"/>
    </row>
    <row r="1917" spans="1:11" ht="12.75" x14ac:dyDescent="0.2">
      <c r="A1917"/>
      <c r="B1917"/>
      <c r="C1917"/>
      <c r="D1917"/>
      <c r="E1917"/>
      <c r="F1917"/>
      <c r="G1917"/>
      <c r="H1917"/>
      <c r="I1917"/>
      <c r="J1917"/>
      <c r="K1917"/>
    </row>
    <row r="1918" spans="1:11" ht="12.75" x14ac:dyDescent="0.2">
      <c r="A1918"/>
      <c r="B1918"/>
      <c r="C1918"/>
      <c r="D1918"/>
      <c r="E1918"/>
      <c r="F1918"/>
      <c r="G1918"/>
      <c r="H1918"/>
      <c r="I1918"/>
      <c r="J1918"/>
      <c r="K1918"/>
    </row>
    <row r="1919" spans="1:11" ht="12.75" x14ac:dyDescent="0.2">
      <c r="A1919"/>
      <c r="B1919"/>
      <c r="C1919"/>
      <c r="D1919"/>
      <c r="E1919"/>
      <c r="F1919"/>
      <c r="G1919"/>
      <c r="H1919"/>
      <c r="I1919"/>
      <c r="J1919"/>
      <c r="K1919"/>
    </row>
    <row r="1920" spans="1:11" ht="12.75" x14ac:dyDescent="0.2">
      <c r="A1920"/>
      <c r="B1920"/>
      <c r="C1920"/>
      <c r="D1920"/>
      <c r="E1920"/>
      <c r="F1920"/>
      <c r="G1920"/>
      <c r="H1920"/>
      <c r="I1920"/>
      <c r="J1920"/>
      <c r="K1920"/>
    </row>
    <row r="1921" spans="1:11" ht="12.75" x14ac:dyDescent="0.2">
      <c r="A1921"/>
      <c r="B1921"/>
      <c r="C1921"/>
      <c r="D1921"/>
      <c r="E1921"/>
      <c r="F1921"/>
      <c r="G1921"/>
      <c r="H1921"/>
      <c r="I1921"/>
      <c r="J1921"/>
      <c r="K1921"/>
    </row>
    <row r="1922" spans="1:11" ht="12.75" x14ac:dyDescent="0.2">
      <c r="A1922"/>
      <c r="B1922"/>
      <c r="C1922"/>
      <c r="D1922"/>
      <c r="E1922"/>
      <c r="F1922"/>
      <c r="G1922"/>
      <c r="H1922"/>
      <c r="I1922"/>
      <c r="J1922"/>
      <c r="K1922"/>
    </row>
    <row r="1923" spans="1:11" ht="12.75" x14ac:dyDescent="0.2">
      <c r="A1923"/>
      <c r="B1923"/>
      <c r="C1923"/>
      <c r="D1923"/>
      <c r="E1923"/>
      <c r="F1923"/>
      <c r="G1923"/>
      <c r="H1923"/>
      <c r="I1923"/>
      <c r="J1923"/>
      <c r="K1923"/>
    </row>
    <row r="1924" spans="1:11" ht="12.75" x14ac:dyDescent="0.2">
      <c r="A1924"/>
      <c r="B1924"/>
      <c r="C1924"/>
      <c r="D1924"/>
      <c r="E1924"/>
      <c r="F1924"/>
      <c r="G1924"/>
      <c r="H1924"/>
      <c r="I1924"/>
      <c r="J1924"/>
      <c r="K1924"/>
    </row>
    <row r="1925" spans="1:11" ht="12.75" x14ac:dyDescent="0.2">
      <c r="A1925"/>
      <c r="B1925"/>
      <c r="C1925"/>
      <c r="D1925"/>
      <c r="E1925"/>
      <c r="F1925"/>
      <c r="G1925"/>
      <c r="H1925"/>
      <c r="I1925"/>
      <c r="J1925"/>
      <c r="K1925"/>
    </row>
    <row r="1926" spans="1:11" ht="12.75" x14ac:dyDescent="0.2">
      <c r="A1926"/>
      <c r="B1926"/>
      <c r="C1926"/>
      <c r="D1926"/>
      <c r="E1926"/>
      <c r="F1926"/>
      <c r="G1926"/>
      <c r="H1926"/>
      <c r="I1926"/>
      <c r="J1926"/>
      <c r="K1926"/>
    </row>
    <row r="1927" spans="1:11" ht="12.75" x14ac:dyDescent="0.2">
      <c r="A1927"/>
      <c r="B1927"/>
      <c r="C1927"/>
      <c r="D1927"/>
      <c r="E1927"/>
      <c r="F1927"/>
      <c r="G1927"/>
      <c r="H1927"/>
      <c r="I1927"/>
      <c r="J1927"/>
      <c r="K1927"/>
    </row>
    <row r="1928" spans="1:11" ht="12.75" x14ac:dyDescent="0.2">
      <c r="A1928"/>
      <c r="B1928"/>
      <c r="C1928"/>
      <c r="D1928"/>
      <c r="E1928"/>
      <c r="F1928"/>
      <c r="G1928"/>
      <c r="H1928"/>
      <c r="I1928"/>
      <c r="J1928"/>
      <c r="K1928"/>
    </row>
    <row r="1929" spans="1:11" ht="12.75" x14ac:dyDescent="0.2">
      <c r="A1929"/>
      <c r="B1929"/>
      <c r="C1929"/>
      <c r="D1929"/>
      <c r="E1929"/>
      <c r="F1929"/>
      <c r="G1929"/>
      <c r="H1929"/>
      <c r="I1929"/>
      <c r="J1929"/>
      <c r="K1929"/>
    </row>
    <row r="1930" spans="1:11" ht="12.75" x14ac:dyDescent="0.2">
      <c r="A1930"/>
      <c r="B1930"/>
      <c r="C1930"/>
      <c r="D1930"/>
      <c r="E1930"/>
      <c r="F1930"/>
      <c r="G1930"/>
      <c r="H1930"/>
      <c r="I1930"/>
      <c r="J1930"/>
      <c r="K1930"/>
    </row>
    <row r="1931" spans="1:11" ht="12.75" x14ac:dyDescent="0.2">
      <c r="A1931"/>
      <c r="B1931"/>
      <c r="C1931"/>
      <c r="D1931"/>
      <c r="E1931"/>
      <c r="F1931"/>
      <c r="G1931"/>
      <c r="H1931"/>
      <c r="I1931"/>
      <c r="J1931"/>
      <c r="K1931"/>
    </row>
    <row r="1932" spans="1:11" ht="12.75" x14ac:dyDescent="0.2">
      <c r="A1932"/>
      <c r="B1932"/>
      <c r="C1932"/>
      <c r="D1932"/>
      <c r="E1932"/>
      <c r="F1932"/>
      <c r="G1932"/>
      <c r="H1932"/>
      <c r="I1932"/>
      <c r="J1932"/>
      <c r="K1932"/>
    </row>
    <row r="1933" spans="1:11" ht="12.75" x14ac:dyDescent="0.2">
      <c r="A1933"/>
      <c r="B1933"/>
      <c r="C1933"/>
      <c r="D1933"/>
      <c r="E1933"/>
      <c r="F1933"/>
      <c r="G1933"/>
      <c r="H1933"/>
      <c r="I1933"/>
      <c r="J1933"/>
      <c r="K1933"/>
    </row>
    <row r="1934" spans="1:11" ht="12.75" x14ac:dyDescent="0.2">
      <c r="A1934"/>
      <c r="B1934"/>
      <c r="C1934"/>
      <c r="D1934"/>
      <c r="E1934"/>
      <c r="F1934"/>
      <c r="G1934"/>
      <c r="H1934"/>
      <c r="I1934"/>
      <c r="J1934"/>
      <c r="K1934"/>
    </row>
    <row r="1935" spans="1:11" ht="12.75" x14ac:dyDescent="0.2">
      <c r="A1935"/>
      <c r="B1935"/>
      <c r="C1935"/>
      <c r="D1935"/>
      <c r="E1935"/>
      <c r="F1935"/>
      <c r="G1935"/>
      <c r="H1935"/>
      <c r="I1935"/>
      <c r="J1935"/>
      <c r="K1935"/>
    </row>
    <row r="1936" spans="1:11" ht="12.75" x14ac:dyDescent="0.2">
      <c r="A1936"/>
      <c r="B1936"/>
      <c r="C1936"/>
      <c r="D1936"/>
      <c r="E1936"/>
      <c r="F1936"/>
      <c r="G1936"/>
      <c r="H1936"/>
      <c r="I1936"/>
      <c r="J1936"/>
      <c r="K1936"/>
    </row>
    <row r="1937" spans="1:11" ht="12.75" x14ac:dyDescent="0.2">
      <c r="A1937"/>
      <c r="B1937"/>
      <c r="C1937"/>
      <c r="D1937"/>
      <c r="E1937"/>
      <c r="F1937"/>
      <c r="G1937"/>
      <c r="H1937"/>
      <c r="I1937"/>
      <c r="J1937"/>
      <c r="K1937"/>
    </row>
    <row r="1938" spans="1:11" ht="12.75" x14ac:dyDescent="0.2">
      <c r="A1938"/>
      <c r="B1938"/>
      <c r="C1938"/>
      <c r="D1938"/>
      <c r="E1938"/>
      <c r="F1938"/>
      <c r="G1938"/>
      <c r="H1938"/>
      <c r="I1938"/>
      <c r="J1938"/>
      <c r="K1938"/>
    </row>
    <row r="1939" spans="1:11" ht="12.75" x14ac:dyDescent="0.2">
      <c r="A1939"/>
      <c r="B1939"/>
      <c r="C1939"/>
      <c r="D1939"/>
      <c r="E1939"/>
      <c r="F1939"/>
      <c r="G1939"/>
      <c r="H1939"/>
      <c r="I1939"/>
      <c r="J1939"/>
      <c r="K1939"/>
    </row>
    <row r="1940" spans="1:11" ht="12.75" x14ac:dyDescent="0.2">
      <c r="A1940"/>
      <c r="B1940"/>
      <c r="C1940"/>
      <c r="D1940"/>
      <c r="E1940"/>
      <c r="F1940"/>
      <c r="G1940"/>
      <c r="H1940"/>
      <c r="I1940"/>
      <c r="J1940"/>
      <c r="K1940"/>
    </row>
    <row r="1941" spans="1:11" ht="12.75" x14ac:dyDescent="0.2">
      <c r="A1941"/>
      <c r="B1941"/>
      <c r="C1941"/>
      <c r="D1941"/>
      <c r="E1941"/>
      <c r="F1941"/>
      <c r="G1941"/>
      <c r="H1941"/>
      <c r="I1941"/>
      <c r="J1941"/>
      <c r="K1941"/>
    </row>
    <row r="1942" spans="1:11" ht="12.75" x14ac:dyDescent="0.2">
      <c r="A1942"/>
      <c r="B1942"/>
      <c r="C1942"/>
      <c r="D1942"/>
      <c r="E1942"/>
      <c r="F1942"/>
      <c r="G1942"/>
      <c r="H1942"/>
      <c r="I1942"/>
      <c r="J1942"/>
      <c r="K1942"/>
    </row>
    <row r="1943" spans="1:11" ht="12.75" x14ac:dyDescent="0.2">
      <c r="A1943"/>
      <c r="B1943"/>
      <c r="C1943"/>
      <c r="D1943"/>
      <c r="E1943"/>
      <c r="F1943"/>
      <c r="G1943"/>
      <c r="H1943"/>
      <c r="I1943"/>
      <c r="J1943"/>
      <c r="K1943"/>
    </row>
    <row r="1944" spans="1:11" ht="12.75" x14ac:dyDescent="0.2">
      <c r="A1944"/>
      <c r="B1944"/>
      <c r="C1944"/>
      <c r="D1944"/>
      <c r="E1944"/>
      <c r="F1944"/>
      <c r="G1944"/>
      <c r="H1944"/>
      <c r="I1944"/>
      <c r="J1944"/>
      <c r="K1944"/>
    </row>
    <row r="1945" spans="1:11" ht="12.75" x14ac:dyDescent="0.2">
      <c r="A1945"/>
      <c r="B1945"/>
      <c r="C1945"/>
      <c r="D1945"/>
      <c r="E1945"/>
      <c r="F1945"/>
      <c r="G1945"/>
      <c r="H1945"/>
      <c r="I1945"/>
      <c r="J1945"/>
      <c r="K1945"/>
    </row>
    <row r="1946" spans="1:11" ht="12.75" x14ac:dyDescent="0.2">
      <c r="A1946"/>
      <c r="B1946"/>
      <c r="C1946"/>
      <c r="D1946"/>
      <c r="E1946"/>
      <c r="F1946"/>
      <c r="G1946"/>
      <c r="H1946"/>
      <c r="I1946"/>
      <c r="J1946"/>
      <c r="K1946"/>
    </row>
    <row r="1947" spans="1:11" ht="12.75" x14ac:dyDescent="0.2">
      <c r="A1947"/>
      <c r="B1947"/>
      <c r="C1947"/>
      <c r="D1947"/>
      <c r="E1947"/>
      <c r="F1947"/>
      <c r="G1947"/>
      <c r="H1947"/>
      <c r="I1947"/>
      <c r="J1947"/>
      <c r="K1947"/>
    </row>
    <row r="1948" spans="1:11" ht="12.75" x14ac:dyDescent="0.2">
      <c r="A1948"/>
      <c r="B1948"/>
      <c r="C1948"/>
      <c r="D1948"/>
      <c r="E1948"/>
      <c r="F1948"/>
      <c r="G1948"/>
      <c r="H1948"/>
      <c r="I1948"/>
      <c r="J1948"/>
      <c r="K1948"/>
    </row>
    <row r="1949" spans="1:11" ht="12.75" x14ac:dyDescent="0.2">
      <c r="A1949"/>
      <c r="B1949"/>
      <c r="C1949"/>
      <c r="D1949"/>
      <c r="E1949"/>
      <c r="F1949"/>
      <c r="G1949"/>
      <c r="H1949"/>
      <c r="I1949"/>
      <c r="J1949"/>
      <c r="K1949"/>
    </row>
    <row r="1950" spans="1:11" ht="12.75" x14ac:dyDescent="0.2">
      <c r="A1950"/>
      <c r="B1950"/>
      <c r="C1950"/>
      <c r="D1950"/>
      <c r="E1950"/>
      <c r="F1950"/>
      <c r="G1950"/>
      <c r="H1950"/>
      <c r="I1950"/>
      <c r="J1950"/>
      <c r="K1950"/>
    </row>
    <row r="1951" spans="1:11" ht="12.75" x14ac:dyDescent="0.2">
      <c r="A1951"/>
      <c r="B1951"/>
      <c r="C1951"/>
      <c r="D1951"/>
      <c r="E1951"/>
      <c r="F1951"/>
      <c r="G1951"/>
      <c r="H1951"/>
      <c r="I1951"/>
      <c r="J1951"/>
      <c r="K1951"/>
    </row>
    <row r="1952" spans="1:11" ht="12.75" x14ac:dyDescent="0.2">
      <c r="A1952"/>
      <c r="B1952"/>
      <c r="C1952"/>
      <c r="D1952"/>
      <c r="E1952"/>
      <c r="F1952"/>
      <c r="G1952"/>
      <c r="H1952"/>
      <c r="I1952"/>
      <c r="J1952"/>
      <c r="K1952"/>
    </row>
    <row r="1953" spans="1:11" ht="12.75" x14ac:dyDescent="0.2">
      <c r="A1953"/>
      <c r="B1953"/>
      <c r="C1953"/>
      <c r="D1953"/>
      <c r="E1953"/>
      <c r="F1953"/>
      <c r="G1953"/>
      <c r="H1953"/>
      <c r="I1953"/>
      <c r="J1953"/>
      <c r="K1953"/>
    </row>
    <row r="1954" spans="1:11" ht="12.75" x14ac:dyDescent="0.2">
      <c r="A1954"/>
      <c r="B1954"/>
      <c r="C1954"/>
      <c r="D1954"/>
      <c r="E1954"/>
      <c r="F1954"/>
      <c r="G1954"/>
      <c r="H1954"/>
      <c r="I1954"/>
      <c r="J1954"/>
      <c r="K1954"/>
    </row>
    <row r="1955" spans="1:11" ht="12.75" x14ac:dyDescent="0.2">
      <c r="A1955"/>
      <c r="B1955"/>
      <c r="C1955"/>
      <c r="D1955"/>
      <c r="E1955"/>
      <c r="F1955"/>
      <c r="G1955"/>
      <c r="H1955"/>
      <c r="I1955"/>
      <c r="J1955"/>
      <c r="K1955"/>
    </row>
    <row r="1956" spans="1:11" ht="12.75" x14ac:dyDescent="0.2">
      <c r="A1956"/>
      <c r="B1956"/>
      <c r="C1956"/>
      <c r="D1956"/>
      <c r="E1956"/>
      <c r="F1956"/>
      <c r="G1956"/>
      <c r="H1956"/>
      <c r="I1956"/>
      <c r="J1956"/>
      <c r="K1956"/>
    </row>
    <row r="1957" spans="1:11" ht="12.75" x14ac:dyDescent="0.2">
      <c r="A1957"/>
      <c r="B1957"/>
      <c r="C1957"/>
      <c r="D1957"/>
      <c r="E1957"/>
      <c r="F1957"/>
      <c r="G1957"/>
      <c r="H1957"/>
      <c r="I1957"/>
      <c r="J1957"/>
      <c r="K1957"/>
    </row>
    <row r="1958" spans="1:11" ht="12.75" x14ac:dyDescent="0.2">
      <c r="A1958"/>
      <c r="B1958"/>
      <c r="C1958"/>
      <c r="D1958"/>
      <c r="E1958"/>
      <c r="F1958"/>
      <c r="G1958"/>
      <c r="H1958"/>
      <c r="I1958"/>
      <c r="J1958"/>
      <c r="K1958"/>
    </row>
    <row r="1959" spans="1:11" ht="12.75" x14ac:dyDescent="0.2">
      <c r="A1959"/>
      <c r="B1959"/>
      <c r="C1959"/>
      <c r="D1959"/>
      <c r="E1959"/>
      <c r="F1959"/>
      <c r="G1959"/>
      <c r="H1959"/>
      <c r="I1959"/>
      <c r="J1959"/>
      <c r="K1959"/>
    </row>
    <row r="1960" spans="1:11" ht="12.75" x14ac:dyDescent="0.2">
      <c r="A1960"/>
      <c r="B1960"/>
      <c r="C1960"/>
      <c r="D1960"/>
      <c r="E1960"/>
      <c r="F1960"/>
      <c r="G1960"/>
      <c r="H1960"/>
      <c r="I1960"/>
      <c r="J1960"/>
      <c r="K1960"/>
    </row>
    <row r="1961" spans="1:11" ht="12.75" x14ac:dyDescent="0.2">
      <c r="A1961"/>
      <c r="B1961"/>
      <c r="C1961"/>
      <c r="D1961"/>
      <c r="E1961"/>
      <c r="F1961"/>
      <c r="G1961"/>
      <c r="H1961"/>
      <c r="I1961"/>
      <c r="J1961"/>
      <c r="K1961"/>
    </row>
    <row r="1962" spans="1:11" ht="12.75" x14ac:dyDescent="0.2">
      <c r="A1962"/>
      <c r="B1962"/>
      <c r="C1962"/>
      <c r="D1962"/>
      <c r="E1962"/>
      <c r="F1962"/>
      <c r="G1962"/>
      <c r="H1962"/>
      <c r="I1962"/>
      <c r="J1962"/>
      <c r="K1962"/>
    </row>
    <row r="1963" spans="1:11" ht="12.75" x14ac:dyDescent="0.2">
      <c r="A1963"/>
      <c r="B1963"/>
      <c r="C1963"/>
      <c r="D1963"/>
      <c r="E1963"/>
      <c r="F1963"/>
      <c r="G1963"/>
      <c r="H1963"/>
      <c r="I1963"/>
      <c r="J1963"/>
      <c r="K1963"/>
    </row>
    <row r="1964" spans="1:11" ht="12.75" x14ac:dyDescent="0.2">
      <c r="A1964"/>
      <c r="B1964"/>
      <c r="C1964"/>
      <c r="D1964"/>
      <c r="E1964"/>
      <c r="F1964"/>
      <c r="G1964"/>
      <c r="H1964"/>
      <c r="I1964"/>
      <c r="J1964"/>
      <c r="K1964"/>
    </row>
    <row r="1965" spans="1:11" ht="12.75" x14ac:dyDescent="0.2">
      <c r="A1965"/>
      <c r="B1965"/>
      <c r="C1965"/>
      <c r="D1965"/>
      <c r="E1965"/>
      <c r="F1965"/>
      <c r="G1965"/>
      <c r="H1965"/>
      <c r="I1965"/>
      <c r="J1965"/>
      <c r="K1965"/>
    </row>
    <row r="1966" spans="1:11" ht="12.75" x14ac:dyDescent="0.2">
      <c r="A1966"/>
      <c r="B1966"/>
      <c r="C1966"/>
      <c r="D1966"/>
      <c r="E1966"/>
      <c r="F1966"/>
      <c r="G1966"/>
      <c r="H1966"/>
      <c r="I1966"/>
      <c r="J1966"/>
      <c r="K1966"/>
    </row>
    <row r="1967" spans="1:11" ht="12.75" x14ac:dyDescent="0.2">
      <c r="A1967"/>
      <c r="B1967"/>
      <c r="C1967"/>
      <c r="D1967"/>
      <c r="E1967"/>
      <c r="F1967"/>
      <c r="G1967"/>
      <c r="H1967"/>
      <c r="I1967"/>
      <c r="J1967"/>
      <c r="K1967"/>
    </row>
    <row r="1968" spans="1:11" ht="12.75" x14ac:dyDescent="0.2">
      <c r="A1968"/>
      <c r="B1968"/>
      <c r="C1968"/>
      <c r="D1968"/>
      <c r="E1968"/>
      <c r="F1968"/>
      <c r="G1968"/>
      <c r="H1968"/>
      <c r="I1968"/>
      <c r="J1968"/>
      <c r="K1968"/>
    </row>
    <row r="1969" spans="1:11" ht="12.75" x14ac:dyDescent="0.2">
      <c r="A1969"/>
      <c r="B1969"/>
      <c r="C1969"/>
      <c r="D1969"/>
      <c r="E1969"/>
      <c r="F1969"/>
      <c r="G1969"/>
      <c r="H1969"/>
      <c r="I1969"/>
      <c r="J1969"/>
      <c r="K1969"/>
    </row>
    <row r="1970" spans="1:11" ht="12.75" x14ac:dyDescent="0.2">
      <c r="A1970"/>
      <c r="B1970"/>
      <c r="C1970"/>
      <c r="D1970"/>
      <c r="E1970"/>
      <c r="F1970"/>
      <c r="G1970"/>
      <c r="H1970"/>
      <c r="I1970"/>
      <c r="J1970"/>
      <c r="K1970"/>
    </row>
    <row r="1971" spans="1:11" ht="12.75" x14ac:dyDescent="0.2">
      <c r="A1971"/>
      <c r="B1971"/>
      <c r="C1971"/>
      <c r="D1971"/>
      <c r="E1971"/>
      <c r="F1971"/>
      <c r="G1971"/>
      <c r="H1971"/>
      <c r="I1971"/>
      <c r="J1971"/>
      <c r="K1971"/>
    </row>
    <row r="1972" spans="1:11" ht="12.75" x14ac:dyDescent="0.2">
      <c r="A1972"/>
      <c r="B1972"/>
      <c r="C1972"/>
      <c r="D1972"/>
      <c r="E1972"/>
      <c r="F1972"/>
      <c r="G1972"/>
      <c r="H1972"/>
      <c r="I1972"/>
      <c r="J1972"/>
      <c r="K1972"/>
    </row>
    <row r="1973" spans="1:11" ht="12.75" x14ac:dyDescent="0.2">
      <c r="A1973"/>
      <c r="B1973"/>
      <c r="C1973"/>
      <c r="D1973"/>
      <c r="E1973"/>
      <c r="F1973"/>
      <c r="G1973"/>
      <c r="H1973"/>
      <c r="I1973"/>
      <c r="J1973"/>
      <c r="K1973"/>
    </row>
    <row r="1974" spans="1:11" ht="12.75" x14ac:dyDescent="0.2">
      <c r="A1974"/>
      <c r="B1974"/>
      <c r="C1974"/>
      <c r="D1974"/>
      <c r="E1974"/>
      <c r="F1974"/>
      <c r="G1974"/>
      <c r="H1974"/>
      <c r="I1974"/>
      <c r="J1974"/>
      <c r="K1974"/>
    </row>
    <row r="1975" spans="1:11" ht="12.75" x14ac:dyDescent="0.2">
      <c r="A1975"/>
      <c r="B1975"/>
      <c r="C1975"/>
      <c r="D1975"/>
      <c r="E1975"/>
      <c r="F1975"/>
      <c r="G1975"/>
      <c r="H1975"/>
      <c r="I1975"/>
      <c r="J1975"/>
      <c r="K1975"/>
    </row>
    <row r="1976" spans="1:11" ht="12.75" x14ac:dyDescent="0.2">
      <c r="A1976"/>
      <c r="B1976"/>
      <c r="C1976"/>
      <c r="D1976"/>
      <c r="E1976"/>
      <c r="F1976"/>
      <c r="G1976"/>
      <c r="H1976"/>
      <c r="I1976"/>
      <c r="J1976"/>
      <c r="K1976"/>
    </row>
    <row r="1977" spans="1:11" ht="12.75" x14ac:dyDescent="0.2">
      <c r="A1977"/>
      <c r="B1977"/>
      <c r="C1977"/>
      <c r="D1977"/>
      <c r="E1977"/>
      <c r="F1977"/>
      <c r="G1977"/>
      <c r="H1977"/>
      <c r="I1977"/>
      <c r="J1977"/>
      <c r="K1977"/>
    </row>
    <row r="1978" spans="1:11" ht="12.75" x14ac:dyDescent="0.2">
      <c r="A1978"/>
      <c r="B1978"/>
      <c r="C1978"/>
      <c r="D1978"/>
      <c r="E1978"/>
      <c r="F1978"/>
      <c r="G1978"/>
      <c r="H1978"/>
      <c r="I1978"/>
      <c r="J1978"/>
      <c r="K1978"/>
    </row>
    <row r="1979" spans="1:11" ht="12.75" x14ac:dyDescent="0.2">
      <c r="A1979"/>
      <c r="B1979"/>
      <c r="C1979"/>
      <c r="D1979"/>
      <c r="E1979"/>
      <c r="F1979"/>
      <c r="G1979"/>
      <c r="H1979"/>
      <c r="I1979"/>
      <c r="J1979"/>
      <c r="K1979"/>
    </row>
    <row r="1980" spans="1:11" ht="12.75" x14ac:dyDescent="0.2">
      <c r="A1980"/>
      <c r="B1980"/>
      <c r="C1980"/>
      <c r="D1980"/>
      <c r="E1980"/>
      <c r="F1980"/>
      <c r="G1980"/>
      <c r="H1980"/>
      <c r="I1980"/>
      <c r="J1980"/>
      <c r="K1980"/>
    </row>
    <row r="1981" spans="1:11" ht="12.75" x14ac:dyDescent="0.2">
      <c r="A1981"/>
      <c r="B1981"/>
      <c r="C1981"/>
      <c r="D1981"/>
      <c r="E1981"/>
      <c r="F1981"/>
      <c r="G1981"/>
      <c r="H1981"/>
      <c r="I1981"/>
      <c r="J1981"/>
      <c r="K1981"/>
    </row>
    <row r="1982" spans="1:11" ht="12.75" x14ac:dyDescent="0.2">
      <c r="A1982"/>
      <c r="B1982"/>
      <c r="C1982"/>
      <c r="D1982"/>
      <c r="E1982"/>
      <c r="F1982"/>
      <c r="G1982"/>
      <c r="H1982"/>
      <c r="I1982"/>
      <c r="J1982"/>
      <c r="K1982"/>
    </row>
    <row r="1983" spans="1:11" ht="12.75" x14ac:dyDescent="0.2">
      <c r="A1983"/>
      <c r="B1983"/>
      <c r="C1983"/>
      <c r="D1983"/>
      <c r="E1983"/>
      <c r="F1983"/>
      <c r="G1983"/>
      <c r="H1983"/>
      <c r="I1983"/>
      <c r="J1983"/>
      <c r="K1983"/>
    </row>
    <row r="1984" spans="1:11" ht="12.75" x14ac:dyDescent="0.2">
      <c r="A1984"/>
      <c r="B1984"/>
      <c r="C1984"/>
      <c r="D1984"/>
      <c r="E1984"/>
      <c r="F1984"/>
      <c r="G1984"/>
      <c r="H1984"/>
      <c r="I1984"/>
      <c r="J1984"/>
      <c r="K1984"/>
    </row>
    <row r="1985" spans="1:11" ht="12.75" x14ac:dyDescent="0.2">
      <c r="A1985"/>
      <c r="B1985"/>
      <c r="C1985"/>
      <c r="D1985"/>
      <c r="E1985"/>
      <c r="F1985"/>
      <c r="G1985"/>
      <c r="H1985"/>
      <c r="I1985"/>
      <c r="J1985"/>
      <c r="K1985"/>
    </row>
    <row r="1986" spans="1:11" ht="12.75" x14ac:dyDescent="0.2">
      <c r="A1986"/>
      <c r="B1986"/>
      <c r="C1986"/>
      <c r="D1986"/>
      <c r="E1986"/>
      <c r="F1986"/>
      <c r="G1986"/>
      <c r="H1986"/>
      <c r="I1986"/>
      <c r="J1986"/>
      <c r="K1986"/>
    </row>
    <row r="1987" spans="1:11" ht="12.75" x14ac:dyDescent="0.2">
      <c r="A1987"/>
      <c r="B1987"/>
      <c r="C1987"/>
      <c r="D1987"/>
      <c r="E1987"/>
      <c r="F1987"/>
      <c r="G1987"/>
      <c r="H1987"/>
      <c r="I1987"/>
      <c r="J1987"/>
      <c r="K1987"/>
    </row>
    <row r="1988" spans="1:11" ht="12.75" x14ac:dyDescent="0.2">
      <c r="A1988"/>
      <c r="B1988"/>
      <c r="C1988"/>
      <c r="D1988"/>
      <c r="E1988"/>
      <c r="F1988"/>
      <c r="G1988"/>
      <c r="H1988"/>
      <c r="I1988"/>
      <c r="J1988"/>
      <c r="K1988"/>
    </row>
    <row r="1989" spans="1:11" ht="12.75" x14ac:dyDescent="0.2">
      <c r="A1989"/>
      <c r="B1989"/>
      <c r="C1989"/>
      <c r="D1989"/>
      <c r="E1989"/>
      <c r="F1989"/>
      <c r="G1989"/>
      <c r="H1989"/>
      <c r="I1989"/>
      <c r="J1989"/>
      <c r="K1989"/>
    </row>
    <row r="1990" spans="1:11" ht="12.75" x14ac:dyDescent="0.2">
      <c r="A1990"/>
      <c r="B1990"/>
      <c r="C1990"/>
      <c r="D1990"/>
      <c r="E1990"/>
      <c r="F1990"/>
      <c r="G1990"/>
      <c r="H1990"/>
      <c r="I1990"/>
      <c r="J1990"/>
      <c r="K1990"/>
    </row>
    <row r="1991" spans="1:11" ht="12.75" x14ac:dyDescent="0.2">
      <c r="A1991"/>
      <c r="B1991"/>
      <c r="C1991"/>
      <c r="D1991"/>
      <c r="E1991"/>
      <c r="F1991"/>
      <c r="G1991"/>
      <c r="H1991"/>
      <c r="I1991"/>
      <c r="J1991"/>
      <c r="K1991"/>
    </row>
    <row r="1992" spans="1:11" ht="12.75" x14ac:dyDescent="0.2">
      <c r="A1992"/>
      <c r="B1992"/>
      <c r="C1992"/>
      <c r="D1992"/>
      <c r="E1992"/>
      <c r="F1992"/>
      <c r="G1992"/>
      <c r="H1992"/>
      <c r="I1992"/>
      <c r="J1992"/>
      <c r="K1992"/>
    </row>
    <row r="1993" spans="1:11" ht="12.75" x14ac:dyDescent="0.2">
      <c r="A1993"/>
      <c r="B1993"/>
      <c r="C1993"/>
      <c r="D1993"/>
      <c r="E1993"/>
      <c r="F1993"/>
      <c r="G1993"/>
      <c r="H1993"/>
      <c r="I1993"/>
      <c r="J1993"/>
      <c r="K1993"/>
    </row>
    <row r="1994" spans="1:11" ht="12.75" x14ac:dyDescent="0.2">
      <c r="A1994"/>
      <c r="B1994"/>
      <c r="C1994"/>
      <c r="D1994"/>
      <c r="E1994"/>
      <c r="F1994"/>
      <c r="G1994"/>
      <c r="H1994"/>
      <c r="I1994"/>
      <c r="J1994"/>
      <c r="K1994"/>
    </row>
    <row r="1995" spans="1:11" ht="12.75" x14ac:dyDescent="0.2">
      <c r="A1995"/>
      <c r="B1995"/>
      <c r="C1995"/>
      <c r="D1995"/>
      <c r="E1995"/>
      <c r="F1995"/>
      <c r="G1995"/>
      <c r="H1995"/>
      <c r="I1995"/>
      <c r="J1995"/>
      <c r="K1995"/>
    </row>
    <row r="1996" spans="1:11" ht="12.75" x14ac:dyDescent="0.2">
      <c r="A1996"/>
      <c r="B1996"/>
      <c r="C1996"/>
      <c r="D1996"/>
      <c r="E1996"/>
      <c r="F1996"/>
      <c r="G1996"/>
      <c r="H1996"/>
      <c r="I1996"/>
      <c r="J1996"/>
      <c r="K1996"/>
    </row>
    <row r="1997" spans="1:11" ht="12.75" x14ac:dyDescent="0.2">
      <c r="A1997"/>
      <c r="B1997"/>
      <c r="C1997"/>
      <c r="D1997"/>
      <c r="E1997"/>
      <c r="F1997"/>
      <c r="G1997"/>
      <c r="H1997"/>
      <c r="I1997"/>
      <c r="J1997"/>
      <c r="K1997"/>
    </row>
    <row r="1998" spans="1:11" ht="12.75" x14ac:dyDescent="0.2">
      <c r="A1998"/>
      <c r="B1998"/>
      <c r="C1998"/>
      <c r="D1998"/>
      <c r="E1998"/>
      <c r="F1998"/>
      <c r="G1998"/>
      <c r="H1998"/>
      <c r="I1998"/>
      <c r="J1998"/>
      <c r="K1998"/>
    </row>
    <row r="1999" spans="1:11" ht="12.75" x14ac:dyDescent="0.2">
      <c r="A1999"/>
      <c r="B1999"/>
      <c r="C1999"/>
      <c r="D1999"/>
      <c r="E1999"/>
      <c r="F1999"/>
      <c r="G1999"/>
      <c r="H1999"/>
      <c r="I1999"/>
      <c r="J1999"/>
      <c r="K1999"/>
    </row>
    <row r="2000" spans="1:11" ht="12.75" x14ac:dyDescent="0.2">
      <c r="A2000"/>
      <c r="B2000"/>
      <c r="C2000"/>
      <c r="D2000"/>
      <c r="E2000"/>
      <c r="F2000"/>
      <c r="G2000"/>
      <c r="H2000"/>
      <c r="I2000"/>
      <c r="J2000"/>
      <c r="K2000"/>
    </row>
    <row r="2001" spans="1:11" ht="12.75" x14ac:dyDescent="0.2">
      <c r="A2001"/>
      <c r="B2001"/>
      <c r="C2001"/>
      <c r="D2001"/>
      <c r="E2001"/>
      <c r="F2001"/>
      <c r="G2001"/>
      <c r="H2001"/>
      <c r="I2001"/>
      <c r="J2001"/>
      <c r="K2001"/>
    </row>
    <row r="2002" spans="1:11" ht="12.75" x14ac:dyDescent="0.2">
      <c r="A2002"/>
      <c r="B2002"/>
      <c r="C2002"/>
      <c r="D2002"/>
      <c r="E2002"/>
      <c r="F2002"/>
      <c r="G2002"/>
      <c r="H2002"/>
      <c r="I2002"/>
      <c r="J2002"/>
      <c r="K2002"/>
    </row>
    <row r="2003" spans="1:11" ht="12.75" x14ac:dyDescent="0.2">
      <c r="A2003"/>
      <c r="B2003"/>
      <c r="C2003"/>
      <c r="D2003"/>
      <c r="E2003"/>
      <c r="F2003"/>
      <c r="G2003"/>
      <c r="H2003"/>
      <c r="I2003"/>
      <c r="J2003"/>
      <c r="K2003"/>
    </row>
    <row r="2004" spans="1:11" ht="12.75" x14ac:dyDescent="0.2">
      <c r="A2004"/>
      <c r="B2004"/>
      <c r="C2004"/>
      <c r="D2004"/>
      <c r="E2004"/>
      <c r="F2004"/>
      <c r="G2004"/>
      <c r="H2004"/>
      <c r="I2004"/>
      <c r="J2004"/>
      <c r="K2004"/>
    </row>
    <row r="2005" spans="1:11" ht="12.75" x14ac:dyDescent="0.2">
      <c r="A2005"/>
      <c r="B2005"/>
      <c r="C2005"/>
      <c r="D2005"/>
      <c r="E2005"/>
      <c r="F2005"/>
      <c r="G2005"/>
      <c r="H2005"/>
      <c r="I2005"/>
      <c r="J2005"/>
      <c r="K2005"/>
    </row>
    <row r="2006" spans="1:11" ht="12.75" x14ac:dyDescent="0.2">
      <c r="A2006"/>
      <c r="B2006"/>
      <c r="C2006"/>
      <c r="D2006"/>
      <c r="E2006"/>
      <c r="F2006"/>
      <c r="G2006"/>
      <c r="H2006"/>
      <c r="I2006"/>
      <c r="J2006"/>
      <c r="K2006"/>
    </row>
    <row r="2007" spans="1:11" ht="12.75" x14ac:dyDescent="0.2">
      <c r="A2007"/>
      <c r="B2007"/>
      <c r="C2007"/>
      <c r="D2007"/>
      <c r="E2007"/>
      <c r="F2007"/>
      <c r="G2007"/>
      <c r="H2007"/>
      <c r="I2007"/>
      <c r="J2007"/>
      <c r="K2007"/>
    </row>
    <row r="2008" spans="1:11" ht="12.75" x14ac:dyDescent="0.2">
      <c r="A2008"/>
      <c r="B2008"/>
      <c r="C2008"/>
      <c r="D2008"/>
      <c r="E2008"/>
      <c r="F2008"/>
      <c r="G2008"/>
      <c r="H2008"/>
      <c r="I2008"/>
      <c r="J2008"/>
      <c r="K2008"/>
    </row>
    <row r="2009" spans="1:11" ht="12.75" x14ac:dyDescent="0.2">
      <c r="A2009"/>
      <c r="B2009"/>
      <c r="C2009"/>
      <c r="D2009"/>
      <c r="E2009"/>
      <c r="F2009"/>
      <c r="G2009"/>
      <c r="H2009"/>
      <c r="I2009"/>
      <c r="J2009"/>
      <c r="K2009"/>
    </row>
    <row r="2010" spans="1:11" ht="12.75" x14ac:dyDescent="0.2">
      <c r="A2010"/>
      <c r="B2010"/>
      <c r="C2010"/>
      <c r="D2010"/>
      <c r="E2010"/>
      <c r="F2010"/>
      <c r="G2010"/>
      <c r="H2010"/>
      <c r="I2010"/>
      <c r="J2010"/>
      <c r="K2010"/>
    </row>
    <row r="2011" spans="1:11" ht="12.75" x14ac:dyDescent="0.2">
      <c r="A2011"/>
      <c r="B2011"/>
      <c r="C2011"/>
      <c r="D2011"/>
      <c r="E2011"/>
      <c r="F2011"/>
      <c r="G2011"/>
      <c r="H2011"/>
      <c r="I2011"/>
      <c r="J2011"/>
      <c r="K2011"/>
    </row>
    <row r="2012" spans="1:11" ht="12.75" x14ac:dyDescent="0.2">
      <c r="A2012"/>
      <c r="B2012"/>
      <c r="C2012"/>
      <c r="D2012"/>
      <c r="E2012"/>
      <c r="F2012"/>
      <c r="G2012"/>
      <c r="H2012"/>
      <c r="I2012"/>
      <c r="J2012"/>
      <c r="K2012"/>
    </row>
    <row r="2013" spans="1:11" ht="12.75" x14ac:dyDescent="0.2">
      <c r="A2013"/>
      <c r="B2013"/>
      <c r="C2013"/>
      <c r="D2013"/>
      <c r="E2013"/>
      <c r="F2013"/>
      <c r="G2013"/>
      <c r="H2013"/>
      <c r="I2013"/>
      <c r="J2013"/>
      <c r="K2013"/>
    </row>
    <row r="2014" spans="1:11" ht="12.75" x14ac:dyDescent="0.2">
      <c r="A2014"/>
      <c r="B2014"/>
      <c r="C2014"/>
      <c r="D2014"/>
      <c r="E2014"/>
      <c r="F2014"/>
      <c r="G2014"/>
      <c r="H2014"/>
      <c r="I2014"/>
      <c r="J2014"/>
      <c r="K2014"/>
    </row>
    <row r="2015" spans="1:11" ht="12.75" x14ac:dyDescent="0.2">
      <c r="A2015"/>
      <c r="B2015"/>
      <c r="C2015"/>
      <c r="D2015"/>
      <c r="E2015"/>
      <c r="F2015"/>
      <c r="G2015"/>
      <c r="H2015"/>
      <c r="I2015"/>
      <c r="J2015"/>
      <c r="K2015"/>
    </row>
    <row r="2016" spans="1:11" ht="12.75" x14ac:dyDescent="0.2">
      <c r="A2016"/>
      <c r="B2016"/>
      <c r="C2016"/>
      <c r="D2016"/>
      <c r="E2016"/>
      <c r="F2016"/>
      <c r="G2016"/>
      <c r="H2016"/>
      <c r="I2016"/>
      <c r="J2016"/>
      <c r="K2016"/>
    </row>
    <row r="2017" spans="1:11" ht="12.75" x14ac:dyDescent="0.2">
      <c r="A2017"/>
      <c r="B2017"/>
      <c r="C2017"/>
      <c r="D2017"/>
      <c r="E2017"/>
      <c r="F2017"/>
      <c r="G2017"/>
      <c r="H2017"/>
      <c r="I2017"/>
      <c r="J2017"/>
      <c r="K2017"/>
    </row>
    <row r="2018" spans="1:11" ht="12.75" x14ac:dyDescent="0.2">
      <c r="A2018"/>
      <c r="B2018"/>
      <c r="C2018"/>
      <c r="D2018"/>
      <c r="E2018"/>
      <c r="F2018"/>
      <c r="G2018"/>
      <c r="H2018"/>
      <c r="I2018"/>
      <c r="J2018"/>
      <c r="K2018"/>
    </row>
    <row r="2019" spans="1:11" ht="12.75" x14ac:dyDescent="0.2">
      <c r="A2019"/>
      <c r="B2019"/>
      <c r="C2019"/>
      <c r="D2019"/>
      <c r="E2019"/>
      <c r="F2019"/>
      <c r="G2019"/>
      <c r="H2019"/>
      <c r="I2019"/>
      <c r="J2019"/>
      <c r="K2019"/>
    </row>
    <row r="2020" spans="1:11" ht="12.75" x14ac:dyDescent="0.2">
      <c r="A2020"/>
      <c r="B2020"/>
      <c r="C2020"/>
      <c r="D2020"/>
      <c r="E2020"/>
      <c r="F2020"/>
      <c r="G2020"/>
      <c r="H2020"/>
      <c r="I2020"/>
      <c r="J2020"/>
      <c r="K2020"/>
    </row>
    <row r="2021" spans="1:11" ht="12.75" x14ac:dyDescent="0.2">
      <c r="A2021"/>
      <c r="B2021"/>
      <c r="C2021"/>
      <c r="D2021"/>
      <c r="E2021"/>
      <c r="F2021"/>
      <c r="G2021"/>
      <c r="H2021"/>
      <c r="I2021"/>
      <c r="J2021"/>
      <c r="K2021"/>
    </row>
    <row r="2022" spans="1:11" ht="12.75" x14ac:dyDescent="0.2">
      <c r="A2022"/>
      <c r="B2022"/>
      <c r="C2022"/>
      <c r="D2022"/>
      <c r="E2022"/>
      <c r="F2022"/>
      <c r="G2022"/>
      <c r="H2022"/>
      <c r="I2022"/>
      <c r="J2022"/>
      <c r="K2022"/>
    </row>
    <row r="2023" spans="1:11" ht="12.75" x14ac:dyDescent="0.2">
      <c r="A2023"/>
      <c r="B2023"/>
      <c r="C2023"/>
      <c r="D2023"/>
      <c r="E2023"/>
      <c r="F2023"/>
      <c r="G2023"/>
      <c r="H2023"/>
      <c r="I2023"/>
      <c r="J2023"/>
      <c r="K2023"/>
    </row>
    <row r="2024" spans="1:11" ht="12.75" x14ac:dyDescent="0.2">
      <c r="A2024"/>
      <c r="B2024"/>
      <c r="C2024"/>
      <c r="D2024"/>
      <c r="E2024"/>
      <c r="F2024"/>
      <c r="G2024"/>
      <c r="H2024"/>
      <c r="I2024"/>
      <c r="J2024"/>
      <c r="K2024"/>
    </row>
    <row r="2025" spans="1:11" ht="12.75" x14ac:dyDescent="0.2">
      <c r="A2025"/>
      <c r="B2025"/>
      <c r="C2025"/>
      <c r="D2025"/>
      <c r="E2025"/>
      <c r="F2025"/>
      <c r="G2025"/>
      <c r="H2025"/>
      <c r="I2025"/>
      <c r="J2025"/>
      <c r="K2025"/>
    </row>
    <row r="2026" spans="1:11" ht="12.75" x14ac:dyDescent="0.2">
      <c r="A2026"/>
      <c r="B2026"/>
      <c r="C2026"/>
      <c r="D2026"/>
      <c r="E2026"/>
      <c r="F2026"/>
      <c r="G2026"/>
      <c r="H2026"/>
      <c r="I2026"/>
      <c r="J2026"/>
      <c r="K2026"/>
    </row>
    <row r="2027" spans="1:11" ht="12.75" x14ac:dyDescent="0.2">
      <c r="A2027"/>
      <c r="B2027"/>
      <c r="C2027"/>
      <c r="D2027"/>
      <c r="E2027"/>
      <c r="F2027"/>
      <c r="G2027"/>
      <c r="H2027"/>
      <c r="I2027"/>
      <c r="J2027"/>
      <c r="K2027"/>
    </row>
    <row r="2028" spans="1:11" ht="12.75" x14ac:dyDescent="0.2">
      <c r="A2028"/>
      <c r="B2028"/>
      <c r="C2028"/>
      <c r="D2028"/>
      <c r="E2028"/>
      <c r="F2028"/>
      <c r="G2028"/>
      <c r="H2028"/>
      <c r="I2028"/>
      <c r="J2028"/>
      <c r="K2028"/>
    </row>
    <row r="2029" spans="1:11" ht="12.75" x14ac:dyDescent="0.2">
      <c r="A2029"/>
      <c r="B2029"/>
      <c r="C2029"/>
      <c r="D2029"/>
      <c r="E2029"/>
      <c r="F2029"/>
      <c r="G2029"/>
      <c r="H2029"/>
      <c r="I2029"/>
      <c r="J2029"/>
      <c r="K2029"/>
    </row>
    <row r="2030" spans="1:11" ht="12.75" x14ac:dyDescent="0.2">
      <c r="A2030"/>
      <c r="B2030"/>
      <c r="C2030"/>
      <c r="D2030"/>
      <c r="E2030"/>
      <c r="F2030"/>
      <c r="G2030"/>
      <c r="H2030"/>
      <c r="I2030"/>
      <c r="J2030"/>
      <c r="K2030"/>
    </row>
    <row r="2031" spans="1:11" ht="12.75" x14ac:dyDescent="0.2">
      <c r="A2031"/>
      <c r="B2031"/>
      <c r="C2031"/>
      <c r="D2031"/>
      <c r="E2031"/>
      <c r="F2031"/>
      <c r="G2031"/>
      <c r="H2031"/>
      <c r="I2031"/>
      <c r="J2031"/>
      <c r="K2031"/>
    </row>
    <row r="2032" spans="1:11" ht="12.75" x14ac:dyDescent="0.2">
      <c r="A2032"/>
      <c r="B2032"/>
      <c r="C2032"/>
      <c r="D2032"/>
      <c r="E2032"/>
      <c r="F2032"/>
      <c r="G2032"/>
      <c r="H2032"/>
      <c r="I2032"/>
      <c r="J2032"/>
      <c r="K2032"/>
    </row>
    <row r="2033" spans="1:11" ht="12.75" x14ac:dyDescent="0.2">
      <c r="A2033"/>
      <c r="B2033"/>
      <c r="C2033"/>
      <c r="D2033"/>
      <c r="E2033"/>
      <c r="F2033"/>
      <c r="G2033"/>
      <c r="H2033"/>
      <c r="I2033"/>
      <c r="J2033"/>
      <c r="K2033"/>
    </row>
    <row r="2034" spans="1:11" ht="12.75" x14ac:dyDescent="0.2">
      <c r="A2034"/>
      <c r="B2034"/>
      <c r="C2034"/>
      <c r="D2034"/>
      <c r="E2034"/>
      <c r="F2034"/>
      <c r="G2034"/>
      <c r="H2034"/>
      <c r="I2034"/>
      <c r="J2034"/>
      <c r="K2034"/>
    </row>
    <row r="2035" spans="1:11" ht="12.75" x14ac:dyDescent="0.2">
      <c r="A2035"/>
      <c r="B2035"/>
      <c r="C2035"/>
      <c r="D2035"/>
      <c r="E2035"/>
      <c r="F2035"/>
      <c r="G2035"/>
      <c r="H2035"/>
      <c r="I2035"/>
      <c r="J2035"/>
      <c r="K2035"/>
    </row>
    <row r="2036" spans="1:11" ht="12.75" x14ac:dyDescent="0.2">
      <c r="A2036"/>
      <c r="B2036"/>
      <c r="C2036"/>
      <c r="D2036"/>
      <c r="E2036"/>
      <c r="F2036"/>
      <c r="G2036"/>
      <c r="H2036"/>
      <c r="I2036"/>
      <c r="J2036"/>
      <c r="K2036"/>
    </row>
    <row r="2037" spans="1:11" ht="12.75" x14ac:dyDescent="0.2">
      <c r="A2037"/>
      <c r="B2037"/>
      <c r="C2037"/>
      <c r="D2037"/>
      <c r="E2037"/>
      <c r="F2037"/>
      <c r="G2037"/>
      <c r="H2037"/>
      <c r="I2037"/>
      <c r="J2037"/>
      <c r="K2037"/>
    </row>
    <row r="2038" spans="1:11" ht="12.75" x14ac:dyDescent="0.2">
      <c r="A2038"/>
      <c r="B2038"/>
      <c r="C2038"/>
      <c r="D2038"/>
      <c r="E2038"/>
      <c r="F2038"/>
      <c r="G2038"/>
      <c r="H2038"/>
      <c r="I2038"/>
      <c r="J2038"/>
      <c r="K2038"/>
    </row>
    <row r="2039" spans="1:11" ht="12.75" x14ac:dyDescent="0.2">
      <c r="A2039"/>
      <c r="B2039"/>
      <c r="C2039"/>
      <c r="D2039"/>
      <c r="E2039"/>
      <c r="F2039"/>
      <c r="G2039"/>
      <c r="H2039"/>
      <c r="I2039"/>
      <c r="J2039"/>
      <c r="K2039"/>
    </row>
    <row r="2040" spans="1:11" ht="12.75" x14ac:dyDescent="0.2">
      <c r="A2040"/>
      <c r="B2040"/>
      <c r="C2040"/>
      <c r="D2040"/>
      <c r="E2040"/>
      <c r="F2040"/>
      <c r="G2040"/>
      <c r="H2040"/>
      <c r="I2040"/>
      <c r="J2040"/>
      <c r="K2040"/>
    </row>
    <row r="2041" spans="1:11" ht="12.75" x14ac:dyDescent="0.2">
      <c r="A2041"/>
      <c r="B2041"/>
      <c r="C2041"/>
      <c r="D2041"/>
      <c r="E2041"/>
      <c r="F2041"/>
      <c r="G2041"/>
      <c r="H2041"/>
      <c r="I2041"/>
      <c r="J2041"/>
      <c r="K2041"/>
    </row>
    <row r="2042" spans="1:11" ht="12.75" x14ac:dyDescent="0.2">
      <c r="A2042"/>
      <c r="B2042"/>
      <c r="C2042"/>
      <c r="D2042"/>
      <c r="E2042"/>
      <c r="F2042"/>
      <c r="G2042"/>
      <c r="H2042"/>
      <c r="I2042"/>
      <c r="J2042"/>
      <c r="K2042"/>
    </row>
    <row r="2043" spans="1:11" ht="12.75" x14ac:dyDescent="0.2">
      <c r="A2043"/>
      <c r="B2043"/>
      <c r="C2043"/>
      <c r="D2043"/>
      <c r="E2043"/>
      <c r="F2043"/>
      <c r="G2043"/>
      <c r="H2043"/>
      <c r="I2043"/>
      <c r="J2043"/>
      <c r="K2043"/>
    </row>
    <row r="2044" spans="1:11" ht="12.75" x14ac:dyDescent="0.2">
      <c r="A2044"/>
      <c r="B2044"/>
      <c r="C2044"/>
      <c r="D2044"/>
      <c r="E2044"/>
      <c r="F2044"/>
      <c r="G2044"/>
      <c r="H2044"/>
      <c r="I2044"/>
      <c r="J2044"/>
      <c r="K2044"/>
    </row>
    <row r="2045" spans="1:11" ht="12.75" x14ac:dyDescent="0.2">
      <c r="A2045"/>
      <c r="B2045"/>
      <c r="C2045"/>
      <c r="D2045"/>
      <c r="E2045"/>
      <c r="F2045"/>
      <c r="G2045"/>
      <c r="H2045"/>
      <c r="I2045"/>
      <c r="J2045"/>
      <c r="K2045"/>
    </row>
    <row r="2046" spans="1:11" ht="12.75" x14ac:dyDescent="0.2">
      <c r="A2046"/>
      <c r="B2046"/>
      <c r="C2046"/>
      <c r="D2046"/>
      <c r="E2046"/>
      <c r="F2046"/>
      <c r="G2046"/>
      <c r="H2046"/>
      <c r="I2046"/>
      <c r="J2046"/>
      <c r="K2046"/>
    </row>
    <row r="2047" spans="1:11" ht="12.75" x14ac:dyDescent="0.2">
      <c r="A2047"/>
      <c r="B2047"/>
      <c r="C2047"/>
      <c r="D2047"/>
      <c r="E2047"/>
      <c r="F2047"/>
      <c r="G2047"/>
      <c r="H2047"/>
      <c r="I2047"/>
      <c r="J2047"/>
      <c r="K2047"/>
    </row>
    <row r="2048" spans="1:11" ht="12.75" x14ac:dyDescent="0.2">
      <c r="A2048"/>
      <c r="B2048"/>
      <c r="C2048"/>
      <c r="D2048"/>
      <c r="E2048"/>
      <c r="F2048"/>
      <c r="G2048"/>
      <c r="H2048"/>
      <c r="I2048"/>
      <c r="J2048"/>
      <c r="K2048"/>
    </row>
    <row r="2049" spans="1:11" ht="12.75" x14ac:dyDescent="0.2">
      <c r="A2049"/>
      <c r="B2049"/>
      <c r="C2049"/>
      <c r="D2049"/>
      <c r="E2049"/>
      <c r="F2049"/>
      <c r="G2049"/>
      <c r="H2049"/>
      <c r="I2049"/>
      <c r="J2049"/>
      <c r="K2049"/>
    </row>
    <row r="2050" spans="1:11" ht="12.75" x14ac:dyDescent="0.2">
      <c r="A2050"/>
      <c r="B2050"/>
      <c r="C2050"/>
      <c r="D2050"/>
      <c r="E2050"/>
      <c r="F2050"/>
      <c r="G2050"/>
      <c r="H2050"/>
      <c r="I2050"/>
      <c r="J2050"/>
      <c r="K2050"/>
    </row>
    <row r="2051" spans="1:11" ht="12.75" x14ac:dyDescent="0.2">
      <c r="A2051"/>
      <c r="B2051"/>
      <c r="C2051"/>
      <c r="D2051"/>
      <c r="E2051"/>
      <c r="F2051"/>
      <c r="G2051"/>
      <c r="H2051"/>
      <c r="I2051"/>
      <c r="J2051"/>
      <c r="K2051"/>
    </row>
    <row r="2052" spans="1:11" ht="12.75" x14ac:dyDescent="0.2">
      <c r="A2052"/>
      <c r="B2052"/>
      <c r="C2052"/>
      <c r="D2052"/>
      <c r="E2052"/>
      <c r="F2052"/>
      <c r="G2052"/>
      <c r="H2052"/>
      <c r="I2052"/>
      <c r="J2052"/>
      <c r="K2052"/>
    </row>
    <row r="2053" spans="1:11" ht="12.75" x14ac:dyDescent="0.2">
      <c r="A2053"/>
      <c r="B2053"/>
      <c r="C2053"/>
      <c r="D2053"/>
      <c r="E2053"/>
      <c r="F2053"/>
      <c r="G2053"/>
      <c r="H2053"/>
      <c r="I2053"/>
      <c r="J2053"/>
      <c r="K2053"/>
    </row>
    <row r="2054" spans="1:11" ht="12.75" x14ac:dyDescent="0.2">
      <c r="A2054"/>
      <c r="B2054"/>
      <c r="C2054"/>
      <c r="D2054"/>
      <c r="E2054"/>
      <c r="F2054"/>
      <c r="G2054"/>
      <c r="H2054"/>
      <c r="I2054"/>
      <c r="J2054"/>
      <c r="K2054"/>
    </row>
    <row r="2055" spans="1:11" ht="12.75" x14ac:dyDescent="0.2">
      <c r="A2055"/>
      <c r="B2055"/>
      <c r="C2055"/>
      <c r="D2055"/>
      <c r="E2055"/>
      <c r="F2055"/>
      <c r="G2055"/>
      <c r="H2055"/>
      <c r="I2055"/>
      <c r="J2055"/>
      <c r="K2055"/>
    </row>
    <row r="2056" spans="1:11" ht="12.75" x14ac:dyDescent="0.2">
      <c r="A2056"/>
      <c r="B2056"/>
      <c r="C2056"/>
      <c r="D2056"/>
      <c r="E2056"/>
      <c r="F2056"/>
      <c r="G2056"/>
      <c r="H2056"/>
      <c r="I2056"/>
      <c r="J2056"/>
      <c r="K2056"/>
    </row>
    <row r="2057" spans="1:11" ht="12.75" x14ac:dyDescent="0.2">
      <c r="A2057"/>
      <c r="B2057"/>
      <c r="C2057"/>
      <c r="D2057"/>
      <c r="E2057"/>
      <c r="F2057"/>
      <c r="G2057"/>
      <c r="H2057"/>
      <c r="I2057"/>
      <c r="J2057"/>
      <c r="K2057"/>
    </row>
    <row r="2058" spans="1:11" ht="12.75" x14ac:dyDescent="0.2">
      <c r="A2058"/>
      <c r="B2058"/>
      <c r="C2058"/>
      <c r="D2058"/>
      <c r="E2058"/>
      <c r="F2058"/>
      <c r="G2058"/>
      <c r="H2058"/>
      <c r="I2058"/>
      <c r="J2058"/>
      <c r="K2058"/>
    </row>
    <row r="2059" spans="1:11" ht="12.75" x14ac:dyDescent="0.2">
      <c r="A2059"/>
      <c r="B2059"/>
      <c r="C2059"/>
      <c r="D2059"/>
      <c r="E2059"/>
      <c r="F2059"/>
      <c r="G2059"/>
      <c r="H2059"/>
      <c r="I2059"/>
      <c r="J2059"/>
      <c r="K2059"/>
    </row>
    <row r="2060" spans="1:11" ht="12.75" x14ac:dyDescent="0.2">
      <c r="A2060"/>
      <c r="B2060"/>
      <c r="C2060"/>
      <c r="D2060"/>
      <c r="E2060"/>
      <c r="F2060"/>
      <c r="G2060"/>
      <c r="H2060"/>
      <c r="I2060"/>
      <c r="J2060"/>
      <c r="K2060"/>
    </row>
    <row r="2061" spans="1:11" ht="12.75" x14ac:dyDescent="0.2">
      <c r="A2061"/>
      <c r="B2061"/>
      <c r="C2061"/>
      <c r="D2061"/>
      <c r="E2061"/>
      <c r="F2061"/>
      <c r="G2061"/>
      <c r="H2061"/>
      <c r="I2061"/>
      <c r="J2061"/>
      <c r="K2061"/>
    </row>
    <row r="2062" spans="1:11" ht="12.75" x14ac:dyDescent="0.2">
      <c r="A2062"/>
      <c r="B2062"/>
      <c r="C2062"/>
      <c r="D2062"/>
      <c r="E2062"/>
      <c r="F2062"/>
      <c r="G2062"/>
      <c r="H2062"/>
      <c r="I2062"/>
      <c r="J2062"/>
      <c r="K2062"/>
    </row>
    <row r="2063" spans="1:11" ht="12.75" x14ac:dyDescent="0.2">
      <c r="A2063"/>
      <c r="B2063"/>
      <c r="C2063"/>
      <c r="D2063"/>
      <c r="E2063"/>
      <c r="F2063"/>
      <c r="G2063"/>
      <c r="H2063"/>
      <c r="I2063"/>
      <c r="J2063"/>
      <c r="K2063"/>
    </row>
    <row r="2064" spans="1:11" ht="12.75" x14ac:dyDescent="0.2">
      <c r="A2064"/>
      <c r="B2064"/>
      <c r="C2064"/>
      <c r="D2064"/>
      <c r="E2064"/>
      <c r="F2064"/>
      <c r="G2064"/>
      <c r="H2064"/>
      <c r="I2064"/>
      <c r="J2064"/>
      <c r="K2064"/>
    </row>
    <row r="2065" spans="1:11" ht="12.75" x14ac:dyDescent="0.2">
      <c r="A2065"/>
      <c r="B2065"/>
      <c r="C2065"/>
      <c r="D2065"/>
      <c r="E2065"/>
      <c r="F2065"/>
      <c r="G2065"/>
      <c r="H2065"/>
      <c r="I2065"/>
      <c r="J2065"/>
      <c r="K2065"/>
    </row>
    <row r="2066" spans="1:11" ht="12.75" x14ac:dyDescent="0.2">
      <c r="A2066"/>
      <c r="B2066"/>
      <c r="C2066"/>
      <c r="D2066"/>
      <c r="E2066"/>
      <c r="F2066"/>
      <c r="G2066"/>
      <c r="H2066"/>
      <c r="I2066"/>
      <c r="J2066"/>
      <c r="K2066"/>
    </row>
    <row r="2067" spans="1:11" ht="12.75" x14ac:dyDescent="0.2">
      <c r="A2067"/>
      <c r="B2067"/>
      <c r="C2067"/>
      <c r="D2067"/>
      <c r="E2067"/>
      <c r="F2067"/>
      <c r="G2067"/>
      <c r="H2067"/>
      <c r="I2067"/>
      <c r="J2067"/>
      <c r="K2067"/>
    </row>
    <row r="2068" spans="1:11" ht="12.75" x14ac:dyDescent="0.2">
      <c r="A2068"/>
      <c r="B2068"/>
      <c r="C2068"/>
      <c r="D2068"/>
      <c r="E2068"/>
      <c r="F2068"/>
      <c r="G2068"/>
      <c r="H2068"/>
      <c r="I2068"/>
      <c r="J2068"/>
      <c r="K2068"/>
    </row>
    <row r="2069" spans="1:11" ht="12.75" x14ac:dyDescent="0.2">
      <c r="A2069"/>
      <c r="B2069"/>
      <c r="C2069"/>
      <c r="D2069"/>
      <c r="E2069"/>
      <c r="F2069"/>
      <c r="G2069"/>
      <c r="H2069"/>
      <c r="I2069"/>
      <c r="J2069"/>
      <c r="K2069"/>
    </row>
    <row r="2070" spans="1:11" ht="12.75" x14ac:dyDescent="0.2">
      <c r="A2070"/>
      <c r="B2070"/>
      <c r="C2070"/>
      <c r="D2070"/>
      <c r="E2070"/>
      <c r="F2070"/>
      <c r="G2070"/>
      <c r="H2070"/>
      <c r="I2070"/>
      <c r="J2070"/>
      <c r="K2070"/>
    </row>
    <row r="2071" spans="1:11" ht="12.75" x14ac:dyDescent="0.2">
      <c r="A2071"/>
      <c r="B2071"/>
      <c r="C2071"/>
      <c r="D2071"/>
      <c r="E2071"/>
      <c r="F2071"/>
      <c r="G2071"/>
      <c r="H2071"/>
      <c r="I2071"/>
      <c r="J2071"/>
      <c r="K2071"/>
    </row>
    <row r="2072" spans="1:11" ht="12.75" x14ac:dyDescent="0.2">
      <c r="A2072"/>
      <c r="B2072"/>
      <c r="C2072"/>
      <c r="D2072"/>
      <c r="E2072"/>
      <c r="F2072"/>
      <c r="G2072"/>
      <c r="H2072"/>
      <c r="I2072"/>
      <c r="J2072"/>
      <c r="K2072"/>
    </row>
    <row r="2073" spans="1:11" ht="12.75" x14ac:dyDescent="0.2">
      <c r="A2073"/>
      <c r="B2073"/>
      <c r="C2073"/>
      <c r="D2073"/>
      <c r="E2073"/>
      <c r="F2073"/>
      <c r="G2073"/>
      <c r="H2073"/>
      <c r="I2073"/>
      <c r="J2073"/>
      <c r="K2073"/>
    </row>
    <row r="2074" spans="1:11" ht="12.75" x14ac:dyDescent="0.2">
      <c r="A2074"/>
      <c r="B2074"/>
      <c r="C2074"/>
      <c r="D2074"/>
      <c r="E2074"/>
      <c r="F2074"/>
      <c r="G2074"/>
      <c r="H2074"/>
      <c r="I2074"/>
      <c r="J2074"/>
      <c r="K2074"/>
    </row>
    <row r="2075" spans="1:11" ht="12.75" x14ac:dyDescent="0.2">
      <c r="A2075"/>
      <c r="B2075"/>
      <c r="C2075"/>
      <c r="D2075"/>
      <c r="E2075"/>
      <c r="F2075"/>
      <c r="G2075"/>
      <c r="H2075"/>
      <c r="I2075"/>
      <c r="J2075"/>
      <c r="K2075"/>
    </row>
    <row r="2076" spans="1:11" ht="12.75" x14ac:dyDescent="0.2">
      <c r="A2076"/>
      <c r="B2076"/>
      <c r="C2076"/>
      <c r="D2076"/>
      <c r="E2076"/>
      <c r="F2076"/>
      <c r="G2076"/>
      <c r="H2076"/>
      <c r="I2076"/>
      <c r="J2076"/>
      <c r="K2076"/>
    </row>
    <row r="2077" spans="1:11" ht="12.75" x14ac:dyDescent="0.2">
      <c r="A2077"/>
      <c r="B2077"/>
      <c r="C2077"/>
      <c r="D2077"/>
      <c r="E2077"/>
      <c r="F2077"/>
      <c r="G2077"/>
      <c r="H2077"/>
      <c r="I2077"/>
      <c r="J2077"/>
      <c r="K2077"/>
    </row>
    <row r="2078" spans="1:11" ht="12.75" x14ac:dyDescent="0.2">
      <c r="A2078"/>
      <c r="B2078"/>
      <c r="C2078"/>
      <c r="D2078"/>
      <c r="E2078"/>
      <c r="F2078"/>
      <c r="G2078"/>
      <c r="H2078"/>
      <c r="I2078"/>
      <c r="J2078"/>
      <c r="K2078"/>
    </row>
    <row r="2079" spans="1:11" ht="12.75" x14ac:dyDescent="0.2">
      <c r="A2079"/>
      <c r="B2079"/>
      <c r="C2079"/>
      <c r="D2079"/>
      <c r="E2079"/>
      <c r="F2079"/>
      <c r="G2079"/>
      <c r="H2079"/>
      <c r="I2079"/>
      <c r="J2079"/>
      <c r="K2079"/>
    </row>
    <row r="2080" spans="1:11" ht="12.75" x14ac:dyDescent="0.2">
      <c r="A2080"/>
      <c r="B2080"/>
      <c r="C2080"/>
      <c r="D2080"/>
      <c r="E2080"/>
      <c r="F2080"/>
      <c r="G2080"/>
      <c r="H2080"/>
      <c r="I2080"/>
      <c r="J2080"/>
      <c r="K2080"/>
    </row>
    <row r="2081" spans="1:11" ht="12.75" x14ac:dyDescent="0.2">
      <c r="A2081"/>
      <c r="B2081"/>
      <c r="C2081"/>
      <c r="D2081"/>
      <c r="E2081"/>
      <c r="F2081"/>
      <c r="G2081"/>
      <c r="H2081"/>
      <c r="I2081"/>
      <c r="J2081"/>
      <c r="K2081"/>
    </row>
    <row r="2082" spans="1:11" ht="12.75" x14ac:dyDescent="0.2">
      <c r="A2082"/>
      <c r="B2082"/>
      <c r="C2082"/>
      <c r="D2082"/>
      <c r="E2082"/>
      <c r="F2082"/>
      <c r="G2082"/>
      <c r="H2082"/>
      <c r="I2082"/>
      <c r="J2082"/>
      <c r="K2082"/>
    </row>
    <row r="2083" spans="1:11" ht="12.75" x14ac:dyDescent="0.2">
      <c r="A2083"/>
      <c r="B2083"/>
      <c r="C2083"/>
      <c r="D2083"/>
      <c r="E2083"/>
      <c r="F2083"/>
      <c r="G2083"/>
      <c r="H2083"/>
      <c r="I2083"/>
      <c r="J2083"/>
      <c r="K2083"/>
    </row>
    <row r="2084" spans="1:11" ht="12.75" x14ac:dyDescent="0.2">
      <c r="A2084"/>
      <c r="B2084"/>
      <c r="C2084"/>
      <c r="D2084"/>
      <c r="E2084"/>
      <c r="F2084"/>
      <c r="G2084"/>
      <c r="H2084"/>
      <c r="I2084"/>
      <c r="J2084"/>
      <c r="K2084"/>
    </row>
    <row r="2085" spans="1:11" ht="12.75" x14ac:dyDescent="0.2">
      <c r="A2085"/>
      <c r="B2085"/>
      <c r="C2085"/>
      <c r="D2085"/>
      <c r="E2085"/>
      <c r="F2085"/>
      <c r="G2085"/>
      <c r="H2085"/>
      <c r="I2085"/>
      <c r="J2085"/>
      <c r="K2085"/>
    </row>
    <row r="2086" spans="1:11" ht="12.75" x14ac:dyDescent="0.2">
      <c r="A2086"/>
      <c r="B2086"/>
      <c r="C2086"/>
      <c r="D2086"/>
      <c r="E2086"/>
      <c r="F2086"/>
      <c r="G2086"/>
      <c r="H2086"/>
      <c r="I2086"/>
      <c r="J2086"/>
      <c r="K2086"/>
    </row>
    <row r="2087" spans="1:11" ht="12.75" x14ac:dyDescent="0.2">
      <c r="A2087"/>
      <c r="B2087"/>
      <c r="C2087"/>
      <c r="D2087"/>
      <c r="E2087"/>
      <c r="F2087"/>
      <c r="G2087"/>
      <c r="H2087"/>
      <c r="I2087"/>
      <c r="J2087"/>
      <c r="K2087"/>
    </row>
    <row r="2088" spans="1:11" ht="12.75" x14ac:dyDescent="0.2">
      <c r="A2088"/>
      <c r="B2088"/>
      <c r="C2088"/>
      <c r="D2088"/>
      <c r="E2088"/>
      <c r="F2088"/>
      <c r="G2088"/>
      <c r="H2088"/>
      <c r="I2088"/>
      <c r="J2088"/>
      <c r="K2088"/>
    </row>
    <row r="2089" spans="1:11" ht="12.75" x14ac:dyDescent="0.2">
      <c r="A2089"/>
      <c r="B2089"/>
      <c r="C2089"/>
      <c r="D2089"/>
      <c r="E2089"/>
      <c r="F2089"/>
      <c r="G2089"/>
      <c r="H2089"/>
      <c r="I2089"/>
      <c r="J2089"/>
      <c r="K2089"/>
    </row>
    <row r="2090" spans="1:11" ht="12.75" x14ac:dyDescent="0.2">
      <c r="A2090"/>
      <c r="B2090"/>
      <c r="C2090"/>
      <c r="D2090"/>
      <c r="E2090"/>
      <c r="F2090"/>
      <c r="G2090"/>
      <c r="H2090"/>
      <c r="I2090"/>
      <c r="J2090"/>
      <c r="K2090"/>
    </row>
    <row r="2091" spans="1:11" ht="12.75" x14ac:dyDescent="0.2">
      <c r="A2091"/>
      <c r="B2091"/>
      <c r="C2091"/>
      <c r="D2091"/>
      <c r="E2091"/>
      <c r="F2091"/>
      <c r="G2091"/>
      <c r="H2091"/>
      <c r="I2091"/>
      <c r="J2091"/>
      <c r="K2091"/>
    </row>
    <row r="2092" spans="1:11" ht="12.75" x14ac:dyDescent="0.2">
      <c r="A2092"/>
      <c r="B2092"/>
      <c r="C2092"/>
      <c r="D2092"/>
      <c r="E2092"/>
      <c r="F2092"/>
      <c r="G2092"/>
      <c r="H2092"/>
      <c r="I2092"/>
      <c r="J2092"/>
      <c r="K2092"/>
    </row>
    <row r="2093" spans="1:11" ht="12.75" x14ac:dyDescent="0.2">
      <c r="A2093"/>
      <c r="B2093"/>
      <c r="C2093"/>
      <c r="D2093"/>
      <c r="E2093"/>
      <c r="F2093"/>
      <c r="G2093"/>
      <c r="H2093"/>
      <c r="I2093"/>
      <c r="J2093"/>
      <c r="K2093"/>
    </row>
    <row r="2094" spans="1:11" ht="12.75" x14ac:dyDescent="0.2">
      <c r="A2094"/>
      <c r="B2094"/>
      <c r="C2094"/>
      <c r="D2094"/>
      <c r="E2094"/>
      <c r="F2094"/>
      <c r="G2094"/>
      <c r="H2094"/>
      <c r="I2094"/>
      <c r="J2094"/>
      <c r="K2094"/>
    </row>
    <row r="2095" spans="1:11" ht="12.75" x14ac:dyDescent="0.2">
      <c r="A2095"/>
      <c r="B2095"/>
      <c r="C2095"/>
      <c r="D2095"/>
      <c r="E2095"/>
      <c r="F2095"/>
      <c r="G2095"/>
      <c r="H2095"/>
      <c r="I2095"/>
      <c r="J2095"/>
      <c r="K2095"/>
    </row>
    <row r="2096" spans="1:11" ht="12.75" x14ac:dyDescent="0.2">
      <c r="A2096"/>
      <c r="B2096"/>
      <c r="C2096"/>
      <c r="D2096"/>
      <c r="E2096"/>
      <c r="F2096"/>
      <c r="G2096"/>
      <c r="H2096"/>
      <c r="I2096"/>
      <c r="J2096"/>
      <c r="K2096"/>
    </row>
    <row r="2097" spans="1:11" ht="12.75" x14ac:dyDescent="0.2">
      <c r="A2097"/>
      <c r="B2097"/>
      <c r="C2097"/>
      <c r="D2097"/>
      <c r="E2097"/>
      <c r="F2097"/>
      <c r="G2097"/>
      <c r="H2097"/>
      <c r="I2097"/>
      <c r="J2097"/>
      <c r="K2097"/>
    </row>
    <row r="2098" spans="1:11" ht="12.75" x14ac:dyDescent="0.2">
      <c r="A2098"/>
      <c r="B2098"/>
      <c r="C2098"/>
      <c r="D2098"/>
      <c r="E2098"/>
      <c r="F2098"/>
      <c r="G2098"/>
      <c r="H2098"/>
      <c r="I2098"/>
      <c r="J2098"/>
      <c r="K2098"/>
    </row>
    <row r="2099" spans="1:11" ht="12.75" x14ac:dyDescent="0.2">
      <c r="A2099"/>
      <c r="B2099"/>
      <c r="C2099"/>
      <c r="D2099"/>
      <c r="E2099"/>
      <c r="F2099"/>
      <c r="G2099"/>
      <c r="H2099"/>
      <c r="I2099"/>
      <c r="J2099"/>
      <c r="K2099"/>
    </row>
    <row r="2100" spans="1:11" ht="12.75" x14ac:dyDescent="0.2">
      <c r="A2100"/>
      <c r="B2100"/>
      <c r="C2100"/>
      <c r="D2100"/>
      <c r="E2100"/>
      <c r="F2100"/>
      <c r="G2100"/>
      <c r="H2100"/>
      <c r="I2100"/>
      <c r="J2100"/>
      <c r="K2100"/>
    </row>
    <row r="2101" spans="1:11" ht="12.75" x14ac:dyDescent="0.2">
      <c r="A2101"/>
      <c r="B2101"/>
      <c r="C2101"/>
      <c r="D2101"/>
      <c r="E2101"/>
      <c r="F2101"/>
      <c r="G2101"/>
      <c r="H2101"/>
      <c r="I2101"/>
      <c r="J2101"/>
      <c r="K2101"/>
    </row>
  </sheetData>
  <autoFilter ref="A19:K50">
    <sortState ref="A20:K60">
      <sortCondition ref="A19:A50"/>
    </sortState>
  </autoFilter>
  <sortState ref="A30:J48">
    <sortCondition ref="A30:A48"/>
  </sortState>
  <phoneticPr fontId="39" type="noConversion"/>
  <printOptions gridLines="1"/>
  <pageMargins left="0.23622047244094491" right="0.23622047244094491" top="0.70866141732283472" bottom="0" header="0.19685039370078741" footer="0"/>
  <pageSetup scale="80" fitToWidth="0" orientation="portrait" horizontalDpi="300" verticalDpi="300" r:id="rId1"/>
  <headerFooter alignWithMargins="0">
    <oddHeader xml:space="preserve">&amp;L29-Mar-2022
&amp;A
&amp;CTOWN OF TOPSFIELD FINANCE COMMITTEE
BUDGET WORKSHEETS
&amp;R&amp;"Arial,Bold"&amp;12VERSION 2.5
FY 2023
</oddHeader>
    <oddFooter xml:space="preserve">&amp;R
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9"/>
  <sheetViews>
    <sheetView workbookViewId="0">
      <selection activeCell="H30" sqref="H30"/>
    </sheetView>
  </sheetViews>
  <sheetFormatPr defaultColWidth="8.85546875" defaultRowHeight="11.25" x14ac:dyDescent="0.2"/>
  <cols>
    <col min="1" max="1" width="33.140625" style="108" customWidth="1"/>
    <col min="2" max="2" width="13.140625" style="108" customWidth="1"/>
    <col min="3" max="3" width="0.7109375" style="108" customWidth="1"/>
    <col min="4" max="4" width="16.140625" style="108" customWidth="1"/>
    <col min="5" max="5" width="4.42578125" style="108" customWidth="1"/>
    <col min="6" max="6" width="33.140625" style="108" customWidth="1"/>
    <col min="7" max="7" width="12.28515625" style="108" customWidth="1"/>
    <col min="8" max="8" width="13.42578125" style="108" customWidth="1"/>
    <col min="9" max="9" width="9.42578125" style="108" customWidth="1"/>
    <col min="10" max="10" width="8.85546875" style="108"/>
    <col min="11" max="11" width="16" style="108" customWidth="1"/>
    <col min="12" max="16384" width="8.85546875" style="108"/>
  </cols>
  <sheetData>
    <row r="1" spans="1:12" ht="12" x14ac:dyDescent="0.2">
      <c r="B1" s="486" t="s">
        <v>79</v>
      </c>
      <c r="C1" s="487"/>
      <c r="D1" s="487"/>
      <c r="E1" s="487"/>
      <c r="F1" s="487"/>
      <c r="G1" s="487"/>
      <c r="H1" s="488"/>
      <c r="I1" s="489"/>
      <c r="J1" s="507"/>
      <c r="K1" s="493"/>
      <c r="L1" s="493"/>
    </row>
    <row r="2" spans="1:12" ht="12" x14ac:dyDescent="0.2">
      <c r="B2" s="490" t="s">
        <v>402</v>
      </c>
      <c r="C2" s="491"/>
      <c r="D2" s="492"/>
      <c r="E2" s="492"/>
      <c r="F2" s="492"/>
      <c r="G2" s="492"/>
      <c r="H2" s="493"/>
      <c r="I2" s="494"/>
      <c r="J2" s="508"/>
      <c r="K2" s="493"/>
      <c r="L2" s="493"/>
    </row>
    <row r="3" spans="1:12" ht="12.75" thickBot="1" x14ac:dyDescent="0.25">
      <c r="B3" s="495" t="s">
        <v>99</v>
      </c>
      <c r="C3" s="496"/>
      <c r="D3" s="497"/>
      <c r="E3" s="497"/>
      <c r="F3" s="497"/>
      <c r="G3" s="497"/>
      <c r="H3" s="498"/>
      <c r="I3" s="499"/>
      <c r="J3" s="509"/>
      <c r="K3" s="493"/>
      <c r="L3" s="493"/>
    </row>
    <row r="4" spans="1:12" ht="12.75" x14ac:dyDescent="0.2">
      <c r="A4" s="128" t="s">
        <v>346</v>
      </c>
      <c r="B4" s="129"/>
      <c r="C4" s="129"/>
      <c r="D4" s="129"/>
      <c r="E4" s="130"/>
      <c r="F4" s="129"/>
      <c r="G4" s="129"/>
      <c r="H4" s="129"/>
      <c r="I4" s="129"/>
    </row>
    <row r="5" spans="1:12" ht="12.75" x14ac:dyDescent="0.2">
      <c r="A5" s="131" t="s">
        <v>347</v>
      </c>
      <c r="B5" s="129"/>
      <c r="C5" s="129"/>
      <c r="D5" s="129"/>
      <c r="E5" s="130"/>
      <c r="F5" s="131" t="s">
        <v>209</v>
      </c>
      <c r="G5" s="129"/>
      <c r="H5" s="129"/>
      <c r="I5" s="129"/>
    </row>
    <row r="6" spans="1:12" ht="13.5" thickBot="1" x14ac:dyDescent="0.25">
      <c r="A6" s="129"/>
      <c r="B6" s="129"/>
      <c r="C6" s="129"/>
      <c r="D6" s="129"/>
      <c r="E6" s="130"/>
      <c r="F6" s="129"/>
      <c r="G6" s="129"/>
      <c r="H6" s="129"/>
      <c r="I6" s="129"/>
    </row>
    <row r="7" spans="1:12" x14ac:dyDescent="0.2">
      <c r="A7" s="165" t="s">
        <v>255</v>
      </c>
      <c r="B7" s="132" t="s">
        <v>427</v>
      </c>
      <c r="C7" s="132"/>
      <c r="D7" s="133" t="s">
        <v>428</v>
      </c>
      <c r="F7" s="134" t="s">
        <v>217</v>
      </c>
      <c r="G7" s="135"/>
      <c r="H7" s="135"/>
      <c r="I7" s="136"/>
    </row>
    <row r="8" spans="1:12" x14ac:dyDescent="0.2">
      <c r="A8" s="166" t="s">
        <v>502</v>
      </c>
      <c r="B8" s="137" t="s">
        <v>470</v>
      </c>
      <c r="C8" s="137"/>
      <c r="D8" s="138" t="s">
        <v>1073</v>
      </c>
      <c r="F8" s="103"/>
      <c r="I8" s="127"/>
    </row>
    <row r="9" spans="1:12" x14ac:dyDescent="0.2">
      <c r="A9" s="167" t="s">
        <v>381</v>
      </c>
      <c r="B9" s="139" t="s">
        <v>119</v>
      </c>
      <c r="C9" s="139"/>
      <c r="D9" s="140" t="s">
        <v>118</v>
      </c>
      <c r="F9" s="103" t="s">
        <v>7</v>
      </c>
      <c r="I9" s="127"/>
    </row>
    <row r="10" spans="1:12" x14ac:dyDescent="0.2">
      <c r="A10" s="141" t="s">
        <v>243</v>
      </c>
      <c r="B10" s="142"/>
      <c r="C10" s="143"/>
      <c r="D10" s="144"/>
      <c r="F10" s="103" t="s">
        <v>244</v>
      </c>
      <c r="G10" s="608">
        <f>BUDGET!AR417+BUDGET!AR418</f>
        <v>396884</v>
      </c>
      <c r="I10" s="127"/>
      <c r="K10" s="1622">
        <v>378387</v>
      </c>
    </row>
    <row r="11" spans="1:12" x14ac:dyDescent="0.2">
      <c r="A11" s="141"/>
      <c r="B11" s="142" t="s">
        <v>164</v>
      </c>
      <c r="C11" s="143"/>
      <c r="D11" s="144"/>
      <c r="F11" s="103" t="s">
        <v>246</v>
      </c>
      <c r="G11" s="609">
        <f>BUDGET!AR419</f>
        <v>441350</v>
      </c>
      <c r="I11" s="127"/>
      <c r="K11" s="1622">
        <v>415824</v>
      </c>
    </row>
    <row r="12" spans="1:12" x14ac:dyDescent="0.2">
      <c r="A12" s="141" t="s">
        <v>245</v>
      </c>
      <c r="B12" s="108">
        <v>818821</v>
      </c>
      <c r="C12" s="143"/>
      <c r="D12" s="449">
        <f>I16+H28</f>
        <v>3331395.4323397907</v>
      </c>
      <c r="F12" s="103" t="s">
        <v>507</v>
      </c>
      <c r="G12" s="609">
        <v>0</v>
      </c>
      <c r="I12" s="127"/>
      <c r="K12" s="1622">
        <v>0</v>
      </c>
    </row>
    <row r="13" spans="1:12" x14ac:dyDescent="0.2">
      <c r="A13" s="141" t="s">
        <v>379</v>
      </c>
      <c r="B13" s="146"/>
      <c r="C13" s="143"/>
      <c r="D13" s="147"/>
      <c r="F13" s="193" t="s">
        <v>325</v>
      </c>
      <c r="G13" s="610">
        <f>BUDGET!AR429</f>
        <v>130000</v>
      </c>
      <c r="I13" s="127"/>
      <c r="K13" s="1622">
        <v>240000</v>
      </c>
    </row>
    <row r="14" spans="1:12" x14ac:dyDescent="0.2">
      <c r="A14" s="141" t="s">
        <v>635</v>
      </c>
      <c r="B14" s="146"/>
      <c r="C14" s="143"/>
      <c r="D14" s="147"/>
      <c r="F14" s="103" t="s">
        <v>636</v>
      </c>
      <c r="G14" s="611">
        <v>0</v>
      </c>
      <c r="I14" s="127"/>
      <c r="K14" s="1622">
        <v>0</v>
      </c>
    </row>
    <row r="15" spans="1:12" x14ac:dyDescent="0.2">
      <c r="A15" s="141" t="s">
        <v>641</v>
      </c>
      <c r="B15" s="146"/>
      <c r="C15" s="143"/>
      <c r="D15" s="147"/>
      <c r="F15" s="103" t="s">
        <v>828</v>
      </c>
      <c r="G15" s="609">
        <f>BUDGET!AR428</f>
        <v>150000</v>
      </c>
      <c r="I15" s="127"/>
      <c r="K15" s="1622">
        <v>5435</v>
      </c>
    </row>
    <row r="16" spans="1:12" ht="12" thickBot="1" x14ac:dyDescent="0.25">
      <c r="A16" s="141" t="s">
        <v>35</v>
      </c>
      <c r="B16" s="149">
        <f>SUM(B12:B15)</f>
        <v>818821</v>
      </c>
      <c r="C16" s="143"/>
      <c r="D16" s="450">
        <f>SUM(D12:D15)</f>
        <v>3331395.4323397907</v>
      </c>
      <c r="F16" s="103" t="s">
        <v>36</v>
      </c>
      <c r="G16" s="609">
        <f>BUDGET!AR427</f>
        <v>1005721</v>
      </c>
      <c r="H16" s="123"/>
      <c r="I16" s="457">
        <f>SUM(G10:G17)</f>
        <v>3163955</v>
      </c>
      <c r="K16" s="1622">
        <v>811938</v>
      </c>
    </row>
    <row r="17" spans="1:12" ht="13.5" thickTop="1" x14ac:dyDescent="0.2">
      <c r="A17" s="141"/>
      <c r="B17" s="142"/>
      <c r="C17" s="143"/>
      <c r="D17" s="151"/>
      <c r="F17" s="152" t="s">
        <v>37</v>
      </c>
      <c r="G17" s="406">
        <f>SUM('PROJECTED SCH. B'!G14:G56)</f>
        <v>1040000</v>
      </c>
      <c r="H17" s="535" t="s">
        <v>64</v>
      </c>
      <c r="I17" s="127"/>
    </row>
    <row r="18" spans="1:12" x14ac:dyDescent="0.2">
      <c r="A18" s="141" t="s">
        <v>706</v>
      </c>
      <c r="B18" s="146">
        <v>99000</v>
      </c>
      <c r="C18" s="143"/>
      <c r="D18" s="449"/>
      <c r="F18" s="103" t="s">
        <v>642</v>
      </c>
      <c r="G18" s="123" t="s">
        <v>280</v>
      </c>
      <c r="H18" s="145">
        <f>SUM(G10:G17)</f>
        <v>3163955</v>
      </c>
      <c r="I18" s="127"/>
    </row>
    <row r="19" spans="1:12" x14ac:dyDescent="0.2">
      <c r="A19" s="141" t="s">
        <v>774</v>
      </c>
      <c r="B19" s="146"/>
      <c r="C19" s="143"/>
      <c r="F19" s="103" t="s">
        <v>775</v>
      </c>
      <c r="G19" s="123"/>
      <c r="H19" s="108" t="s">
        <v>776</v>
      </c>
      <c r="I19" s="127"/>
    </row>
    <row r="20" spans="1:12" x14ac:dyDescent="0.2">
      <c r="A20" s="141" t="s">
        <v>519</v>
      </c>
      <c r="B20" s="146"/>
      <c r="C20" s="143"/>
      <c r="D20" s="147"/>
      <c r="F20" s="103" t="s">
        <v>646</v>
      </c>
      <c r="G20" s="123"/>
      <c r="H20" s="108" t="s">
        <v>645</v>
      </c>
      <c r="I20" s="127"/>
    </row>
    <row r="21" spans="1:12" ht="12" thickBot="1" x14ac:dyDescent="0.25">
      <c r="A21" s="141" t="s">
        <v>526</v>
      </c>
      <c r="B21" s="153">
        <f>SUM(B16,B18:B20)</f>
        <v>917821</v>
      </c>
      <c r="C21" s="143"/>
      <c r="D21" s="451">
        <f>SUM(D16,D18)</f>
        <v>3331395.4323397907</v>
      </c>
      <c r="F21" s="103" t="s">
        <v>527</v>
      </c>
      <c r="G21" s="123"/>
      <c r="I21" s="127"/>
    </row>
    <row r="22" spans="1:12" ht="12.75" thickTop="1" thickBot="1" x14ac:dyDescent="0.25">
      <c r="A22" s="117"/>
      <c r="B22" s="154"/>
      <c r="C22" s="155"/>
      <c r="D22" s="156"/>
      <c r="F22" s="103" t="s">
        <v>648</v>
      </c>
      <c r="G22" s="145">
        <v>35331.957156078948</v>
      </c>
      <c r="I22" s="127"/>
    </row>
    <row r="23" spans="1:12" x14ac:dyDescent="0.2">
      <c r="F23" s="103" t="s">
        <v>652</v>
      </c>
      <c r="G23" s="145">
        <v>59034.355655026724</v>
      </c>
      <c r="I23" s="127"/>
    </row>
    <row r="24" spans="1:12" x14ac:dyDescent="0.2">
      <c r="A24" s="157" t="s">
        <v>836</v>
      </c>
      <c r="B24" s="157"/>
      <c r="C24" s="157"/>
      <c r="D24" s="157"/>
      <c r="F24" s="103" t="s">
        <v>522</v>
      </c>
      <c r="G24" s="145">
        <v>40922.587284150955</v>
      </c>
      <c r="I24" s="127"/>
    </row>
    <row r="25" spans="1:12" ht="12.75" x14ac:dyDescent="0.2">
      <c r="A25" s="129"/>
      <c r="F25" s="103" t="s">
        <v>656</v>
      </c>
      <c r="G25" s="145">
        <v>4174.2227187649642</v>
      </c>
      <c r="I25" s="127"/>
    </row>
    <row r="26" spans="1:12" x14ac:dyDescent="0.2">
      <c r="A26" s="108" t="s">
        <v>668</v>
      </c>
      <c r="F26" s="103" t="s">
        <v>412</v>
      </c>
      <c r="G26" s="145">
        <v>1572.8298144092068</v>
      </c>
      <c r="I26" s="127"/>
    </row>
    <row r="27" spans="1:12" x14ac:dyDescent="0.2">
      <c r="A27" s="108" t="s">
        <v>413</v>
      </c>
      <c r="F27" s="103" t="s">
        <v>538</v>
      </c>
      <c r="G27" s="145">
        <v>20254.479711359843</v>
      </c>
      <c r="I27" s="127"/>
      <c r="K27" s="1703" t="s">
        <v>1069</v>
      </c>
      <c r="L27" s="108" t="s">
        <v>1070</v>
      </c>
    </row>
    <row r="28" spans="1:12" x14ac:dyDescent="0.2">
      <c r="F28" s="103" t="s">
        <v>539</v>
      </c>
      <c r="H28" s="457">
        <f>SUM(G22:G27)+I28</f>
        <v>167440.43233979063</v>
      </c>
      <c r="I28" s="127">
        <f>167440-161290</f>
        <v>6150</v>
      </c>
      <c r="J28" s="552"/>
      <c r="K28" s="1702">
        <f>SUM(G22:G27)</f>
        <v>161290.43233979063</v>
      </c>
    </row>
    <row r="29" spans="1:12" x14ac:dyDescent="0.2">
      <c r="F29" s="103"/>
      <c r="I29" s="127"/>
      <c r="K29" s="1674"/>
    </row>
    <row r="30" spans="1:12" ht="12" thickBot="1" x14ac:dyDescent="0.25">
      <c r="A30" s="532" t="s">
        <v>330</v>
      </c>
      <c r="B30" s="532"/>
      <c r="C30" s="532"/>
      <c r="D30" s="532"/>
      <c r="E30" s="532"/>
      <c r="F30" s="158" t="s">
        <v>547</v>
      </c>
      <c r="H30" s="159">
        <f>SUM(H28 +H18)</f>
        <v>3331395.4323397907</v>
      </c>
      <c r="I30" s="127"/>
      <c r="K30" s="395"/>
    </row>
    <row r="31" spans="1:12" ht="12" thickTop="1" x14ac:dyDescent="0.2">
      <c r="A31" s="532" t="s">
        <v>22</v>
      </c>
      <c r="D31" s="408"/>
      <c r="F31" s="160"/>
      <c r="G31" s="161"/>
      <c r="H31" s="161"/>
      <c r="I31" s="127"/>
    </row>
    <row r="32" spans="1:12" x14ac:dyDescent="0.2">
      <c r="F32" s="103" t="s">
        <v>417</v>
      </c>
      <c r="I32" s="127"/>
    </row>
    <row r="33" spans="3:9" x14ac:dyDescent="0.2">
      <c r="F33" s="103"/>
      <c r="I33" s="127"/>
    </row>
    <row r="34" spans="3:9" x14ac:dyDescent="0.2">
      <c r="D34" s="123">
        <v>373094</v>
      </c>
      <c r="F34" s="103" t="s">
        <v>411</v>
      </c>
      <c r="G34" s="145">
        <f>SUM(D21)</f>
        <v>3331395.4323397907</v>
      </c>
      <c r="H34" s="108" t="s">
        <v>523</v>
      </c>
      <c r="I34" s="127"/>
    </row>
    <row r="35" spans="3:9" x14ac:dyDescent="0.2">
      <c r="D35" s="123">
        <v>356712</v>
      </c>
      <c r="F35" s="103" t="s">
        <v>524</v>
      </c>
      <c r="G35" s="145">
        <f>SUM(H30)</f>
        <v>3331395.4323397907</v>
      </c>
      <c r="H35" s="108" t="s">
        <v>397</v>
      </c>
      <c r="I35" s="127"/>
    </row>
    <row r="36" spans="3:9" x14ac:dyDescent="0.2">
      <c r="D36" s="147"/>
      <c r="F36" s="103" t="s">
        <v>398</v>
      </c>
      <c r="G36" s="161">
        <v>0</v>
      </c>
      <c r="H36" s="108" t="s">
        <v>650</v>
      </c>
      <c r="I36" s="127"/>
    </row>
    <row r="37" spans="3:9" x14ac:dyDescent="0.2">
      <c r="F37" s="103"/>
      <c r="H37" s="108" t="s">
        <v>651</v>
      </c>
      <c r="I37" s="127"/>
    </row>
    <row r="38" spans="3:9" x14ac:dyDescent="0.2">
      <c r="F38" s="103" t="s">
        <v>276</v>
      </c>
      <c r="G38" s="145">
        <f>G34-G35</f>
        <v>0</v>
      </c>
      <c r="I38" s="127"/>
    </row>
    <row r="39" spans="3:9" x14ac:dyDescent="0.2">
      <c r="F39" s="160"/>
      <c r="G39" s="161"/>
      <c r="H39" s="161"/>
      <c r="I39" s="162"/>
    </row>
    <row r="40" spans="3:9" x14ac:dyDescent="0.2">
      <c r="F40" s="103" t="s">
        <v>530</v>
      </c>
      <c r="I40" s="127"/>
    </row>
    <row r="41" spans="3:9" x14ac:dyDescent="0.2">
      <c r="F41" s="103" t="s">
        <v>409</v>
      </c>
      <c r="I41" s="127"/>
    </row>
    <row r="42" spans="3:9" x14ac:dyDescent="0.2">
      <c r="C42" s="108">
        <v>225000</v>
      </c>
      <c r="F42" s="103"/>
      <c r="I42" s="127"/>
    </row>
    <row r="43" spans="3:9" x14ac:dyDescent="0.2">
      <c r="F43" s="103" t="s">
        <v>146</v>
      </c>
      <c r="G43" s="145">
        <f>SUM(H30-H28)</f>
        <v>3163955</v>
      </c>
      <c r="H43" s="108" t="s">
        <v>45</v>
      </c>
      <c r="I43" s="127"/>
    </row>
    <row r="44" spans="3:9" x14ac:dyDescent="0.2">
      <c r="F44" s="103" t="s">
        <v>145</v>
      </c>
      <c r="G44" s="161"/>
      <c r="I44" s="127"/>
    </row>
    <row r="45" spans="3:9" x14ac:dyDescent="0.2">
      <c r="F45" s="103" t="s">
        <v>184</v>
      </c>
      <c r="G45" s="161"/>
      <c r="I45" s="127"/>
    </row>
    <row r="46" spans="3:9" x14ac:dyDescent="0.2">
      <c r="F46" s="103" t="s">
        <v>185</v>
      </c>
      <c r="G46" s="161"/>
      <c r="I46" s="127"/>
    </row>
    <row r="47" spans="3:9" x14ac:dyDescent="0.2">
      <c r="F47" s="103"/>
      <c r="I47" s="127"/>
    </row>
    <row r="48" spans="3:9" x14ac:dyDescent="0.2">
      <c r="F48" s="103" t="s">
        <v>132</v>
      </c>
      <c r="I48" s="127"/>
    </row>
    <row r="49" spans="6:9" ht="12" thickBot="1" x14ac:dyDescent="0.25">
      <c r="F49" s="117" t="s">
        <v>130</v>
      </c>
      <c r="G49" s="163">
        <f>SUM(G43:G46)</f>
        <v>3163955</v>
      </c>
      <c r="H49" s="155" t="s">
        <v>165</v>
      </c>
      <c r="I49" s="164"/>
    </row>
  </sheetData>
  <phoneticPr fontId="39" type="noConversion"/>
  <printOptions gridLines="1"/>
  <pageMargins left="0.23622047244094491" right="0.23622047244094491" top="0.70866141732283472" bottom="0" header="0.19685039370078741" footer="0"/>
  <pageSetup fitToWidth="0" orientation="landscape" horizontalDpi="300" verticalDpi="300" r:id="rId1"/>
  <headerFooter alignWithMargins="0">
    <oddHeader xml:space="preserve">&amp;L29-Mar-2022
&amp;A
&amp;CTOWN OF TOPSFIELD FINANCE COMMITTEE
BUDGET WORKSHEETS
&amp;R&amp;"Arial,Bold"&amp;12VERSION 2.5
FY 2023
</oddHeader>
    <oddFooter xml:space="preserve">&amp;R
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L214"/>
  <sheetViews>
    <sheetView workbookViewId="0"/>
  </sheetViews>
  <sheetFormatPr defaultColWidth="7.7109375" defaultRowHeight="9.75" x14ac:dyDescent="0.2"/>
  <cols>
    <col min="1" max="1" width="4.85546875" style="616" customWidth="1"/>
    <col min="2" max="2" width="28.85546875" style="616" customWidth="1"/>
    <col min="3" max="3" width="13.42578125" style="616" customWidth="1"/>
    <col min="4" max="4" width="6.140625" style="616" customWidth="1"/>
    <col min="5" max="5" width="4.85546875" style="618" customWidth="1"/>
    <col min="6" max="6" width="11.5703125" style="616" hidden="1" customWidth="1"/>
    <col min="7" max="7" width="11" style="616" hidden="1" customWidth="1"/>
    <col min="8" max="9" width="11.140625" style="616" hidden="1" customWidth="1"/>
    <col min="10" max="10" width="11.28515625" style="616" hidden="1" customWidth="1"/>
    <col min="11" max="12" width="10.7109375" style="616" hidden="1" customWidth="1"/>
    <col min="13" max="13" width="11" style="616" hidden="1" customWidth="1"/>
    <col min="14" max="14" width="11.7109375" style="616" hidden="1" customWidth="1"/>
    <col min="15" max="15" width="11.28515625" style="616" hidden="1" customWidth="1"/>
    <col min="16" max="16" width="11.140625" style="616" hidden="1" customWidth="1"/>
    <col min="17" max="17" width="12.28515625" style="616" hidden="1" customWidth="1"/>
    <col min="18" max="18" width="12.7109375" style="616" hidden="1" customWidth="1"/>
    <col min="19" max="21" width="12.5703125" style="616" hidden="1" customWidth="1"/>
    <col min="22" max="22" width="10.7109375" style="616" hidden="1" customWidth="1"/>
    <col min="23" max="24" width="10.85546875" style="616" hidden="1" customWidth="1"/>
    <col min="25" max="25" width="11.140625" style="616" hidden="1" customWidth="1"/>
    <col min="26" max="26" width="12.140625" style="616" hidden="1" customWidth="1"/>
    <col min="27" max="27" width="11.140625" style="1562" hidden="1" customWidth="1"/>
    <col min="28" max="28" width="11.85546875" style="616" customWidth="1"/>
    <col min="29" max="29" width="12" style="616" customWidth="1"/>
    <col min="30" max="30" width="11" style="616" customWidth="1"/>
    <col min="31" max="31" width="11.42578125" style="616" customWidth="1"/>
    <col min="32" max="32" width="10.85546875" style="616" customWidth="1"/>
    <col min="33" max="33" width="10.7109375" style="1707" customWidth="1"/>
    <col min="34" max="34" width="11.85546875" style="619" customWidth="1"/>
    <col min="35" max="35" width="10.7109375" style="619" customWidth="1"/>
    <col min="36" max="36" width="12.7109375" style="616" customWidth="1"/>
    <col min="37" max="47" width="10.7109375" style="616" customWidth="1"/>
    <col min="48" max="48" width="10.140625" style="616" customWidth="1"/>
    <col min="49" max="49" width="9.85546875" style="616" customWidth="1"/>
    <col min="50" max="51" width="9.28515625" style="616" bestFit="1" customWidth="1"/>
    <col min="52" max="52" width="9" style="616" bestFit="1" customWidth="1"/>
    <col min="53" max="53" width="9.28515625" style="616" customWidth="1"/>
    <col min="54" max="54" width="10.85546875" style="616" customWidth="1"/>
    <col min="55" max="55" width="8.140625" style="616" bestFit="1" customWidth="1"/>
    <col min="56" max="56" width="8.85546875" style="616" bestFit="1" customWidth="1"/>
    <col min="57" max="16384" width="7.7109375" style="616"/>
  </cols>
  <sheetData>
    <row r="1" spans="1:55" ht="12" x14ac:dyDescent="0.2">
      <c r="B1" s="617" t="s">
        <v>79</v>
      </c>
    </row>
    <row r="2" spans="1:55" ht="12" x14ac:dyDescent="0.2">
      <c r="B2" s="620" t="s">
        <v>402</v>
      </c>
    </row>
    <row r="3" spans="1:55" ht="12.75" thickBot="1" x14ac:dyDescent="0.25">
      <c r="B3" s="621" t="s">
        <v>99</v>
      </c>
    </row>
    <row r="4" spans="1:55" x14ac:dyDescent="0.2">
      <c r="A4" s="1610" t="s">
        <v>554</v>
      </c>
      <c r="B4" s="622" t="s">
        <v>586</v>
      </c>
      <c r="C4" s="622" t="s">
        <v>582</v>
      </c>
      <c r="D4" s="622" t="s">
        <v>587</v>
      </c>
      <c r="E4" s="623"/>
      <c r="F4" s="624" t="s">
        <v>588</v>
      </c>
      <c r="G4" s="624" t="s">
        <v>588</v>
      </c>
      <c r="H4" s="624" t="s">
        <v>588</v>
      </c>
      <c r="I4" s="624" t="s">
        <v>588</v>
      </c>
      <c r="J4" s="624" t="s">
        <v>588</v>
      </c>
      <c r="K4" s="624" t="s">
        <v>588</v>
      </c>
      <c r="L4" s="624" t="s">
        <v>588</v>
      </c>
      <c r="M4" s="624" t="s">
        <v>588</v>
      </c>
      <c r="N4" s="624" t="s">
        <v>588</v>
      </c>
      <c r="O4" s="624" t="s">
        <v>588</v>
      </c>
      <c r="P4" s="624" t="s">
        <v>588</v>
      </c>
      <c r="Q4" s="624" t="s">
        <v>588</v>
      </c>
      <c r="R4" s="624" t="s">
        <v>588</v>
      </c>
      <c r="S4" s="624" t="s">
        <v>588</v>
      </c>
      <c r="T4" s="624" t="s">
        <v>588</v>
      </c>
      <c r="U4" s="624" t="s">
        <v>588</v>
      </c>
      <c r="V4" s="624" t="s">
        <v>588</v>
      </c>
      <c r="W4" s="624" t="s">
        <v>588</v>
      </c>
      <c r="X4" s="624" t="s">
        <v>588</v>
      </c>
      <c r="Y4" s="624" t="s">
        <v>588</v>
      </c>
      <c r="Z4" s="624" t="s">
        <v>588</v>
      </c>
      <c r="AA4" s="1563" t="s">
        <v>588</v>
      </c>
      <c r="AB4" s="624" t="s">
        <v>588</v>
      </c>
      <c r="AC4" s="624" t="s">
        <v>588</v>
      </c>
      <c r="AD4" s="624" t="s">
        <v>588</v>
      </c>
      <c r="AE4" s="624" t="s">
        <v>588</v>
      </c>
      <c r="AF4" s="624" t="s">
        <v>588</v>
      </c>
      <c r="AG4" s="1708" t="s">
        <v>588</v>
      </c>
      <c r="AH4" s="624" t="s">
        <v>588</v>
      </c>
      <c r="AI4" s="624" t="s">
        <v>588</v>
      </c>
      <c r="AJ4" s="624" t="s">
        <v>588</v>
      </c>
      <c r="AK4" s="624" t="s">
        <v>588</v>
      </c>
      <c r="AL4" s="624" t="s">
        <v>588</v>
      </c>
      <c r="AM4" s="624" t="s">
        <v>588</v>
      </c>
      <c r="AN4" s="624" t="s">
        <v>588</v>
      </c>
      <c r="AO4" s="624" t="s">
        <v>588</v>
      </c>
      <c r="AP4" s="624" t="s">
        <v>588</v>
      </c>
      <c r="AQ4" s="624" t="s">
        <v>588</v>
      </c>
      <c r="AR4" s="624" t="s">
        <v>588</v>
      </c>
      <c r="AS4" s="624" t="s">
        <v>588</v>
      </c>
      <c r="AT4" s="624" t="s">
        <v>588</v>
      </c>
      <c r="AU4" s="624" t="s">
        <v>588</v>
      </c>
      <c r="AV4" s="624" t="s">
        <v>588</v>
      </c>
      <c r="AW4" s="624" t="s">
        <v>588</v>
      </c>
      <c r="AX4" s="624" t="s">
        <v>588</v>
      </c>
      <c r="AY4" s="624" t="s">
        <v>588</v>
      </c>
      <c r="AZ4" s="624" t="s">
        <v>588</v>
      </c>
      <c r="BA4" s="624" t="s">
        <v>588</v>
      </c>
      <c r="BB4" s="624" t="s">
        <v>588</v>
      </c>
      <c r="BC4" s="616" t="s">
        <v>909</v>
      </c>
    </row>
    <row r="5" spans="1:55" ht="11.25" customHeight="1" x14ac:dyDescent="0.2">
      <c r="A5" s="1610" t="s">
        <v>554</v>
      </c>
      <c r="B5" s="625" t="s">
        <v>467</v>
      </c>
      <c r="C5" s="625" t="s">
        <v>218</v>
      </c>
      <c r="D5" s="625" t="s">
        <v>361</v>
      </c>
      <c r="E5" s="626" t="s">
        <v>362</v>
      </c>
      <c r="F5" s="627">
        <v>1997</v>
      </c>
      <c r="G5" s="627">
        <v>1998</v>
      </c>
      <c r="H5" s="627">
        <v>1999</v>
      </c>
      <c r="I5" s="627">
        <v>2000</v>
      </c>
      <c r="J5" s="627">
        <v>2001</v>
      </c>
      <c r="K5" s="627">
        <v>2002</v>
      </c>
      <c r="L5" s="627">
        <v>2003</v>
      </c>
      <c r="M5" s="627">
        <v>2004</v>
      </c>
      <c r="N5" s="627">
        <v>2005</v>
      </c>
      <c r="O5" s="627">
        <v>2006</v>
      </c>
      <c r="P5" s="627">
        <v>2007</v>
      </c>
      <c r="Q5" s="627">
        <v>2008</v>
      </c>
      <c r="R5" s="627">
        <v>2009</v>
      </c>
      <c r="S5" s="627">
        <v>2010</v>
      </c>
      <c r="T5" s="627">
        <v>2011</v>
      </c>
      <c r="U5" s="627">
        <v>2012</v>
      </c>
      <c r="V5" s="627">
        <v>2013</v>
      </c>
      <c r="W5" s="627">
        <v>2014</v>
      </c>
      <c r="X5" s="627">
        <v>2015</v>
      </c>
      <c r="Y5" s="627">
        <v>2016</v>
      </c>
      <c r="Z5" s="627">
        <v>2017</v>
      </c>
      <c r="AA5" s="1564">
        <v>2018</v>
      </c>
      <c r="AB5" s="627">
        <v>2019</v>
      </c>
      <c r="AC5" s="627">
        <v>2020</v>
      </c>
      <c r="AD5" s="627">
        <v>2021</v>
      </c>
      <c r="AE5" s="627">
        <v>2022</v>
      </c>
      <c r="AF5" s="627">
        <f>AE5+1</f>
        <v>2023</v>
      </c>
      <c r="AG5" s="1709">
        <f t="shared" ref="AG5:AI5" si="0">AF5+1</f>
        <v>2024</v>
      </c>
      <c r="AH5" s="627">
        <f t="shared" si="0"/>
        <v>2025</v>
      </c>
      <c r="AI5" s="627">
        <f t="shared" si="0"/>
        <v>2026</v>
      </c>
      <c r="AJ5" s="627">
        <f t="shared" ref="AJ5" si="1">AI5+1</f>
        <v>2027</v>
      </c>
      <c r="AK5" s="627">
        <f t="shared" ref="AK5" si="2">AJ5+1</f>
        <v>2028</v>
      </c>
      <c r="AL5" s="627">
        <f t="shared" ref="AL5" si="3">AK5+1</f>
        <v>2029</v>
      </c>
      <c r="AM5" s="627">
        <f t="shared" ref="AM5" si="4">AL5+1</f>
        <v>2030</v>
      </c>
      <c r="AN5" s="627">
        <f t="shared" ref="AN5" si="5">AM5+1</f>
        <v>2031</v>
      </c>
      <c r="AO5" s="627">
        <f t="shared" ref="AO5" si="6">AN5+1</f>
        <v>2032</v>
      </c>
      <c r="AP5" s="627">
        <f t="shared" ref="AP5" si="7">AO5+1</f>
        <v>2033</v>
      </c>
      <c r="AQ5" s="627">
        <f t="shared" ref="AQ5" si="8">AP5+1</f>
        <v>2034</v>
      </c>
      <c r="AR5" s="627">
        <f t="shared" ref="AR5" si="9">AQ5+1</f>
        <v>2035</v>
      </c>
      <c r="AS5" s="627">
        <f t="shared" ref="AS5" si="10">AR5+1</f>
        <v>2036</v>
      </c>
      <c r="AT5" s="627">
        <f t="shared" ref="AT5" si="11">AS5+1</f>
        <v>2037</v>
      </c>
      <c r="AU5" s="627">
        <f t="shared" ref="AU5" si="12">AT5+1</f>
        <v>2038</v>
      </c>
      <c r="AV5" s="627">
        <f t="shared" ref="AV5" si="13">AU5+1</f>
        <v>2039</v>
      </c>
      <c r="AW5" s="627">
        <f t="shared" ref="AW5" si="14">AV5+1</f>
        <v>2040</v>
      </c>
      <c r="AX5" s="627">
        <f t="shared" ref="AX5" si="15">AW5+1</f>
        <v>2041</v>
      </c>
      <c r="AY5" s="627">
        <f t="shared" ref="AY5" si="16">AX5+1</f>
        <v>2042</v>
      </c>
      <c r="AZ5" s="627">
        <f t="shared" ref="AZ5:BB5" si="17">AY5+1</f>
        <v>2043</v>
      </c>
      <c r="BA5" s="627">
        <f t="shared" si="17"/>
        <v>2044</v>
      </c>
      <c r="BB5" s="627">
        <f t="shared" si="17"/>
        <v>2045</v>
      </c>
    </row>
    <row r="6" spans="1:55" x14ac:dyDescent="0.2">
      <c r="B6" s="628" t="s">
        <v>381</v>
      </c>
      <c r="C6" s="629"/>
      <c r="D6" s="629"/>
      <c r="E6" s="630"/>
    </row>
    <row r="7" spans="1:55" x14ac:dyDescent="0.2">
      <c r="B7" s="629" t="s">
        <v>220</v>
      </c>
      <c r="C7" s="629"/>
      <c r="D7" s="629"/>
      <c r="E7" s="630"/>
    </row>
    <row r="8" spans="1:55" x14ac:dyDescent="0.2">
      <c r="B8" s="629" t="s">
        <v>221</v>
      </c>
      <c r="C8" s="629">
        <f>SUM(F8:AG8)</f>
        <v>560000</v>
      </c>
      <c r="D8" s="629">
        <v>6.95</v>
      </c>
      <c r="E8" s="630"/>
      <c r="F8" s="616">
        <v>35000</v>
      </c>
      <c r="G8" s="616">
        <v>50000</v>
      </c>
      <c r="H8" s="616">
        <v>100000</v>
      </c>
      <c r="I8" s="616">
        <v>100000</v>
      </c>
      <c r="J8" s="616">
        <v>100000</v>
      </c>
      <c r="K8" s="616">
        <v>100000</v>
      </c>
      <c r="L8" s="616">
        <v>75000</v>
      </c>
      <c r="M8" s="616">
        <v>0</v>
      </c>
      <c r="N8" s="616">
        <v>0</v>
      </c>
      <c r="O8" s="616">
        <v>0</v>
      </c>
    </row>
    <row r="9" spans="1:55" x14ac:dyDescent="0.2">
      <c r="B9" s="629" t="s">
        <v>89</v>
      </c>
      <c r="C9" s="629"/>
      <c r="D9" s="629" t="s">
        <v>164</v>
      </c>
      <c r="E9" s="630"/>
    </row>
    <row r="10" spans="1:55" x14ac:dyDescent="0.2">
      <c r="B10" s="629" t="s">
        <v>90</v>
      </c>
      <c r="C10" s="629">
        <f>SUM(F10:AG10)</f>
        <v>94500</v>
      </c>
      <c r="D10" s="629">
        <v>4.8899999999999997</v>
      </c>
      <c r="E10" s="630"/>
      <c r="F10" s="616">
        <v>31500</v>
      </c>
      <c r="G10" s="616">
        <v>31500</v>
      </c>
      <c r="H10" s="616">
        <v>31500</v>
      </c>
      <c r="I10" s="616">
        <v>0</v>
      </c>
      <c r="J10" s="616">
        <v>0</v>
      </c>
      <c r="K10" s="616">
        <v>0</v>
      </c>
      <c r="L10" s="616">
        <v>0</v>
      </c>
      <c r="M10" s="616">
        <v>0</v>
      </c>
      <c r="N10" s="616">
        <v>0</v>
      </c>
      <c r="O10" s="616">
        <v>0</v>
      </c>
    </row>
    <row r="11" spans="1:55" x14ac:dyDescent="0.2">
      <c r="B11" s="629" t="s">
        <v>91</v>
      </c>
      <c r="C11" s="629">
        <f>SUM(F11:AG11)</f>
        <v>140600</v>
      </c>
      <c r="D11" s="629">
        <v>4.66</v>
      </c>
      <c r="E11" s="630"/>
      <c r="H11" s="616">
        <v>0</v>
      </c>
      <c r="I11" s="616">
        <v>0</v>
      </c>
      <c r="J11" s="616">
        <v>0</v>
      </c>
      <c r="K11" s="616">
        <v>4800</v>
      </c>
      <c r="L11" s="616">
        <v>5000</v>
      </c>
      <c r="M11" s="616">
        <v>5000</v>
      </c>
      <c r="N11" s="616">
        <v>5500</v>
      </c>
      <c r="O11" s="616">
        <v>5500</v>
      </c>
      <c r="P11" s="616">
        <v>6000</v>
      </c>
      <c r="Q11" s="616">
        <v>6000</v>
      </c>
      <c r="R11" s="616">
        <v>6500</v>
      </c>
      <c r="S11" s="616">
        <v>7000</v>
      </c>
      <c r="T11" s="616">
        <v>7000</v>
      </c>
      <c r="U11" s="631">
        <v>8300</v>
      </c>
      <c r="V11" s="631">
        <v>8500</v>
      </c>
      <c r="W11" s="631">
        <v>9000</v>
      </c>
      <c r="X11" s="631">
        <v>8500</v>
      </c>
      <c r="Y11" s="631">
        <v>9000</v>
      </c>
      <c r="Z11" s="631">
        <v>9500</v>
      </c>
      <c r="AA11" s="1565">
        <v>9500</v>
      </c>
      <c r="AB11" s="631">
        <v>10000</v>
      </c>
      <c r="AC11" s="631">
        <v>10000</v>
      </c>
    </row>
    <row r="12" spans="1:55" x14ac:dyDescent="0.2">
      <c r="B12" s="629" t="s">
        <v>191</v>
      </c>
      <c r="C12" s="629">
        <f>550000+505000</f>
        <v>1055000</v>
      </c>
      <c r="D12" s="629"/>
      <c r="E12" s="630"/>
      <c r="U12" s="631">
        <v>75000</v>
      </c>
      <c r="V12" s="631">
        <v>75000</v>
      </c>
      <c r="W12" s="631">
        <v>75000</v>
      </c>
      <c r="X12" s="631">
        <v>75000</v>
      </c>
      <c r="Y12" s="631">
        <v>75000</v>
      </c>
      <c r="Z12" s="631">
        <v>70000</v>
      </c>
      <c r="AA12" s="1565">
        <v>70000</v>
      </c>
      <c r="AB12" s="631">
        <v>70000</v>
      </c>
      <c r="AC12" s="631">
        <v>70000</v>
      </c>
      <c r="AD12" s="631">
        <v>70000</v>
      </c>
      <c r="AE12" s="631">
        <v>70000</v>
      </c>
      <c r="AF12" s="631">
        <v>65000</v>
      </c>
      <c r="AG12" s="1710">
        <v>65000</v>
      </c>
      <c r="AH12" s="631">
        <v>65000</v>
      </c>
      <c r="AI12" s="631">
        <v>65000</v>
      </c>
      <c r="AJ12" s="631"/>
      <c r="AK12" s="631"/>
      <c r="AL12" s="631"/>
      <c r="AM12" s="631"/>
      <c r="AN12" s="631"/>
      <c r="AO12" s="631"/>
    </row>
    <row r="13" spans="1:55" x14ac:dyDescent="0.2">
      <c r="B13" s="629"/>
      <c r="C13" s="629"/>
      <c r="D13" s="629"/>
      <c r="E13" s="630"/>
      <c r="U13" s="631"/>
      <c r="V13" s="631"/>
      <c r="W13" s="631"/>
      <c r="X13" s="631"/>
      <c r="Y13" s="631"/>
      <c r="Z13" s="631"/>
      <c r="AA13" s="1565"/>
      <c r="AB13" s="631"/>
      <c r="AC13" s="631"/>
      <c r="AD13" s="631"/>
      <c r="AE13" s="631"/>
      <c r="AF13" s="631"/>
      <c r="AG13" s="1710"/>
      <c r="AH13" s="631"/>
      <c r="AI13" s="631"/>
      <c r="AJ13" s="631"/>
      <c r="AK13" s="631"/>
      <c r="AL13" s="631"/>
      <c r="AM13" s="631"/>
      <c r="AN13" s="631"/>
      <c r="AO13" s="631"/>
    </row>
    <row r="14" spans="1:55" x14ac:dyDescent="0.2">
      <c r="B14" s="629" t="s">
        <v>910</v>
      </c>
      <c r="C14" s="629">
        <v>930900</v>
      </c>
      <c r="D14" s="629"/>
      <c r="E14" s="630">
        <v>20</v>
      </c>
      <c r="U14" s="631"/>
      <c r="V14" s="631"/>
      <c r="W14" s="631"/>
      <c r="X14" s="631"/>
      <c r="Y14" s="631"/>
      <c r="Z14" s="631"/>
      <c r="AA14" s="1565"/>
      <c r="AB14" s="632">
        <v>42900</v>
      </c>
      <c r="AC14" s="632">
        <v>50000</v>
      </c>
      <c r="AD14" s="632">
        <v>50000</v>
      </c>
      <c r="AE14" s="632">
        <v>50000</v>
      </c>
      <c r="AF14" s="632">
        <v>50000</v>
      </c>
      <c r="AG14" s="1711">
        <v>50000</v>
      </c>
      <c r="AH14" s="632">
        <v>50000</v>
      </c>
      <c r="AI14" s="632">
        <v>50000</v>
      </c>
      <c r="AJ14" s="632">
        <v>50000</v>
      </c>
      <c r="AK14" s="632">
        <v>45000</v>
      </c>
      <c r="AL14" s="632">
        <v>45000</v>
      </c>
      <c r="AM14" s="632">
        <v>45000</v>
      </c>
      <c r="AN14" s="632">
        <v>45000</v>
      </c>
      <c r="AO14" s="632">
        <v>45000</v>
      </c>
      <c r="AP14" s="632">
        <v>45000</v>
      </c>
      <c r="AQ14" s="632">
        <v>45000</v>
      </c>
      <c r="AR14" s="632">
        <v>45000</v>
      </c>
      <c r="AS14" s="632">
        <v>45000</v>
      </c>
      <c r="AT14" s="632">
        <v>45000</v>
      </c>
      <c r="AU14" s="632">
        <v>38000</v>
      </c>
      <c r="BC14" s="616">
        <f>SUM(F14:AZ14)</f>
        <v>930900</v>
      </c>
    </row>
    <row r="15" spans="1:55" x14ac:dyDescent="0.2">
      <c r="B15" s="629" t="s">
        <v>911</v>
      </c>
      <c r="C15" s="629">
        <v>626600</v>
      </c>
      <c r="D15" s="629"/>
      <c r="E15" s="630">
        <v>20</v>
      </c>
      <c r="U15" s="631"/>
      <c r="V15" s="631"/>
      <c r="W15" s="631"/>
      <c r="X15" s="631"/>
      <c r="Y15" s="631"/>
      <c r="Z15" s="631"/>
      <c r="AA15" s="1565"/>
      <c r="AB15" s="632">
        <v>29600</v>
      </c>
      <c r="AC15" s="632">
        <v>35000</v>
      </c>
      <c r="AD15" s="632">
        <v>35000</v>
      </c>
      <c r="AE15" s="632">
        <v>35000</v>
      </c>
      <c r="AF15" s="632">
        <v>35000</v>
      </c>
      <c r="AG15" s="1711">
        <v>35000</v>
      </c>
      <c r="AH15" s="632">
        <v>35000</v>
      </c>
      <c r="AI15" s="632">
        <v>30000</v>
      </c>
      <c r="AJ15" s="632">
        <v>30000</v>
      </c>
      <c r="AK15" s="632">
        <v>30000</v>
      </c>
      <c r="AL15" s="632">
        <v>30000</v>
      </c>
      <c r="AM15" s="632">
        <v>30000</v>
      </c>
      <c r="AN15" s="632">
        <v>30000</v>
      </c>
      <c r="AO15" s="632">
        <v>30000</v>
      </c>
      <c r="AP15" s="632">
        <v>30000</v>
      </c>
      <c r="AQ15" s="632">
        <v>30000</v>
      </c>
      <c r="AR15" s="632">
        <v>30000</v>
      </c>
      <c r="AS15" s="632">
        <v>30000</v>
      </c>
      <c r="AT15" s="632">
        <v>30000</v>
      </c>
      <c r="AU15" s="632">
        <v>27000</v>
      </c>
      <c r="BC15" s="616">
        <f>SUM(F15:AZ15)</f>
        <v>626600</v>
      </c>
    </row>
    <row r="16" spans="1:55" x14ac:dyDescent="0.2">
      <c r="B16" s="629"/>
      <c r="C16" s="629"/>
      <c r="D16" s="629"/>
      <c r="E16" s="630"/>
      <c r="U16" s="631"/>
      <c r="V16" s="631"/>
      <c r="W16" s="631"/>
      <c r="X16" s="631"/>
      <c r="Y16" s="631"/>
      <c r="Z16" s="631"/>
      <c r="AA16" s="1565"/>
      <c r="AB16" s="631"/>
      <c r="AC16" s="631"/>
      <c r="AD16" s="631"/>
      <c r="AE16" s="631"/>
      <c r="AF16" s="631"/>
      <c r="AG16" s="1710"/>
      <c r="AH16" s="631"/>
      <c r="AI16" s="631"/>
      <c r="AJ16" s="631"/>
      <c r="AK16" s="631"/>
      <c r="AL16" s="631"/>
      <c r="AM16" s="631"/>
      <c r="AN16" s="631"/>
      <c r="AO16" s="631"/>
    </row>
    <row r="17" spans="2:53" x14ac:dyDescent="0.2">
      <c r="B17" s="1623" t="s">
        <v>979</v>
      </c>
      <c r="C17" s="629">
        <v>3734000</v>
      </c>
      <c r="D17" s="629"/>
      <c r="E17" s="630">
        <v>20</v>
      </c>
      <c r="U17" s="631"/>
      <c r="V17" s="631"/>
      <c r="W17" s="631"/>
      <c r="X17" s="631"/>
      <c r="Y17" s="631"/>
      <c r="Z17" s="631"/>
      <c r="AA17" s="1565"/>
      <c r="AB17" s="631"/>
      <c r="AC17" s="631">
        <v>189000</v>
      </c>
      <c r="AD17" s="631">
        <v>190000</v>
      </c>
      <c r="AE17" s="631">
        <v>190000</v>
      </c>
      <c r="AF17" s="631">
        <v>190000</v>
      </c>
      <c r="AG17" s="1710">
        <v>190000</v>
      </c>
      <c r="AH17" s="631">
        <v>190000</v>
      </c>
      <c r="AI17" s="631">
        <v>190000</v>
      </c>
      <c r="AJ17" s="631">
        <v>185000</v>
      </c>
      <c r="AK17" s="631">
        <v>185000</v>
      </c>
      <c r="AL17" s="631">
        <v>185000</v>
      </c>
      <c r="AM17" s="631">
        <v>185000</v>
      </c>
      <c r="AN17" s="631">
        <v>185000</v>
      </c>
      <c r="AO17" s="631">
        <v>185000</v>
      </c>
      <c r="AP17" s="631">
        <v>185000</v>
      </c>
      <c r="AQ17" s="631">
        <v>185000</v>
      </c>
      <c r="AR17" s="631">
        <v>185000</v>
      </c>
      <c r="AS17" s="631">
        <v>185000</v>
      </c>
      <c r="AT17" s="631">
        <v>185000</v>
      </c>
      <c r="AU17" s="631">
        <v>185000</v>
      </c>
      <c r="AV17" s="631">
        <v>185000</v>
      </c>
      <c r="AW17" s="631">
        <v>0</v>
      </c>
    </row>
    <row r="18" spans="2:53" x14ac:dyDescent="0.2">
      <c r="B18" s="1623"/>
      <c r="C18" s="629"/>
      <c r="D18" s="629"/>
      <c r="E18" s="630"/>
      <c r="U18" s="631"/>
      <c r="V18" s="631"/>
      <c r="W18" s="631"/>
      <c r="X18" s="631"/>
      <c r="Y18" s="631"/>
      <c r="Z18" s="631"/>
      <c r="AA18" s="1565"/>
      <c r="AB18" s="631"/>
      <c r="AC18" s="631"/>
      <c r="AD18" s="631"/>
      <c r="AE18" s="631"/>
      <c r="AF18" s="631"/>
      <c r="AG18" s="1710"/>
      <c r="AH18" s="631"/>
      <c r="AI18" s="631"/>
      <c r="AJ18" s="631"/>
      <c r="AK18" s="631"/>
      <c r="AL18" s="631"/>
      <c r="AM18" s="631"/>
      <c r="AN18" s="631"/>
      <c r="AO18" s="631"/>
      <c r="AP18" s="631"/>
      <c r="AQ18" s="631"/>
      <c r="AR18" s="631"/>
      <c r="AS18" s="631"/>
      <c r="AT18" s="631"/>
      <c r="AU18" s="631"/>
      <c r="AV18" s="631"/>
      <c r="AW18" s="631"/>
    </row>
    <row r="19" spans="2:53" x14ac:dyDescent="0.2">
      <c r="B19" s="1623" t="s">
        <v>1014</v>
      </c>
      <c r="C19" s="629">
        <v>1630000</v>
      </c>
      <c r="D19" s="629">
        <v>2.2229700000000001</v>
      </c>
      <c r="E19" s="630">
        <v>20</v>
      </c>
      <c r="U19" s="631"/>
      <c r="V19" s="631"/>
      <c r="W19" s="631"/>
      <c r="X19" s="631"/>
      <c r="Y19" s="631"/>
      <c r="Z19" s="631"/>
      <c r="AA19" s="1565"/>
      <c r="AB19" s="631"/>
      <c r="AC19" s="631"/>
      <c r="AD19" s="631">
        <v>85000</v>
      </c>
      <c r="AE19" s="631">
        <v>85000</v>
      </c>
      <c r="AF19" s="631">
        <v>85000</v>
      </c>
      <c r="AG19" s="1710">
        <v>85000</v>
      </c>
      <c r="AH19" s="631">
        <v>85000</v>
      </c>
      <c r="AI19" s="631">
        <v>85000</v>
      </c>
      <c r="AJ19" s="631">
        <v>85000</v>
      </c>
      <c r="AK19" s="631">
        <v>80000</v>
      </c>
      <c r="AL19" s="631">
        <v>80000</v>
      </c>
      <c r="AM19" s="631">
        <v>80000</v>
      </c>
      <c r="AN19" s="631">
        <v>80000</v>
      </c>
      <c r="AO19" s="631">
        <v>80000</v>
      </c>
      <c r="AP19" s="631">
        <v>80000</v>
      </c>
      <c r="AQ19" s="631">
        <v>80000</v>
      </c>
      <c r="AR19" s="631">
        <v>80000</v>
      </c>
      <c r="AS19" s="631">
        <v>80000</v>
      </c>
      <c r="AT19" s="631">
        <v>80000</v>
      </c>
      <c r="AU19" s="631">
        <v>80000</v>
      </c>
      <c r="AV19" s="631">
        <v>80000</v>
      </c>
      <c r="AW19" s="631">
        <v>75000</v>
      </c>
    </row>
    <row r="20" spans="2:53" x14ac:dyDescent="0.2">
      <c r="B20" s="1623" t="s">
        <v>1015</v>
      </c>
      <c r="C20" s="629">
        <v>918000</v>
      </c>
      <c r="D20" s="629">
        <v>2.2229700000000001</v>
      </c>
      <c r="E20" s="630">
        <v>20</v>
      </c>
      <c r="U20" s="631"/>
      <c r="V20" s="631"/>
      <c r="W20" s="631"/>
      <c r="X20" s="631"/>
      <c r="Y20" s="631"/>
      <c r="Z20" s="631"/>
      <c r="AA20" s="1565"/>
      <c r="AB20" s="631"/>
      <c r="AC20" s="631"/>
      <c r="AD20" s="631">
        <v>50000</v>
      </c>
      <c r="AE20" s="631">
        <v>50000</v>
      </c>
      <c r="AF20" s="631">
        <v>50000</v>
      </c>
      <c r="AG20" s="1710">
        <v>50000</v>
      </c>
      <c r="AH20" s="631">
        <v>45000</v>
      </c>
      <c r="AI20" s="631">
        <v>45000</v>
      </c>
      <c r="AJ20" s="631">
        <v>45000</v>
      </c>
      <c r="AK20" s="631">
        <v>45000</v>
      </c>
      <c r="AL20" s="631">
        <v>45000</v>
      </c>
      <c r="AM20" s="631">
        <v>45000</v>
      </c>
      <c r="AN20" s="631">
        <v>45000</v>
      </c>
      <c r="AO20" s="631">
        <v>45000</v>
      </c>
      <c r="AP20" s="631">
        <v>45000</v>
      </c>
      <c r="AQ20" s="631">
        <v>45000</v>
      </c>
      <c r="AR20" s="631">
        <v>45000</v>
      </c>
      <c r="AS20" s="631">
        <v>45000</v>
      </c>
      <c r="AT20" s="631">
        <v>45000</v>
      </c>
      <c r="AU20" s="631">
        <v>45000</v>
      </c>
      <c r="AV20" s="631">
        <v>45000</v>
      </c>
      <c r="AW20" s="631">
        <v>43000</v>
      </c>
    </row>
    <row r="21" spans="2:53" x14ac:dyDescent="0.2">
      <c r="B21" s="629"/>
      <c r="C21" s="629"/>
      <c r="D21" s="629"/>
      <c r="E21" s="630"/>
      <c r="U21" s="631"/>
      <c r="V21" s="631"/>
      <c r="W21" s="631"/>
      <c r="X21" s="631"/>
      <c r="Y21" s="631"/>
      <c r="Z21" s="631"/>
      <c r="AA21" s="1565"/>
      <c r="AB21" s="631"/>
      <c r="AC21" s="631"/>
      <c r="AD21" s="631"/>
      <c r="AE21" s="631"/>
      <c r="AF21" s="631"/>
      <c r="AG21" s="1710"/>
      <c r="AH21" s="631"/>
      <c r="AI21" s="631"/>
      <c r="AJ21" s="631"/>
      <c r="AK21" s="631"/>
      <c r="AL21" s="631"/>
      <c r="AM21" s="631"/>
      <c r="AN21" s="631"/>
      <c r="AO21" s="631"/>
    </row>
    <row r="22" spans="2:53" x14ac:dyDescent="0.2">
      <c r="B22" s="629"/>
      <c r="C22" s="629"/>
      <c r="D22" s="629"/>
      <c r="E22" s="630"/>
    </row>
    <row r="23" spans="2:53" x14ac:dyDescent="0.2">
      <c r="B23" s="633" t="s">
        <v>207</v>
      </c>
      <c r="C23" s="633">
        <f>SUM(AB23:AZ23)</f>
        <v>8399500</v>
      </c>
      <c r="D23" s="633"/>
      <c r="E23" s="634"/>
      <c r="F23" s="635">
        <f t="shared" ref="F23:AA23" si="18">SUM(F6:F22)</f>
        <v>66500</v>
      </c>
      <c r="G23" s="635">
        <f t="shared" si="18"/>
        <v>81500</v>
      </c>
      <c r="H23" s="635">
        <f t="shared" si="18"/>
        <v>131500</v>
      </c>
      <c r="I23" s="635">
        <f t="shared" si="18"/>
        <v>100000</v>
      </c>
      <c r="J23" s="635">
        <f t="shared" si="18"/>
        <v>100000</v>
      </c>
      <c r="K23" s="635">
        <f t="shared" si="18"/>
        <v>104800</v>
      </c>
      <c r="L23" s="635">
        <f t="shared" si="18"/>
        <v>80000</v>
      </c>
      <c r="M23" s="635">
        <f t="shared" si="18"/>
        <v>5000</v>
      </c>
      <c r="N23" s="635">
        <f t="shared" si="18"/>
        <v>5500</v>
      </c>
      <c r="O23" s="635">
        <f t="shared" si="18"/>
        <v>5500</v>
      </c>
      <c r="P23" s="635">
        <f t="shared" si="18"/>
        <v>6000</v>
      </c>
      <c r="Q23" s="635">
        <f t="shared" si="18"/>
        <v>6000</v>
      </c>
      <c r="R23" s="635">
        <f t="shared" si="18"/>
        <v>6500</v>
      </c>
      <c r="S23" s="635">
        <f t="shared" si="18"/>
        <v>7000</v>
      </c>
      <c r="T23" s="635">
        <f t="shared" si="18"/>
        <v>7000</v>
      </c>
      <c r="U23" s="635">
        <f t="shared" si="18"/>
        <v>83300</v>
      </c>
      <c r="V23" s="635">
        <f t="shared" si="18"/>
        <v>83500</v>
      </c>
      <c r="W23" s="635">
        <f t="shared" si="18"/>
        <v>84000</v>
      </c>
      <c r="X23" s="635">
        <f t="shared" si="18"/>
        <v>83500</v>
      </c>
      <c r="Y23" s="635">
        <f t="shared" si="18"/>
        <v>84000</v>
      </c>
      <c r="Z23" s="635">
        <f t="shared" si="18"/>
        <v>79500</v>
      </c>
      <c r="AA23" s="1566">
        <f t="shared" si="18"/>
        <v>79500</v>
      </c>
      <c r="AB23" s="635">
        <f>SUM(AB6:AB22)</f>
        <v>152500</v>
      </c>
      <c r="AC23" s="635">
        <f>SUM(AC6:AC22)</f>
        <v>354000</v>
      </c>
      <c r="AD23" s="635">
        <f>SUM(AD6:AD22)</f>
        <v>480000</v>
      </c>
      <c r="AE23" s="635">
        <f t="shared" ref="AE23:BA23" si="19">SUM(AE6:AE22)</f>
        <v>480000</v>
      </c>
      <c r="AF23" s="635">
        <f t="shared" si="19"/>
        <v>475000</v>
      </c>
      <c r="AG23" s="1712">
        <f t="shared" si="19"/>
        <v>475000</v>
      </c>
      <c r="AH23" s="635">
        <f t="shared" si="19"/>
        <v>470000</v>
      </c>
      <c r="AI23" s="635">
        <f t="shared" si="19"/>
        <v>465000</v>
      </c>
      <c r="AJ23" s="635">
        <f t="shared" si="19"/>
        <v>395000</v>
      </c>
      <c r="AK23" s="635">
        <f t="shared" si="19"/>
        <v>385000</v>
      </c>
      <c r="AL23" s="635">
        <f t="shared" si="19"/>
        <v>385000</v>
      </c>
      <c r="AM23" s="635">
        <f t="shared" si="19"/>
        <v>385000</v>
      </c>
      <c r="AN23" s="635">
        <f t="shared" si="19"/>
        <v>385000</v>
      </c>
      <c r="AO23" s="635">
        <f t="shared" si="19"/>
        <v>385000</v>
      </c>
      <c r="AP23" s="635">
        <f t="shared" si="19"/>
        <v>385000</v>
      </c>
      <c r="AQ23" s="635">
        <f t="shared" si="19"/>
        <v>385000</v>
      </c>
      <c r="AR23" s="635">
        <f t="shared" si="19"/>
        <v>385000</v>
      </c>
      <c r="AS23" s="635">
        <f t="shared" si="19"/>
        <v>385000</v>
      </c>
      <c r="AT23" s="635">
        <f t="shared" si="19"/>
        <v>385000</v>
      </c>
      <c r="AU23" s="635">
        <f t="shared" si="19"/>
        <v>375000</v>
      </c>
      <c r="AV23" s="635">
        <f t="shared" si="19"/>
        <v>310000</v>
      </c>
      <c r="AW23" s="635">
        <f t="shared" si="19"/>
        <v>118000</v>
      </c>
      <c r="AX23" s="635">
        <f t="shared" si="19"/>
        <v>0</v>
      </c>
      <c r="AY23" s="635">
        <f t="shared" si="19"/>
        <v>0</v>
      </c>
      <c r="AZ23" s="635">
        <f t="shared" si="19"/>
        <v>0</v>
      </c>
      <c r="BA23" s="635">
        <f t="shared" si="19"/>
        <v>0</v>
      </c>
    </row>
    <row r="24" spans="2:53" x14ac:dyDescent="0.2">
      <c r="B24" s="636"/>
      <c r="C24" s="637"/>
      <c r="D24" s="629"/>
      <c r="E24" s="630"/>
    </row>
    <row r="25" spans="2:53" x14ac:dyDescent="0.2">
      <c r="B25" s="629" t="s">
        <v>94</v>
      </c>
      <c r="C25" s="629"/>
      <c r="D25" s="629"/>
      <c r="E25" s="630"/>
      <c r="F25" s="616" t="s">
        <v>164</v>
      </c>
    </row>
    <row r="26" spans="2:53" x14ac:dyDescent="0.2">
      <c r="B26" s="629" t="s">
        <v>375</v>
      </c>
      <c r="C26" s="629">
        <f>SUM(F26:AG26)</f>
        <v>157476.25</v>
      </c>
      <c r="D26" s="629">
        <v>6.95</v>
      </c>
      <c r="E26" s="630"/>
      <c r="F26" s="616">
        <v>38920</v>
      </c>
      <c r="G26" s="616">
        <v>36487.5</v>
      </c>
      <c r="H26" s="616">
        <v>30487.5</v>
      </c>
      <c r="I26" s="616">
        <v>23487.5</v>
      </c>
      <c r="J26" s="616">
        <v>16312.5</v>
      </c>
      <c r="K26" s="616">
        <v>9062.5</v>
      </c>
      <c r="L26" s="616">
        <v>2718.75</v>
      </c>
      <c r="M26" s="616">
        <v>0</v>
      </c>
      <c r="N26" s="616">
        <v>0</v>
      </c>
      <c r="O26" s="616">
        <v>0</v>
      </c>
    </row>
    <row r="27" spans="2:53" x14ac:dyDescent="0.2">
      <c r="B27" s="629" t="s">
        <v>376</v>
      </c>
      <c r="C27" s="629"/>
      <c r="D27" s="629" t="s">
        <v>164</v>
      </c>
      <c r="E27" s="630"/>
    </row>
    <row r="28" spans="2:53" x14ac:dyDescent="0.2">
      <c r="B28" s="629" t="s">
        <v>380</v>
      </c>
      <c r="C28" s="629">
        <f>SUM(F28:AG29)</f>
        <v>73503.039999999979</v>
      </c>
      <c r="D28" s="629">
        <v>4.8899999999999997</v>
      </c>
      <c r="E28" s="630"/>
      <c r="F28" s="616">
        <v>3843</v>
      </c>
      <c r="G28" s="616">
        <v>2291.63</v>
      </c>
      <c r="H28" s="616">
        <v>763.87</v>
      </c>
      <c r="I28" s="616">
        <v>0</v>
      </c>
      <c r="J28" s="616">
        <v>0</v>
      </c>
      <c r="K28" s="616">
        <v>0</v>
      </c>
      <c r="L28" s="616">
        <v>0</v>
      </c>
      <c r="M28" s="616">
        <v>0</v>
      </c>
    </row>
    <row r="29" spans="2:53" x14ac:dyDescent="0.2">
      <c r="B29" s="629" t="s">
        <v>91</v>
      </c>
      <c r="C29" s="629">
        <f>SUM(F29:AG29)</f>
        <v>66604.539999999994</v>
      </c>
      <c r="D29" s="629">
        <v>4.66</v>
      </c>
      <c r="E29" s="630"/>
      <c r="F29" s="616">
        <v>0</v>
      </c>
      <c r="G29" s="616">
        <v>0</v>
      </c>
      <c r="H29" s="616">
        <v>0</v>
      </c>
      <c r="I29" s="616">
        <v>0</v>
      </c>
      <c r="J29" s="616">
        <v>0</v>
      </c>
      <c r="K29" s="616">
        <v>6514.88</v>
      </c>
      <c r="L29" s="616">
        <v>6226.87</v>
      </c>
      <c r="M29" s="616">
        <v>6014.38</v>
      </c>
      <c r="N29" s="616">
        <v>5801.88</v>
      </c>
      <c r="O29" s="616">
        <v>5581.88</v>
      </c>
      <c r="P29" s="616">
        <v>5361.88</v>
      </c>
      <c r="Q29" s="616">
        <v>5121.88</v>
      </c>
      <c r="R29" s="616">
        <v>4881.88</v>
      </c>
      <c r="S29" s="616">
        <v>4621.88</v>
      </c>
      <c r="T29" s="616">
        <v>4333.13</v>
      </c>
      <c r="U29" s="631">
        <v>2435.25</v>
      </c>
      <c r="V29" s="631">
        <v>2186.25</v>
      </c>
      <c r="W29" s="631">
        <v>1931.25</v>
      </c>
      <c r="X29" s="631">
        <v>1571.25</v>
      </c>
      <c r="Y29" s="631">
        <v>1231.25</v>
      </c>
      <c r="Z29" s="631">
        <v>1051.25</v>
      </c>
      <c r="AA29" s="1565">
        <v>837.5</v>
      </c>
      <c r="AB29" s="631">
        <v>600</v>
      </c>
      <c r="AC29" s="631">
        <v>300</v>
      </c>
    </row>
    <row r="30" spans="2:53" x14ac:dyDescent="0.2">
      <c r="B30" s="629" t="s">
        <v>877</v>
      </c>
      <c r="C30" s="629"/>
      <c r="D30" s="629"/>
      <c r="E30" s="630"/>
      <c r="U30" s="631">
        <v>17845</v>
      </c>
      <c r="V30" s="631">
        <v>16645</v>
      </c>
      <c r="W30" s="638">
        <v>15445</v>
      </c>
      <c r="X30" s="638">
        <v>13845</v>
      </c>
      <c r="Y30" s="638">
        <v>12245</v>
      </c>
      <c r="Z30" s="638">
        <v>11445</v>
      </c>
      <c r="AA30" s="1567">
        <v>10657.5</v>
      </c>
      <c r="AB30" s="631">
        <v>9782.5</v>
      </c>
      <c r="AC30" s="631">
        <v>8732.5</v>
      </c>
      <c r="AD30" s="631">
        <v>7682.5</v>
      </c>
      <c r="AE30" s="631">
        <v>6562.5</v>
      </c>
      <c r="AF30" s="631">
        <v>5250</v>
      </c>
      <c r="AG30" s="1710">
        <v>3937.5</v>
      </c>
      <c r="AH30" s="640">
        <v>2625</v>
      </c>
      <c r="AI30" s="640">
        <v>1312.5</v>
      </c>
      <c r="AJ30" s="631">
        <f>SUM(U30:AI30)</f>
        <v>144012.5</v>
      </c>
    </row>
    <row r="31" spans="2:53" x14ac:dyDescent="0.2">
      <c r="B31" s="629" t="s">
        <v>191</v>
      </c>
      <c r="C31" s="629"/>
      <c r="D31" s="629"/>
      <c r="E31" s="630"/>
      <c r="U31" s="631">
        <v>16295</v>
      </c>
      <c r="V31" s="631">
        <v>15245</v>
      </c>
      <c r="W31" s="638">
        <v>14195</v>
      </c>
      <c r="X31" s="638">
        <v>12795</v>
      </c>
      <c r="Y31" s="638">
        <v>11395</v>
      </c>
      <c r="Z31" s="638">
        <v>10695</v>
      </c>
      <c r="AA31" s="1567">
        <v>9907.5</v>
      </c>
      <c r="AB31" s="631">
        <v>9032.5</v>
      </c>
      <c r="AC31" s="631">
        <v>7982.5</v>
      </c>
      <c r="AD31" s="631">
        <v>6932.5</v>
      </c>
      <c r="AE31" s="631">
        <v>5812.5</v>
      </c>
      <c r="AF31" s="631">
        <v>4500</v>
      </c>
      <c r="AG31" s="1710">
        <v>3375</v>
      </c>
      <c r="AH31" s="640">
        <v>2250</v>
      </c>
      <c r="AI31" s="640">
        <v>1125</v>
      </c>
      <c r="AJ31" s="631">
        <f>SUM(U31:AI31)</f>
        <v>131537.5</v>
      </c>
    </row>
    <row r="32" spans="2:53" x14ac:dyDescent="0.2">
      <c r="B32" s="639"/>
      <c r="C32" s="629"/>
      <c r="D32" s="629"/>
      <c r="E32" s="630"/>
      <c r="U32" s="631"/>
      <c r="V32" s="631"/>
      <c r="W32" s="631"/>
      <c r="X32" s="631"/>
      <c r="Y32" s="631"/>
      <c r="Z32" s="631"/>
      <c r="AA32" s="1565"/>
      <c r="AB32" s="631"/>
      <c r="AC32" s="631"/>
      <c r="AD32" s="631"/>
      <c r="AE32" s="631"/>
      <c r="AF32" s="631"/>
      <c r="AG32" s="1710"/>
      <c r="AH32" s="640"/>
      <c r="AI32" s="640"/>
      <c r="AJ32" s="631"/>
    </row>
    <row r="33" spans="2:55" x14ac:dyDescent="0.2">
      <c r="B33" s="629" t="s">
        <v>910</v>
      </c>
      <c r="C33" s="629">
        <v>300438.65999999997</v>
      </c>
      <c r="D33" s="629"/>
      <c r="E33" s="630">
        <v>20</v>
      </c>
      <c r="U33" s="631"/>
      <c r="V33" s="631"/>
      <c r="W33" s="631"/>
      <c r="X33" s="631"/>
      <c r="Y33" s="631"/>
      <c r="Z33" s="631"/>
      <c r="AA33" s="1568">
        <v>14598.28</v>
      </c>
      <c r="AB33" s="632">
        <v>29387.26</v>
      </c>
      <c r="AC33" s="632">
        <v>27993.759999999998</v>
      </c>
      <c r="AD33" s="632">
        <v>26493.759999999998</v>
      </c>
      <c r="AE33" s="632">
        <v>24993.759999999998</v>
      </c>
      <c r="AF33" s="632">
        <v>23243.759999999998</v>
      </c>
      <c r="AG33" s="1711">
        <v>21243.759999999998</v>
      </c>
      <c r="AH33" s="641">
        <v>19243.759999999998</v>
      </c>
      <c r="AI33" s="641">
        <v>17243.759999999998</v>
      </c>
      <c r="AJ33" s="632">
        <v>15493.76</v>
      </c>
      <c r="AK33" s="632">
        <v>14068.76</v>
      </c>
      <c r="AL33" s="632">
        <v>12718.76</v>
      </c>
      <c r="AM33" s="632">
        <v>11368.76</v>
      </c>
      <c r="AN33" s="632">
        <v>10018.76</v>
      </c>
      <c r="AO33" s="632">
        <v>8668.76</v>
      </c>
      <c r="AP33" s="632">
        <v>7318.76</v>
      </c>
      <c r="AQ33" s="632">
        <v>5968.76</v>
      </c>
      <c r="AR33" s="632">
        <v>4618.76</v>
      </c>
      <c r="AS33" s="632">
        <v>3268.76</v>
      </c>
      <c r="AT33" s="632">
        <v>1890.63</v>
      </c>
      <c r="AU33" s="632">
        <v>593.75</v>
      </c>
      <c r="BC33" s="616">
        <f>SUM(F33:AZ33)</f>
        <v>300438.84000000008</v>
      </c>
    </row>
    <row r="34" spans="2:55" x14ac:dyDescent="0.2">
      <c r="B34" s="629" t="s">
        <v>911</v>
      </c>
      <c r="C34" s="629">
        <v>201044.68</v>
      </c>
      <c r="D34" s="629"/>
      <c r="E34" s="630">
        <v>20</v>
      </c>
      <c r="U34" s="631"/>
      <c r="V34" s="631"/>
      <c r="W34" s="631"/>
      <c r="X34" s="631"/>
      <c r="Y34" s="631"/>
      <c r="Z34" s="631"/>
      <c r="AA34" s="1568">
        <v>9828.7999999999993</v>
      </c>
      <c r="AB34" s="632">
        <v>19775.259999999998</v>
      </c>
      <c r="AC34" s="632">
        <v>18806.259999999998</v>
      </c>
      <c r="AD34" s="632">
        <v>17756.259999999998</v>
      </c>
      <c r="AE34" s="632">
        <v>16706.259999999998</v>
      </c>
      <c r="AF34" s="632">
        <v>15481.26</v>
      </c>
      <c r="AG34" s="1711">
        <v>14081.26</v>
      </c>
      <c r="AH34" s="641">
        <v>12681.26</v>
      </c>
      <c r="AI34" s="641">
        <v>11381.26</v>
      </c>
      <c r="AJ34" s="632">
        <v>10331.26</v>
      </c>
      <c r="AK34" s="632">
        <v>9431.26</v>
      </c>
      <c r="AL34" s="632">
        <v>8531.26</v>
      </c>
      <c r="AM34" s="632">
        <v>7631.26</v>
      </c>
      <c r="AN34" s="632">
        <v>6731.26</v>
      </c>
      <c r="AO34" s="632">
        <v>5831.26</v>
      </c>
      <c r="AP34" s="632">
        <v>4931.26</v>
      </c>
      <c r="AQ34" s="632">
        <v>4031.26</v>
      </c>
      <c r="AR34" s="632">
        <v>3131.26</v>
      </c>
      <c r="AS34" s="632">
        <v>2231.2600000000002</v>
      </c>
      <c r="AT34" s="632">
        <v>1312.51</v>
      </c>
      <c r="AU34" s="632">
        <v>421.88</v>
      </c>
      <c r="BC34" s="616">
        <f>SUM(F34:AZ34)</f>
        <v>201044.87000000008</v>
      </c>
    </row>
    <row r="35" spans="2:55" x14ac:dyDescent="0.2">
      <c r="B35" s="703" t="s">
        <v>944</v>
      </c>
      <c r="C35" s="629">
        <v>3500000</v>
      </c>
      <c r="D35" s="1530">
        <v>3.5000000000000003E-2</v>
      </c>
      <c r="E35" s="630"/>
      <c r="U35" s="631"/>
      <c r="V35" s="631"/>
      <c r="W35" s="631"/>
      <c r="X35" s="631"/>
      <c r="Y35" s="631"/>
      <c r="Z35" s="631"/>
      <c r="AA35" s="1565"/>
      <c r="AB35" s="6">
        <f>C35*0.035*150/360</f>
        <v>51041.666666666679</v>
      </c>
      <c r="AC35" s="631"/>
      <c r="AD35" s="631"/>
      <c r="AE35" s="631"/>
      <c r="AF35" s="631"/>
      <c r="AG35" s="1710"/>
      <c r="AH35" s="640"/>
      <c r="AI35" s="640"/>
      <c r="AJ35" s="631"/>
    </row>
    <row r="36" spans="2:55" x14ac:dyDescent="0.2">
      <c r="B36" s="703" t="s">
        <v>945</v>
      </c>
      <c r="C36" s="629">
        <v>7250000</v>
      </c>
      <c r="D36" s="1530">
        <v>3.5000000000000003E-2</v>
      </c>
      <c r="E36" s="630"/>
      <c r="U36" s="631"/>
      <c r="V36" s="631"/>
      <c r="W36" s="631"/>
      <c r="X36" s="631"/>
      <c r="Y36" s="631"/>
      <c r="Z36" s="631"/>
      <c r="AA36" s="1565"/>
      <c r="AB36" s="6">
        <f>C36*D36*359/360</f>
        <v>253045.13888888893</v>
      </c>
      <c r="AC36" s="631"/>
      <c r="AD36" s="631"/>
      <c r="AE36" s="631"/>
      <c r="AF36" s="631"/>
      <c r="AG36" s="1710"/>
      <c r="AH36" s="640"/>
      <c r="AI36" s="640"/>
      <c r="AJ36" s="631"/>
    </row>
    <row r="37" spans="2:55" x14ac:dyDescent="0.2">
      <c r="B37" s="703"/>
      <c r="C37" s="629"/>
      <c r="D37" s="1530"/>
      <c r="E37" s="630"/>
      <c r="U37" s="631"/>
      <c r="V37" s="631"/>
      <c r="W37" s="631"/>
      <c r="X37" s="631"/>
      <c r="Y37" s="631"/>
      <c r="Z37" s="631"/>
      <c r="AA37" s="1565"/>
      <c r="AB37" s="6"/>
      <c r="AC37" s="631">
        <v>153631.26</v>
      </c>
      <c r="AD37" s="631">
        <v>144181.26</v>
      </c>
      <c r="AE37" s="631">
        <v>134681.26</v>
      </c>
      <c r="AF37" s="631">
        <v>125181.26000000002</v>
      </c>
      <c r="AG37" s="1710">
        <v>115681.26000000002</v>
      </c>
      <c r="AH37" s="631">
        <v>106181.26000000002</v>
      </c>
      <c r="AI37" s="631">
        <v>96681.26</v>
      </c>
      <c r="AJ37" s="631">
        <v>87181.26</v>
      </c>
      <c r="AK37" s="631">
        <v>77931.259999999995</v>
      </c>
      <c r="AL37" s="631">
        <v>68681.259999999995</v>
      </c>
      <c r="AM37" s="631">
        <v>59431.26</v>
      </c>
      <c r="AN37" s="631">
        <v>52031.26</v>
      </c>
      <c r="AO37" s="631">
        <v>46481.26</v>
      </c>
      <c r="AP37" s="631">
        <v>40931.26</v>
      </c>
      <c r="AQ37" s="631">
        <v>35381.26</v>
      </c>
      <c r="AR37" s="631">
        <v>29831.26</v>
      </c>
      <c r="AS37" s="631">
        <v>24050</v>
      </c>
      <c r="AT37" s="631">
        <v>18268.759999999998</v>
      </c>
      <c r="AU37" s="631">
        <v>12256.26</v>
      </c>
      <c r="AV37" s="631">
        <v>6243.76</v>
      </c>
      <c r="AW37" s="631">
        <v>0</v>
      </c>
    </row>
    <row r="38" spans="2:55" x14ac:dyDescent="0.2">
      <c r="B38" s="703" t="s">
        <v>1016</v>
      </c>
      <c r="C38" s="629">
        <f>C17</f>
        <v>3734000</v>
      </c>
      <c r="D38" s="1530"/>
      <c r="E38" s="630">
        <v>20</v>
      </c>
      <c r="U38" s="631"/>
      <c r="V38" s="631"/>
      <c r="W38" s="631"/>
      <c r="X38" s="631"/>
      <c r="Y38" s="631"/>
      <c r="Z38" s="631"/>
      <c r="AA38" s="1565"/>
      <c r="AB38" s="6"/>
      <c r="AC38" s="631"/>
      <c r="AD38" s="631"/>
      <c r="AE38" s="631"/>
      <c r="AF38" s="631"/>
      <c r="AG38" s="1710"/>
      <c r="AH38" s="640"/>
      <c r="AI38" s="640"/>
      <c r="AJ38" s="631"/>
    </row>
    <row r="39" spans="2:55" x14ac:dyDescent="0.2">
      <c r="B39" s="703"/>
      <c r="C39" s="629"/>
      <c r="D39" s="1530"/>
      <c r="E39" s="630"/>
      <c r="U39" s="631"/>
      <c r="V39" s="631"/>
      <c r="W39" s="631"/>
      <c r="X39" s="631"/>
      <c r="Y39" s="631"/>
      <c r="Z39" s="631"/>
      <c r="AA39" s="1565"/>
      <c r="AB39" s="6"/>
      <c r="AC39" s="631"/>
      <c r="AD39" s="631"/>
      <c r="AE39" s="631"/>
      <c r="AF39" s="631"/>
      <c r="AG39" s="1710"/>
      <c r="AH39" s="640"/>
      <c r="AI39" s="640"/>
      <c r="AJ39" s="631"/>
    </row>
    <row r="40" spans="2:55" x14ac:dyDescent="0.2">
      <c r="B40" s="703" t="s">
        <v>1017</v>
      </c>
      <c r="C40" s="629">
        <v>1630000</v>
      </c>
      <c r="D40" s="1530">
        <v>2.2200000000000001E-2</v>
      </c>
      <c r="E40" s="630">
        <v>20</v>
      </c>
      <c r="U40" s="631"/>
      <c r="V40" s="631"/>
      <c r="W40" s="631"/>
      <c r="X40" s="631"/>
      <c r="Y40" s="631"/>
      <c r="Z40" s="631"/>
      <c r="AA40" s="1565"/>
      <c r="AB40" s="6"/>
      <c r="AC40" s="631"/>
      <c r="AD40" s="631">
        <v>27195.96</v>
      </c>
      <c r="AE40" s="631">
        <v>54142.5</v>
      </c>
      <c r="AF40" s="631">
        <v>49892.5</v>
      </c>
      <c r="AG40" s="1710">
        <v>45642.45</v>
      </c>
      <c r="AH40" s="640">
        <v>41392.5</v>
      </c>
      <c r="AI40" s="640">
        <v>37142.5</v>
      </c>
      <c r="AJ40" s="631">
        <v>32892.5</v>
      </c>
      <c r="AK40" s="616">
        <v>28642.5</v>
      </c>
      <c r="AL40" s="616">
        <v>24517.5</v>
      </c>
      <c r="AM40" s="616">
        <v>21317.5</v>
      </c>
      <c r="AN40" s="616">
        <v>18917.5</v>
      </c>
      <c r="AO40" s="616">
        <v>16917.5</v>
      </c>
      <c r="AP40" s="616">
        <v>15297.5</v>
      </c>
      <c r="AQ40" s="616">
        <v>13637.5</v>
      </c>
      <c r="AR40" s="616">
        <v>11937.5</v>
      </c>
      <c r="AS40" s="616">
        <v>10197.5</v>
      </c>
      <c r="AT40" s="616">
        <v>8417.5</v>
      </c>
      <c r="AU40" s="616">
        <v>6597.5</v>
      </c>
      <c r="AV40" s="616">
        <v>4737.5</v>
      </c>
      <c r="AW40" s="616">
        <v>2817.5</v>
      </c>
      <c r="AX40" s="616">
        <v>918.75</v>
      </c>
    </row>
    <row r="41" spans="2:55" x14ac:dyDescent="0.2">
      <c r="B41" s="703" t="s">
        <v>1018</v>
      </c>
      <c r="C41" s="629">
        <v>918000</v>
      </c>
      <c r="D41" s="1647">
        <v>2.2200000000000001E-2</v>
      </c>
      <c r="E41" s="630">
        <v>20</v>
      </c>
      <c r="U41" s="631"/>
      <c r="V41" s="631"/>
      <c r="W41" s="631"/>
      <c r="X41" s="631"/>
      <c r="Y41" s="631"/>
      <c r="Z41" s="631"/>
      <c r="AA41" s="1565"/>
      <c r="AB41" s="631"/>
      <c r="AC41" s="631"/>
      <c r="AD41" s="631">
        <v>15314.9</v>
      </c>
      <c r="AE41" s="631">
        <v>30436</v>
      </c>
      <c r="AF41" s="631">
        <v>27936</v>
      </c>
      <c r="AG41" s="1710">
        <v>25436</v>
      </c>
      <c r="AH41" s="640">
        <v>22936</v>
      </c>
      <c r="AI41" s="640">
        <v>20561</v>
      </c>
      <c r="AJ41" s="631">
        <v>18311</v>
      </c>
      <c r="AK41" s="616">
        <v>16061</v>
      </c>
      <c r="AL41" s="616">
        <v>13811</v>
      </c>
      <c r="AM41" s="616">
        <v>12011</v>
      </c>
      <c r="AN41" s="616">
        <v>10661</v>
      </c>
      <c r="AO41" s="616">
        <v>9536</v>
      </c>
      <c r="AP41" s="616">
        <v>8624.75</v>
      </c>
      <c r="AQ41" s="616">
        <v>7691</v>
      </c>
      <c r="AR41" s="616">
        <v>6734.75</v>
      </c>
      <c r="AS41" s="616">
        <v>5756</v>
      </c>
      <c r="AT41" s="616">
        <v>4754.75</v>
      </c>
      <c r="AU41" s="616">
        <v>3731</v>
      </c>
      <c r="AV41" s="616">
        <v>2684.75</v>
      </c>
      <c r="AW41" s="616">
        <v>1604.75</v>
      </c>
      <c r="AX41" s="616">
        <v>526.75</v>
      </c>
    </row>
    <row r="42" spans="2:55" x14ac:dyDescent="0.2">
      <c r="B42" s="642"/>
      <c r="C42" s="643">
        <v>225000</v>
      </c>
      <c r="D42" s="629"/>
      <c r="E42" s="630"/>
    </row>
    <row r="43" spans="2:55" x14ac:dyDescent="0.2">
      <c r="B43" s="633" t="s">
        <v>378</v>
      </c>
      <c r="C43" s="633">
        <f>SUM(F43:AG43)</f>
        <v>2033045.9055555556</v>
      </c>
      <c r="D43" s="633"/>
      <c r="E43" s="634"/>
      <c r="F43" s="635">
        <f t="shared" ref="F43:Z43" si="20">SUM(F24:F42)</f>
        <v>42763</v>
      </c>
      <c r="G43" s="635">
        <f t="shared" si="20"/>
        <v>38779.129999999997</v>
      </c>
      <c r="H43" s="635">
        <f t="shared" si="20"/>
        <v>31251.37</v>
      </c>
      <c r="I43" s="635">
        <f t="shared" si="20"/>
        <v>23487.5</v>
      </c>
      <c r="J43" s="635">
        <f t="shared" si="20"/>
        <v>16312.5</v>
      </c>
      <c r="K43" s="635">
        <f t="shared" si="20"/>
        <v>15577.380000000001</v>
      </c>
      <c r="L43" s="635">
        <f t="shared" si="20"/>
        <v>8945.619999999999</v>
      </c>
      <c r="M43" s="635">
        <f t="shared" si="20"/>
        <v>6014.38</v>
      </c>
      <c r="N43" s="635">
        <f t="shared" si="20"/>
        <v>5801.88</v>
      </c>
      <c r="O43" s="635">
        <f t="shared" si="20"/>
        <v>5581.88</v>
      </c>
      <c r="P43" s="635">
        <f t="shared" si="20"/>
        <v>5361.88</v>
      </c>
      <c r="Q43" s="635">
        <f t="shared" si="20"/>
        <v>5121.88</v>
      </c>
      <c r="R43" s="635">
        <f t="shared" si="20"/>
        <v>4881.88</v>
      </c>
      <c r="S43" s="635">
        <f t="shared" si="20"/>
        <v>4621.88</v>
      </c>
      <c r="T43" s="635">
        <f t="shared" si="20"/>
        <v>4333.13</v>
      </c>
      <c r="U43" s="635">
        <f>SUM(U24:U42)</f>
        <v>36575.25</v>
      </c>
      <c r="V43" s="635">
        <f t="shared" si="20"/>
        <v>34076.25</v>
      </c>
      <c r="W43" s="635">
        <f>SUM(W24:W42)</f>
        <v>31571.25</v>
      </c>
      <c r="X43" s="635">
        <f t="shared" si="20"/>
        <v>28211.25</v>
      </c>
      <c r="Y43" s="635">
        <f t="shared" si="20"/>
        <v>24871.25</v>
      </c>
      <c r="Z43" s="635">
        <f t="shared" si="20"/>
        <v>23191.25</v>
      </c>
      <c r="AA43" s="1566">
        <f>SUM(AA24:AA42)</f>
        <v>45829.58</v>
      </c>
      <c r="AB43" s="635">
        <f>SUM(AB24:AB42)</f>
        <v>372664.32555555564</v>
      </c>
      <c r="AC43" s="635">
        <f>SUM(AC24:AC42)</f>
        <v>217446.28</v>
      </c>
      <c r="AD43" s="635">
        <f>SUM(AD24:AD42)</f>
        <v>245557.13999999998</v>
      </c>
      <c r="AE43" s="635">
        <f>SUM(AE24:AE42)</f>
        <v>273334.78000000003</v>
      </c>
      <c r="AF43" s="635">
        <f t="shared" ref="AF43:BA43" si="21">SUM(AF24:AF42)</f>
        <v>251484.78000000003</v>
      </c>
      <c r="AG43" s="1712">
        <f t="shared" si="21"/>
        <v>229397.23000000004</v>
      </c>
      <c r="AH43" s="635">
        <f t="shared" si="21"/>
        <v>207309.78000000003</v>
      </c>
      <c r="AI43" s="635">
        <f t="shared" si="21"/>
        <v>185447.28</v>
      </c>
      <c r="AJ43" s="635">
        <f t="shared" si="21"/>
        <v>439759.78</v>
      </c>
      <c r="AK43" s="635">
        <f t="shared" si="21"/>
        <v>146134.78</v>
      </c>
      <c r="AL43" s="635">
        <f t="shared" si="21"/>
        <v>128259.78</v>
      </c>
      <c r="AM43" s="635">
        <f t="shared" si="21"/>
        <v>111759.78</v>
      </c>
      <c r="AN43" s="635">
        <f t="shared" si="21"/>
        <v>98359.78</v>
      </c>
      <c r="AO43" s="635">
        <f t="shared" si="21"/>
        <v>87434.78</v>
      </c>
      <c r="AP43" s="635">
        <f t="shared" si="21"/>
        <v>77103.53</v>
      </c>
      <c r="AQ43" s="635">
        <f t="shared" si="21"/>
        <v>66709.78</v>
      </c>
      <c r="AR43" s="635">
        <f t="shared" si="21"/>
        <v>56253.53</v>
      </c>
      <c r="AS43" s="635">
        <f t="shared" si="21"/>
        <v>45503.520000000004</v>
      </c>
      <c r="AT43" s="635">
        <f t="shared" si="21"/>
        <v>34644.149999999994</v>
      </c>
      <c r="AU43" s="635">
        <f t="shared" si="21"/>
        <v>23600.39</v>
      </c>
      <c r="AV43" s="635">
        <f t="shared" si="21"/>
        <v>13666.01</v>
      </c>
      <c r="AW43" s="635">
        <f t="shared" si="21"/>
        <v>4422.25</v>
      </c>
      <c r="AX43" s="635">
        <f t="shared" si="21"/>
        <v>1445.5</v>
      </c>
      <c r="AY43" s="635">
        <f t="shared" si="21"/>
        <v>0</v>
      </c>
      <c r="AZ43" s="635">
        <f t="shared" si="21"/>
        <v>0</v>
      </c>
      <c r="BA43" s="635">
        <f t="shared" si="21"/>
        <v>0</v>
      </c>
    </row>
    <row r="44" spans="2:55" x14ac:dyDescent="0.2">
      <c r="B44" s="644" t="s">
        <v>8</v>
      </c>
      <c r="C44" s="645">
        <f>SUM(C26:C29)</f>
        <v>297583.82999999996</v>
      </c>
      <c r="D44" s="645"/>
      <c r="E44" s="646"/>
      <c r="F44" s="647"/>
      <c r="G44" s="647"/>
      <c r="H44" s="647"/>
      <c r="I44" s="647"/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7"/>
      <c r="U44" s="647"/>
      <c r="V44" s="647"/>
      <c r="W44" s="647"/>
      <c r="X44" s="647"/>
      <c r="Y44" s="647"/>
      <c r="Z44" s="647"/>
      <c r="AA44" s="1569"/>
      <c r="AH44" s="616"/>
      <c r="AI44" s="616"/>
    </row>
    <row r="45" spans="2:55" ht="10.5" thickBot="1" x14ac:dyDescent="0.25">
      <c r="B45" s="648" t="s">
        <v>501</v>
      </c>
      <c r="C45" s="648">
        <f>SUM(F45:AG45)</f>
        <v>5739645.9055555556</v>
      </c>
      <c r="D45" s="648"/>
      <c r="E45" s="649"/>
      <c r="F45" s="650">
        <f t="shared" ref="F45:AE45" si="22">SUM(F23+F43)</f>
        <v>109263</v>
      </c>
      <c r="G45" s="650">
        <f t="shared" si="22"/>
        <v>120279.13</v>
      </c>
      <c r="H45" s="650">
        <f t="shared" si="22"/>
        <v>162751.37</v>
      </c>
      <c r="I45" s="650">
        <f t="shared" si="22"/>
        <v>123487.5</v>
      </c>
      <c r="J45" s="650">
        <f t="shared" si="22"/>
        <v>116312.5</v>
      </c>
      <c r="K45" s="650">
        <f t="shared" si="22"/>
        <v>120377.38</v>
      </c>
      <c r="L45" s="650">
        <f t="shared" si="22"/>
        <v>88945.62</v>
      </c>
      <c r="M45" s="650">
        <f t="shared" si="22"/>
        <v>11014.380000000001</v>
      </c>
      <c r="N45" s="650">
        <f t="shared" si="22"/>
        <v>11301.880000000001</v>
      </c>
      <c r="O45" s="650">
        <f t="shared" si="22"/>
        <v>11081.880000000001</v>
      </c>
      <c r="P45" s="650">
        <f t="shared" si="22"/>
        <v>11361.880000000001</v>
      </c>
      <c r="Q45" s="650">
        <f t="shared" si="22"/>
        <v>11121.880000000001</v>
      </c>
      <c r="R45" s="650">
        <f t="shared" si="22"/>
        <v>11381.880000000001</v>
      </c>
      <c r="S45" s="650">
        <f t="shared" si="22"/>
        <v>11621.880000000001</v>
      </c>
      <c r="T45" s="650">
        <f t="shared" si="22"/>
        <v>11333.130000000001</v>
      </c>
      <c r="U45" s="650">
        <f t="shared" si="22"/>
        <v>119875.25</v>
      </c>
      <c r="V45" s="650">
        <f t="shared" si="22"/>
        <v>117576.25</v>
      </c>
      <c r="W45" s="650">
        <f t="shared" si="22"/>
        <v>115571.25</v>
      </c>
      <c r="X45" s="650">
        <f t="shared" si="22"/>
        <v>111711.25</v>
      </c>
      <c r="Y45" s="650">
        <f t="shared" si="22"/>
        <v>108871.25</v>
      </c>
      <c r="Z45" s="650">
        <f t="shared" si="22"/>
        <v>102691.25</v>
      </c>
      <c r="AA45" s="1570">
        <f>SUM(AA23+AA43)</f>
        <v>125329.58</v>
      </c>
      <c r="AB45" s="650">
        <f t="shared" si="22"/>
        <v>525164.32555555564</v>
      </c>
      <c r="AC45" s="650">
        <f t="shared" si="22"/>
        <v>571446.28</v>
      </c>
      <c r="AD45" s="650">
        <f>SUM(AD23+AD43)</f>
        <v>725557.14</v>
      </c>
      <c r="AE45" s="650">
        <f t="shared" si="22"/>
        <v>753334.78</v>
      </c>
      <c r="AF45" s="650">
        <f t="shared" ref="AF45:BA45" si="23">SUM(AF23+AF43)</f>
        <v>726484.78</v>
      </c>
      <c r="AG45" s="1713">
        <f t="shared" si="23"/>
        <v>704397.23</v>
      </c>
      <c r="AH45" s="650">
        <f t="shared" si="23"/>
        <v>677309.78</v>
      </c>
      <c r="AI45" s="650">
        <f t="shared" si="23"/>
        <v>650447.28</v>
      </c>
      <c r="AJ45" s="650">
        <f t="shared" si="23"/>
        <v>834759.78</v>
      </c>
      <c r="AK45" s="650">
        <f t="shared" si="23"/>
        <v>531134.78</v>
      </c>
      <c r="AL45" s="650">
        <f t="shared" si="23"/>
        <v>513259.78</v>
      </c>
      <c r="AM45" s="650">
        <f t="shared" si="23"/>
        <v>496759.78</v>
      </c>
      <c r="AN45" s="650">
        <f t="shared" si="23"/>
        <v>483359.78</v>
      </c>
      <c r="AO45" s="650">
        <f t="shared" si="23"/>
        <v>472434.78</v>
      </c>
      <c r="AP45" s="650">
        <f t="shared" si="23"/>
        <v>462103.53</v>
      </c>
      <c r="AQ45" s="650">
        <f t="shared" si="23"/>
        <v>451709.78</v>
      </c>
      <c r="AR45" s="650">
        <f t="shared" si="23"/>
        <v>441253.53</v>
      </c>
      <c r="AS45" s="650">
        <f t="shared" si="23"/>
        <v>430503.52</v>
      </c>
      <c r="AT45" s="650">
        <f t="shared" si="23"/>
        <v>419644.15</v>
      </c>
      <c r="AU45" s="650">
        <f t="shared" si="23"/>
        <v>398600.39</v>
      </c>
      <c r="AV45" s="650">
        <f t="shared" si="23"/>
        <v>323666.01</v>
      </c>
      <c r="AW45" s="650">
        <f t="shared" si="23"/>
        <v>122422.25</v>
      </c>
      <c r="AX45" s="650">
        <f t="shared" si="23"/>
        <v>1445.5</v>
      </c>
      <c r="AY45" s="650">
        <f t="shared" si="23"/>
        <v>0</v>
      </c>
      <c r="AZ45" s="650">
        <f t="shared" si="23"/>
        <v>0</v>
      </c>
      <c r="BA45" s="650">
        <f t="shared" si="23"/>
        <v>0</v>
      </c>
      <c r="BB45" s="1594"/>
    </row>
    <row r="46" spans="2:55" ht="10.5" thickTop="1" x14ac:dyDescent="0.2">
      <c r="B46" s="636" t="s">
        <v>8</v>
      </c>
      <c r="C46" s="637">
        <f>SUM(C23+C43)</f>
        <v>10432545.905555556</v>
      </c>
      <c r="D46" s="629"/>
      <c r="E46" s="630"/>
    </row>
    <row r="47" spans="2:55" ht="10.5" thickBot="1" x14ac:dyDescent="0.25">
      <c r="B47" s="651"/>
      <c r="C47" s="652"/>
      <c r="D47" s="652"/>
      <c r="E47" s="653"/>
      <c r="F47" s="654"/>
      <c r="G47" s="654"/>
      <c r="H47" s="654"/>
      <c r="I47" s="654"/>
      <c r="J47" s="654"/>
      <c r="K47" s="654"/>
      <c r="L47" s="654"/>
      <c r="M47" s="654"/>
      <c r="N47" s="654"/>
      <c r="O47" s="654"/>
      <c r="P47" s="654"/>
      <c r="Q47" s="654"/>
      <c r="R47" s="654"/>
      <c r="S47" s="654"/>
      <c r="T47" s="654"/>
      <c r="U47" s="654"/>
      <c r="V47" s="654"/>
      <c r="W47" s="654"/>
      <c r="X47" s="654"/>
      <c r="Y47" s="654"/>
      <c r="Z47" s="654"/>
      <c r="AA47" s="1571"/>
      <c r="AB47" s="654"/>
      <c r="AC47" s="654"/>
      <c r="AD47" s="654"/>
      <c r="AE47" s="654"/>
    </row>
    <row r="48" spans="2:55" ht="10.5" thickTop="1" x14ac:dyDescent="0.2">
      <c r="B48" s="628" t="s">
        <v>34</v>
      </c>
      <c r="C48" s="629"/>
      <c r="D48" s="629"/>
      <c r="E48" s="630"/>
      <c r="G48" s="616" t="s">
        <v>252</v>
      </c>
    </row>
    <row r="49" spans="1:37" x14ac:dyDescent="0.2">
      <c r="B49" s="629" t="s">
        <v>761</v>
      </c>
      <c r="C49" s="629"/>
      <c r="D49" s="629"/>
      <c r="E49" s="630"/>
    </row>
    <row r="50" spans="1:37" x14ac:dyDescent="0.2">
      <c r="B50" s="629" t="s">
        <v>375</v>
      </c>
      <c r="C50" s="629">
        <f>SUM(F50:AG50)</f>
        <v>115000</v>
      </c>
      <c r="D50" s="629">
        <v>6.95</v>
      </c>
      <c r="E50" s="630"/>
      <c r="F50" s="616">
        <v>65000</v>
      </c>
      <c r="G50" s="616">
        <v>50000</v>
      </c>
      <c r="I50" s="616">
        <v>0</v>
      </c>
      <c r="J50" s="616">
        <v>0</v>
      </c>
      <c r="K50" s="616">
        <v>0</v>
      </c>
      <c r="L50" s="616">
        <v>0</v>
      </c>
    </row>
    <row r="51" spans="1:37" x14ac:dyDescent="0.2">
      <c r="B51" s="629" t="s">
        <v>232</v>
      </c>
      <c r="C51" s="629">
        <f>SUM(F51:AG51)</f>
        <v>542000</v>
      </c>
      <c r="D51" s="629">
        <v>4.0199999999999996</v>
      </c>
      <c r="E51" s="630"/>
      <c r="F51" s="616">
        <v>0</v>
      </c>
      <c r="G51" s="616">
        <v>0</v>
      </c>
      <c r="H51" s="616">
        <v>112000</v>
      </c>
      <c r="I51" s="616">
        <v>110000</v>
      </c>
      <c r="J51" s="616">
        <v>110000</v>
      </c>
      <c r="K51" s="616">
        <v>105000</v>
      </c>
      <c r="L51" s="616">
        <v>105000</v>
      </c>
    </row>
    <row r="52" spans="1:37" x14ac:dyDescent="0.2">
      <c r="B52" s="629" t="s">
        <v>233</v>
      </c>
      <c r="C52" s="629">
        <f>SUM(F52:AG52)</f>
        <v>151000</v>
      </c>
      <c r="D52" s="629">
        <v>3.85</v>
      </c>
      <c r="E52" s="630"/>
      <c r="F52" s="616">
        <v>42000</v>
      </c>
      <c r="G52" s="616">
        <v>42000</v>
      </c>
      <c r="H52" s="616">
        <v>42000</v>
      </c>
      <c r="I52" s="616">
        <f>SUM(I48:I50)</f>
        <v>0</v>
      </c>
      <c r="J52" s="616">
        <f>SUM(J48:J50)</f>
        <v>0</v>
      </c>
      <c r="X52" s="655">
        <v>25000</v>
      </c>
      <c r="Y52" s="656"/>
      <c r="Z52" s="656"/>
      <c r="AA52" s="1572"/>
      <c r="AB52" s="656"/>
    </row>
    <row r="53" spans="1:37" x14ac:dyDescent="0.2">
      <c r="B53" s="629" t="s">
        <v>374</v>
      </c>
      <c r="C53" s="629">
        <f>SUM(F53:AG53)</f>
        <v>1822700</v>
      </c>
      <c r="D53" s="629">
        <v>4.66</v>
      </c>
      <c r="E53" s="630">
        <v>20</v>
      </c>
      <c r="K53" s="616">
        <v>151200</v>
      </c>
      <c r="L53" s="616">
        <v>155000</v>
      </c>
      <c r="M53" s="616">
        <v>155000</v>
      </c>
      <c r="N53" s="616">
        <v>169500</v>
      </c>
      <c r="O53" s="616">
        <v>174500</v>
      </c>
      <c r="P53" s="616">
        <v>189000</v>
      </c>
      <c r="Q53" s="616">
        <v>189000</v>
      </c>
      <c r="R53" s="616">
        <v>203500</v>
      </c>
      <c r="S53" s="616">
        <v>213000</v>
      </c>
      <c r="T53" s="616">
        <v>223000</v>
      </c>
      <c r="U53" s="631"/>
      <c r="V53" s="631"/>
      <c r="W53" s="631"/>
      <c r="X53" s="631"/>
      <c r="Y53" s="631"/>
      <c r="Z53" s="631"/>
      <c r="AA53" s="1565"/>
      <c r="AB53" s="631"/>
      <c r="AC53" s="631"/>
      <c r="AD53" s="631"/>
    </row>
    <row r="54" spans="1:37" x14ac:dyDescent="0.2">
      <c r="B54" s="629" t="s">
        <v>508</v>
      </c>
      <c r="C54" s="629">
        <f>SUM(F54:AG54)</f>
        <v>3634000</v>
      </c>
      <c r="D54" s="629">
        <v>4.71</v>
      </c>
      <c r="E54" s="630">
        <v>20</v>
      </c>
      <c r="L54" s="616">
        <v>299000</v>
      </c>
      <c r="M54" s="616">
        <v>305000</v>
      </c>
      <c r="N54" s="616">
        <v>320000</v>
      </c>
      <c r="O54" s="616">
        <v>335000</v>
      </c>
      <c r="P54" s="616">
        <v>350000</v>
      </c>
      <c r="Q54" s="616">
        <v>370000</v>
      </c>
      <c r="R54" s="616">
        <v>385000</v>
      </c>
      <c r="S54" s="616">
        <v>405000</v>
      </c>
      <c r="T54" s="616">
        <v>420000</v>
      </c>
      <c r="U54" s="655">
        <f>445000</f>
        <v>445000</v>
      </c>
    </row>
    <row r="55" spans="1:37" s="659" customFormat="1" x14ac:dyDescent="0.2">
      <c r="B55" s="657" t="s">
        <v>715</v>
      </c>
      <c r="C55" s="657"/>
      <c r="D55" s="657">
        <v>2.56</v>
      </c>
      <c r="E55" s="658"/>
      <c r="AA55" s="1573"/>
      <c r="AG55" s="1714"/>
      <c r="AH55" s="660"/>
      <c r="AI55" s="660"/>
    </row>
    <row r="56" spans="1:37" x14ac:dyDescent="0.2">
      <c r="A56" s="631" t="s">
        <v>802</v>
      </c>
      <c r="B56" s="661" t="s">
        <v>713</v>
      </c>
      <c r="C56" s="629">
        <v>740700</v>
      </c>
      <c r="D56" s="629"/>
      <c r="E56" s="630">
        <v>9</v>
      </c>
      <c r="U56" s="631">
        <f>83000-8300</f>
        <v>74700</v>
      </c>
      <c r="V56" s="631">
        <f>85000-8500</f>
        <v>76500</v>
      </c>
      <c r="W56" s="631">
        <f>90000-9000</f>
        <v>81000</v>
      </c>
      <c r="X56" s="631">
        <f>85000-8500</f>
        <v>76500</v>
      </c>
      <c r="Y56" s="631">
        <f>90000-9000</f>
        <v>81000</v>
      </c>
      <c r="Z56" s="631">
        <f>95000-9500</f>
        <v>85500</v>
      </c>
      <c r="AA56" s="1565">
        <f>95000-9500</f>
        <v>85500</v>
      </c>
      <c r="AB56" s="631">
        <f>100000-10000</f>
        <v>90000</v>
      </c>
      <c r="AC56" s="631">
        <v>90000</v>
      </c>
      <c r="AD56" s="631">
        <v>0</v>
      </c>
    </row>
    <row r="57" spans="1:37" x14ac:dyDescent="0.2">
      <c r="A57" s="631" t="s">
        <v>802</v>
      </c>
      <c r="B57" s="661" t="s">
        <v>156</v>
      </c>
      <c r="C57" s="629">
        <v>649000</v>
      </c>
      <c r="D57" s="629"/>
      <c r="E57" s="630">
        <v>7</v>
      </c>
      <c r="U57" s="631">
        <v>84000</v>
      </c>
      <c r="V57" s="631">
        <v>85000</v>
      </c>
      <c r="W57" s="631">
        <v>90000</v>
      </c>
      <c r="X57" s="631">
        <v>95000</v>
      </c>
      <c r="Y57" s="631">
        <v>100000</v>
      </c>
      <c r="Z57" s="631">
        <v>95000</v>
      </c>
      <c r="AA57" s="1565">
        <v>100000</v>
      </c>
      <c r="AB57" s="631">
        <v>0</v>
      </c>
      <c r="AC57" s="631">
        <v>0</v>
      </c>
      <c r="AD57" s="631">
        <v>0</v>
      </c>
    </row>
    <row r="58" spans="1:37" x14ac:dyDescent="0.2">
      <c r="A58" s="631" t="s">
        <v>802</v>
      </c>
      <c r="B58" s="661" t="s">
        <v>368</v>
      </c>
      <c r="C58" s="629">
        <v>765000</v>
      </c>
      <c r="D58" s="629"/>
      <c r="E58" s="630">
        <v>10</v>
      </c>
      <c r="U58" s="631">
        <v>65000</v>
      </c>
      <c r="V58" s="631">
        <v>70000</v>
      </c>
      <c r="W58" s="631">
        <v>75000</v>
      </c>
      <c r="X58" s="631">
        <v>75000</v>
      </c>
      <c r="Y58" s="631">
        <v>75000</v>
      </c>
      <c r="Z58" s="631">
        <v>80000</v>
      </c>
      <c r="AA58" s="1565">
        <v>80000</v>
      </c>
      <c r="AB58" s="631">
        <v>80000</v>
      </c>
      <c r="AC58" s="631">
        <v>85000</v>
      </c>
      <c r="AD58" s="631">
        <v>80000</v>
      </c>
    </row>
    <row r="59" spans="1:37" x14ac:dyDescent="0.2">
      <c r="A59" s="631" t="s">
        <v>802</v>
      </c>
      <c r="B59" s="661" t="s">
        <v>369</v>
      </c>
      <c r="C59" s="629">
        <v>98000</v>
      </c>
      <c r="D59" s="629"/>
      <c r="E59" s="630">
        <v>4</v>
      </c>
      <c r="U59" s="631">
        <v>23000</v>
      </c>
      <c r="V59" s="631">
        <v>25000</v>
      </c>
      <c r="W59" s="631">
        <v>25000</v>
      </c>
      <c r="X59" s="631">
        <v>25000</v>
      </c>
      <c r="Y59" s="656"/>
      <c r="Z59" s="656"/>
      <c r="AA59" s="1572"/>
      <c r="AB59" s="656"/>
      <c r="AC59" s="656"/>
      <c r="AD59" s="656"/>
    </row>
    <row r="60" spans="1:37" x14ac:dyDescent="0.2">
      <c r="A60" s="631"/>
      <c r="B60" s="657" t="s">
        <v>136</v>
      </c>
      <c r="C60" s="629">
        <f>SUM(U60:X60)</f>
        <v>250000</v>
      </c>
      <c r="D60" s="629"/>
      <c r="E60" s="630">
        <v>4</v>
      </c>
      <c r="U60" s="631">
        <v>65000</v>
      </c>
      <c r="V60" s="631">
        <v>65000</v>
      </c>
      <c r="W60" s="631">
        <v>60000</v>
      </c>
      <c r="X60" s="631">
        <v>60000</v>
      </c>
      <c r="Y60" s="656">
        <v>0</v>
      </c>
      <c r="Z60" s="656">
        <v>0</v>
      </c>
      <c r="AA60" s="1572">
        <v>0</v>
      </c>
      <c r="AB60" s="656">
        <v>0</v>
      </c>
      <c r="AC60" s="656">
        <v>0</v>
      </c>
      <c r="AD60" s="656">
        <v>0</v>
      </c>
      <c r="AE60" s="631"/>
      <c r="AF60" s="631"/>
      <c r="AG60" s="1710"/>
      <c r="AH60" s="640"/>
      <c r="AI60" s="640"/>
    </row>
    <row r="61" spans="1:37" x14ac:dyDescent="0.2">
      <c r="A61" s="631" t="s">
        <v>802</v>
      </c>
      <c r="B61" s="657" t="s">
        <v>399</v>
      </c>
      <c r="C61" s="629">
        <v>400000</v>
      </c>
      <c r="D61" s="629"/>
      <c r="E61" s="630">
        <v>10</v>
      </c>
      <c r="U61" s="631">
        <v>40000</v>
      </c>
      <c r="V61" s="631">
        <v>40000</v>
      </c>
      <c r="W61" s="631">
        <v>40000</v>
      </c>
      <c r="X61" s="631">
        <v>40000</v>
      </c>
      <c r="Y61" s="631">
        <v>40000</v>
      </c>
      <c r="Z61" s="631">
        <v>40000</v>
      </c>
      <c r="AA61" s="1565">
        <v>40000</v>
      </c>
      <c r="AB61" s="631">
        <v>40000</v>
      </c>
      <c r="AC61" s="631">
        <v>40000</v>
      </c>
      <c r="AD61" s="631">
        <v>40000</v>
      </c>
      <c r="AE61" s="631"/>
      <c r="AF61" s="631"/>
      <c r="AG61" s="1710"/>
      <c r="AH61" s="640"/>
      <c r="AI61" s="640"/>
    </row>
    <row r="62" spans="1:37" ht="9.75" customHeight="1" x14ac:dyDescent="0.2">
      <c r="A62" s="662"/>
      <c r="B62" s="6" t="s">
        <v>938</v>
      </c>
      <c r="C62" s="707"/>
      <c r="D62" s="707"/>
      <c r="E62" s="706"/>
      <c r="F62" s="707"/>
      <c r="G62" s="707"/>
      <c r="H62" s="707"/>
      <c r="I62" s="707"/>
      <c r="J62" s="707"/>
      <c r="K62" s="707"/>
      <c r="L62" s="707"/>
      <c r="M62" s="707"/>
      <c r="N62" s="707"/>
      <c r="O62" s="707"/>
      <c r="P62" s="707"/>
      <c r="Q62" s="707"/>
      <c r="R62" s="707"/>
      <c r="S62" s="707"/>
      <c r="T62" s="707"/>
      <c r="U62" s="707"/>
      <c r="V62" s="707"/>
      <c r="W62" s="707"/>
      <c r="X62" s="707"/>
      <c r="Y62" s="707"/>
      <c r="Z62" s="707"/>
      <c r="AA62" s="1574"/>
      <c r="AB62" s="707"/>
      <c r="AC62" s="707"/>
      <c r="AD62" s="707"/>
      <c r="AE62" s="707"/>
      <c r="AF62" s="707"/>
      <c r="AG62" s="1715"/>
      <c r="AH62" s="707"/>
      <c r="AI62" s="707"/>
      <c r="AK62" s="663"/>
    </row>
    <row r="63" spans="1:37" s="631" customFormat="1" ht="9.75" customHeight="1" x14ac:dyDescent="0.2">
      <c r="A63" s="662" t="s">
        <v>554</v>
      </c>
      <c r="B63" s="6" t="s">
        <v>671</v>
      </c>
      <c r="C63" s="379">
        <f>SUM(V63:AE63)</f>
        <v>267000</v>
      </c>
      <c r="D63" s="6"/>
      <c r="E63" s="709">
        <v>10</v>
      </c>
      <c r="F63" s="710"/>
      <c r="G63" s="710"/>
      <c r="H63" s="710"/>
      <c r="I63" s="710"/>
      <c r="J63" s="710"/>
      <c r="K63" s="710"/>
      <c r="L63" s="710"/>
      <c r="M63" s="710"/>
      <c r="N63" s="710"/>
      <c r="O63" s="710"/>
      <c r="P63" s="710"/>
      <c r="Q63" s="710"/>
      <c r="R63" s="710"/>
      <c r="S63" s="710"/>
      <c r="T63" s="710"/>
      <c r="U63" s="710"/>
      <c r="V63" s="6">
        <v>22000</v>
      </c>
      <c r="W63" s="6">
        <v>25000</v>
      </c>
      <c r="X63" s="6">
        <v>25000</v>
      </c>
      <c r="Y63" s="6">
        <v>25000</v>
      </c>
      <c r="Z63" s="6">
        <v>25000</v>
      </c>
      <c r="AA63" s="1575">
        <v>30000</v>
      </c>
      <c r="AB63" s="6">
        <v>30000</v>
      </c>
      <c r="AC63" s="6">
        <v>30000</v>
      </c>
      <c r="AD63" s="6">
        <v>25000</v>
      </c>
      <c r="AE63" s="6">
        <v>30000</v>
      </c>
      <c r="AF63" s="6"/>
      <c r="AG63" s="1716"/>
      <c r="AH63" s="6"/>
      <c r="AI63" s="6"/>
      <c r="AJ63" s="616"/>
    </row>
    <row r="64" spans="1:37" s="631" customFormat="1" ht="9.75" customHeight="1" x14ac:dyDescent="0.2">
      <c r="A64" s="662"/>
      <c r="B64" s="6" t="s">
        <v>789</v>
      </c>
      <c r="C64" s="379">
        <f>SUM(V64:AE64)</f>
        <v>66000</v>
      </c>
      <c r="D64" s="6"/>
      <c r="E64" s="709">
        <v>10</v>
      </c>
      <c r="F64" s="710"/>
      <c r="G64" s="710"/>
      <c r="H64" s="710"/>
      <c r="I64" s="710"/>
      <c r="J64" s="710"/>
      <c r="K64" s="710"/>
      <c r="L64" s="710"/>
      <c r="M64" s="710"/>
      <c r="N64" s="710"/>
      <c r="O64" s="710"/>
      <c r="P64" s="710"/>
      <c r="Q64" s="710"/>
      <c r="R64" s="710"/>
      <c r="S64" s="710"/>
      <c r="T64" s="710"/>
      <c r="U64" s="710"/>
      <c r="V64" s="6">
        <v>6000</v>
      </c>
      <c r="W64" s="6">
        <v>5000</v>
      </c>
      <c r="X64" s="6">
        <v>5000</v>
      </c>
      <c r="Y64" s="6">
        <v>5000</v>
      </c>
      <c r="Z64" s="6">
        <v>5000</v>
      </c>
      <c r="AA64" s="1575">
        <v>5000</v>
      </c>
      <c r="AB64" s="6">
        <v>10000</v>
      </c>
      <c r="AC64" s="6">
        <v>10000</v>
      </c>
      <c r="AD64" s="6">
        <v>10000</v>
      </c>
      <c r="AE64" s="6">
        <v>5000</v>
      </c>
      <c r="AF64" s="6"/>
      <c r="AG64" s="1716"/>
      <c r="AH64" s="6"/>
      <c r="AI64" s="6"/>
      <c r="AJ64" s="616"/>
    </row>
    <row r="65" spans="1:54" s="631" customFormat="1" ht="9.75" customHeight="1" x14ac:dyDescent="0.2">
      <c r="A65" s="662" t="s">
        <v>554</v>
      </c>
      <c r="B65" s="6" t="s">
        <v>790</v>
      </c>
      <c r="C65" s="379">
        <f>SUM(V65:AE65)</f>
        <v>1543000</v>
      </c>
      <c r="D65" s="6"/>
      <c r="E65" s="709">
        <v>10</v>
      </c>
      <c r="F65" s="710"/>
      <c r="G65" s="710"/>
      <c r="H65" s="710"/>
      <c r="I65" s="710"/>
      <c r="J65" s="710"/>
      <c r="K65" s="710"/>
      <c r="L65" s="710"/>
      <c r="M65" s="710"/>
      <c r="N65" s="710"/>
      <c r="O65" s="710"/>
      <c r="P65" s="710"/>
      <c r="Q65" s="710"/>
      <c r="R65" s="710"/>
      <c r="S65" s="710"/>
      <c r="T65" s="710"/>
      <c r="U65" s="710"/>
      <c r="V65" s="6">
        <v>138000</v>
      </c>
      <c r="W65" s="6">
        <v>140000</v>
      </c>
      <c r="X65" s="6">
        <v>145000</v>
      </c>
      <c r="Y65" s="6">
        <v>150000</v>
      </c>
      <c r="Z65" s="6">
        <v>155000</v>
      </c>
      <c r="AA65" s="1575">
        <v>155000</v>
      </c>
      <c r="AB65" s="6">
        <v>160000</v>
      </c>
      <c r="AC65" s="6">
        <v>170000</v>
      </c>
      <c r="AD65" s="6">
        <v>165000</v>
      </c>
      <c r="AE65" s="6">
        <v>165000</v>
      </c>
      <c r="AF65" s="6"/>
      <c r="AG65" s="1716"/>
      <c r="AH65" s="6"/>
      <c r="AI65" s="6"/>
      <c r="AJ65" s="616"/>
    </row>
    <row r="66" spans="1:54" s="631" customFormat="1" x14ac:dyDescent="0.2">
      <c r="A66" s="662" t="s">
        <v>554</v>
      </c>
      <c r="B66" s="6" t="s">
        <v>791</v>
      </c>
      <c r="C66" s="379">
        <f>SUM(V66:AE66)</f>
        <v>70000</v>
      </c>
      <c r="D66" s="6"/>
      <c r="E66" s="709">
        <v>7</v>
      </c>
      <c r="F66" s="710"/>
      <c r="G66" s="710"/>
      <c r="H66" s="710"/>
      <c r="I66" s="710"/>
      <c r="J66" s="710"/>
      <c r="K66" s="710"/>
      <c r="L66" s="710"/>
      <c r="M66" s="710"/>
      <c r="N66" s="710"/>
      <c r="O66" s="710"/>
      <c r="P66" s="710"/>
      <c r="Q66" s="710"/>
      <c r="R66" s="710"/>
      <c r="S66" s="710"/>
      <c r="T66" s="710"/>
      <c r="U66" s="710"/>
      <c r="V66" s="6">
        <v>10000</v>
      </c>
      <c r="W66" s="6">
        <v>10000</v>
      </c>
      <c r="X66" s="6">
        <v>10000</v>
      </c>
      <c r="Y66" s="6">
        <v>10000</v>
      </c>
      <c r="Z66" s="6">
        <v>10000</v>
      </c>
      <c r="AA66" s="1575">
        <v>10000</v>
      </c>
      <c r="AB66" s="6">
        <v>10000</v>
      </c>
      <c r="AC66" s="6">
        <v>0</v>
      </c>
      <c r="AD66" s="6">
        <v>0</v>
      </c>
      <c r="AE66" s="6">
        <v>0</v>
      </c>
      <c r="AF66" s="6"/>
      <c r="AG66" s="1716"/>
      <c r="AH66" s="1"/>
      <c r="AI66" s="1"/>
      <c r="AJ66" s="616"/>
    </row>
    <row r="67" spans="1:54" s="631" customFormat="1" x14ac:dyDescent="0.2">
      <c r="B67" s="668" t="s">
        <v>845</v>
      </c>
      <c r="C67" s="664"/>
      <c r="D67" s="663"/>
      <c r="E67" s="665"/>
      <c r="F67" s="666"/>
      <c r="G67" s="666"/>
      <c r="H67" s="666"/>
      <c r="I67" s="666"/>
      <c r="J67" s="666"/>
      <c r="K67" s="666"/>
      <c r="L67" s="666"/>
      <c r="M67" s="666"/>
      <c r="N67" s="666"/>
      <c r="O67" s="666"/>
      <c r="P67" s="666"/>
      <c r="Q67" s="666"/>
      <c r="R67" s="666"/>
      <c r="S67" s="666"/>
      <c r="T67" s="666"/>
      <c r="U67" s="656"/>
      <c r="V67" s="663"/>
      <c r="W67" s="663"/>
      <c r="X67" s="663"/>
      <c r="Y67" s="663">
        <v>71000</v>
      </c>
      <c r="Z67" s="663">
        <v>74000</v>
      </c>
      <c r="AA67" s="1576"/>
      <c r="AB67" s="663"/>
      <c r="AC67" s="663"/>
      <c r="AD67" s="663"/>
      <c r="AE67" s="663"/>
      <c r="AF67" s="663"/>
      <c r="AG67" s="1717"/>
      <c r="AH67" s="667"/>
      <c r="AI67" s="667"/>
      <c r="AJ67" s="663"/>
    </row>
    <row r="68" spans="1:54" s="631" customFormat="1" x14ac:dyDescent="0.2">
      <c r="B68" s="664"/>
      <c r="C68" s="664"/>
      <c r="D68" s="663"/>
      <c r="E68" s="665"/>
      <c r="F68" s="666"/>
      <c r="G68" s="666"/>
      <c r="H68" s="666"/>
      <c r="I68" s="666"/>
      <c r="J68" s="666"/>
      <c r="K68" s="666"/>
      <c r="L68" s="666"/>
      <c r="M68" s="666"/>
      <c r="N68" s="666"/>
      <c r="O68" s="666"/>
      <c r="P68" s="666"/>
      <c r="Q68" s="666"/>
      <c r="R68" s="666"/>
      <c r="S68" s="666"/>
      <c r="T68" s="666"/>
      <c r="U68" s="656"/>
      <c r="V68" s="663"/>
      <c r="W68" s="663"/>
      <c r="X68" s="663"/>
      <c r="Y68" s="663"/>
      <c r="Z68" s="663"/>
      <c r="AA68" s="1576"/>
      <c r="AB68" s="663"/>
      <c r="AC68" s="663"/>
      <c r="AD68" s="663"/>
      <c r="AE68" s="663"/>
      <c r="AF68" s="663"/>
      <c r="AG68" s="1717"/>
      <c r="AH68" s="667"/>
      <c r="AI68" s="667"/>
      <c r="AJ68" s="663"/>
    </row>
    <row r="69" spans="1:54" s="631" customFormat="1" x14ac:dyDescent="0.2">
      <c r="B69" s="712" t="s">
        <v>942</v>
      </c>
      <c r="C69" s="664"/>
      <c r="D69" s="663"/>
      <c r="E69" s="665"/>
      <c r="F69" s="666"/>
      <c r="G69" s="666"/>
      <c r="H69" s="666"/>
      <c r="I69" s="666"/>
      <c r="J69" s="666"/>
      <c r="K69" s="666"/>
      <c r="L69" s="666"/>
      <c r="M69" s="666"/>
      <c r="N69" s="666"/>
      <c r="O69" s="666"/>
      <c r="P69" s="666"/>
      <c r="Q69" s="666"/>
      <c r="R69" s="666"/>
      <c r="S69" s="666"/>
      <c r="T69" s="666"/>
      <c r="U69" s="656"/>
      <c r="V69" s="663"/>
      <c r="W69" s="663"/>
      <c r="X69" s="663"/>
      <c r="Y69" s="663"/>
      <c r="Z69" s="663"/>
      <c r="AA69" s="1576"/>
      <c r="AB69" s="663"/>
      <c r="AC69" s="663"/>
      <c r="AD69" s="663"/>
      <c r="AE69" s="663"/>
      <c r="AF69" s="663"/>
      <c r="AG69" s="1717"/>
      <c r="AH69" s="667"/>
      <c r="AI69" s="667"/>
      <c r="AJ69" s="663"/>
    </row>
    <row r="70" spans="1:54" s="631" customFormat="1" x14ac:dyDescent="0.2">
      <c r="B70" s="670" t="s">
        <v>898</v>
      </c>
      <c r="C70" s="664">
        <v>172000</v>
      </c>
      <c r="D70" s="663"/>
      <c r="E70" s="665">
        <v>7</v>
      </c>
      <c r="F70" s="666"/>
      <c r="G70" s="666"/>
      <c r="H70" s="666"/>
      <c r="I70" s="666"/>
      <c r="J70" s="666"/>
      <c r="K70" s="666"/>
      <c r="L70" s="666"/>
      <c r="M70" s="666"/>
      <c r="N70" s="666"/>
      <c r="O70" s="666"/>
      <c r="P70" s="666"/>
      <c r="Q70" s="666"/>
      <c r="R70" s="666"/>
      <c r="S70" s="666"/>
      <c r="T70" s="666"/>
      <c r="U70" s="656"/>
      <c r="V70" s="663"/>
      <c r="W70" s="663"/>
      <c r="X70" s="663"/>
      <c r="Y70" s="663"/>
      <c r="Z70" s="663"/>
      <c r="AA70" s="1576"/>
      <c r="AB70" s="663">
        <v>22000</v>
      </c>
      <c r="AC70" s="663">
        <v>25000</v>
      </c>
      <c r="AD70" s="663">
        <v>25000</v>
      </c>
      <c r="AE70" s="663">
        <v>25000</v>
      </c>
      <c r="AF70" s="663">
        <v>25000</v>
      </c>
      <c r="AG70" s="1717">
        <v>25000</v>
      </c>
      <c r="AH70" s="663">
        <v>25000</v>
      </c>
      <c r="AI70" s="663">
        <v>0</v>
      </c>
      <c r="AJ70" s="663">
        <v>0</v>
      </c>
      <c r="AK70" s="663">
        <v>0</v>
      </c>
      <c r="AL70" s="663">
        <v>0</v>
      </c>
      <c r="AM70" s="663">
        <v>0</v>
      </c>
      <c r="AN70" s="663">
        <v>0</v>
      </c>
      <c r="AO70" s="663">
        <v>0</v>
      </c>
      <c r="AP70" s="663">
        <v>0</v>
      </c>
      <c r="AQ70" s="663">
        <v>0</v>
      </c>
      <c r="AR70" s="663">
        <v>0</v>
      </c>
      <c r="AS70" s="663">
        <v>0</v>
      </c>
      <c r="AT70" s="663">
        <v>0</v>
      </c>
      <c r="AU70" s="663">
        <v>0</v>
      </c>
      <c r="AV70" s="663">
        <v>0</v>
      </c>
      <c r="AW70" s="663">
        <v>0</v>
      </c>
      <c r="AX70" s="663">
        <v>0</v>
      </c>
      <c r="AY70" s="663">
        <v>0</v>
      </c>
      <c r="AZ70" s="663">
        <v>0</v>
      </c>
    </row>
    <row r="71" spans="1:54" s="631" customFormat="1" x14ac:dyDescent="0.2">
      <c r="B71" s="670" t="s">
        <v>899</v>
      </c>
      <c r="C71" s="664">
        <v>172300</v>
      </c>
      <c r="D71" s="663"/>
      <c r="E71" s="665">
        <v>20</v>
      </c>
      <c r="F71" s="666"/>
      <c r="G71" s="666"/>
      <c r="H71" s="666"/>
      <c r="I71" s="666"/>
      <c r="J71" s="666"/>
      <c r="K71" s="666"/>
      <c r="L71" s="666"/>
      <c r="M71" s="666"/>
      <c r="N71" s="666"/>
      <c r="O71" s="666"/>
      <c r="P71" s="666"/>
      <c r="Q71" s="666"/>
      <c r="R71" s="666"/>
      <c r="S71" s="666"/>
      <c r="T71" s="666"/>
      <c r="U71" s="656"/>
      <c r="V71" s="663"/>
      <c r="W71" s="663"/>
      <c r="X71" s="663"/>
      <c r="Y71" s="663"/>
      <c r="Z71" s="663"/>
      <c r="AA71" s="1576"/>
      <c r="AB71" s="663">
        <v>7300</v>
      </c>
      <c r="AC71" s="663">
        <v>5000</v>
      </c>
      <c r="AD71" s="663">
        <v>5000</v>
      </c>
      <c r="AE71" s="663">
        <v>5000</v>
      </c>
      <c r="AF71" s="663">
        <v>5000</v>
      </c>
      <c r="AG71" s="1717">
        <v>5000</v>
      </c>
      <c r="AH71" s="663">
        <v>10000</v>
      </c>
      <c r="AI71" s="663">
        <v>10000</v>
      </c>
      <c r="AJ71" s="663">
        <v>10000</v>
      </c>
      <c r="AK71" s="663">
        <v>10000</v>
      </c>
      <c r="AL71" s="663">
        <v>10000</v>
      </c>
      <c r="AM71" s="663">
        <v>10000</v>
      </c>
      <c r="AN71" s="663">
        <v>10000</v>
      </c>
      <c r="AO71" s="663">
        <v>10000</v>
      </c>
      <c r="AP71" s="663">
        <v>10000</v>
      </c>
      <c r="AQ71" s="663">
        <v>10000</v>
      </c>
      <c r="AR71" s="663">
        <v>10000</v>
      </c>
      <c r="AS71" s="663">
        <v>10000</v>
      </c>
      <c r="AT71" s="663">
        <v>10000</v>
      </c>
      <c r="AU71" s="663">
        <v>10000</v>
      </c>
      <c r="AV71" s="663">
        <v>0</v>
      </c>
      <c r="AW71" s="663">
        <v>0</v>
      </c>
      <c r="AX71" s="663">
        <v>0</v>
      </c>
      <c r="AY71" s="663">
        <v>0</v>
      </c>
      <c r="AZ71" s="663">
        <v>0</v>
      </c>
    </row>
    <row r="72" spans="1:54" s="631" customFormat="1" x14ac:dyDescent="0.2">
      <c r="B72" s="670" t="s">
        <v>900</v>
      </c>
      <c r="C72" s="664">
        <v>947000</v>
      </c>
      <c r="D72" s="663"/>
      <c r="E72" s="665">
        <v>18</v>
      </c>
      <c r="F72" s="666"/>
      <c r="G72" s="666"/>
      <c r="H72" s="666"/>
      <c r="I72" s="666"/>
      <c r="J72" s="666"/>
      <c r="K72" s="666"/>
      <c r="L72" s="666"/>
      <c r="M72" s="666"/>
      <c r="N72" s="666"/>
      <c r="O72" s="666"/>
      <c r="P72" s="666"/>
      <c r="Q72" s="666"/>
      <c r="R72" s="666"/>
      <c r="S72" s="666"/>
      <c r="T72" s="666"/>
      <c r="U72" s="656"/>
      <c r="V72" s="663"/>
      <c r="W72" s="663"/>
      <c r="X72" s="663"/>
      <c r="Y72" s="663"/>
      <c r="Z72" s="663"/>
      <c r="AA72" s="1576"/>
      <c r="AB72" s="663">
        <v>37000</v>
      </c>
      <c r="AC72" s="663">
        <v>40000</v>
      </c>
      <c r="AD72" s="663">
        <v>45000</v>
      </c>
      <c r="AE72" s="663">
        <v>45000</v>
      </c>
      <c r="AF72" s="663">
        <v>45000</v>
      </c>
      <c r="AG72" s="1717">
        <v>50000</v>
      </c>
      <c r="AH72" s="663">
        <v>50000</v>
      </c>
      <c r="AI72" s="663">
        <v>50000</v>
      </c>
      <c r="AJ72" s="663">
        <v>55000</v>
      </c>
      <c r="AK72" s="663">
        <v>55000</v>
      </c>
      <c r="AL72" s="663">
        <v>55000</v>
      </c>
      <c r="AM72" s="663">
        <v>60000</v>
      </c>
      <c r="AN72" s="663">
        <v>60000</v>
      </c>
      <c r="AO72" s="663">
        <v>60000</v>
      </c>
      <c r="AP72" s="663">
        <v>65000</v>
      </c>
      <c r="AQ72" s="663">
        <v>65000</v>
      </c>
      <c r="AR72" s="663">
        <v>70000</v>
      </c>
      <c r="AS72" s="663">
        <v>40000</v>
      </c>
      <c r="AT72" s="663">
        <v>0</v>
      </c>
      <c r="AU72" s="663">
        <v>0</v>
      </c>
      <c r="AV72" s="663">
        <v>0</v>
      </c>
      <c r="AW72" s="663">
        <v>0</v>
      </c>
      <c r="AX72" s="663">
        <v>0</v>
      </c>
      <c r="AY72" s="663">
        <v>0</v>
      </c>
      <c r="AZ72" s="663">
        <v>0</v>
      </c>
    </row>
    <row r="73" spans="1:54" s="631" customFormat="1" x14ac:dyDescent="0.2">
      <c r="B73" s="670" t="s">
        <v>901</v>
      </c>
      <c r="C73" s="664">
        <v>108000</v>
      </c>
      <c r="D73" s="663"/>
      <c r="E73" s="665">
        <v>7</v>
      </c>
      <c r="F73" s="666"/>
      <c r="G73" s="666"/>
      <c r="H73" s="666"/>
      <c r="I73" s="666"/>
      <c r="J73" s="666"/>
      <c r="K73" s="666"/>
      <c r="L73" s="666"/>
      <c r="M73" s="666"/>
      <c r="N73" s="666"/>
      <c r="O73" s="666"/>
      <c r="P73" s="666"/>
      <c r="Q73" s="666"/>
      <c r="R73" s="666"/>
      <c r="S73" s="666"/>
      <c r="T73" s="666"/>
      <c r="U73" s="656"/>
      <c r="V73" s="663"/>
      <c r="W73" s="663"/>
      <c r="X73" s="663"/>
      <c r="Y73" s="663"/>
      <c r="Z73" s="663"/>
      <c r="AA73" s="1576"/>
      <c r="AB73" s="663">
        <v>10000</v>
      </c>
      <c r="AC73" s="663">
        <v>15000</v>
      </c>
      <c r="AD73" s="663">
        <v>15000</v>
      </c>
      <c r="AE73" s="663">
        <v>20000</v>
      </c>
      <c r="AF73" s="663">
        <v>20000</v>
      </c>
      <c r="AG73" s="1717">
        <v>20000</v>
      </c>
      <c r="AH73" s="663">
        <v>8000</v>
      </c>
      <c r="AI73" s="663">
        <v>0</v>
      </c>
      <c r="AJ73" s="663">
        <v>0</v>
      </c>
      <c r="AK73" s="663">
        <v>0</v>
      </c>
      <c r="AL73" s="663">
        <v>0</v>
      </c>
      <c r="AM73" s="663">
        <v>0</v>
      </c>
      <c r="AN73" s="663">
        <v>0</v>
      </c>
      <c r="AO73" s="663">
        <v>0</v>
      </c>
      <c r="AP73" s="663">
        <v>0</v>
      </c>
      <c r="AQ73" s="663">
        <v>0</v>
      </c>
      <c r="AR73" s="663">
        <v>0</v>
      </c>
      <c r="AS73" s="663">
        <v>0</v>
      </c>
      <c r="AT73" s="663">
        <v>0</v>
      </c>
      <c r="AU73" s="663">
        <v>0</v>
      </c>
      <c r="AV73" s="663">
        <v>0</v>
      </c>
      <c r="AW73" s="663">
        <v>0</v>
      </c>
      <c r="AX73" s="663">
        <v>0</v>
      </c>
      <c r="AY73" s="663">
        <v>0</v>
      </c>
      <c r="AZ73" s="663">
        <v>0</v>
      </c>
    </row>
    <row r="74" spans="1:54" s="631" customFormat="1" x14ac:dyDescent="0.2">
      <c r="B74" s="670" t="s">
        <v>902</v>
      </c>
      <c r="C74" s="664">
        <v>103500</v>
      </c>
      <c r="D74" s="663"/>
      <c r="E74" s="665">
        <v>11</v>
      </c>
      <c r="F74" s="666"/>
      <c r="G74" s="666"/>
      <c r="H74" s="666"/>
      <c r="I74" s="666"/>
      <c r="J74" s="666"/>
      <c r="K74" s="666"/>
      <c r="L74" s="666"/>
      <c r="M74" s="666"/>
      <c r="N74" s="666"/>
      <c r="O74" s="666"/>
      <c r="P74" s="666"/>
      <c r="Q74" s="666"/>
      <c r="R74" s="666"/>
      <c r="S74" s="666"/>
      <c r="T74" s="666"/>
      <c r="U74" s="656"/>
      <c r="V74" s="663"/>
      <c r="W74" s="663"/>
      <c r="X74" s="663"/>
      <c r="Y74" s="663"/>
      <c r="Z74" s="663"/>
      <c r="AA74" s="1576"/>
      <c r="AB74" s="663">
        <v>9500</v>
      </c>
      <c r="AC74" s="663">
        <v>10000</v>
      </c>
      <c r="AD74" s="663">
        <v>10000</v>
      </c>
      <c r="AE74" s="663">
        <v>10000</v>
      </c>
      <c r="AF74" s="663">
        <v>10000</v>
      </c>
      <c r="AG74" s="1717">
        <v>10000</v>
      </c>
      <c r="AH74" s="663">
        <v>7000</v>
      </c>
      <c r="AI74" s="663">
        <v>10000</v>
      </c>
      <c r="AJ74" s="663">
        <v>10000</v>
      </c>
      <c r="AK74" s="663">
        <v>7000</v>
      </c>
      <c r="AL74" s="663">
        <v>10000</v>
      </c>
      <c r="AM74" s="663">
        <v>0</v>
      </c>
      <c r="AN74" s="663">
        <v>0</v>
      </c>
      <c r="AO74" s="663">
        <v>0</v>
      </c>
      <c r="AP74" s="663">
        <v>0</v>
      </c>
      <c r="AQ74" s="663">
        <v>0</v>
      </c>
      <c r="AR74" s="663">
        <v>0</v>
      </c>
      <c r="AS74" s="663">
        <v>0</v>
      </c>
      <c r="AT74" s="663">
        <v>0</v>
      </c>
      <c r="AU74" s="663">
        <v>0</v>
      </c>
      <c r="AV74" s="663">
        <v>0</v>
      </c>
      <c r="AW74" s="663">
        <v>0</v>
      </c>
      <c r="AX74" s="663">
        <v>0</v>
      </c>
      <c r="AY74" s="663">
        <v>0</v>
      </c>
      <c r="AZ74" s="663">
        <v>0</v>
      </c>
    </row>
    <row r="75" spans="1:54" s="631" customFormat="1" x14ac:dyDescent="0.2">
      <c r="B75" s="670" t="s">
        <v>903</v>
      </c>
      <c r="C75" s="664">
        <v>19700</v>
      </c>
      <c r="D75" s="663"/>
      <c r="E75" s="665">
        <v>4</v>
      </c>
      <c r="F75" s="666"/>
      <c r="G75" s="666"/>
      <c r="H75" s="666"/>
      <c r="I75" s="666"/>
      <c r="J75" s="666"/>
      <c r="K75" s="666"/>
      <c r="L75" s="666"/>
      <c r="M75" s="666"/>
      <c r="N75" s="666"/>
      <c r="O75" s="666"/>
      <c r="P75" s="666"/>
      <c r="Q75" s="666"/>
      <c r="R75" s="666"/>
      <c r="S75" s="666"/>
      <c r="T75" s="666"/>
      <c r="U75" s="656"/>
      <c r="V75" s="663"/>
      <c r="W75" s="663"/>
      <c r="X75" s="663"/>
      <c r="Y75" s="663"/>
      <c r="Z75" s="663"/>
      <c r="AA75" s="1576"/>
      <c r="AB75" s="663">
        <v>4700</v>
      </c>
      <c r="AC75" s="663">
        <v>5000</v>
      </c>
      <c r="AD75" s="663">
        <v>5000</v>
      </c>
      <c r="AE75" s="663">
        <v>5000</v>
      </c>
      <c r="AF75" s="663">
        <v>0</v>
      </c>
      <c r="AG75" s="1717">
        <v>0</v>
      </c>
      <c r="AH75" s="663">
        <v>0</v>
      </c>
      <c r="AI75" s="663">
        <v>0</v>
      </c>
      <c r="AJ75" s="663">
        <v>0</v>
      </c>
      <c r="AK75" s="663">
        <v>0</v>
      </c>
      <c r="AL75" s="663">
        <v>0</v>
      </c>
      <c r="AM75" s="663">
        <v>0</v>
      </c>
      <c r="AN75" s="663">
        <v>0</v>
      </c>
      <c r="AO75" s="663">
        <v>0</v>
      </c>
      <c r="AP75" s="663">
        <v>0</v>
      </c>
      <c r="AQ75" s="663">
        <v>0</v>
      </c>
      <c r="AR75" s="663">
        <v>0</v>
      </c>
      <c r="AS75" s="663">
        <v>0</v>
      </c>
      <c r="AT75" s="663">
        <v>0</v>
      </c>
      <c r="AU75" s="663">
        <v>0</v>
      </c>
      <c r="AV75" s="663">
        <v>0</v>
      </c>
      <c r="AW75" s="663">
        <v>0</v>
      </c>
      <c r="AX75" s="663">
        <v>0</v>
      </c>
      <c r="AY75" s="663">
        <v>0</v>
      </c>
      <c r="AZ75" s="663">
        <v>0</v>
      </c>
    </row>
    <row r="76" spans="1:54" s="631" customFormat="1" x14ac:dyDescent="0.2">
      <c r="B76" s="670" t="s">
        <v>904</v>
      </c>
      <c r="C76" s="664">
        <v>46000</v>
      </c>
      <c r="D76" s="663"/>
      <c r="E76" s="665">
        <v>10</v>
      </c>
      <c r="F76" s="666"/>
      <c r="G76" s="666"/>
      <c r="H76" s="666"/>
      <c r="I76" s="666"/>
      <c r="J76" s="666"/>
      <c r="K76" s="666"/>
      <c r="L76" s="666"/>
      <c r="M76" s="666"/>
      <c r="N76" s="666"/>
      <c r="O76" s="666"/>
      <c r="P76" s="666"/>
      <c r="Q76" s="666"/>
      <c r="R76" s="666"/>
      <c r="S76" s="666"/>
      <c r="T76" s="666"/>
      <c r="U76" s="656"/>
      <c r="V76" s="671"/>
      <c r="W76" s="671"/>
      <c r="X76" s="671"/>
      <c r="Y76" s="671"/>
      <c r="Z76" s="671"/>
      <c r="AA76" s="1577"/>
      <c r="AB76" s="663">
        <v>3000</v>
      </c>
      <c r="AC76" s="663">
        <v>5000</v>
      </c>
      <c r="AD76" s="663">
        <v>5000</v>
      </c>
      <c r="AE76" s="663">
        <v>5000</v>
      </c>
      <c r="AF76" s="663">
        <v>5000</v>
      </c>
      <c r="AG76" s="1717">
        <v>5000</v>
      </c>
      <c r="AH76" s="663">
        <v>5000</v>
      </c>
      <c r="AI76" s="663">
        <v>5000</v>
      </c>
      <c r="AJ76" s="663">
        <v>5000</v>
      </c>
      <c r="AK76" s="663">
        <v>3000</v>
      </c>
      <c r="AL76" s="663">
        <v>0</v>
      </c>
      <c r="AM76" s="663">
        <v>0</v>
      </c>
      <c r="AN76" s="663">
        <v>0</v>
      </c>
      <c r="AO76" s="663">
        <v>0</v>
      </c>
      <c r="AP76" s="663">
        <v>0</v>
      </c>
      <c r="AQ76" s="663">
        <v>0</v>
      </c>
      <c r="AR76" s="663">
        <v>0</v>
      </c>
      <c r="AS76" s="663">
        <v>0</v>
      </c>
      <c r="AT76" s="663">
        <v>0</v>
      </c>
      <c r="AU76" s="663">
        <v>0</v>
      </c>
      <c r="AV76" s="663">
        <v>0</v>
      </c>
      <c r="AW76" s="663">
        <v>0</v>
      </c>
      <c r="AX76" s="663">
        <v>0</v>
      </c>
      <c r="AY76" s="663">
        <v>0</v>
      </c>
      <c r="AZ76" s="663">
        <v>0</v>
      </c>
    </row>
    <row r="77" spans="1:54" s="631" customFormat="1" x14ac:dyDescent="0.2">
      <c r="B77" s="670" t="s">
        <v>905</v>
      </c>
      <c r="C77" s="664">
        <v>20000</v>
      </c>
      <c r="D77" s="663"/>
      <c r="E77" s="665">
        <v>3</v>
      </c>
      <c r="F77" s="666"/>
      <c r="G77" s="666"/>
      <c r="H77" s="666"/>
      <c r="I77" s="666"/>
      <c r="J77" s="666"/>
      <c r="K77" s="666"/>
      <c r="L77" s="666"/>
      <c r="M77" s="666"/>
      <c r="N77" s="666"/>
      <c r="O77" s="666"/>
      <c r="P77" s="666"/>
      <c r="Q77" s="666"/>
      <c r="R77" s="666"/>
      <c r="S77" s="666"/>
      <c r="T77" s="666"/>
      <c r="U77" s="656"/>
      <c r="V77" s="671"/>
      <c r="W77" s="671"/>
      <c r="X77" s="671"/>
      <c r="Y77" s="671"/>
      <c r="Z77" s="671"/>
      <c r="AA77" s="1577"/>
      <c r="AB77" s="663">
        <v>5000</v>
      </c>
      <c r="AC77" s="663">
        <v>5000</v>
      </c>
      <c r="AD77" s="663">
        <v>5000</v>
      </c>
      <c r="AE77" s="663">
        <v>5000</v>
      </c>
      <c r="AF77" s="663">
        <v>0</v>
      </c>
      <c r="AG77" s="1717">
        <v>0</v>
      </c>
      <c r="AH77" s="663">
        <v>0</v>
      </c>
      <c r="AI77" s="663">
        <v>0</v>
      </c>
      <c r="AJ77" s="663">
        <v>0</v>
      </c>
      <c r="AK77" s="663">
        <v>0</v>
      </c>
      <c r="AL77" s="663">
        <v>0</v>
      </c>
      <c r="AM77" s="663">
        <v>0</v>
      </c>
      <c r="AN77" s="663">
        <v>0</v>
      </c>
      <c r="AO77" s="663">
        <v>0</v>
      </c>
      <c r="AP77" s="663">
        <v>0</v>
      </c>
      <c r="AQ77" s="663">
        <v>0</v>
      </c>
      <c r="AR77" s="663">
        <v>0</v>
      </c>
      <c r="AS77" s="663">
        <v>0</v>
      </c>
      <c r="AT77" s="663">
        <v>0</v>
      </c>
      <c r="AU77" s="663">
        <v>0</v>
      </c>
      <c r="AV77" s="663">
        <v>0</v>
      </c>
      <c r="AW77" s="663">
        <v>0</v>
      </c>
      <c r="AX77" s="663">
        <v>0</v>
      </c>
      <c r="AY77" s="663">
        <v>0</v>
      </c>
      <c r="AZ77" s="663">
        <v>0</v>
      </c>
    </row>
    <row r="78" spans="1:54" s="631" customFormat="1" x14ac:dyDescent="0.2">
      <c r="A78" s="631" t="s">
        <v>554</v>
      </c>
      <c r="B78" s="670" t="s">
        <v>906</v>
      </c>
      <c r="C78" s="664">
        <v>1487000</v>
      </c>
      <c r="D78" s="663"/>
      <c r="E78" s="665">
        <v>25</v>
      </c>
      <c r="F78" s="666"/>
      <c r="G78" s="666"/>
      <c r="H78" s="666"/>
      <c r="I78" s="666"/>
      <c r="J78" s="666"/>
      <c r="K78" s="666"/>
      <c r="L78" s="666"/>
      <c r="M78" s="666"/>
      <c r="N78" s="666"/>
      <c r="O78" s="666"/>
      <c r="P78" s="666"/>
      <c r="Q78" s="666"/>
      <c r="R78" s="666"/>
      <c r="S78" s="666"/>
      <c r="T78" s="666"/>
      <c r="U78" s="656"/>
      <c r="V78" s="671"/>
      <c r="W78" s="671"/>
      <c r="X78" s="671"/>
      <c r="Y78" s="671"/>
      <c r="Z78" s="671"/>
      <c r="AA78" s="1577"/>
      <c r="AB78" s="663">
        <v>37000</v>
      </c>
      <c r="AC78" s="663">
        <v>40000</v>
      </c>
      <c r="AD78" s="663">
        <v>40000</v>
      </c>
      <c r="AE78" s="663">
        <v>45000</v>
      </c>
      <c r="AF78" s="663">
        <v>45000</v>
      </c>
      <c r="AG78" s="1717">
        <v>45000</v>
      </c>
      <c r="AH78" s="663">
        <v>50000</v>
      </c>
      <c r="AI78" s="663">
        <v>50000</v>
      </c>
      <c r="AJ78" s="663">
        <v>50000</v>
      </c>
      <c r="AK78" s="663">
        <v>55000</v>
      </c>
      <c r="AL78" s="663">
        <v>55000</v>
      </c>
      <c r="AM78" s="663">
        <v>55000</v>
      </c>
      <c r="AN78" s="663">
        <v>60000</v>
      </c>
      <c r="AO78" s="663">
        <v>60000</v>
      </c>
      <c r="AP78" s="663">
        <v>60000</v>
      </c>
      <c r="AQ78" s="663">
        <v>65000</v>
      </c>
      <c r="AR78" s="663">
        <v>65000</v>
      </c>
      <c r="AS78" s="663">
        <v>70000</v>
      </c>
      <c r="AT78" s="663">
        <v>70000</v>
      </c>
      <c r="AU78" s="663">
        <v>75000</v>
      </c>
      <c r="AV78" s="663">
        <v>75000</v>
      </c>
      <c r="AW78" s="663">
        <v>75000</v>
      </c>
      <c r="AX78" s="663">
        <v>80000</v>
      </c>
      <c r="AY78" s="663">
        <v>80000</v>
      </c>
      <c r="AZ78" s="663">
        <v>85000</v>
      </c>
      <c r="BA78" s="631">
        <v>0</v>
      </c>
    </row>
    <row r="79" spans="1:54" s="631" customFormat="1" x14ac:dyDescent="0.2">
      <c r="B79" s="670"/>
      <c r="C79" s="669"/>
      <c r="D79" s="663"/>
      <c r="E79" s="665"/>
      <c r="F79" s="666"/>
      <c r="G79" s="666"/>
      <c r="H79" s="666"/>
      <c r="I79" s="666"/>
      <c r="J79" s="666"/>
      <c r="K79" s="666"/>
      <c r="L79" s="666"/>
      <c r="M79" s="666"/>
      <c r="N79" s="666"/>
      <c r="O79" s="666"/>
      <c r="P79" s="666"/>
      <c r="Q79" s="666"/>
      <c r="R79" s="666"/>
      <c r="S79" s="666"/>
      <c r="T79" s="666"/>
      <c r="U79" s="656"/>
      <c r="V79" s="671"/>
      <c r="W79" s="671"/>
      <c r="X79" s="671"/>
      <c r="Y79" s="671"/>
      <c r="Z79" s="671"/>
      <c r="AA79" s="1577"/>
      <c r="AB79" s="663"/>
      <c r="AC79" s="663"/>
      <c r="AD79" s="663"/>
      <c r="AE79" s="663"/>
      <c r="AF79" s="663"/>
      <c r="AG79" s="1717"/>
      <c r="AH79" s="663"/>
      <c r="AI79" s="663"/>
      <c r="AJ79" s="663"/>
      <c r="AK79" s="663"/>
      <c r="AL79" s="663"/>
      <c r="AM79" s="663"/>
      <c r="AN79" s="663"/>
      <c r="AO79" s="663"/>
      <c r="AP79" s="663"/>
      <c r="AQ79" s="663"/>
      <c r="AR79" s="663"/>
      <c r="AS79" s="663"/>
      <c r="AT79" s="663"/>
      <c r="AU79" s="663"/>
      <c r="AV79" s="663"/>
      <c r="AW79" s="663"/>
      <c r="AX79" s="663"/>
      <c r="AY79" s="663"/>
      <c r="AZ79" s="663"/>
    </row>
    <row r="80" spans="1:54" s="631" customFormat="1" x14ac:dyDescent="0.2">
      <c r="A80" s="1593" t="s">
        <v>554</v>
      </c>
      <c r="B80" s="1609" t="s">
        <v>962</v>
      </c>
      <c r="C80" s="1602">
        <v>5800000</v>
      </c>
      <c r="D80" s="1598"/>
      <c r="E80" s="665">
        <v>25</v>
      </c>
      <c r="F80" s="666"/>
      <c r="G80" s="666"/>
      <c r="H80" s="666"/>
      <c r="I80" s="666"/>
      <c r="J80" s="666"/>
      <c r="K80" s="666"/>
      <c r="L80" s="666"/>
      <c r="M80" s="666"/>
      <c r="N80" s="666"/>
      <c r="O80" s="666"/>
      <c r="P80" s="666"/>
      <c r="Q80" s="666"/>
      <c r="R80" s="666"/>
      <c r="S80" s="666"/>
      <c r="T80" s="666"/>
      <c r="U80" s="656"/>
      <c r="V80" s="671"/>
      <c r="W80" s="671"/>
      <c r="X80" s="671"/>
      <c r="Y80" s="671"/>
      <c r="Z80" s="671"/>
      <c r="AA80" s="1577"/>
      <c r="AB80" s="663"/>
      <c r="AC80" s="663">
        <v>135000</v>
      </c>
      <c r="AD80" s="663">
        <v>140000</v>
      </c>
      <c r="AE80" s="663">
        <v>145000</v>
      </c>
      <c r="AF80" s="663">
        <v>155000</v>
      </c>
      <c r="AG80" s="1717">
        <v>160000</v>
      </c>
      <c r="AH80" s="663">
        <v>170000</v>
      </c>
      <c r="AI80" s="663">
        <v>180000</v>
      </c>
      <c r="AJ80" s="663">
        <v>190000</v>
      </c>
      <c r="AK80" s="663">
        <v>195000</v>
      </c>
      <c r="AL80" s="663">
        <v>205000</v>
      </c>
      <c r="AM80" s="663">
        <v>220000</v>
      </c>
      <c r="AN80" s="663">
        <v>225000</v>
      </c>
      <c r="AO80" s="663">
        <v>235000</v>
      </c>
      <c r="AP80" s="663">
        <v>240000</v>
      </c>
      <c r="AQ80" s="663">
        <v>245000</v>
      </c>
      <c r="AR80" s="663">
        <v>255000</v>
      </c>
      <c r="AS80" s="663">
        <v>265000</v>
      </c>
      <c r="AT80" s="663">
        <v>270000</v>
      </c>
      <c r="AU80" s="663">
        <v>280000</v>
      </c>
      <c r="AV80" s="663">
        <v>290000</v>
      </c>
      <c r="AW80" s="663">
        <v>300000</v>
      </c>
      <c r="AX80" s="663">
        <v>310000</v>
      </c>
      <c r="AY80" s="663">
        <v>320000</v>
      </c>
      <c r="AZ80" s="663">
        <v>330000</v>
      </c>
      <c r="BA80" s="663">
        <v>340000</v>
      </c>
      <c r="BB80" s="663"/>
    </row>
    <row r="81" spans="1:64" s="631" customFormat="1" x14ac:dyDescent="0.2">
      <c r="A81" s="1593" t="s">
        <v>554</v>
      </c>
      <c r="B81" s="1596" t="s">
        <v>908</v>
      </c>
      <c r="C81" s="1605">
        <v>3246000</v>
      </c>
      <c r="D81" s="1597"/>
      <c r="E81" s="665">
        <v>19</v>
      </c>
      <c r="F81" s="666"/>
      <c r="G81" s="666"/>
      <c r="H81" s="666"/>
      <c r="I81" s="666"/>
      <c r="J81" s="666"/>
      <c r="K81" s="666"/>
      <c r="L81" s="666"/>
      <c r="M81" s="666"/>
      <c r="N81" s="666"/>
      <c r="O81" s="666"/>
      <c r="P81" s="666"/>
      <c r="Q81" s="666"/>
      <c r="R81" s="666"/>
      <c r="S81" s="666"/>
      <c r="T81" s="666"/>
      <c r="U81" s="656"/>
      <c r="V81" s="671"/>
      <c r="W81" s="671"/>
      <c r="X81" s="671"/>
      <c r="Y81" s="671"/>
      <c r="Z81" s="671"/>
      <c r="AA81" s="1577"/>
      <c r="AB81" s="663"/>
      <c r="AC81" s="663">
        <v>56000</v>
      </c>
      <c r="AD81" s="663">
        <v>60000</v>
      </c>
      <c r="AE81" s="663">
        <v>140000</v>
      </c>
      <c r="AF81" s="663">
        <v>150000</v>
      </c>
      <c r="AG81" s="1717">
        <v>160000</v>
      </c>
      <c r="AH81" s="663">
        <v>165000</v>
      </c>
      <c r="AI81" s="663">
        <v>175000</v>
      </c>
      <c r="AJ81" s="663">
        <v>190000</v>
      </c>
      <c r="AK81" s="663">
        <v>210000</v>
      </c>
      <c r="AL81" s="663">
        <v>210000</v>
      </c>
      <c r="AM81" s="663">
        <v>200000</v>
      </c>
      <c r="AN81" s="663">
        <v>200000</v>
      </c>
      <c r="AO81" s="663">
        <v>200000</v>
      </c>
      <c r="AP81" s="663">
        <v>200000</v>
      </c>
      <c r="AQ81" s="663">
        <v>195000</v>
      </c>
      <c r="AR81" s="663">
        <v>185000</v>
      </c>
      <c r="AS81" s="663">
        <v>185000</v>
      </c>
      <c r="AT81" s="663">
        <v>185000</v>
      </c>
      <c r="AU81" s="663">
        <v>180000</v>
      </c>
      <c r="AV81" s="663"/>
      <c r="AW81" s="663"/>
      <c r="AX81" s="663"/>
      <c r="AY81" s="663"/>
      <c r="AZ81" s="663"/>
      <c r="BA81" s="663"/>
      <c r="BL81" s="663"/>
    </row>
    <row r="82" spans="1:64" s="631" customFormat="1" x14ac:dyDescent="0.2">
      <c r="A82" s="1593"/>
      <c r="B82" s="619"/>
      <c r="C82" s="1646"/>
      <c r="D82" s="1530"/>
      <c r="E82" s="665"/>
      <c r="F82" s="666"/>
      <c r="G82" s="666"/>
      <c r="H82" s="666"/>
      <c r="I82" s="666"/>
      <c r="J82" s="666"/>
      <c r="K82" s="666"/>
      <c r="L82" s="666"/>
      <c r="M82" s="666"/>
      <c r="N82" s="666"/>
      <c r="O82" s="666"/>
      <c r="P82" s="666"/>
      <c r="Q82" s="666"/>
      <c r="R82" s="666"/>
      <c r="S82" s="666"/>
      <c r="T82" s="666"/>
      <c r="U82" s="656"/>
      <c r="V82" s="671"/>
      <c r="W82" s="671"/>
      <c r="X82" s="671"/>
      <c r="Y82" s="671"/>
      <c r="Z82" s="671"/>
      <c r="AA82" s="1577"/>
      <c r="AB82" s="663"/>
      <c r="AC82" s="663"/>
      <c r="AD82" s="663"/>
      <c r="AE82" s="663"/>
      <c r="AF82" s="663"/>
      <c r="AG82" s="1717"/>
      <c r="AH82" s="663"/>
      <c r="AI82" s="663"/>
      <c r="AJ82" s="663"/>
      <c r="AK82" s="663"/>
      <c r="AL82" s="663"/>
      <c r="AM82" s="663"/>
      <c r="AN82" s="663"/>
      <c r="AO82" s="663"/>
      <c r="AP82" s="663"/>
      <c r="AQ82" s="663"/>
      <c r="AR82" s="663"/>
      <c r="AS82" s="663"/>
      <c r="AT82" s="663"/>
      <c r="AU82" s="663"/>
      <c r="AV82" s="663"/>
      <c r="AW82" s="663"/>
      <c r="AX82" s="663"/>
      <c r="AY82" s="663"/>
      <c r="AZ82" s="663"/>
      <c r="BA82" s="663"/>
      <c r="BL82" s="663"/>
    </row>
    <row r="83" spans="1:64" s="631" customFormat="1" x14ac:dyDescent="0.2">
      <c r="A83" s="1593"/>
      <c r="B83" s="1606" t="s">
        <v>1013</v>
      </c>
      <c r="C83" s="1646"/>
      <c r="D83" s="1530"/>
      <c r="E83" s="665"/>
      <c r="F83" s="666"/>
      <c r="G83" s="666"/>
      <c r="H83" s="666"/>
      <c r="I83" s="666"/>
      <c r="J83" s="666"/>
      <c r="K83" s="666"/>
      <c r="L83" s="666"/>
      <c r="M83" s="666"/>
      <c r="N83" s="666"/>
      <c r="O83" s="666"/>
      <c r="P83" s="666"/>
      <c r="Q83" s="666"/>
      <c r="R83" s="666"/>
      <c r="S83" s="666"/>
      <c r="T83" s="666"/>
      <c r="U83" s="656"/>
      <c r="V83" s="671"/>
      <c r="W83" s="671"/>
      <c r="X83" s="671"/>
      <c r="Y83" s="671"/>
      <c r="Z83" s="671"/>
      <c r="AA83" s="1577"/>
      <c r="AB83" s="663"/>
      <c r="AC83" s="663"/>
      <c r="AD83" s="663"/>
      <c r="AE83" s="663"/>
      <c r="AF83" s="663"/>
      <c r="AG83" s="1717"/>
      <c r="AH83" s="663"/>
      <c r="AI83" s="663"/>
      <c r="AJ83" s="663"/>
      <c r="AK83" s="663"/>
      <c r="AL83" s="663"/>
      <c r="AM83" s="663"/>
      <c r="AN83" s="663"/>
      <c r="AO83" s="663"/>
      <c r="AP83" s="663"/>
      <c r="AQ83" s="663"/>
      <c r="AR83" s="663"/>
      <c r="AS83" s="663"/>
      <c r="AT83" s="663"/>
      <c r="AU83" s="663"/>
      <c r="AV83" s="663"/>
      <c r="AW83" s="663"/>
      <c r="AX83" s="663"/>
      <c r="AY83" s="663"/>
      <c r="AZ83" s="663"/>
      <c r="BA83" s="663"/>
      <c r="BL83" s="663"/>
    </row>
    <row r="84" spans="1:64" s="631" customFormat="1" x14ac:dyDescent="0.2">
      <c r="A84" s="1593" t="s">
        <v>554</v>
      </c>
      <c r="B84" s="619" t="s">
        <v>767</v>
      </c>
      <c r="C84" s="1646">
        <v>2182000</v>
      </c>
      <c r="D84" s="1530">
        <v>2.2200000000000001E-2</v>
      </c>
      <c r="E84" s="665">
        <v>25</v>
      </c>
      <c r="F84" s="666"/>
      <c r="G84" s="666"/>
      <c r="H84" s="666"/>
      <c r="I84" s="666"/>
      <c r="J84" s="666"/>
      <c r="K84" s="666"/>
      <c r="L84" s="666"/>
      <c r="M84" s="666"/>
      <c r="N84" s="666"/>
      <c r="O84" s="666"/>
      <c r="P84" s="666"/>
      <c r="Q84" s="666"/>
      <c r="R84" s="666"/>
      <c r="S84" s="666"/>
      <c r="T84" s="666"/>
      <c r="U84" s="656"/>
      <c r="V84" s="671"/>
      <c r="W84" s="671"/>
      <c r="X84" s="671"/>
      <c r="Y84" s="671"/>
      <c r="Z84" s="671"/>
      <c r="AA84" s="1577"/>
      <c r="AB84" s="663"/>
      <c r="AC84" s="663"/>
      <c r="AD84" s="663">
        <v>55000</v>
      </c>
      <c r="AE84" s="663">
        <v>55000</v>
      </c>
      <c r="AF84" s="663">
        <v>60000</v>
      </c>
      <c r="AG84" s="1717">
        <v>65000</v>
      </c>
      <c r="AH84" s="663">
        <v>65000</v>
      </c>
      <c r="AI84" s="663">
        <v>70000</v>
      </c>
      <c r="AJ84" s="663">
        <v>75000</v>
      </c>
      <c r="AK84" s="663">
        <v>75000</v>
      </c>
      <c r="AL84" s="663">
        <v>80000</v>
      </c>
      <c r="AM84" s="663">
        <v>85000</v>
      </c>
      <c r="AN84" s="663">
        <v>85000</v>
      </c>
      <c r="AO84" s="663">
        <v>85000</v>
      </c>
      <c r="AP84" s="663">
        <v>90000</v>
      </c>
      <c r="AQ84" s="663">
        <v>90000</v>
      </c>
      <c r="AR84" s="663">
        <v>90000</v>
      </c>
      <c r="AS84" s="663">
        <v>95000</v>
      </c>
      <c r="AT84" s="663">
        <v>95000</v>
      </c>
      <c r="AU84" s="663">
        <v>100000</v>
      </c>
      <c r="AV84" s="663">
        <v>100000</v>
      </c>
      <c r="AW84" s="663">
        <v>102000</v>
      </c>
      <c r="AX84" s="663">
        <v>105000</v>
      </c>
      <c r="AY84" s="663">
        <v>110000</v>
      </c>
      <c r="AZ84" s="663">
        <v>115000</v>
      </c>
      <c r="BA84" s="663">
        <v>115000</v>
      </c>
      <c r="BB84" s="631">
        <v>120000</v>
      </c>
      <c r="BL84" s="663"/>
    </row>
    <row r="85" spans="1:64" x14ac:dyDescent="0.2">
      <c r="A85" s="1610" t="s">
        <v>554</v>
      </c>
      <c r="B85" s="629" t="s">
        <v>1012</v>
      </c>
      <c r="C85" s="629">
        <v>1665000</v>
      </c>
      <c r="D85" s="629">
        <v>2.2200000000000002</v>
      </c>
      <c r="E85" s="630">
        <v>20</v>
      </c>
      <c r="AD85" s="616">
        <v>65000</v>
      </c>
      <c r="AE85" s="616">
        <v>70000</v>
      </c>
      <c r="AF85" s="616">
        <v>70000</v>
      </c>
      <c r="AG85" s="1707">
        <v>75000</v>
      </c>
      <c r="AH85" s="619">
        <v>80000</v>
      </c>
      <c r="AI85" s="619">
        <v>80000</v>
      </c>
      <c r="AJ85" s="616">
        <v>85000</v>
      </c>
      <c r="AK85" s="616">
        <v>90000</v>
      </c>
      <c r="AL85" s="616">
        <v>95000</v>
      </c>
      <c r="AM85" s="616">
        <v>100000</v>
      </c>
      <c r="AN85" s="616">
        <v>100000</v>
      </c>
      <c r="AO85" s="616">
        <v>100000</v>
      </c>
      <c r="AP85" s="616">
        <v>105000</v>
      </c>
      <c r="AQ85" s="616">
        <v>105000</v>
      </c>
      <c r="AR85" s="616">
        <v>110000</v>
      </c>
      <c r="AS85" s="616">
        <v>110000</v>
      </c>
      <c r="AT85" s="616">
        <v>115000</v>
      </c>
      <c r="AU85" s="616">
        <v>110000</v>
      </c>
    </row>
    <row r="86" spans="1:64" ht="10.5" customHeight="1" x14ac:dyDescent="0.2">
      <c r="B86" s="629"/>
      <c r="C86" s="629"/>
      <c r="D86" s="629"/>
      <c r="E86" s="630"/>
    </row>
    <row r="87" spans="1:64" x14ac:dyDescent="0.2">
      <c r="B87" s="633" t="s">
        <v>637</v>
      </c>
      <c r="C87" s="633">
        <f>SUM(AB87:AZ87)</f>
        <v>16758500</v>
      </c>
      <c r="D87" s="633"/>
      <c r="E87" s="634"/>
      <c r="F87" s="635">
        <f t="shared" ref="F87:AZ87" si="24">SUM(F48:F85)</f>
        <v>107000</v>
      </c>
      <c r="G87" s="635">
        <f t="shared" si="24"/>
        <v>92000</v>
      </c>
      <c r="H87" s="635">
        <f t="shared" si="24"/>
        <v>154000</v>
      </c>
      <c r="I87" s="635">
        <f t="shared" si="24"/>
        <v>110000</v>
      </c>
      <c r="J87" s="635">
        <f t="shared" si="24"/>
        <v>110000</v>
      </c>
      <c r="K87" s="635">
        <f t="shared" si="24"/>
        <v>256200</v>
      </c>
      <c r="L87" s="635">
        <f t="shared" si="24"/>
        <v>559000</v>
      </c>
      <c r="M87" s="635">
        <f t="shared" si="24"/>
        <v>460000</v>
      </c>
      <c r="N87" s="635">
        <f t="shared" si="24"/>
        <v>489500</v>
      </c>
      <c r="O87" s="635">
        <f t="shared" si="24"/>
        <v>509500</v>
      </c>
      <c r="P87" s="635">
        <f t="shared" si="24"/>
        <v>539000</v>
      </c>
      <c r="Q87" s="635">
        <f t="shared" si="24"/>
        <v>559000</v>
      </c>
      <c r="R87" s="635">
        <f t="shared" si="24"/>
        <v>588500</v>
      </c>
      <c r="S87" s="635">
        <f t="shared" si="24"/>
        <v>618000</v>
      </c>
      <c r="T87" s="635">
        <f t="shared" si="24"/>
        <v>643000</v>
      </c>
      <c r="U87" s="635">
        <f t="shared" si="24"/>
        <v>796700</v>
      </c>
      <c r="V87" s="635">
        <f t="shared" si="24"/>
        <v>537500</v>
      </c>
      <c r="W87" s="635">
        <f t="shared" si="24"/>
        <v>551000</v>
      </c>
      <c r="X87" s="635">
        <f t="shared" si="24"/>
        <v>581500</v>
      </c>
      <c r="Y87" s="635">
        <f t="shared" si="24"/>
        <v>557000</v>
      </c>
      <c r="Z87" s="635">
        <f t="shared" si="24"/>
        <v>569500</v>
      </c>
      <c r="AA87" s="1566">
        <f t="shared" si="24"/>
        <v>505500</v>
      </c>
      <c r="AB87" s="635">
        <f t="shared" si="24"/>
        <v>555500</v>
      </c>
      <c r="AC87" s="635">
        <f t="shared" si="24"/>
        <v>766000</v>
      </c>
      <c r="AD87" s="635">
        <f t="shared" si="24"/>
        <v>795000</v>
      </c>
      <c r="AE87" s="635">
        <f t="shared" si="24"/>
        <v>775000</v>
      </c>
      <c r="AF87" s="635">
        <f t="shared" si="24"/>
        <v>590000</v>
      </c>
      <c r="AG87" s="1712">
        <f t="shared" si="24"/>
        <v>620000</v>
      </c>
      <c r="AH87" s="635">
        <f t="shared" si="24"/>
        <v>635000</v>
      </c>
      <c r="AI87" s="635">
        <f t="shared" si="24"/>
        <v>630000</v>
      </c>
      <c r="AJ87" s="635">
        <f t="shared" si="24"/>
        <v>670000</v>
      </c>
      <c r="AK87" s="635">
        <f t="shared" si="24"/>
        <v>700000</v>
      </c>
      <c r="AL87" s="635">
        <f t="shared" si="24"/>
        <v>720000</v>
      </c>
      <c r="AM87" s="635">
        <f t="shared" si="24"/>
        <v>730000</v>
      </c>
      <c r="AN87" s="635">
        <f t="shared" si="24"/>
        <v>740000</v>
      </c>
      <c r="AO87" s="635">
        <f t="shared" si="24"/>
        <v>750000</v>
      </c>
      <c r="AP87" s="635">
        <f t="shared" si="24"/>
        <v>770000</v>
      </c>
      <c r="AQ87" s="635">
        <f t="shared" si="24"/>
        <v>775000</v>
      </c>
      <c r="AR87" s="635">
        <f t="shared" si="24"/>
        <v>785000</v>
      </c>
      <c r="AS87" s="635">
        <f t="shared" si="24"/>
        <v>775000</v>
      </c>
      <c r="AT87" s="635">
        <f t="shared" si="24"/>
        <v>745000</v>
      </c>
      <c r="AU87" s="635">
        <f t="shared" si="24"/>
        <v>755000</v>
      </c>
      <c r="AV87" s="635">
        <f t="shared" si="24"/>
        <v>465000</v>
      </c>
      <c r="AW87" s="635">
        <f t="shared" si="24"/>
        <v>477000</v>
      </c>
      <c r="AX87" s="635">
        <f t="shared" si="24"/>
        <v>495000</v>
      </c>
      <c r="AY87" s="635">
        <f t="shared" si="24"/>
        <v>510000</v>
      </c>
      <c r="AZ87" s="635">
        <f t="shared" si="24"/>
        <v>530000</v>
      </c>
    </row>
    <row r="88" spans="1:64" x14ac:dyDescent="0.2">
      <c r="B88" s="636"/>
      <c r="C88" s="637"/>
      <c r="D88" s="629"/>
      <c r="E88" s="630"/>
    </row>
    <row r="89" spans="1:64" x14ac:dyDescent="0.2">
      <c r="B89" s="629" t="s">
        <v>94</v>
      </c>
      <c r="C89" s="629"/>
      <c r="D89" s="629"/>
      <c r="E89" s="630"/>
    </row>
    <row r="90" spans="1:64" x14ac:dyDescent="0.2">
      <c r="B90" s="629" t="s">
        <v>375</v>
      </c>
      <c r="C90" s="629">
        <f>SUM(F90:AG90)</f>
        <v>5967.5</v>
      </c>
      <c r="D90" s="629">
        <v>6.95</v>
      </c>
      <c r="E90" s="630"/>
      <c r="F90" s="616">
        <v>5142.5</v>
      </c>
      <c r="G90" s="616">
        <v>825</v>
      </c>
      <c r="H90" s="616">
        <v>0</v>
      </c>
      <c r="I90" s="616">
        <v>0</v>
      </c>
      <c r="J90" s="616">
        <v>0</v>
      </c>
      <c r="K90" s="616">
        <v>0</v>
      </c>
      <c r="L90" s="616">
        <v>0</v>
      </c>
      <c r="M90" s="616">
        <v>0</v>
      </c>
      <c r="N90" s="616">
        <v>0</v>
      </c>
      <c r="O90" s="616">
        <v>0</v>
      </c>
    </row>
    <row r="91" spans="1:64" x14ac:dyDescent="0.2">
      <c r="B91" s="629" t="s">
        <v>509</v>
      </c>
      <c r="C91" s="629">
        <f>SUM(F91:AG91)</f>
        <v>64601.4</v>
      </c>
      <c r="D91" s="629">
        <v>4.0199999999999996</v>
      </c>
      <c r="E91" s="630"/>
      <c r="H91" s="616">
        <v>21788.400000000001</v>
      </c>
      <c r="I91" s="616">
        <v>17286</v>
      </c>
      <c r="J91" s="616">
        <v>12864</v>
      </c>
      <c r="K91" s="616">
        <v>8442</v>
      </c>
      <c r="L91" s="616">
        <v>4221</v>
      </c>
    </row>
    <row r="92" spans="1:64" x14ac:dyDescent="0.2">
      <c r="B92" s="629" t="s">
        <v>510</v>
      </c>
      <c r="C92" s="629">
        <f>SUM(F92:AG92)</f>
        <v>10702</v>
      </c>
      <c r="D92" s="629">
        <v>3.85</v>
      </c>
      <c r="E92" s="630"/>
      <c r="F92" s="616">
        <v>4851</v>
      </c>
      <c r="G92" s="616">
        <v>3234</v>
      </c>
      <c r="H92" s="616">
        <v>1617</v>
      </c>
      <c r="I92" s="616">
        <v>0</v>
      </c>
      <c r="J92" s="616">
        <v>0</v>
      </c>
      <c r="K92" s="616">
        <v>0</v>
      </c>
      <c r="L92" s="616">
        <v>0</v>
      </c>
      <c r="M92" s="616">
        <v>0</v>
      </c>
      <c r="N92" s="616">
        <v>0</v>
      </c>
      <c r="O92" s="616">
        <v>0</v>
      </c>
      <c r="X92" s="616">
        <v>1000</v>
      </c>
      <c r="Y92" s="656"/>
      <c r="Z92" s="656"/>
      <c r="AA92" s="1572"/>
      <c r="AB92" s="656"/>
    </row>
    <row r="93" spans="1:64" x14ac:dyDescent="0.2">
      <c r="B93" s="629" t="s">
        <v>374</v>
      </c>
      <c r="C93" s="629">
        <f>SUM(F93:AG93)</f>
        <v>1545636.9600000004</v>
      </c>
      <c r="D93" s="629">
        <v>4.66</v>
      </c>
      <c r="E93" s="630"/>
      <c r="J93" s="616">
        <v>0</v>
      </c>
      <c r="K93" s="616">
        <v>187966.37</v>
      </c>
      <c r="L93" s="616">
        <v>178894.37</v>
      </c>
      <c r="M93" s="616">
        <v>172306.88</v>
      </c>
      <c r="N93" s="616">
        <v>165719.37</v>
      </c>
      <c r="O93" s="616">
        <v>158939.37</v>
      </c>
      <c r="P93" s="616">
        <v>151959.37</v>
      </c>
      <c r="Q93" s="616">
        <v>144399.37</v>
      </c>
      <c r="R93" s="616">
        <v>136839.37</v>
      </c>
      <c r="S93" s="616">
        <v>128699.37</v>
      </c>
      <c r="T93" s="616">
        <v>119913.12</v>
      </c>
      <c r="U93" s="631"/>
      <c r="V93" s="631"/>
      <c r="W93" s="631"/>
      <c r="X93" s="631"/>
      <c r="Y93" s="631"/>
      <c r="Z93" s="631"/>
      <c r="AA93" s="1565"/>
      <c r="AB93" s="631"/>
      <c r="AC93" s="631"/>
      <c r="AD93" s="631"/>
    </row>
    <row r="94" spans="1:64" x14ac:dyDescent="0.2">
      <c r="B94" s="629" t="s">
        <v>508</v>
      </c>
      <c r="C94" s="629">
        <f>SUM(F94:AG94)</f>
        <v>3713947.5</v>
      </c>
      <c r="D94" s="629">
        <v>4.71</v>
      </c>
      <c r="E94" s="630"/>
      <c r="J94" s="616">
        <v>0</v>
      </c>
      <c r="K94" s="616">
        <v>0</v>
      </c>
      <c r="L94" s="616">
        <v>429862.5</v>
      </c>
      <c r="M94" s="616">
        <v>417902.5</v>
      </c>
      <c r="N94" s="616">
        <v>407227.5</v>
      </c>
      <c r="O94" s="616">
        <v>395227.5</v>
      </c>
      <c r="P94" s="616">
        <v>382665</v>
      </c>
      <c r="Q94" s="616">
        <v>369540</v>
      </c>
      <c r="R94" s="616">
        <v>354740</v>
      </c>
      <c r="S94" s="616">
        <v>338377.5</v>
      </c>
      <c r="T94" s="616">
        <v>318127.5</v>
      </c>
      <c r="U94" s="616">
        <v>300277.5</v>
      </c>
    </row>
    <row r="95" spans="1:64" x14ac:dyDescent="0.2">
      <c r="B95" s="657" t="s">
        <v>715</v>
      </c>
      <c r="C95" s="629"/>
      <c r="D95" s="629">
        <v>2.56</v>
      </c>
      <c r="E95" s="630"/>
    </row>
    <row r="96" spans="1:64" x14ac:dyDescent="0.2">
      <c r="A96" s="631" t="s">
        <v>555</v>
      </c>
      <c r="B96" s="661" t="s">
        <v>713</v>
      </c>
      <c r="C96" s="672">
        <f>121440-12144</f>
        <v>109296</v>
      </c>
      <c r="D96" s="629"/>
      <c r="E96" s="630">
        <v>9</v>
      </c>
      <c r="U96" s="631">
        <f>(12176.25*2)-2435.25</f>
        <v>21917.25</v>
      </c>
      <c r="V96" s="631">
        <f>10931.25*2-2186.25</f>
        <v>19676.25</v>
      </c>
      <c r="W96" s="631">
        <f>9656.25*2-1931.25</f>
        <v>17381.25</v>
      </c>
      <c r="X96" s="631">
        <f>7856.25*2-1571.25</f>
        <v>14141.25</v>
      </c>
      <c r="Y96" s="631">
        <f>6156.25*2-1231.25</f>
        <v>11081.25</v>
      </c>
      <c r="Z96" s="631">
        <f>5256.25*2-1051.25</f>
        <v>9461.25</v>
      </c>
      <c r="AA96" s="1565">
        <f>4187.5*2-837.5</f>
        <v>7537.5</v>
      </c>
      <c r="AB96" s="631">
        <f>3000*2-600</f>
        <v>5400</v>
      </c>
      <c r="AC96" s="631">
        <f>1500*2-300</f>
        <v>2700</v>
      </c>
      <c r="AD96" s="656">
        <v>0</v>
      </c>
    </row>
    <row r="97" spans="1:54" x14ac:dyDescent="0.2">
      <c r="A97" s="631" t="s">
        <v>555</v>
      </c>
      <c r="B97" s="661" t="s">
        <v>639</v>
      </c>
      <c r="C97" s="672">
        <v>73945</v>
      </c>
      <c r="D97" s="629"/>
      <c r="E97" s="630">
        <v>7</v>
      </c>
      <c r="U97" s="631">
        <f>9553.75*2</f>
        <v>19107.5</v>
      </c>
      <c r="V97" s="631">
        <f>8293.75*2</f>
        <v>16587.5</v>
      </c>
      <c r="W97" s="631">
        <f>7018.75*2</f>
        <v>14037.5</v>
      </c>
      <c r="X97" s="631">
        <f>5218.75*2</f>
        <v>10437.5</v>
      </c>
      <c r="Y97" s="631">
        <f>3318.75*2</f>
        <v>6637.5</v>
      </c>
      <c r="Z97" s="631">
        <f>2318.75*2</f>
        <v>4637.5</v>
      </c>
      <c r="AA97" s="1565">
        <f>1250*2</f>
        <v>2500</v>
      </c>
      <c r="AB97" s="656">
        <v>0</v>
      </c>
      <c r="AC97" s="656">
        <v>0</v>
      </c>
      <c r="AD97" s="656">
        <v>0</v>
      </c>
    </row>
    <row r="98" spans="1:54" x14ac:dyDescent="0.2">
      <c r="A98" s="631" t="s">
        <v>555</v>
      </c>
      <c r="B98" s="661" t="s">
        <v>368</v>
      </c>
      <c r="C98" s="672">
        <v>127200</v>
      </c>
      <c r="D98" s="629"/>
      <c r="E98" s="630">
        <v>10</v>
      </c>
      <c r="U98" s="631">
        <f>11430*2</f>
        <v>22860</v>
      </c>
      <c r="V98" s="631">
        <f>10455*2</f>
        <v>20910</v>
      </c>
      <c r="W98" s="631">
        <f>9405*2</f>
        <v>18810</v>
      </c>
      <c r="X98" s="631">
        <f>7905*2</f>
        <v>15810</v>
      </c>
      <c r="Y98" s="631">
        <f>6405*2</f>
        <v>12810</v>
      </c>
      <c r="Z98" s="631">
        <f>5655*2</f>
        <v>11310</v>
      </c>
      <c r="AA98" s="1565">
        <f>4755*2</f>
        <v>9510</v>
      </c>
      <c r="AB98" s="631">
        <f>3755*2</f>
        <v>7510</v>
      </c>
      <c r="AC98" s="631">
        <f>2555*2</f>
        <v>5110</v>
      </c>
      <c r="AD98" s="631">
        <f>1280*2</f>
        <v>2560</v>
      </c>
    </row>
    <row r="99" spans="1:54" x14ac:dyDescent="0.2">
      <c r="A99" s="631" t="s">
        <v>555</v>
      </c>
      <c r="B99" s="661" t="s">
        <v>369</v>
      </c>
      <c r="C99" s="672">
        <v>9190</v>
      </c>
      <c r="D99" s="629"/>
      <c r="E99" s="630">
        <v>4</v>
      </c>
      <c r="U99" s="631">
        <f>1720*2</f>
        <v>3440</v>
      </c>
      <c r="V99" s="631">
        <f>1375*2</f>
        <v>2750</v>
      </c>
      <c r="W99" s="631">
        <f>2000</f>
        <v>2000</v>
      </c>
      <c r="X99" s="631">
        <f>1000</f>
        <v>1000</v>
      </c>
      <c r="Y99" s="656">
        <v>0</v>
      </c>
      <c r="Z99" s="656">
        <v>0</v>
      </c>
      <c r="AA99" s="1572">
        <v>0</v>
      </c>
      <c r="AB99" s="656">
        <v>0</v>
      </c>
      <c r="AC99" s="656">
        <v>0</v>
      </c>
      <c r="AD99" s="656">
        <v>0</v>
      </c>
    </row>
    <row r="100" spans="1:54" x14ac:dyDescent="0.2">
      <c r="B100" s="657" t="s">
        <v>136</v>
      </c>
      <c r="C100" s="672">
        <f>SUM(U100:AI100)</f>
        <v>22650</v>
      </c>
      <c r="D100" s="629"/>
      <c r="E100" s="630">
        <v>4</v>
      </c>
      <c r="U100" s="631">
        <f>4350*2</f>
        <v>8700</v>
      </c>
      <c r="V100" s="631">
        <f>3375*2</f>
        <v>6750</v>
      </c>
      <c r="W100" s="631">
        <v>4800</v>
      </c>
      <c r="X100" s="631">
        <v>2400</v>
      </c>
      <c r="Y100" s="656">
        <v>0</v>
      </c>
      <c r="Z100" s="656">
        <v>0</v>
      </c>
      <c r="AA100" s="1572">
        <v>0</v>
      </c>
      <c r="AB100" s="656">
        <v>0</v>
      </c>
      <c r="AC100" s="656">
        <v>0</v>
      </c>
      <c r="AD100" s="656">
        <v>0</v>
      </c>
      <c r="AE100" s="631"/>
      <c r="AF100" s="631"/>
      <c r="AG100" s="1710"/>
      <c r="AH100" s="640"/>
      <c r="AI100" s="640"/>
      <c r="AJ100" s="631">
        <f>SUM(U100:AI100)</f>
        <v>22650</v>
      </c>
    </row>
    <row r="101" spans="1:54" x14ac:dyDescent="0.2">
      <c r="A101" s="1610" t="s">
        <v>554</v>
      </c>
      <c r="B101" s="657" t="s">
        <v>399</v>
      </c>
      <c r="C101" s="672">
        <f>SUM(U101:AI101)</f>
        <v>65160</v>
      </c>
      <c r="D101" s="629"/>
      <c r="E101" s="630">
        <v>10</v>
      </c>
      <c r="U101" s="631">
        <f>5990*2</f>
        <v>11980</v>
      </c>
      <c r="V101" s="631">
        <f>5390*2</f>
        <v>10780</v>
      </c>
      <c r="W101" s="631">
        <f>4790*2</f>
        <v>9580</v>
      </c>
      <c r="X101" s="631">
        <f>3990*2</f>
        <v>7980</v>
      </c>
      <c r="Y101" s="631">
        <f>3190*2</f>
        <v>6380</v>
      </c>
      <c r="Z101" s="631">
        <f>2790*2</f>
        <v>5580</v>
      </c>
      <c r="AA101" s="1565">
        <f>2340*2</f>
        <v>4680</v>
      </c>
      <c r="AB101" s="631">
        <f>1840*2</f>
        <v>3680</v>
      </c>
      <c r="AC101" s="631">
        <f>1240*2</f>
        <v>2480</v>
      </c>
      <c r="AD101" s="631">
        <f>640*2</f>
        <v>1280</v>
      </c>
      <c r="AE101" s="631"/>
      <c r="AF101" s="631"/>
      <c r="AG101" s="1710"/>
      <c r="AH101" s="640"/>
      <c r="AI101" s="640">
        <v>760</v>
      </c>
      <c r="AJ101" s="631">
        <f>SUM(U101:AI101)</f>
        <v>65160</v>
      </c>
    </row>
    <row r="102" spans="1:54" x14ac:dyDescent="0.2">
      <c r="A102" s="639"/>
      <c r="B102" s="6" t="s">
        <v>768</v>
      </c>
      <c r="C102" s="704"/>
      <c r="D102" s="705"/>
      <c r="E102" s="706"/>
      <c r="F102" s="707"/>
      <c r="G102" s="707"/>
      <c r="H102" s="707"/>
      <c r="I102" s="707"/>
      <c r="J102" s="707"/>
      <c r="K102" s="707"/>
      <c r="L102" s="707"/>
      <c r="M102" s="707"/>
      <c r="N102" s="707"/>
      <c r="O102" s="707"/>
      <c r="P102" s="707"/>
      <c r="Q102" s="707"/>
      <c r="R102" s="707"/>
      <c r="S102" s="707"/>
      <c r="T102" s="707"/>
      <c r="U102" s="707"/>
      <c r="V102" s="707"/>
      <c r="W102" s="707"/>
      <c r="X102" s="707"/>
      <c r="Y102" s="707"/>
      <c r="Z102" s="707"/>
      <c r="AA102" s="1574"/>
      <c r="AB102" s="707"/>
      <c r="AC102" s="707"/>
      <c r="AD102" s="707"/>
      <c r="AE102" s="707"/>
      <c r="AF102" s="707"/>
      <c r="AG102" s="1715"/>
      <c r="AH102" s="708"/>
      <c r="AI102" s="708"/>
      <c r="AJ102" s="707"/>
    </row>
    <row r="103" spans="1:54" s="631" customFormat="1" x14ac:dyDescent="0.2">
      <c r="A103" s="1611" t="s">
        <v>554</v>
      </c>
      <c r="B103" s="6" t="s">
        <v>671</v>
      </c>
      <c r="C103" s="379">
        <f>SUM(V103:AE103)</f>
        <v>40060.11</v>
      </c>
      <c r="D103" s="705"/>
      <c r="E103" s="709">
        <v>10</v>
      </c>
      <c r="F103" s="710"/>
      <c r="G103" s="710"/>
      <c r="H103" s="710"/>
      <c r="I103" s="710"/>
      <c r="J103" s="710"/>
      <c r="K103" s="710"/>
      <c r="L103" s="710"/>
      <c r="M103" s="710"/>
      <c r="N103" s="710"/>
      <c r="O103" s="710"/>
      <c r="P103" s="710"/>
      <c r="Q103" s="710"/>
      <c r="R103" s="710"/>
      <c r="S103" s="710"/>
      <c r="T103" s="710"/>
      <c r="U103" s="710"/>
      <c r="V103" s="6">
        <f>3640.11+3620</f>
        <v>7260.1100000000006</v>
      </c>
      <c r="W103" s="6">
        <v>6800</v>
      </c>
      <c r="X103" s="6">
        <v>6050</v>
      </c>
      <c r="Y103" s="6">
        <v>5300</v>
      </c>
      <c r="Z103" s="6">
        <v>4550</v>
      </c>
      <c r="AA103" s="1575">
        <v>3800</v>
      </c>
      <c r="AB103" s="6">
        <v>2900</v>
      </c>
      <c r="AC103" s="6">
        <v>1700</v>
      </c>
      <c r="AD103" s="6">
        <v>1100</v>
      </c>
      <c r="AE103" s="6">
        <v>600</v>
      </c>
      <c r="AF103" s="710"/>
      <c r="AG103" s="1718"/>
      <c r="AH103" s="711"/>
      <c r="AI103" s="711"/>
      <c r="AJ103" s="6">
        <f>SUM(F103:AI103)</f>
        <v>40060.11</v>
      </c>
      <c r="AK103" s="663"/>
    </row>
    <row r="104" spans="1:54" s="631" customFormat="1" x14ac:dyDescent="0.2">
      <c r="A104" s="664"/>
      <c r="B104" s="6" t="s">
        <v>789</v>
      </c>
      <c r="C104" s="379">
        <f>SUM(V104:AE104)</f>
        <v>10324.92</v>
      </c>
      <c r="D104" s="705"/>
      <c r="E104" s="709">
        <v>10</v>
      </c>
      <c r="F104" s="710"/>
      <c r="G104" s="710"/>
      <c r="H104" s="710"/>
      <c r="I104" s="710"/>
      <c r="J104" s="710"/>
      <c r="K104" s="710"/>
      <c r="L104" s="710"/>
      <c r="M104" s="710"/>
      <c r="N104" s="710"/>
      <c r="O104" s="710"/>
      <c r="P104" s="710"/>
      <c r="Q104" s="710"/>
      <c r="R104" s="710"/>
      <c r="S104" s="710"/>
      <c r="T104" s="710"/>
      <c r="U104" s="710"/>
      <c r="V104" s="6">
        <f>889.92+885</f>
        <v>1774.92</v>
      </c>
      <c r="W104" s="6">
        <f>825+825</f>
        <v>1650</v>
      </c>
      <c r="X104" s="6">
        <v>1500</v>
      </c>
      <c r="Y104" s="6">
        <v>1350</v>
      </c>
      <c r="Z104" s="6">
        <v>1200</v>
      </c>
      <c r="AA104" s="1575">
        <v>1050</v>
      </c>
      <c r="AB104" s="6">
        <v>900</v>
      </c>
      <c r="AC104" s="6">
        <v>500</v>
      </c>
      <c r="AD104" s="6">
        <v>300</v>
      </c>
      <c r="AE104" s="6">
        <v>100</v>
      </c>
      <c r="AF104" s="710"/>
      <c r="AG104" s="1718"/>
      <c r="AH104" s="711"/>
      <c r="AI104" s="711"/>
      <c r="AJ104" s="6">
        <f>SUM(F104:AI104)</f>
        <v>10324.92</v>
      </c>
      <c r="AK104" s="663"/>
    </row>
    <row r="105" spans="1:54" s="631" customFormat="1" x14ac:dyDescent="0.2">
      <c r="A105" s="1611" t="s">
        <v>554</v>
      </c>
      <c r="B105" s="6" t="s">
        <v>784</v>
      </c>
      <c r="C105" s="379">
        <f>SUM(V105:AE105)</f>
        <v>228175.31</v>
      </c>
      <c r="D105" s="705"/>
      <c r="E105" s="709">
        <v>10</v>
      </c>
      <c r="F105" s="710"/>
      <c r="G105" s="710"/>
      <c r="H105" s="710"/>
      <c r="I105" s="710"/>
      <c r="J105" s="710"/>
      <c r="K105" s="710"/>
      <c r="L105" s="710"/>
      <c r="M105" s="710"/>
      <c r="N105" s="710"/>
      <c r="O105" s="710"/>
      <c r="P105" s="710"/>
      <c r="Q105" s="710"/>
      <c r="R105" s="710"/>
      <c r="S105" s="710"/>
      <c r="T105" s="710"/>
      <c r="U105" s="710"/>
      <c r="V105" s="6">
        <f>20870.31+20755</f>
        <v>41625.31</v>
      </c>
      <c r="W105" s="6">
        <f>19375+19375</f>
        <v>38750</v>
      </c>
      <c r="X105" s="6">
        <f>17275+17275</f>
        <v>34550</v>
      </c>
      <c r="Y105" s="6">
        <f>15100+15100</f>
        <v>30200</v>
      </c>
      <c r="Z105" s="6">
        <f>12850+12850</f>
        <v>25700</v>
      </c>
      <c r="AA105" s="1575">
        <f>10525+10525</f>
        <v>21050</v>
      </c>
      <c r="AB105" s="6">
        <f>8200+8200</f>
        <v>16400</v>
      </c>
      <c r="AC105" s="6">
        <f>5000+5000</f>
        <v>10000</v>
      </c>
      <c r="AD105" s="6">
        <f>3300+3300</f>
        <v>6600</v>
      </c>
      <c r="AE105" s="6">
        <f>1650+1650</f>
        <v>3300</v>
      </c>
      <c r="AF105" s="710"/>
      <c r="AG105" s="1718"/>
      <c r="AH105" s="711"/>
      <c r="AI105" s="711"/>
      <c r="AJ105" s="6">
        <f>SUM(F105:AI105)</f>
        <v>228175.31</v>
      </c>
      <c r="AK105" s="663"/>
    </row>
    <row r="106" spans="1:54" s="631" customFormat="1" x14ac:dyDescent="0.2">
      <c r="A106" s="1611" t="s">
        <v>554</v>
      </c>
      <c r="B106" s="6" t="s">
        <v>791</v>
      </c>
      <c r="C106" s="379">
        <f>SUM(V106:AE106)</f>
        <v>9005.83</v>
      </c>
      <c r="D106" s="705"/>
      <c r="E106" s="709">
        <v>7</v>
      </c>
      <c r="F106" s="710"/>
      <c r="G106" s="710"/>
      <c r="H106" s="710"/>
      <c r="I106" s="710"/>
      <c r="J106" s="710"/>
      <c r="K106" s="710"/>
      <c r="L106" s="710"/>
      <c r="M106" s="710"/>
      <c r="N106" s="710"/>
      <c r="O106" s="710"/>
      <c r="P106" s="710"/>
      <c r="Q106" s="710"/>
      <c r="R106" s="710"/>
      <c r="S106" s="710"/>
      <c r="T106" s="710"/>
      <c r="U106" s="710"/>
      <c r="V106" s="6">
        <v>2105.83</v>
      </c>
      <c r="W106" s="6">
        <v>1900</v>
      </c>
      <c r="X106" s="6">
        <v>1600</v>
      </c>
      <c r="Y106" s="6">
        <v>1300</v>
      </c>
      <c r="Z106" s="6">
        <v>1000</v>
      </c>
      <c r="AA106" s="1575">
        <v>700</v>
      </c>
      <c r="AB106" s="6">
        <v>400</v>
      </c>
      <c r="AC106" s="6">
        <v>0</v>
      </c>
      <c r="AD106" s="6">
        <v>0</v>
      </c>
      <c r="AE106" s="6">
        <v>0</v>
      </c>
      <c r="AF106" s="710"/>
      <c r="AG106" s="1718"/>
      <c r="AH106" s="711"/>
      <c r="AI106" s="711"/>
      <c r="AJ106" s="6">
        <f>SUM(F106:AI106)</f>
        <v>9005.83</v>
      </c>
      <c r="AK106" s="663"/>
    </row>
    <row r="107" spans="1:54" s="631" customFormat="1" x14ac:dyDescent="0.2">
      <c r="A107" s="663"/>
      <c r="B107" s="663"/>
      <c r="C107" s="669"/>
      <c r="D107" s="669"/>
      <c r="E107" s="665"/>
      <c r="F107" s="666"/>
      <c r="G107" s="666"/>
      <c r="H107" s="666"/>
      <c r="I107" s="666"/>
      <c r="J107" s="666"/>
      <c r="K107" s="666"/>
      <c r="L107" s="666"/>
      <c r="M107" s="666"/>
      <c r="N107" s="666"/>
      <c r="O107" s="666"/>
      <c r="P107" s="666"/>
      <c r="Q107" s="666"/>
      <c r="R107" s="666"/>
      <c r="S107" s="666"/>
      <c r="T107" s="666"/>
      <c r="U107" s="666"/>
      <c r="V107" s="663"/>
      <c r="W107" s="663"/>
      <c r="X107" s="663"/>
      <c r="Y107" s="663"/>
      <c r="Z107" s="663"/>
      <c r="AA107" s="1576"/>
      <c r="AB107" s="663"/>
      <c r="AC107" s="663"/>
      <c r="AD107" s="663"/>
      <c r="AE107" s="663"/>
      <c r="AF107" s="666"/>
      <c r="AG107" s="1719"/>
      <c r="AH107" s="673"/>
      <c r="AI107" s="673"/>
      <c r="AJ107" s="663"/>
      <c r="AK107" s="663"/>
    </row>
    <row r="108" spans="1:54" s="631" customFormat="1" x14ac:dyDescent="0.2">
      <c r="A108" s="663"/>
      <c r="B108" s="712" t="s">
        <v>943</v>
      </c>
      <c r="C108" s="669"/>
      <c r="D108" s="669"/>
      <c r="E108" s="665"/>
      <c r="F108" s="666"/>
      <c r="G108" s="666"/>
      <c r="H108" s="666"/>
      <c r="I108" s="666"/>
      <c r="J108" s="666"/>
      <c r="K108" s="666"/>
      <c r="L108" s="666"/>
      <c r="M108" s="666"/>
      <c r="N108" s="666"/>
      <c r="O108" s="666"/>
      <c r="P108" s="666"/>
      <c r="Q108" s="666"/>
      <c r="R108" s="666"/>
      <c r="S108" s="666"/>
      <c r="T108" s="666"/>
      <c r="U108" s="666"/>
      <c r="V108" s="663"/>
      <c r="W108" s="663"/>
      <c r="X108" s="663"/>
      <c r="Y108" s="663"/>
      <c r="Z108" s="663"/>
      <c r="AA108" s="1576"/>
      <c r="AB108" s="663" t="s">
        <v>164</v>
      </c>
      <c r="AC108" s="663"/>
      <c r="AD108" s="663"/>
      <c r="AE108" s="663"/>
      <c r="AF108" s="666"/>
      <c r="AG108" s="1719"/>
      <c r="AH108" s="673"/>
      <c r="AI108" s="673"/>
      <c r="AJ108" s="663"/>
      <c r="AK108" s="663"/>
    </row>
    <row r="109" spans="1:54" s="631" customFormat="1" x14ac:dyDescent="0.2">
      <c r="A109" s="663"/>
      <c r="B109" s="670" t="s">
        <v>898</v>
      </c>
      <c r="C109" s="669">
        <v>62380.19</v>
      </c>
      <c r="D109" s="669"/>
      <c r="E109" s="665">
        <v>7</v>
      </c>
      <c r="F109" s="666"/>
      <c r="G109" s="666"/>
      <c r="H109" s="666"/>
      <c r="I109" s="666"/>
      <c r="J109" s="666"/>
      <c r="K109" s="666"/>
      <c r="L109" s="666"/>
      <c r="M109" s="666"/>
      <c r="N109" s="666"/>
      <c r="O109" s="666"/>
      <c r="P109" s="666"/>
      <c r="Q109" s="666"/>
      <c r="R109" s="666"/>
      <c r="S109" s="666"/>
      <c r="T109" s="666"/>
      <c r="U109" s="666"/>
      <c r="V109" s="663"/>
      <c r="W109" s="663"/>
      <c r="X109" s="663"/>
      <c r="Y109" s="663"/>
      <c r="Z109" s="663"/>
      <c r="AA109" s="1576">
        <v>2872.92</v>
      </c>
      <c r="AB109" s="663">
        <v>5580</v>
      </c>
      <c r="AC109" s="663">
        <v>4875</v>
      </c>
      <c r="AD109" s="663">
        <v>4125</v>
      </c>
      <c r="AE109" s="663">
        <v>3375</v>
      </c>
      <c r="AF109" s="663">
        <v>2500</v>
      </c>
      <c r="AG109" s="1717">
        <v>1500</v>
      </c>
      <c r="AH109" s="663">
        <v>500</v>
      </c>
      <c r="AI109" s="663">
        <v>0</v>
      </c>
      <c r="AJ109" s="663">
        <v>0</v>
      </c>
      <c r="AK109" s="663">
        <v>0</v>
      </c>
      <c r="AL109" s="663">
        <v>0</v>
      </c>
      <c r="AM109" s="663">
        <v>0</v>
      </c>
      <c r="AN109" s="663">
        <v>0</v>
      </c>
      <c r="AO109" s="663">
        <v>0</v>
      </c>
      <c r="AP109" s="663">
        <v>0</v>
      </c>
      <c r="AQ109" s="663">
        <v>0</v>
      </c>
      <c r="AR109" s="663">
        <v>0</v>
      </c>
      <c r="AS109" s="663">
        <v>0</v>
      </c>
      <c r="AT109" s="663">
        <v>0</v>
      </c>
      <c r="AU109" s="663">
        <v>0</v>
      </c>
      <c r="AV109" s="663">
        <v>0</v>
      </c>
      <c r="AW109" s="663">
        <v>0</v>
      </c>
      <c r="AX109" s="663">
        <v>0</v>
      </c>
      <c r="AY109" s="663">
        <v>0</v>
      </c>
      <c r="AZ109" s="663">
        <v>0</v>
      </c>
      <c r="BA109" s="663">
        <v>0</v>
      </c>
      <c r="BB109" s="663"/>
    </row>
    <row r="110" spans="1:54" s="631" customFormat="1" x14ac:dyDescent="0.2">
      <c r="A110" s="663"/>
      <c r="B110" s="670" t="s">
        <v>899</v>
      </c>
      <c r="C110" s="669">
        <v>300988.33</v>
      </c>
      <c r="D110" s="669"/>
      <c r="E110" s="665">
        <v>20</v>
      </c>
      <c r="F110" s="666"/>
      <c r="G110" s="666"/>
      <c r="H110" s="666"/>
      <c r="I110" s="666"/>
      <c r="J110" s="666"/>
      <c r="K110" s="666"/>
      <c r="L110" s="666"/>
      <c r="M110" s="666"/>
      <c r="N110" s="666"/>
      <c r="O110" s="666"/>
      <c r="P110" s="666"/>
      <c r="Q110" s="666"/>
      <c r="R110" s="666"/>
      <c r="S110" s="666"/>
      <c r="T110" s="666"/>
      <c r="U110" s="666"/>
      <c r="V110" s="663"/>
      <c r="W110" s="663"/>
      <c r="X110" s="663"/>
      <c r="Y110" s="663"/>
      <c r="Z110" s="663"/>
      <c r="AA110" s="1576">
        <v>2670.69</v>
      </c>
      <c r="AB110" s="663">
        <v>5384.5</v>
      </c>
      <c r="AC110" s="663">
        <v>5200</v>
      </c>
      <c r="AD110" s="663">
        <v>5050</v>
      </c>
      <c r="AE110" s="663">
        <v>4900</v>
      </c>
      <c r="AF110" s="663">
        <v>4725</v>
      </c>
      <c r="AG110" s="1717">
        <v>4525</v>
      </c>
      <c r="AH110" s="663">
        <v>4225</v>
      </c>
      <c r="AI110" s="663">
        <v>3825</v>
      </c>
      <c r="AJ110" s="663">
        <v>3475</v>
      </c>
      <c r="AK110" s="663">
        <v>3175</v>
      </c>
      <c r="AL110" s="663">
        <v>2875</v>
      </c>
      <c r="AM110" s="663">
        <v>2575</v>
      </c>
      <c r="AN110" s="663">
        <v>2275</v>
      </c>
      <c r="AO110" s="663">
        <v>1975</v>
      </c>
      <c r="AP110" s="663">
        <v>1675</v>
      </c>
      <c r="AQ110" s="663">
        <v>1375</v>
      </c>
      <c r="AR110" s="663">
        <v>1075</v>
      </c>
      <c r="AS110" s="663">
        <v>775</v>
      </c>
      <c r="AT110" s="663">
        <v>468.75</v>
      </c>
      <c r="AU110" s="663">
        <v>156.25</v>
      </c>
      <c r="AV110" s="663">
        <v>0</v>
      </c>
      <c r="AW110" s="663">
        <v>0</v>
      </c>
      <c r="AX110" s="663">
        <v>0</v>
      </c>
      <c r="AY110" s="663">
        <v>0</v>
      </c>
      <c r="AZ110" s="663">
        <v>0</v>
      </c>
      <c r="BA110" s="663">
        <v>0</v>
      </c>
      <c r="BB110" s="663"/>
    </row>
    <row r="111" spans="1:54" s="631" customFormat="1" x14ac:dyDescent="0.2">
      <c r="A111" s="663"/>
      <c r="B111" s="670" t="s">
        <v>900</v>
      </c>
      <c r="C111" s="669">
        <v>15938.33</v>
      </c>
      <c r="D111" s="669"/>
      <c r="E111" s="665">
        <v>18</v>
      </c>
      <c r="F111" s="666"/>
      <c r="G111" s="666"/>
      <c r="H111" s="666"/>
      <c r="I111" s="666"/>
      <c r="J111" s="666"/>
      <c r="K111" s="666"/>
      <c r="L111" s="666"/>
      <c r="M111" s="666"/>
      <c r="N111" s="666"/>
      <c r="O111" s="666"/>
      <c r="P111" s="666"/>
      <c r="Q111" s="666"/>
      <c r="R111" s="666"/>
      <c r="S111" s="666"/>
      <c r="T111" s="666"/>
      <c r="U111" s="666"/>
      <c r="V111" s="663"/>
      <c r="W111" s="663"/>
      <c r="X111" s="663"/>
      <c r="Y111" s="663"/>
      <c r="Z111" s="663"/>
      <c r="AA111" s="1576">
        <v>14758.33</v>
      </c>
      <c r="AB111" s="663">
        <v>29805</v>
      </c>
      <c r="AC111" s="663">
        <v>28650</v>
      </c>
      <c r="AD111" s="663">
        <v>27375</v>
      </c>
      <c r="AE111" s="663">
        <v>26025</v>
      </c>
      <c r="AF111" s="663">
        <v>24450</v>
      </c>
      <c r="AG111" s="1717">
        <v>22550</v>
      </c>
      <c r="AH111" s="663">
        <v>20550</v>
      </c>
      <c r="AI111" s="663">
        <v>18550</v>
      </c>
      <c r="AJ111" s="663">
        <v>16725</v>
      </c>
      <c r="AK111" s="663">
        <v>15075</v>
      </c>
      <c r="AL111" s="663">
        <v>13425</v>
      </c>
      <c r="AM111" s="663">
        <v>11700</v>
      </c>
      <c r="AN111" s="663">
        <v>9900</v>
      </c>
      <c r="AO111" s="663">
        <v>8100</v>
      </c>
      <c r="AP111" s="663">
        <v>6225</v>
      </c>
      <c r="AQ111" s="663">
        <v>4275</v>
      </c>
      <c r="AR111" s="663">
        <v>2250</v>
      </c>
      <c r="AS111" s="663">
        <v>600</v>
      </c>
      <c r="AT111" s="663">
        <v>0</v>
      </c>
      <c r="AU111" s="663">
        <v>0</v>
      </c>
      <c r="AV111" s="663">
        <v>0</v>
      </c>
      <c r="AW111" s="663">
        <v>0</v>
      </c>
      <c r="AX111" s="663">
        <v>0</v>
      </c>
      <c r="AY111" s="663">
        <v>0</v>
      </c>
      <c r="AZ111" s="663">
        <v>0</v>
      </c>
      <c r="BA111" s="663">
        <v>0</v>
      </c>
      <c r="BB111" s="663"/>
    </row>
    <row r="112" spans="1:54" s="631" customFormat="1" x14ac:dyDescent="0.2">
      <c r="A112" s="663"/>
      <c r="B112" s="670" t="s">
        <v>901</v>
      </c>
      <c r="C112" s="669">
        <v>20596.740000000002</v>
      </c>
      <c r="D112" s="669"/>
      <c r="E112" s="665">
        <v>7</v>
      </c>
      <c r="F112" s="666"/>
      <c r="G112" s="666"/>
      <c r="H112" s="666"/>
      <c r="I112" s="666"/>
      <c r="J112" s="666"/>
      <c r="K112" s="666"/>
      <c r="L112" s="666"/>
      <c r="M112" s="666"/>
      <c r="N112" s="666"/>
      <c r="O112" s="666"/>
      <c r="P112" s="666"/>
      <c r="Q112" s="666"/>
      <c r="R112" s="666"/>
      <c r="S112" s="666"/>
      <c r="T112" s="666"/>
      <c r="U112" s="666"/>
      <c r="V112" s="663"/>
      <c r="W112" s="663"/>
      <c r="X112" s="663"/>
      <c r="Y112" s="663"/>
      <c r="Z112" s="663"/>
      <c r="AA112" s="1576">
        <v>1808.33</v>
      </c>
      <c r="AB112" s="663">
        <v>3570</v>
      </c>
      <c r="AC112" s="663">
        <v>3195</v>
      </c>
      <c r="AD112" s="663">
        <v>2745</v>
      </c>
      <c r="AE112" s="663">
        <v>2220</v>
      </c>
      <c r="AF112" s="663">
        <v>1520</v>
      </c>
      <c r="AG112" s="1717">
        <v>720</v>
      </c>
      <c r="AH112" s="663">
        <v>160</v>
      </c>
      <c r="AI112" s="663">
        <v>0</v>
      </c>
      <c r="AJ112" s="663">
        <v>0</v>
      </c>
      <c r="AK112" s="663">
        <v>0</v>
      </c>
      <c r="AL112" s="663">
        <v>0</v>
      </c>
      <c r="AM112" s="663">
        <v>0</v>
      </c>
      <c r="AN112" s="663">
        <v>0</v>
      </c>
      <c r="AO112" s="663">
        <v>0</v>
      </c>
      <c r="AP112" s="663">
        <v>0</v>
      </c>
      <c r="AQ112" s="663">
        <v>0</v>
      </c>
      <c r="AR112" s="663">
        <v>0</v>
      </c>
      <c r="AS112" s="663">
        <v>0</v>
      </c>
      <c r="AT112" s="663">
        <v>0</v>
      </c>
      <c r="AU112" s="663">
        <v>0</v>
      </c>
      <c r="AV112" s="663">
        <v>0</v>
      </c>
      <c r="AW112" s="663">
        <v>0</v>
      </c>
      <c r="AX112" s="663">
        <v>0</v>
      </c>
      <c r="AY112" s="663">
        <v>0</v>
      </c>
      <c r="AZ112" s="663">
        <v>0</v>
      </c>
      <c r="BA112" s="663">
        <v>0</v>
      </c>
      <c r="BB112" s="663"/>
    </row>
    <row r="113" spans="1:56" s="631" customFormat="1" x14ac:dyDescent="0.2">
      <c r="A113" s="1545"/>
      <c r="B113" s="670" t="s">
        <v>902</v>
      </c>
      <c r="C113" s="669">
        <v>1482.79</v>
      </c>
      <c r="D113" s="669"/>
      <c r="E113" s="665">
        <v>11</v>
      </c>
      <c r="F113" s="666"/>
      <c r="G113" s="666"/>
      <c r="H113" s="666"/>
      <c r="I113" s="666"/>
      <c r="J113" s="666"/>
      <c r="K113" s="666"/>
      <c r="L113" s="666"/>
      <c r="M113" s="666"/>
      <c r="N113" s="666"/>
      <c r="O113" s="666"/>
      <c r="P113" s="666"/>
      <c r="Q113" s="666"/>
      <c r="R113" s="666"/>
      <c r="S113" s="666"/>
      <c r="T113" s="666"/>
      <c r="U113" s="666"/>
      <c r="V113" s="663"/>
      <c r="W113" s="663"/>
      <c r="X113" s="663"/>
      <c r="Y113" s="663"/>
      <c r="Z113" s="663"/>
      <c r="AA113" s="1576">
        <v>1689.24</v>
      </c>
      <c r="AB113" s="663">
        <v>3332.5</v>
      </c>
      <c r="AC113" s="663">
        <v>3040</v>
      </c>
      <c r="AD113" s="663">
        <v>2740</v>
      </c>
      <c r="AE113" s="663">
        <v>2440</v>
      </c>
      <c r="AF113" s="663">
        <v>2090</v>
      </c>
      <c r="AG113" s="1717">
        <v>1690</v>
      </c>
      <c r="AH113" s="663">
        <v>1350</v>
      </c>
      <c r="AI113" s="663">
        <v>1010</v>
      </c>
      <c r="AJ113" s="663">
        <v>660</v>
      </c>
      <c r="AK113" s="663">
        <v>405</v>
      </c>
      <c r="AL113" s="663">
        <v>150</v>
      </c>
      <c r="AM113" s="663">
        <v>0</v>
      </c>
      <c r="AN113" s="663">
        <v>0</v>
      </c>
      <c r="AO113" s="663">
        <v>0</v>
      </c>
      <c r="AP113" s="663">
        <v>0</v>
      </c>
      <c r="AQ113" s="663">
        <v>0</v>
      </c>
      <c r="AR113" s="663">
        <v>0</v>
      </c>
      <c r="AS113" s="663">
        <v>0</v>
      </c>
      <c r="AT113" s="663">
        <v>0</v>
      </c>
      <c r="AU113" s="663">
        <v>0</v>
      </c>
      <c r="AV113" s="663">
        <v>0</v>
      </c>
      <c r="AW113" s="663">
        <v>0</v>
      </c>
      <c r="AX113" s="663">
        <v>0</v>
      </c>
      <c r="AY113" s="663">
        <v>0</v>
      </c>
      <c r="AZ113" s="663">
        <v>0</v>
      </c>
      <c r="BA113" s="663">
        <v>0</v>
      </c>
      <c r="BB113" s="663"/>
    </row>
    <row r="114" spans="1:56" s="631" customFormat="1" x14ac:dyDescent="0.2">
      <c r="A114" s="1545"/>
      <c r="B114" s="670" t="s">
        <v>903</v>
      </c>
      <c r="C114" s="669">
        <v>8868.06</v>
      </c>
      <c r="D114" s="669"/>
      <c r="E114" s="665">
        <v>4</v>
      </c>
      <c r="F114" s="666"/>
      <c r="G114" s="666"/>
      <c r="H114" s="666"/>
      <c r="I114" s="666"/>
      <c r="J114" s="666"/>
      <c r="K114" s="666"/>
      <c r="L114" s="666"/>
      <c r="M114" s="666"/>
      <c r="N114" s="666"/>
      <c r="O114" s="666"/>
      <c r="P114" s="666"/>
      <c r="Q114" s="666"/>
      <c r="R114" s="666"/>
      <c r="S114" s="666"/>
      <c r="T114" s="666"/>
      <c r="U114" s="666"/>
      <c r="V114" s="663"/>
      <c r="W114" s="663"/>
      <c r="X114" s="663"/>
      <c r="Y114" s="663"/>
      <c r="Z114" s="663"/>
      <c r="AA114" s="1576">
        <v>287.29000000000002</v>
      </c>
      <c r="AB114" s="663">
        <v>520.5</v>
      </c>
      <c r="AC114" s="663">
        <v>375</v>
      </c>
      <c r="AD114" s="663">
        <v>225</v>
      </c>
      <c r="AE114" s="663">
        <v>75</v>
      </c>
      <c r="AF114" s="663">
        <v>0</v>
      </c>
      <c r="AG114" s="1717">
        <v>0</v>
      </c>
      <c r="AH114" s="663">
        <v>0</v>
      </c>
      <c r="AI114" s="663">
        <v>0</v>
      </c>
      <c r="AJ114" s="663">
        <v>0</v>
      </c>
      <c r="AK114" s="663">
        <v>0</v>
      </c>
      <c r="AL114" s="663">
        <v>0</v>
      </c>
      <c r="AM114" s="663">
        <v>0</v>
      </c>
      <c r="AN114" s="663">
        <v>0</v>
      </c>
      <c r="AO114" s="663">
        <v>0</v>
      </c>
      <c r="AP114" s="663">
        <v>0</v>
      </c>
      <c r="AQ114" s="663">
        <v>0</v>
      </c>
      <c r="AR114" s="663">
        <v>0</v>
      </c>
      <c r="AS114" s="663">
        <v>0</v>
      </c>
      <c r="AT114" s="663">
        <v>0</v>
      </c>
      <c r="AU114" s="663">
        <v>0</v>
      </c>
      <c r="AV114" s="663">
        <v>0</v>
      </c>
      <c r="AW114" s="663">
        <v>0</v>
      </c>
      <c r="AX114" s="663">
        <v>0</v>
      </c>
      <c r="AY114" s="663">
        <v>0</v>
      </c>
      <c r="AZ114" s="663">
        <v>0</v>
      </c>
      <c r="BA114" s="663">
        <v>0</v>
      </c>
      <c r="BB114" s="663"/>
    </row>
    <row r="115" spans="1:56" s="631" customFormat="1" x14ac:dyDescent="0.2">
      <c r="A115" s="1545"/>
      <c r="B115" s="670" t="s">
        <v>904</v>
      </c>
      <c r="C115" s="669">
        <v>1491.67</v>
      </c>
      <c r="D115" s="669"/>
      <c r="E115" s="665">
        <v>10</v>
      </c>
      <c r="F115" s="666"/>
      <c r="G115" s="666"/>
      <c r="H115" s="666"/>
      <c r="I115" s="666"/>
      <c r="J115" s="666"/>
      <c r="K115" s="666"/>
      <c r="L115" s="666"/>
      <c r="M115" s="666"/>
      <c r="N115" s="666"/>
      <c r="O115" s="666"/>
      <c r="P115" s="666"/>
      <c r="Q115" s="666"/>
      <c r="R115" s="666"/>
      <c r="S115" s="666"/>
      <c r="T115" s="666"/>
      <c r="U115" s="666"/>
      <c r="V115" s="663"/>
      <c r="W115" s="663"/>
      <c r="X115" s="663"/>
      <c r="Y115" s="663"/>
      <c r="Z115" s="663"/>
      <c r="AA115" s="1576">
        <v>768.06</v>
      </c>
      <c r="AB115" s="663">
        <v>1535</v>
      </c>
      <c r="AC115" s="663">
        <v>1415</v>
      </c>
      <c r="AD115" s="663">
        <v>1265</v>
      </c>
      <c r="AE115" s="663">
        <v>1115</v>
      </c>
      <c r="AF115" s="663">
        <v>940</v>
      </c>
      <c r="AG115" s="1717">
        <v>740</v>
      </c>
      <c r="AH115" s="663">
        <v>540</v>
      </c>
      <c r="AI115" s="663">
        <v>340</v>
      </c>
      <c r="AJ115" s="663">
        <v>165</v>
      </c>
      <c r="AK115" s="663">
        <v>45</v>
      </c>
      <c r="AL115" s="663">
        <v>0</v>
      </c>
      <c r="AM115" s="663">
        <v>0</v>
      </c>
      <c r="AN115" s="663">
        <v>0</v>
      </c>
      <c r="AO115" s="663">
        <v>0</v>
      </c>
      <c r="AP115" s="663">
        <v>0</v>
      </c>
      <c r="AQ115" s="663">
        <v>0</v>
      </c>
      <c r="AR115" s="663">
        <v>0</v>
      </c>
      <c r="AS115" s="663">
        <v>0</v>
      </c>
      <c r="AT115" s="663">
        <v>0</v>
      </c>
      <c r="AU115" s="663">
        <v>0</v>
      </c>
      <c r="AV115" s="663">
        <v>0</v>
      </c>
      <c r="AW115" s="663">
        <v>0</v>
      </c>
      <c r="AX115" s="663">
        <v>0</v>
      </c>
      <c r="AY115" s="663">
        <v>0</v>
      </c>
      <c r="AZ115" s="663">
        <v>0</v>
      </c>
      <c r="BA115" s="663">
        <v>0</v>
      </c>
      <c r="BB115" s="663"/>
    </row>
    <row r="116" spans="1:56" s="631" customFormat="1" x14ac:dyDescent="0.2">
      <c r="A116" s="663"/>
      <c r="B116" s="670" t="s">
        <v>905</v>
      </c>
      <c r="C116" s="669">
        <v>691860.3</v>
      </c>
      <c r="D116" s="669"/>
      <c r="E116" s="665">
        <v>3</v>
      </c>
      <c r="F116" s="666"/>
      <c r="G116" s="666"/>
      <c r="H116" s="666"/>
      <c r="I116" s="666"/>
      <c r="J116" s="666"/>
      <c r="K116" s="666"/>
      <c r="L116" s="666"/>
      <c r="M116" s="666"/>
      <c r="N116" s="666"/>
      <c r="O116" s="666"/>
      <c r="P116" s="666"/>
      <c r="Q116" s="666"/>
      <c r="R116" s="666"/>
      <c r="S116" s="666"/>
      <c r="T116" s="666"/>
      <c r="U116" s="666"/>
      <c r="V116" s="663"/>
      <c r="W116" s="663"/>
      <c r="X116" s="663"/>
      <c r="Y116" s="663"/>
      <c r="Z116" s="663"/>
      <c r="AA116" s="1576">
        <v>291.67</v>
      </c>
      <c r="AB116" s="663">
        <v>525</v>
      </c>
      <c r="AC116" s="663">
        <v>375</v>
      </c>
      <c r="AD116" s="663">
        <v>225</v>
      </c>
      <c r="AE116" s="663">
        <v>75</v>
      </c>
      <c r="AF116" s="663">
        <v>0</v>
      </c>
      <c r="AG116" s="1717">
        <v>0</v>
      </c>
      <c r="AH116" s="663">
        <v>0</v>
      </c>
      <c r="AI116" s="663">
        <v>0</v>
      </c>
      <c r="AJ116" s="663">
        <v>0</v>
      </c>
      <c r="AK116" s="663">
        <v>0</v>
      </c>
      <c r="AL116" s="663">
        <v>0</v>
      </c>
      <c r="AM116" s="663">
        <v>0</v>
      </c>
      <c r="AN116" s="663">
        <v>0</v>
      </c>
      <c r="AO116" s="663">
        <v>0</v>
      </c>
      <c r="AP116" s="663">
        <v>0</v>
      </c>
      <c r="AQ116" s="663">
        <v>0</v>
      </c>
      <c r="AR116" s="663">
        <v>0</v>
      </c>
      <c r="AS116" s="663">
        <v>0</v>
      </c>
      <c r="AT116" s="663">
        <v>0</v>
      </c>
      <c r="AU116" s="663">
        <v>0</v>
      </c>
      <c r="AV116" s="663">
        <v>0</v>
      </c>
      <c r="AW116" s="663">
        <v>0</v>
      </c>
      <c r="AX116" s="663">
        <v>0</v>
      </c>
      <c r="AY116" s="663">
        <v>0</v>
      </c>
      <c r="AZ116" s="663">
        <v>0</v>
      </c>
      <c r="BA116" s="663">
        <v>0</v>
      </c>
      <c r="BB116" s="663"/>
    </row>
    <row r="117" spans="1:56" s="631" customFormat="1" x14ac:dyDescent="0.2">
      <c r="A117" s="663" t="s">
        <v>554</v>
      </c>
      <c r="B117" s="670" t="s">
        <v>906</v>
      </c>
      <c r="C117" s="669">
        <v>300438.65999999997</v>
      </c>
      <c r="D117" s="669"/>
      <c r="E117" s="665">
        <v>25</v>
      </c>
      <c r="F117" s="666"/>
      <c r="G117" s="666"/>
      <c r="H117" s="666"/>
      <c r="I117" s="666"/>
      <c r="J117" s="666"/>
      <c r="K117" s="666"/>
      <c r="L117" s="666"/>
      <c r="M117" s="666"/>
      <c r="N117" s="666"/>
      <c r="O117" s="666"/>
      <c r="P117" s="666"/>
      <c r="Q117" s="666"/>
      <c r="R117" s="666"/>
      <c r="S117" s="666"/>
      <c r="T117" s="666"/>
      <c r="U117" s="666"/>
      <c r="V117" s="663"/>
      <c r="W117" s="663"/>
      <c r="X117" s="663"/>
      <c r="Y117" s="663"/>
      <c r="Z117" s="663"/>
      <c r="AA117" s="1576">
        <v>23177.17</v>
      </c>
      <c r="AB117" s="663">
        <v>47123.76</v>
      </c>
      <c r="AC117" s="663">
        <v>45968.76</v>
      </c>
      <c r="AD117" s="663">
        <v>44768.76</v>
      </c>
      <c r="AE117" s="663">
        <v>43493.760000000002</v>
      </c>
      <c r="AF117" s="663">
        <v>41918.76</v>
      </c>
      <c r="AG117" s="1717">
        <v>40118.76</v>
      </c>
      <c r="AH117" s="663">
        <v>38218.76</v>
      </c>
      <c r="AI117" s="663">
        <v>36218.76</v>
      </c>
      <c r="AJ117" s="663">
        <v>34468.76</v>
      </c>
      <c r="AK117" s="663">
        <v>32893.760000000002</v>
      </c>
      <c r="AL117" s="663">
        <v>31243.759999999998</v>
      </c>
      <c r="AM117" s="663">
        <v>29593.759999999998</v>
      </c>
      <c r="AN117" s="663">
        <v>27868.76</v>
      </c>
      <c r="AO117" s="663">
        <v>26068.76</v>
      </c>
      <c r="AP117" s="663">
        <v>24268.76</v>
      </c>
      <c r="AQ117" s="663">
        <v>22393.759999999998</v>
      </c>
      <c r="AR117" s="663">
        <v>20443.759999999998</v>
      </c>
      <c r="AS117" s="663">
        <v>18418.759999999998</v>
      </c>
      <c r="AT117" s="663">
        <v>16275.01</v>
      </c>
      <c r="AU117" s="663">
        <v>14009.38</v>
      </c>
      <c r="AV117" s="663">
        <v>11618.75</v>
      </c>
      <c r="AW117" s="663">
        <v>9181.25</v>
      </c>
      <c r="AX117" s="663">
        <v>6662.5</v>
      </c>
      <c r="AY117" s="663">
        <v>4062.5</v>
      </c>
      <c r="AZ117" s="663">
        <v>1381.25</v>
      </c>
      <c r="BA117" s="663">
        <v>0</v>
      </c>
      <c r="BB117" s="663"/>
    </row>
    <row r="118" spans="1:56" s="631" customFormat="1" x14ac:dyDescent="0.2">
      <c r="A118" s="663"/>
      <c r="B118" s="670"/>
      <c r="C118" s="669"/>
      <c r="D118" s="669"/>
      <c r="E118" s="665"/>
      <c r="F118" s="666"/>
      <c r="G118" s="666"/>
      <c r="H118" s="666"/>
      <c r="I118" s="666"/>
      <c r="J118" s="666"/>
      <c r="K118" s="666"/>
      <c r="L118" s="666"/>
      <c r="M118" s="666"/>
      <c r="N118" s="666"/>
      <c r="O118" s="666"/>
      <c r="P118" s="666"/>
      <c r="Q118" s="666"/>
      <c r="R118" s="666"/>
      <c r="S118" s="666"/>
      <c r="T118" s="666"/>
      <c r="U118" s="666"/>
      <c r="V118" s="663"/>
      <c r="W118" s="663"/>
      <c r="X118" s="663"/>
      <c r="Y118" s="663"/>
      <c r="Z118" s="663"/>
      <c r="AA118" s="1576"/>
      <c r="AB118" s="663"/>
      <c r="AC118" s="663"/>
      <c r="AD118" s="663"/>
      <c r="AE118" s="663"/>
      <c r="AF118" s="663"/>
      <c r="AG118" s="1717"/>
      <c r="AH118" s="663"/>
      <c r="AI118" s="663"/>
      <c r="AJ118" s="663"/>
      <c r="AK118" s="663"/>
      <c r="AL118" s="663"/>
      <c r="AM118" s="663"/>
      <c r="AN118" s="663"/>
      <c r="AO118" s="663"/>
      <c r="AP118" s="663"/>
      <c r="AQ118" s="663"/>
      <c r="AR118" s="663"/>
      <c r="AS118" s="663"/>
      <c r="AT118" s="663"/>
      <c r="AU118" s="663"/>
      <c r="AV118" s="663"/>
      <c r="AW118" s="663"/>
      <c r="AX118" s="663"/>
      <c r="AY118" s="663"/>
      <c r="AZ118" s="663"/>
      <c r="BA118" s="663"/>
      <c r="BB118" s="663"/>
    </row>
    <row r="119" spans="1:56" s="631" customFormat="1" x14ac:dyDescent="0.2">
      <c r="A119" s="663"/>
      <c r="B119" s="670"/>
      <c r="C119" s="669"/>
      <c r="D119" s="669"/>
      <c r="E119" s="665"/>
      <c r="F119" s="666"/>
      <c r="G119" s="666"/>
      <c r="H119" s="666"/>
      <c r="I119" s="666"/>
      <c r="J119" s="666"/>
      <c r="K119" s="666"/>
      <c r="L119" s="666"/>
      <c r="M119" s="666"/>
      <c r="N119" s="666"/>
      <c r="O119" s="666"/>
      <c r="P119" s="666"/>
      <c r="Q119" s="666"/>
      <c r="R119" s="666"/>
      <c r="S119" s="666"/>
      <c r="T119" s="666"/>
      <c r="U119" s="666"/>
      <c r="V119" s="663"/>
      <c r="W119" s="663"/>
      <c r="X119" s="663"/>
      <c r="Y119" s="663"/>
      <c r="Z119" s="663"/>
      <c r="AA119" s="1576"/>
      <c r="AB119" s="663"/>
      <c r="AC119" s="663"/>
      <c r="AD119" s="663"/>
      <c r="AE119" s="663"/>
      <c r="AF119" s="663"/>
      <c r="AG119" s="1717"/>
      <c r="AH119" s="663"/>
      <c r="AI119" s="663"/>
      <c r="AJ119" s="663"/>
      <c r="AK119" s="663"/>
      <c r="AL119" s="663"/>
      <c r="AM119" s="663"/>
      <c r="AN119" s="663"/>
      <c r="AO119" s="663"/>
      <c r="AP119" s="663"/>
      <c r="AQ119" s="663"/>
      <c r="AR119" s="663"/>
      <c r="AS119" s="663"/>
      <c r="AT119" s="663"/>
      <c r="AU119" s="663"/>
      <c r="AV119" s="663"/>
      <c r="AW119" s="663"/>
      <c r="AX119" s="663"/>
      <c r="AY119" s="663"/>
      <c r="AZ119" s="663"/>
      <c r="BA119" s="663"/>
      <c r="BB119" s="663"/>
    </row>
    <row r="120" spans="1:56" s="631" customFormat="1" x14ac:dyDescent="0.2">
      <c r="A120" s="1545" t="s">
        <v>554</v>
      </c>
      <c r="B120" s="1595" t="s">
        <v>962</v>
      </c>
      <c r="C120" s="1603">
        <f>C80</f>
        <v>5800000</v>
      </c>
      <c r="D120" s="1604"/>
      <c r="E120" s="665">
        <v>25</v>
      </c>
      <c r="F120" s="666"/>
      <c r="G120" s="666"/>
      <c r="H120" s="666"/>
      <c r="I120" s="666"/>
      <c r="J120" s="666"/>
      <c r="K120" s="666"/>
      <c r="L120" s="666"/>
      <c r="M120" s="666"/>
      <c r="N120" s="666"/>
      <c r="O120" s="666"/>
      <c r="P120" s="666"/>
      <c r="Q120" s="666"/>
      <c r="R120" s="666"/>
      <c r="S120" s="666"/>
      <c r="T120" s="666"/>
      <c r="U120" s="666"/>
      <c r="V120" s="663"/>
      <c r="W120" s="663"/>
      <c r="X120" s="663"/>
      <c r="Y120" s="663"/>
      <c r="Z120" s="663"/>
      <c r="AA120" s="1576"/>
      <c r="AB120" s="663"/>
      <c r="AC120" s="663">
        <v>220437.5</v>
      </c>
      <c r="AD120" s="663">
        <v>213687.5</v>
      </c>
      <c r="AE120" s="663">
        <v>206687.5</v>
      </c>
      <c r="AF120" s="663">
        <v>199437.5</v>
      </c>
      <c r="AG120" s="1717">
        <v>191687.5</v>
      </c>
      <c r="AH120" s="663">
        <v>183687.5</v>
      </c>
      <c r="AI120" s="663">
        <v>175187.5</v>
      </c>
      <c r="AJ120" s="663">
        <v>166187.5</v>
      </c>
      <c r="AK120" s="663">
        <v>156687.5</v>
      </c>
      <c r="AL120" s="663">
        <v>146937.5</v>
      </c>
      <c r="AM120" s="663">
        <v>136687.5</v>
      </c>
      <c r="AN120" s="663">
        <v>127887.5</v>
      </c>
      <c r="AO120" s="663">
        <v>121137.5</v>
      </c>
      <c r="AP120" s="663">
        <v>114087.5</v>
      </c>
      <c r="AQ120" s="663">
        <v>106887.5</v>
      </c>
      <c r="AR120" s="663">
        <v>99537.5</v>
      </c>
      <c r="AS120" s="663">
        <v>91568.76</v>
      </c>
      <c r="AT120" s="663">
        <v>83287.5</v>
      </c>
      <c r="AU120" s="663">
        <v>74512.5</v>
      </c>
      <c r="AV120" s="663">
        <v>65412.5</v>
      </c>
      <c r="AW120" s="663">
        <v>55625</v>
      </c>
      <c r="AX120" s="663">
        <v>45500</v>
      </c>
      <c r="AY120" s="663">
        <v>34650</v>
      </c>
      <c r="AZ120" s="663">
        <v>23450</v>
      </c>
      <c r="BA120" s="663">
        <v>11900</v>
      </c>
      <c r="BB120" s="663"/>
      <c r="BD120" s="631">
        <f>SUM(AC120:BA120)</f>
        <v>3052756.26</v>
      </c>
    </row>
    <row r="121" spans="1:56" s="631" customFormat="1" x14ac:dyDescent="0.2">
      <c r="A121" s="1545" t="s">
        <v>554</v>
      </c>
      <c r="B121" s="1645" t="s">
        <v>908</v>
      </c>
      <c r="C121" s="1603">
        <f>C81</f>
        <v>3246000</v>
      </c>
      <c r="D121" s="1604"/>
      <c r="E121" s="665">
        <v>19</v>
      </c>
      <c r="F121" s="666"/>
      <c r="G121" s="666"/>
      <c r="H121" s="666"/>
      <c r="I121" s="666"/>
      <c r="J121" s="666"/>
      <c r="K121" s="666"/>
      <c r="L121" s="666"/>
      <c r="M121" s="666"/>
      <c r="N121" s="666"/>
      <c r="O121" s="666"/>
      <c r="P121" s="666"/>
      <c r="Q121" s="666"/>
      <c r="R121" s="666"/>
      <c r="S121" s="666"/>
      <c r="T121" s="666"/>
      <c r="U121" s="666"/>
      <c r="V121" s="663"/>
      <c r="W121" s="663"/>
      <c r="X121" s="663"/>
      <c r="Y121" s="663"/>
      <c r="Z121" s="663"/>
      <c r="AA121" s="1576"/>
      <c r="AB121" s="663"/>
      <c r="AC121" s="663">
        <f>131075</f>
        <v>131075</v>
      </c>
      <c r="AD121" s="663">
        <v>128275</v>
      </c>
      <c r="AE121" s="663">
        <v>125275</v>
      </c>
      <c r="AF121" s="663">
        <v>118275</v>
      </c>
      <c r="AG121" s="1717">
        <v>110775</v>
      </c>
      <c r="AH121" s="663">
        <v>102775</v>
      </c>
      <c r="AI121" s="663">
        <v>94525</v>
      </c>
      <c r="AJ121" s="663">
        <v>85775</v>
      </c>
      <c r="AK121" s="663">
        <v>76275</v>
      </c>
      <c r="AL121" s="663">
        <v>65775</v>
      </c>
      <c r="AM121" s="663">
        <v>55275</v>
      </c>
      <c r="AN121" s="663">
        <v>47275</v>
      </c>
      <c r="AO121" s="663">
        <v>41275</v>
      </c>
      <c r="AP121" s="663">
        <v>35275</v>
      </c>
      <c r="AQ121" s="663">
        <v>29275</v>
      </c>
      <c r="AR121" s="663">
        <v>23425</v>
      </c>
      <c r="AS121" s="663">
        <v>17643.760000000002</v>
      </c>
      <c r="AT121" s="663">
        <v>11862.5</v>
      </c>
      <c r="AU121" s="663">
        <v>5850</v>
      </c>
      <c r="AV121" s="663">
        <v>0</v>
      </c>
      <c r="AW121" s="663"/>
      <c r="AX121" s="663"/>
      <c r="AY121" s="663"/>
      <c r="AZ121" s="663"/>
      <c r="BA121" s="663"/>
      <c r="BB121" s="663"/>
    </row>
    <row r="122" spans="1:56" s="631" customFormat="1" x14ac:dyDescent="0.2">
      <c r="A122" s="1545"/>
      <c r="B122" s="619"/>
      <c r="C122" s="1644"/>
      <c r="D122" s="1530"/>
      <c r="E122" s="665"/>
      <c r="F122" s="666"/>
      <c r="G122" s="666"/>
      <c r="H122" s="666"/>
      <c r="I122" s="666"/>
      <c r="J122" s="666"/>
      <c r="K122" s="666"/>
      <c r="L122" s="666"/>
      <c r="M122" s="666"/>
      <c r="N122" s="666"/>
      <c r="O122" s="666"/>
      <c r="P122" s="666"/>
      <c r="Q122" s="666"/>
      <c r="R122" s="666"/>
      <c r="S122" s="666"/>
      <c r="T122" s="666"/>
      <c r="U122" s="666"/>
      <c r="V122" s="663"/>
      <c r="W122" s="663"/>
      <c r="X122" s="663"/>
      <c r="Y122" s="663"/>
      <c r="Z122" s="663"/>
      <c r="AA122" s="1576"/>
      <c r="AB122" s="663"/>
      <c r="AC122" s="663"/>
      <c r="AD122" s="663"/>
      <c r="AE122" s="663"/>
      <c r="AF122" s="663"/>
      <c r="AG122" s="1717"/>
      <c r="AH122" s="663"/>
      <c r="AI122" s="663"/>
      <c r="AJ122" s="663"/>
      <c r="AK122" s="663"/>
      <c r="AL122" s="663"/>
      <c r="AM122" s="663"/>
      <c r="AN122" s="663"/>
      <c r="AO122" s="663"/>
      <c r="AP122" s="663"/>
      <c r="AQ122" s="663"/>
      <c r="AR122" s="663"/>
      <c r="AS122" s="663"/>
      <c r="AT122" s="663"/>
      <c r="AU122" s="663"/>
      <c r="AV122" s="663"/>
      <c r="AW122" s="663"/>
      <c r="AX122" s="663"/>
      <c r="AY122" s="663"/>
      <c r="AZ122" s="663"/>
      <c r="BA122" s="663"/>
      <c r="BB122" s="663"/>
    </row>
    <row r="123" spans="1:56" s="631" customFormat="1" x14ac:dyDescent="0.2">
      <c r="A123" s="1545"/>
      <c r="B123" s="619" t="s">
        <v>1011</v>
      </c>
      <c r="C123" s="1644"/>
      <c r="D123" s="1530"/>
      <c r="E123" s="665"/>
      <c r="F123" s="666"/>
      <c r="G123" s="666"/>
      <c r="H123" s="666"/>
      <c r="I123" s="666"/>
      <c r="J123" s="666"/>
      <c r="K123" s="666"/>
      <c r="L123" s="666"/>
      <c r="M123" s="666"/>
      <c r="N123" s="666"/>
      <c r="O123" s="666"/>
      <c r="P123" s="666"/>
      <c r="Q123" s="666"/>
      <c r="R123" s="666"/>
      <c r="S123" s="666"/>
      <c r="T123" s="666"/>
      <c r="U123" s="666"/>
      <c r="V123" s="663"/>
      <c r="W123" s="663"/>
      <c r="X123" s="663"/>
      <c r="Y123" s="663"/>
      <c r="Z123" s="663"/>
      <c r="AA123" s="1576"/>
      <c r="AB123" s="663"/>
      <c r="AC123" s="663"/>
      <c r="AD123" s="663"/>
      <c r="AE123" s="663"/>
      <c r="AF123" s="663"/>
      <c r="AG123" s="1717"/>
      <c r="AH123" s="663"/>
      <c r="AI123" s="663"/>
      <c r="AJ123" s="663"/>
      <c r="AK123" s="663"/>
      <c r="AL123" s="663"/>
      <c r="AM123" s="663"/>
      <c r="AN123" s="663"/>
      <c r="AO123" s="663"/>
      <c r="AP123" s="663"/>
      <c r="AQ123" s="663"/>
      <c r="AR123" s="663"/>
      <c r="AS123" s="663"/>
      <c r="AT123" s="663"/>
      <c r="AU123" s="663"/>
      <c r="AV123" s="663"/>
      <c r="AW123" s="663"/>
      <c r="AX123" s="663"/>
      <c r="AY123" s="663"/>
      <c r="AZ123" s="663"/>
      <c r="BA123" s="663"/>
      <c r="BB123" s="663"/>
    </row>
    <row r="124" spans="1:56" s="631" customFormat="1" x14ac:dyDescent="0.2">
      <c r="A124" s="1545" t="s">
        <v>554</v>
      </c>
      <c r="B124" s="619" t="s">
        <v>767</v>
      </c>
      <c r="C124" s="1644">
        <v>2182000</v>
      </c>
      <c r="D124" s="1649">
        <f>222.297%/100</f>
        <v>2.2229700000000002E-2</v>
      </c>
      <c r="E124" s="665">
        <v>25</v>
      </c>
      <c r="F124" s="666"/>
      <c r="G124" s="666"/>
      <c r="H124" s="666"/>
      <c r="I124" s="666"/>
      <c r="J124" s="666"/>
      <c r="K124" s="666"/>
      <c r="L124" s="666"/>
      <c r="M124" s="666"/>
      <c r="N124" s="666"/>
      <c r="O124" s="666"/>
      <c r="P124" s="666"/>
      <c r="Q124" s="666"/>
      <c r="R124" s="666"/>
      <c r="S124" s="666"/>
      <c r="T124" s="666"/>
      <c r="U124" s="666"/>
      <c r="V124" s="663"/>
      <c r="W124" s="663"/>
      <c r="X124" s="663"/>
      <c r="Y124" s="663"/>
      <c r="Z124" s="663"/>
      <c r="AA124" s="1576"/>
      <c r="AB124" s="663"/>
      <c r="AC124" s="663">
        <v>33238.35</v>
      </c>
      <c r="AD124" s="663">
        <v>67394</v>
      </c>
      <c r="AE124" s="663">
        <v>64644</v>
      </c>
      <c r="AF124" s="663">
        <v>61769</v>
      </c>
      <c r="AG124" s="1717">
        <v>58644</v>
      </c>
      <c r="AH124" s="663">
        <v>55394</v>
      </c>
      <c r="AI124" s="663">
        <v>52019</v>
      </c>
      <c r="AJ124" s="663">
        <v>48394</v>
      </c>
      <c r="AK124" s="663">
        <v>44644</v>
      </c>
      <c r="AL124" s="663">
        <v>41569</v>
      </c>
      <c r="AM124" s="663">
        <v>39094</v>
      </c>
      <c r="AN124" s="663">
        <v>36969</v>
      </c>
      <c r="AO124" s="663">
        <v>35247.75</v>
      </c>
      <c r="AP124" s="663">
        <v>33431.5</v>
      </c>
      <c r="AQ124" s="663">
        <v>31519</v>
      </c>
      <c r="AR124" s="663">
        <v>29561.5</v>
      </c>
      <c r="AS124" s="663">
        <v>27502.75</v>
      </c>
      <c r="AT124" s="663">
        <v>25341.5</v>
      </c>
      <c r="AU124" s="663">
        <v>23074</v>
      </c>
      <c r="AV124" s="663">
        <v>20674</v>
      </c>
      <c r="AW124" s="663">
        <v>18199.5</v>
      </c>
      <c r="AX124" s="663">
        <v>15375</v>
      </c>
      <c r="AY124" s="663">
        <v>12150</v>
      </c>
      <c r="AZ124" s="663">
        <v>8775</v>
      </c>
      <c r="BA124" s="663">
        <v>5325</v>
      </c>
      <c r="BB124" s="663">
        <v>5325</v>
      </c>
      <c r="BC124" s="631">
        <v>1800</v>
      </c>
    </row>
    <row r="125" spans="1:56" s="631" customFormat="1" x14ac:dyDescent="0.2">
      <c r="A125" s="1545" t="s">
        <v>554</v>
      </c>
      <c r="B125" s="619" t="s">
        <v>1012</v>
      </c>
      <c r="C125" s="1644">
        <v>1665000</v>
      </c>
      <c r="D125" s="1530">
        <f>222.297%/100</f>
        <v>2.2229700000000002E-2</v>
      </c>
      <c r="E125" s="665">
        <v>20</v>
      </c>
      <c r="F125" s="666"/>
      <c r="G125" s="666"/>
      <c r="H125" s="666"/>
      <c r="I125" s="666"/>
      <c r="J125" s="666"/>
      <c r="K125" s="666"/>
      <c r="L125" s="666"/>
      <c r="M125" s="666"/>
      <c r="N125" s="666"/>
      <c r="O125" s="666"/>
      <c r="P125" s="666"/>
      <c r="Q125" s="666"/>
      <c r="R125" s="666"/>
      <c r="S125" s="666"/>
      <c r="T125" s="666"/>
      <c r="U125" s="666"/>
      <c r="V125" s="663"/>
      <c r="W125" s="663"/>
      <c r="X125" s="663"/>
      <c r="Y125" s="663"/>
      <c r="Z125" s="663"/>
      <c r="AA125" s="1576"/>
      <c r="AB125" s="663"/>
      <c r="AC125" s="663">
        <v>26698.13</v>
      </c>
      <c r="AD125" s="663">
        <v>53612.5</v>
      </c>
      <c r="AE125" s="663">
        <v>50237.5</v>
      </c>
      <c r="AF125" s="663">
        <v>46737.5</v>
      </c>
      <c r="AG125" s="1717">
        <v>43112.5</v>
      </c>
      <c r="AH125" s="663">
        <v>39237.5</v>
      </c>
      <c r="AI125" s="663">
        <v>35237.5</v>
      </c>
      <c r="AJ125" s="663">
        <v>31112.5</v>
      </c>
      <c r="AK125" s="663">
        <v>26737.5</v>
      </c>
      <c r="AL125" s="663">
        <v>23062.5</v>
      </c>
      <c r="AM125" s="663">
        <v>20137.5</v>
      </c>
      <c r="AN125" s="663">
        <v>17637.5</v>
      </c>
      <c r="AO125" s="663">
        <v>15612.5</v>
      </c>
      <c r="AP125" s="663">
        <v>13485</v>
      </c>
      <c r="AQ125" s="663">
        <v>11253.75</v>
      </c>
      <c r="AR125" s="663">
        <v>8915</v>
      </c>
      <c r="AS125" s="663">
        <v>6467.5</v>
      </c>
      <c r="AT125" s="663">
        <v>3907.5</v>
      </c>
      <c r="AU125" s="663">
        <v>1292.5</v>
      </c>
      <c r="AV125" s="663"/>
      <c r="AW125" s="663"/>
      <c r="AX125" s="663"/>
      <c r="AY125" s="663"/>
      <c r="AZ125" s="663"/>
      <c r="BA125" s="663"/>
      <c r="BB125" s="663"/>
    </row>
    <row r="126" spans="1:56" x14ac:dyDescent="0.2">
      <c r="B126" s="629"/>
      <c r="C126" s="643"/>
      <c r="D126" s="629"/>
      <c r="E126" s="630"/>
    </row>
    <row r="127" spans="1:56" x14ac:dyDescent="0.2">
      <c r="A127" s="1610" t="s">
        <v>315</v>
      </c>
      <c r="B127" s="633" t="s">
        <v>378</v>
      </c>
      <c r="C127" s="633">
        <f>SUM(AB127:AZ127)</f>
        <v>7238197.7399999974</v>
      </c>
      <c r="D127" s="674"/>
      <c r="E127" s="634"/>
      <c r="F127" s="635">
        <f t="shared" ref="F127:BA127" si="25">SUM(F89:F126)</f>
        <v>9993.5</v>
      </c>
      <c r="G127" s="635">
        <f t="shared" si="25"/>
        <v>4059</v>
      </c>
      <c r="H127" s="635">
        <f t="shared" si="25"/>
        <v>23405.4</v>
      </c>
      <c r="I127" s="635">
        <f t="shared" si="25"/>
        <v>17286</v>
      </c>
      <c r="J127" s="635">
        <f t="shared" si="25"/>
        <v>12864</v>
      </c>
      <c r="K127" s="635">
        <f t="shared" si="25"/>
        <v>196408.37</v>
      </c>
      <c r="L127" s="635">
        <f t="shared" si="25"/>
        <v>612977.87</v>
      </c>
      <c r="M127" s="635">
        <f t="shared" si="25"/>
        <v>590209.38</v>
      </c>
      <c r="N127" s="635">
        <f t="shared" si="25"/>
        <v>572946.87</v>
      </c>
      <c r="O127" s="635">
        <f t="shared" si="25"/>
        <v>554166.87</v>
      </c>
      <c r="P127" s="635">
        <f t="shared" si="25"/>
        <v>534624.37</v>
      </c>
      <c r="Q127" s="635">
        <f t="shared" si="25"/>
        <v>513939.37</v>
      </c>
      <c r="R127" s="635">
        <f t="shared" si="25"/>
        <v>491579.37</v>
      </c>
      <c r="S127" s="635">
        <f t="shared" si="25"/>
        <v>467076.87</v>
      </c>
      <c r="T127" s="635">
        <f t="shared" si="25"/>
        <v>438040.62</v>
      </c>
      <c r="U127" s="635">
        <f t="shared" si="25"/>
        <v>388282.25</v>
      </c>
      <c r="V127" s="635">
        <f t="shared" si="25"/>
        <v>130219.92</v>
      </c>
      <c r="W127" s="635">
        <f t="shared" si="25"/>
        <v>115708.75</v>
      </c>
      <c r="X127" s="635">
        <f t="shared" si="25"/>
        <v>96468.75</v>
      </c>
      <c r="Y127" s="635">
        <f t="shared" si="25"/>
        <v>75058.75</v>
      </c>
      <c r="Z127" s="635">
        <f t="shared" si="25"/>
        <v>63438.75</v>
      </c>
      <c r="AA127" s="1566">
        <f t="shared" si="25"/>
        <v>99151.2</v>
      </c>
      <c r="AB127" s="635">
        <f t="shared" si="25"/>
        <v>134566.26</v>
      </c>
      <c r="AC127" s="635">
        <f t="shared" si="25"/>
        <v>527032.74</v>
      </c>
      <c r="AD127" s="635">
        <f t="shared" si="25"/>
        <v>563327.76</v>
      </c>
      <c r="AE127" s="635">
        <f t="shared" si="25"/>
        <v>534562.76</v>
      </c>
      <c r="AF127" s="635">
        <f t="shared" si="25"/>
        <v>504362.76</v>
      </c>
      <c r="AG127" s="1712">
        <f t="shared" si="25"/>
        <v>476062.76</v>
      </c>
      <c r="AH127" s="635">
        <f t="shared" si="25"/>
        <v>446637.76</v>
      </c>
      <c r="AI127" s="635">
        <f t="shared" si="25"/>
        <v>417672.76</v>
      </c>
      <c r="AJ127" s="635">
        <f t="shared" si="25"/>
        <v>762338.92999999993</v>
      </c>
      <c r="AK127" s="635">
        <f t="shared" si="25"/>
        <v>355937.76</v>
      </c>
      <c r="AL127" s="635">
        <f t="shared" si="25"/>
        <v>325037.76</v>
      </c>
      <c r="AM127" s="635">
        <f t="shared" si="25"/>
        <v>295062.76</v>
      </c>
      <c r="AN127" s="635">
        <f t="shared" si="25"/>
        <v>269812.76</v>
      </c>
      <c r="AO127" s="635">
        <f t="shared" si="25"/>
        <v>249416.51</v>
      </c>
      <c r="AP127" s="635">
        <f t="shared" si="25"/>
        <v>228447.76</v>
      </c>
      <c r="AQ127" s="635">
        <f t="shared" si="25"/>
        <v>206979.01</v>
      </c>
      <c r="AR127" s="635">
        <f t="shared" si="25"/>
        <v>185207.76</v>
      </c>
      <c r="AS127" s="635">
        <f t="shared" si="25"/>
        <v>162976.53</v>
      </c>
      <c r="AT127" s="635">
        <f t="shared" si="25"/>
        <v>141142.76</v>
      </c>
      <c r="AU127" s="635">
        <f t="shared" si="25"/>
        <v>118894.63</v>
      </c>
      <c r="AV127" s="635">
        <f t="shared" si="25"/>
        <v>97705.25</v>
      </c>
      <c r="AW127" s="635">
        <f t="shared" si="25"/>
        <v>83005.75</v>
      </c>
      <c r="AX127" s="635">
        <f t="shared" si="25"/>
        <v>67537.5</v>
      </c>
      <c r="AY127" s="635">
        <f t="shared" si="25"/>
        <v>50862.5</v>
      </c>
      <c r="AZ127" s="635">
        <f t="shared" si="25"/>
        <v>33606.25</v>
      </c>
      <c r="BA127" s="635">
        <f t="shared" si="25"/>
        <v>17225</v>
      </c>
    </row>
    <row r="128" spans="1:56" x14ac:dyDescent="0.2">
      <c r="A128" s="1610" t="s">
        <v>315</v>
      </c>
      <c r="B128" s="644" t="s">
        <v>8</v>
      </c>
      <c r="C128" s="645">
        <f>SUM(C90:C126)*0</f>
        <v>0</v>
      </c>
      <c r="D128" s="675"/>
      <c r="E128" s="646"/>
      <c r="F128" s="647"/>
      <c r="G128" s="647"/>
      <c r="H128" s="647"/>
      <c r="I128" s="647"/>
      <c r="J128" s="647"/>
      <c r="K128" s="647"/>
      <c r="L128" s="647"/>
      <c r="M128" s="647"/>
      <c r="N128" s="647"/>
      <c r="O128" s="647"/>
      <c r="P128" s="647"/>
      <c r="Q128" s="647"/>
      <c r="R128" s="647"/>
      <c r="S128" s="647"/>
      <c r="T128" s="647"/>
      <c r="U128" s="647"/>
      <c r="V128" s="647"/>
      <c r="W128" s="647"/>
      <c r="X128" s="647"/>
      <c r="Y128" s="647"/>
      <c r="Z128" s="647"/>
      <c r="AA128" s="1569"/>
      <c r="AH128" s="616"/>
      <c r="AI128" s="616"/>
    </row>
    <row r="129" spans="1:54" ht="10.5" thickBot="1" x14ac:dyDescent="0.25">
      <c r="A129" s="1610" t="s">
        <v>315</v>
      </c>
      <c r="B129" s="648" t="s">
        <v>511</v>
      </c>
      <c r="C129" s="648">
        <f>SUM(C127+C87)</f>
        <v>23996697.739999998</v>
      </c>
      <c r="D129" s="648"/>
      <c r="E129" s="649"/>
      <c r="F129" s="650">
        <f t="shared" ref="F129:BA129" si="26">SUM(F87+F127)</f>
        <v>116993.5</v>
      </c>
      <c r="G129" s="650">
        <f t="shared" si="26"/>
        <v>96059</v>
      </c>
      <c r="H129" s="650">
        <f t="shared" si="26"/>
        <v>177405.4</v>
      </c>
      <c r="I129" s="650">
        <f t="shared" si="26"/>
        <v>127286</v>
      </c>
      <c r="J129" s="650">
        <f t="shared" si="26"/>
        <v>122864</v>
      </c>
      <c r="K129" s="650">
        <f t="shared" si="26"/>
        <v>452608.37</v>
      </c>
      <c r="L129" s="650">
        <f t="shared" si="26"/>
        <v>1171977.8700000001</v>
      </c>
      <c r="M129" s="650">
        <f t="shared" si="26"/>
        <v>1050209.3799999999</v>
      </c>
      <c r="N129" s="650">
        <f t="shared" si="26"/>
        <v>1062446.8700000001</v>
      </c>
      <c r="O129" s="650">
        <f t="shared" si="26"/>
        <v>1063666.8700000001</v>
      </c>
      <c r="P129" s="650">
        <f t="shared" si="26"/>
        <v>1073624.3700000001</v>
      </c>
      <c r="Q129" s="650">
        <f t="shared" si="26"/>
        <v>1072939.3700000001</v>
      </c>
      <c r="R129" s="650">
        <f t="shared" si="26"/>
        <v>1080079.3700000001</v>
      </c>
      <c r="S129" s="650">
        <f t="shared" si="26"/>
        <v>1085076.8700000001</v>
      </c>
      <c r="T129" s="650">
        <f t="shared" si="26"/>
        <v>1081040.6200000001</v>
      </c>
      <c r="U129" s="650">
        <f t="shared" si="26"/>
        <v>1184982.25</v>
      </c>
      <c r="V129" s="650">
        <f t="shared" si="26"/>
        <v>667719.92000000004</v>
      </c>
      <c r="W129" s="650">
        <f t="shared" si="26"/>
        <v>666708.75</v>
      </c>
      <c r="X129" s="650">
        <f t="shared" si="26"/>
        <v>677968.75</v>
      </c>
      <c r="Y129" s="650">
        <f t="shared" si="26"/>
        <v>632058.75</v>
      </c>
      <c r="Z129" s="650">
        <f t="shared" si="26"/>
        <v>632938.75</v>
      </c>
      <c r="AA129" s="1570">
        <f t="shared" si="26"/>
        <v>604651.19999999995</v>
      </c>
      <c r="AB129" s="650">
        <f t="shared" si="26"/>
        <v>690066.26</v>
      </c>
      <c r="AC129" s="650">
        <f t="shared" si="26"/>
        <v>1293032.74</v>
      </c>
      <c r="AD129" s="650">
        <f t="shared" si="26"/>
        <v>1358327.76</v>
      </c>
      <c r="AE129" s="650">
        <f t="shared" si="26"/>
        <v>1309562.76</v>
      </c>
      <c r="AF129" s="650">
        <f t="shared" si="26"/>
        <v>1094362.76</v>
      </c>
      <c r="AG129" s="1713">
        <f t="shared" si="26"/>
        <v>1096062.76</v>
      </c>
      <c r="AH129" s="650">
        <f t="shared" si="26"/>
        <v>1081637.76</v>
      </c>
      <c r="AI129" s="650">
        <f t="shared" si="26"/>
        <v>1047672.76</v>
      </c>
      <c r="AJ129" s="650">
        <f t="shared" si="26"/>
        <v>1432338.93</v>
      </c>
      <c r="AK129" s="650">
        <f t="shared" si="26"/>
        <v>1055937.76</v>
      </c>
      <c r="AL129" s="650">
        <f t="shared" si="26"/>
        <v>1045037.76</v>
      </c>
      <c r="AM129" s="650">
        <f t="shared" si="26"/>
        <v>1025062.76</v>
      </c>
      <c r="AN129" s="650">
        <f t="shared" si="26"/>
        <v>1009812.76</v>
      </c>
      <c r="AO129" s="650">
        <f t="shared" si="26"/>
        <v>999416.51</v>
      </c>
      <c r="AP129" s="650">
        <f t="shared" si="26"/>
        <v>998447.76</v>
      </c>
      <c r="AQ129" s="650">
        <f t="shared" si="26"/>
        <v>981979.01</v>
      </c>
      <c r="AR129" s="650">
        <f t="shared" si="26"/>
        <v>970207.76</v>
      </c>
      <c r="AS129" s="650">
        <f t="shared" si="26"/>
        <v>937976.53</v>
      </c>
      <c r="AT129" s="650">
        <f t="shared" si="26"/>
        <v>886142.76</v>
      </c>
      <c r="AU129" s="650">
        <f t="shared" si="26"/>
        <v>873894.63</v>
      </c>
      <c r="AV129" s="650">
        <f t="shared" si="26"/>
        <v>562705.25</v>
      </c>
      <c r="AW129" s="650">
        <f t="shared" si="26"/>
        <v>560005.75</v>
      </c>
      <c r="AX129" s="650">
        <f t="shared" si="26"/>
        <v>562537.5</v>
      </c>
      <c r="AY129" s="650">
        <f t="shared" si="26"/>
        <v>560862.5</v>
      </c>
      <c r="AZ129" s="650">
        <f t="shared" si="26"/>
        <v>563606.25</v>
      </c>
      <c r="BA129" s="650">
        <f t="shared" si="26"/>
        <v>17225</v>
      </c>
      <c r="BB129" s="1594"/>
    </row>
    <row r="130" spans="1:54" ht="10.5" thickTop="1" x14ac:dyDescent="0.2">
      <c r="B130" s="676" t="s">
        <v>8</v>
      </c>
      <c r="C130" s="677">
        <f>SUM(F129:AG129)</f>
        <v>22742721.270000007</v>
      </c>
      <c r="D130" s="619"/>
      <c r="E130" s="619"/>
      <c r="F130" s="619"/>
      <c r="G130" s="619"/>
      <c r="H130" s="619"/>
      <c r="I130" s="619"/>
      <c r="J130" s="619"/>
      <c r="K130" s="619"/>
      <c r="L130" s="619"/>
      <c r="M130" s="619"/>
      <c r="N130" s="619"/>
      <c r="O130" s="619"/>
      <c r="P130" s="619"/>
      <c r="Q130" s="619"/>
      <c r="R130" s="619"/>
      <c r="S130" s="619"/>
      <c r="T130" s="619"/>
      <c r="U130" s="619"/>
      <c r="V130" s="619"/>
      <c r="W130" s="619"/>
      <c r="X130" s="619"/>
      <c r="Y130" s="619"/>
      <c r="Z130" s="619"/>
      <c r="AA130" s="1578"/>
      <c r="AB130" s="619"/>
      <c r="AC130" s="619"/>
      <c r="AD130" s="619"/>
      <c r="AE130" s="619"/>
      <c r="AF130" s="619"/>
      <c r="AG130" s="1720"/>
    </row>
    <row r="131" spans="1:54" x14ac:dyDescent="0.2">
      <c r="B131" s="619"/>
      <c r="C131" s="619"/>
      <c r="D131" s="619"/>
      <c r="E131" s="619"/>
      <c r="F131" s="619"/>
      <c r="G131" s="619"/>
      <c r="H131" s="619"/>
      <c r="I131" s="619"/>
      <c r="J131" s="619"/>
      <c r="K131" s="619"/>
      <c r="L131" s="619"/>
      <c r="M131" s="619"/>
      <c r="N131" s="619"/>
      <c r="O131" s="619"/>
      <c r="P131" s="619"/>
      <c r="Q131" s="619"/>
      <c r="R131" s="619"/>
      <c r="S131" s="619"/>
      <c r="T131" s="619"/>
      <c r="U131" s="619"/>
      <c r="V131" s="619"/>
      <c r="W131" s="619"/>
      <c r="X131" s="619"/>
      <c r="Y131" s="619"/>
      <c r="Z131" s="619"/>
      <c r="AA131" s="1578"/>
      <c r="AB131" s="619"/>
      <c r="AC131" s="619"/>
      <c r="AD131" s="619"/>
      <c r="AE131" s="619"/>
      <c r="AF131" s="619"/>
      <c r="AG131" s="1720"/>
    </row>
    <row r="132" spans="1:54" ht="15.75" x14ac:dyDescent="0.25">
      <c r="B132" s="2222" t="s">
        <v>1117</v>
      </c>
      <c r="C132" s="2223"/>
      <c r="D132" s="2223"/>
      <c r="E132" s="2223"/>
      <c r="F132" s="2223"/>
      <c r="G132" s="2223"/>
      <c r="H132" s="2223"/>
      <c r="I132" s="2223"/>
      <c r="J132" s="2223"/>
      <c r="K132" s="2223"/>
      <c r="L132" s="2223"/>
      <c r="M132" s="2223"/>
      <c r="N132" s="2223"/>
      <c r="O132" s="2223"/>
      <c r="P132" s="2223"/>
      <c r="Q132" s="2223"/>
      <c r="R132" s="2223"/>
      <c r="S132" s="2223"/>
      <c r="T132" s="2223"/>
      <c r="U132" s="2223"/>
      <c r="V132" s="2223"/>
      <c r="W132" s="2223"/>
      <c r="X132" s="2223"/>
      <c r="Y132" s="2223"/>
      <c r="Z132" s="2223"/>
      <c r="AA132" s="2224"/>
      <c r="AB132" s="2223"/>
      <c r="AC132" s="2225"/>
      <c r="AD132" s="2225"/>
      <c r="AE132" s="2223"/>
      <c r="AF132" s="2223"/>
      <c r="AG132" s="2226">
        <f>SUBTOTAL(109,AG88:AG125)+ SUBTOTAL(109,AG47:AG85)</f>
        <v>1096062.76</v>
      </c>
    </row>
    <row r="133" spans="1:54" x14ac:dyDescent="0.2">
      <c r="B133" s="619"/>
      <c r="C133" s="619"/>
      <c r="D133" s="619"/>
      <c r="E133" s="619"/>
      <c r="F133" s="619"/>
      <c r="G133" s="619"/>
      <c r="H133" s="619"/>
      <c r="I133" s="619"/>
      <c r="J133" s="619"/>
      <c r="K133" s="619"/>
      <c r="L133" s="619"/>
      <c r="M133" s="619"/>
      <c r="N133" s="619"/>
      <c r="O133" s="619"/>
      <c r="P133" s="619"/>
      <c r="Q133" s="619"/>
      <c r="R133" s="619"/>
      <c r="S133" s="619"/>
      <c r="T133" s="619"/>
      <c r="U133" s="619"/>
      <c r="V133" s="619"/>
      <c r="W133" s="619"/>
      <c r="X133" s="619"/>
      <c r="Y133" s="619"/>
      <c r="Z133" s="619"/>
      <c r="AA133" s="1578"/>
      <c r="AB133" s="619"/>
      <c r="AC133" s="619"/>
      <c r="AE133" s="619"/>
      <c r="AF133" s="619"/>
      <c r="AG133" s="1720"/>
    </row>
    <row r="134" spans="1:54" x14ac:dyDescent="0.2">
      <c r="B134" s="619"/>
      <c r="D134" s="616" t="s">
        <v>164</v>
      </c>
      <c r="E134" s="618" t="s">
        <v>280</v>
      </c>
      <c r="F134" s="616">
        <v>8073</v>
      </c>
    </row>
    <row r="135" spans="1:54" ht="10.5" thickBot="1" x14ac:dyDescent="0.25">
      <c r="B135" s="619"/>
      <c r="C135" s="619"/>
      <c r="D135" s="619"/>
      <c r="E135" s="619"/>
      <c r="F135" s="619"/>
      <c r="G135" s="619"/>
      <c r="H135" s="619"/>
      <c r="I135" s="619"/>
      <c r="J135" s="619"/>
      <c r="K135" s="619"/>
      <c r="L135" s="619"/>
      <c r="M135" s="619"/>
      <c r="N135" s="619"/>
      <c r="O135" s="619"/>
      <c r="P135" s="619"/>
      <c r="Q135" s="619"/>
      <c r="R135" s="619"/>
      <c r="S135" s="619"/>
      <c r="T135" s="619"/>
      <c r="U135" s="619"/>
      <c r="V135" s="619"/>
      <c r="W135" s="619"/>
      <c r="X135" s="619"/>
      <c r="Y135" s="619"/>
      <c r="Z135" s="619"/>
      <c r="AA135" s="1578"/>
      <c r="AB135" s="619"/>
      <c r="AC135" s="619"/>
      <c r="AE135" s="619"/>
      <c r="AF135" s="619"/>
      <c r="AG135" s="1720"/>
    </row>
    <row r="136" spans="1:54" x14ac:dyDescent="0.2">
      <c r="B136" s="678" t="s">
        <v>1045</v>
      </c>
      <c r="C136" s="679"/>
      <c r="D136" s="679"/>
      <c r="E136" s="679"/>
      <c r="F136" s="679"/>
      <c r="G136" s="679"/>
      <c r="H136" s="679"/>
      <c r="I136" s="679"/>
      <c r="J136" s="679"/>
      <c r="K136" s="679"/>
      <c r="L136" s="679"/>
      <c r="M136" s="679"/>
      <c r="N136" s="679"/>
      <c r="O136" s="679"/>
      <c r="P136" s="679"/>
      <c r="Q136" s="679"/>
      <c r="R136" s="679"/>
      <c r="S136" s="679"/>
      <c r="T136" s="679"/>
      <c r="U136" s="679"/>
      <c r="V136" s="679"/>
      <c r="W136" s="679"/>
      <c r="X136" s="679"/>
      <c r="Y136" s="679"/>
      <c r="Z136" s="680"/>
      <c r="AA136" s="1579"/>
      <c r="AB136" s="1587"/>
      <c r="AC136" s="1587"/>
      <c r="AD136" s="619"/>
      <c r="AE136" s="619"/>
      <c r="AF136" s="619"/>
      <c r="AG136" s="1720"/>
      <c r="AJ136" s="619"/>
    </row>
    <row r="137" spans="1:54" x14ac:dyDescent="0.2">
      <c r="B137" s="681"/>
      <c r="C137" s="682"/>
      <c r="D137" s="683"/>
      <c r="E137" s="683"/>
      <c r="F137" s="683"/>
      <c r="G137" s="683"/>
      <c r="H137" s="683"/>
      <c r="I137" s="683"/>
      <c r="J137" s="683"/>
      <c r="K137" s="683"/>
      <c r="L137" s="683"/>
      <c r="M137" s="683"/>
      <c r="N137" s="683"/>
      <c r="O137" s="683"/>
      <c r="P137" s="683"/>
      <c r="Q137" s="683"/>
      <c r="R137" s="683"/>
      <c r="S137" s="683"/>
      <c r="T137" s="683"/>
      <c r="U137" s="683"/>
      <c r="V137" s="683"/>
      <c r="W137" s="683"/>
      <c r="X137" s="683"/>
      <c r="Y137" s="683"/>
      <c r="Z137" s="684"/>
      <c r="AA137" s="1580"/>
      <c r="AB137" s="1619"/>
      <c r="AC137" s="1588"/>
      <c r="AD137" s="619"/>
      <c r="AE137" s="619"/>
      <c r="AF137" s="619"/>
      <c r="AG137" s="1720"/>
      <c r="AJ137" s="619"/>
    </row>
    <row r="138" spans="1:54" x14ac:dyDescent="0.2">
      <c r="B138" s="681"/>
      <c r="C138" s="682"/>
      <c r="D138" s="683"/>
      <c r="E138" s="683"/>
      <c r="F138" s="683"/>
      <c r="G138" s="683"/>
      <c r="H138" s="683"/>
      <c r="I138" s="683"/>
      <c r="J138" s="683"/>
      <c r="K138" s="683"/>
      <c r="L138" s="683"/>
      <c r="M138" s="683"/>
      <c r="N138" s="683"/>
      <c r="O138" s="683"/>
      <c r="P138" s="683"/>
      <c r="Q138" s="683"/>
      <c r="R138" s="683"/>
      <c r="S138" s="683"/>
      <c r="T138" s="683"/>
      <c r="U138" s="683"/>
      <c r="V138" s="683"/>
      <c r="W138" s="683"/>
      <c r="X138" s="683"/>
      <c r="Y138" s="683"/>
      <c r="Z138" s="684"/>
      <c r="AA138" s="1580"/>
      <c r="AB138" s="1619"/>
      <c r="AC138" s="1588"/>
      <c r="AD138" s="619"/>
      <c r="AE138" s="619"/>
      <c r="AF138" s="619"/>
      <c r="AG138" s="1720"/>
      <c r="AJ138" s="619"/>
    </row>
    <row r="139" spans="1:54" x14ac:dyDescent="0.2">
      <c r="B139" s="681"/>
      <c r="C139" s="682"/>
      <c r="D139" s="683"/>
      <c r="E139" s="683"/>
      <c r="F139" s="683"/>
      <c r="G139" s="683"/>
      <c r="H139" s="683"/>
      <c r="I139" s="683"/>
      <c r="J139" s="683"/>
      <c r="K139" s="683"/>
      <c r="L139" s="683"/>
      <c r="M139" s="683"/>
      <c r="N139" s="683"/>
      <c r="O139" s="683"/>
      <c r="P139" s="683"/>
      <c r="Q139" s="683"/>
      <c r="R139" s="683"/>
      <c r="S139" s="683"/>
      <c r="T139" s="683"/>
      <c r="U139" s="683"/>
      <c r="V139" s="683"/>
      <c r="W139" s="683"/>
      <c r="X139" s="683"/>
      <c r="Y139" s="683"/>
      <c r="Z139" s="684"/>
      <c r="AA139" s="1580"/>
      <c r="AB139" s="1619"/>
      <c r="AC139" s="1588"/>
      <c r="AD139" s="619"/>
      <c r="AE139" s="619"/>
      <c r="AF139" s="619"/>
      <c r="AG139" s="1720"/>
      <c r="AJ139" s="619"/>
    </row>
    <row r="140" spans="1:54" x14ac:dyDescent="0.2">
      <c r="B140" s="681"/>
      <c r="C140" s="682"/>
      <c r="D140" s="683"/>
      <c r="E140" s="683"/>
      <c r="F140" s="683"/>
      <c r="G140" s="683"/>
      <c r="H140" s="683"/>
      <c r="I140" s="683"/>
      <c r="J140" s="683"/>
      <c r="K140" s="683"/>
      <c r="L140" s="683"/>
      <c r="M140" s="683"/>
      <c r="N140" s="683"/>
      <c r="O140" s="683"/>
      <c r="P140" s="683"/>
      <c r="Q140" s="683"/>
      <c r="R140" s="683"/>
      <c r="S140" s="683"/>
      <c r="T140" s="683"/>
      <c r="U140" s="683"/>
      <c r="V140" s="683"/>
      <c r="W140" s="683"/>
      <c r="X140" s="683"/>
      <c r="Y140" s="683"/>
      <c r="Z140" s="684"/>
      <c r="AA140" s="1580"/>
      <c r="AB140" s="1619"/>
      <c r="AC140" s="1588"/>
      <c r="AD140" s="619"/>
      <c r="AE140" s="619"/>
      <c r="AF140" s="619"/>
      <c r="AG140" s="1720"/>
      <c r="AJ140" s="619"/>
    </row>
    <row r="141" spans="1:54" x14ac:dyDescent="0.2">
      <c r="B141" s="681"/>
      <c r="C141" s="682"/>
      <c r="D141" s="683"/>
      <c r="E141" s="683"/>
      <c r="F141" s="683"/>
      <c r="G141" s="683"/>
      <c r="H141" s="683"/>
      <c r="I141" s="683"/>
      <c r="J141" s="683"/>
      <c r="K141" s="683"/>
      <c r="L141" s="683"/>
      <c r="M141" s="683"/>
      <c r="N141" s="683"/>
      <c r="O141" s="683"/>
      <c r="P141" s="683"/>
      <c r="Q141" s="683"/>
      <c r="R141" s="683"/>
      <c r="S141" s="683"/>
      <c r="T141" s="683"/>
      <c r="U141" s="683"/>
      <c r="V141" s="683"/>
      <c r="W141" s="683"/>
      <c r="X141" s="683"/>
      <c r="Y141" s="683"/>
      <c r="Z141" s="684"/>
      <c r="AA141" s="1580"/>
      <c r="AB141" s="1619"/>
      <c r="AC141" s="1588"/>
      <c r="AD141" s="619"/>
      <c r="AE141" s="619"/>
      <c r="AF141" s="619"/>
      <c r="AG141" s="1720"/>
      <c r="AJ141" s="619"/>
    </row>
    <row r="142" spans="1:54" x14ac:dyDescent="0.2">
      <c r="B142" s="681"/>
      <c r="C142" s="682"/>
      <c r="D142" s="683"/>
      <c r="E142" s="683"/>
      <c r="F142" s="683"/>
      <c r="G142" s="683"/>
      <c r="H142" s="683"/>
      <c r="I142" s="683"/>
      <c r="J142" s="683"/>
      <c r="K142" s="683"/>
      <c r="L142" s="683"/>
      <c r="M142" s="683"/>
      <c r="N142" s="683"/>
      <c r="O142" s="683"/>
      <c r="P142" s="683"/>
      <c r="Q142" s="683"/>
      <c r="R142" s="683"/>
      <c r="S142" s="683"/>
      <c r="T142" s="683"/>
      <c r="U142" s="683"/>
      <c r="V142" s="683"/>
      <c r="W142" s="683"/>
      <c r="X142" s="683"/>
      <c r="Y142" s="683"/>
      <c r="Z142" s="684"/>
      <c r="AA142" s="1580"/>
      <c r="AB142" s="1619"/>
      <c r="AC142" s="1588"/>
      <c r="AD142" s="619"/>
      <c r="AE142" s="619"/>
      <c r="AF142" s="619"/>
      <c r="AG142" s="1720"/>
      <c r="AJ142" s="619"/>
    </row>
    <row r="143" spans="1:54" x14ac:dyDescent="0.2">
      <c r="B143" s="681"/>
      <c r="C143" s="682"/>
      <c r="D143" s="683"/>
      <c r="E143" s="683"/>
      <c r="F143" s="683"/>
      <c r="G143" s="683"/>
      <c r="H143" s="683"/>
      <c r="I143" s="683"/>
      <c r="J143" s="683"/>
      <c r="K143" s="683"/>
      <c r="L143" s="683"/>
      <c r="M143" s="683"/>
      <c r="N143" s="683"/>
      <c r="O143" s="683"/>
      <c r="P143" s="683"/>
      <c r="Q143" s="683"/>
      <c r="R143" s="683"/>
      <c r="S143" s="683"/>
      <c r="T143" s="683"/>
      <c r="U143" s="683"/>
      <c r="V143" s="683"/>
      <c r="W143" s="683"/>
      <c r="X143" s="683"/>
      <c r="Y143" s="683"/>
      <c r="Z143" s="684"/>
      <c r="AA143" s="1580"/>
      <c r="AB143" s="1619"/>
      <c r="AC143" s="1588"/>
      <c r="AD143" s="619"/>
      <c r="AE143" s="619"/>
      <c r="AF143" s="619"/>
      <c r="AG143" s="1720"/>
      <c r="AJ143" s="619"/>
    </row>
    <row r="144" spans="1:54" x14ac:dyDescent="0.2">
      <c r="B144" s="681"/>
      <c r="C144" s="682"/>
      <c r="D144" s="683"/>
      <c r="E144" s="683"/>
      <c r="F144" s="683"/>
      <c r="G144" s="683"/>
      <c r="H144" s="683"/>
      <c r="I144" s="683"/>
      <c r="J144" s="683"/>
      <c r="K144" s="683"/>
      <c r="L144" s="683"/>
      <c r="M144" s="683"/>
      <c r="N144" s="683"/>
      <c r="O144" s="683"/>
      <c r="P144" s="683"/>
      <c r="Q144" s="683"/>
      <c r="R144" s="683"/>
      <c r="S144" s="683"/>
      <c r="T144" s="683"/>
      <c r="U144" s="683"/>
      <c r="V144" s="683"/>
      <c r="W144" s="683"/>
      <c r="X144" s="683"/>
      <c r="Y144" s="683"/>
      <c r="Z144" s="684"/>
      <c r="AA144" s="1580"/>
      <c r="AB144" s="1619"/>
      <c r="AC144" s="1588"/>
      <c r="AD144" s="619"/>
      <c r="AE144" s="619"/>
      <c r="AF144" s="619"/>
      <c r="AG144" s="1720"/>
      <c r="AJ144" s="619"/>
    </row>
    <row r="145" spans="1:36" x14ac:dyDescent="0.2">
      <c r="B145" s="681"/>
      <c r="C145" s="682"/>
      <c r="D145" s="683"/>
      <c r="E145" s="683"/>
      <c r="F145" s="683"/>
      <c r="G145" s="683"/>
      <c r="H145" s="683"/>
      <c r="I145" s="683"/>
      <c r="J145" s="683"/>
      <c r="K145" s="683"/>
      <c r="L145" s="683"/>
      <c r="M145" s="683"/>
      <c r="N145" s="683"/>
      <c r="O145" s="683"/>
      <c r="P145" s="683"/>
      <c r="Q145" s="683"/>
      <c r="R145" s="683"/>
      <c r="S145" s="683"/>
      <c r="T145" s="683"/>
      <c r="U145" s="683"/>
      <c r="V145" s="683"/>
      <c r="W145" s="683"/>
      <c r="X145" s="683"/>
      <c r="Y145" s="683"/>
      <c r="Z145" s="684"/>
      <c r="AA145" s="1580"/>
      <c r="AB145" s="1619"/>
      <c r="AC145" s="1588"/>
      <c r="AD145" s="619"/>
      <c r="AE145" s="619"/>
      <c r="AF145" s="619"/>
      <c r="AG145" s="1720"/>
      <c r="AJ145" s="619"/>
    </row>
    <row r="146" spans="1:36" x14ac:dyDescent="0.2">
      <c r="B146" s="681"/>
      <c r="C146" s="682"/>
      <c r="D146" s="683"/>
      <c r="E146" s="683"/>
      <c r="F146" s="683"/>
      <c r="G146" s="683"/>
      <c r="H146" s="683"/>
      <c r="I146" s="683"/>
      <c r="J146" s="683"/>
      <c r="K146" s="683"/>
      <c r="L146" s="683"/>
      <c r="M146" s="683"/>
      <c r="N146" s="683"/>
      <c r="O146" s="683"/>
      <c r="P146" s="683"/>
      <c r="Q146" s="683"/>
      <c r="R146" s="683"/>
      <c r="S146" s="683"/>
      <c r="T146" s="683"/>
      <c r="U146" s="683"/>
      <c r="V146" s="683"/>
      <c r="W146" s="683"/>
      <c r="X146" s="683"/>
      <c r="Y146" s="683"/>
      <c r="Z146" s="684"/>
      <c r="AA146" s="1580"/>
      <c r="AB146" s="1619"/>
      <c r="AC146" s="1588"/>
      <c r="AD146" s="619" t="s">
        <v>164</v>
      </c>
      <c r="AE146" s="619"/>
      <c r="AF146" s="619"/>
      <c r="AG146" s="1720"/>
      <c r="AJ146" s="619"/>
    </row>
    <row r="147" spans="1:36" x14ac:dyDescent="0.2">
      <c r="B147" s="681"/>
      <c r="C147" s="682"/>
      <c r="D147" s="683"/>
      <c r="E147" s="683"/>
      <c r="F147" s="683"/>
      <c r="G147" s="683"/>
      <c r="H147" s="683"/>
      <c r="I147" s="683"/>
      <c r="J147" s="683"/>
      <c r="K147" s="683"/>
      <c r="L147" s="683"/>
      <c r="M147" s="683"/>
      <c r="N147" s="683"/>
      <c r="O147" s="683"/>
      <c r="P147" s="683"/>
      <c r="Q147" s="683"/>
      <c r="R147" s="683"/>
      <c r="S147" s="683"/>
      <c r="T147" s="683"/>
      <c r="U147" s="683"/>
      <c r="V147" s="683"/>
      <c r="W147" s="683"/>
      <c r="X147" s="683"/>
      <c r="Y147" s="683"/>
      <c r="Z147" s="684"/>
      <c r="AA147" s="1580"/>
      <c r="AB147" s="1619"/>
      <c r="AC147" s="1588"/>
      <c r="AD147" s="687"/>
      <c r="AE147" s="619"/>
      <c r="AF147" s="619"/>
      <c r="AG147" s="1720"/>
      <c r="AJ147" s="619"/>
    </row>
    <row r="148" spans="1:36" x14ac:dyDescent="0.2">
      <c r="B148" s="681"/>
      <c r="C148" s="682"/>
      <c r="D148" s="683"/>
      <c r="E148" s="683"/>
      <c r="F148" s="683"/>
      <c r="G148" s="683"/>
      <c r="H148" s="683"/>
      <c r="I148" s="683"/>
      <c r="J148" s="683"/>
      <c r="K148" s="683"/>
      <c r="L148" s="683"/>
      <c r="M148" s="683"/>
      <c r="N148" s="683"/>
      <c r="O148" s="683"/>
      <c r="P148" s="683"/>
      <c r="Q148" s="683"/>
      <c r="R148" s="683"/>
      <c r="S148" s="683"/>
      <c r="T148" s="683"/>
      <c r="U148" s="683"/>
      <c r="V148" s="683"/>
      <c r="W148" s="683"/>
      <c r="X148" s="683"/>
      <c r="Y148" s="683"/>
      <c r="Z148" s="684"/>
      <c r="AA148" s="1581"/>
      <c r="AB148" s="1620"/>
      <c r="AC148" s="1588"/>
      <c r="AD148" s="619"/>
      <c r="AE148" s="619"/>
      <c r="AF148" s="619"/>
      <c r="AG148" s="1720"/>
      <c r="AJ148" s="619"/>
    </row>
    <row r="149" spans="1:36" x14ac:dyDescent="0.2">
      <c r="B149" s="681"/>
      <c r="C149" s="682"/>
      <c r="D149" s="683"/>
      <c r="E149" s="683"/>
      <c r="F149" s="683"/>
      <c r="G149" s="683"/>
      <c r="H149" s="683"/>
      <c r="I149" s="683"/>
      <c r="J149" s="683"/>
      <c r="K149" s="683"/>
      <c r="L149" s="683"/>
      <c r="M149" s="683"/>
      <c r="N149" s="683"/>
      <c r="O149" s="683"/>
      <c r="P149" s="683"/>
      <c r="Q149" s="683"/>
      <c r="R149" s="683"/>
      <c r="S149" s="683"/>
      <c r="T149" s="683"/>
      <c r="U149" s="683"/>
      <c r="V149" s="683"/>
      <c r="W149" s="683"/>
      <c r="X149" s="683"/>
      <c r="Y149" s="683"/>
      <c r="Z149" s="684"/>
      <c r="AA149" s="1581"/>
      <c r="AB149" s="1620"/>
      <c r="AC149" s="1588"/>
      <c r="AD149" s="619"/>
      <c r="AE149" s="619"/>
      <c r="AF149" s="619"/>
      <c r="AG149" s="1720"/>
      <c r="AJ149" s="619"/>
    </row>
    <row r="150" spans="1:36" x14ac:dyDescent="0.2">
      <c r="B150" s="681"/>
      <c r="C150" s="686"/>
      <c r="D150" s="683"/>
      <c r="E150" s="683"/>
      <c r="F150" s="683"/>
      <c r="G150" s="683"/>
      <c r="H150" s="683"/>
      <c r="I150" s="683"/>
      <c r="J150" s="683"/>
      <c r="K150" s="683"/>
      <c r="L150" s="683"/>
      <c r="M150" s="683"/>
      <c r="N150" s="683"/>
      <c r="O150" s="683"/>
      <c r="P150" s="683"/>
      <c r="Q150" s="683"/>
      <c r="R150" s="683"/>
      <c r="S150" s="683"/>
      <c r="T150" s="683"/>
      <c r="U150" s="683"/>
      <c r="V150" s="683"/>
      <c r="W150" s="683"/>
      <c r="X150" s="683"/>
      <c r="Y150" s="683"/>
      <c r="Z150" s="684"/>
      <c r="AA150" s="1581"/>
      <c r="AB150" s="1620"/>
      <c r="AC150" s="1588"/>
      <c r="AD150" s="619"/>
      <c r="AE150" s="619"/>
      <c r="AF150" s="619"/>
      <c r="AG150" s="1720"/>
      <c r="AJ150" s="619"/>
    </row>
    <row r="151" spans="1:36" x14ac:dyDescent="0.2">
      <c r="A151" s="616" t="s">
        <v>554</v>
      </c>
      <c r="B151" s="685" t="s">
        <v>907</v>
      </c>
      <c r="C151" s="686"/>
      <c r="D151" s="1531"/>
      <c r="E151" s="683"/>
      <c r="F151" s="683"/>
      <c r="G151" s="683"/>
      <c r="H151" s="683"/>
      <c r="I151" s="683"/>
      <c r="J151" s="683"/>
      <c r="K151" s="683"/>
      <c r="L151" s="683"/>
      <c r="M151" s="683"/>
      <c r="N151" s="683"/>
      <c r="O151" s="683"/>
      <c r="P151" s="683"/>
      <c r="Q151" s="683"/>
      <c r="R151" s="683"/>
      <c r="S151" s="683"/>
      <c r="T151" s="683"/>
      <c r="U151" s="683"/>
      <c r="V151" s="683"/>
      <c r="W151" s="683"/>
      <c r="X151" s="683"/>
      <c r="Y151" s="683"/>
      <c r="Z151" s="684"/>
      <c r="AA151" s="1581"/>
      <c r="AB151" s="1620"/>
      <c r="AC151" s="1589">
        <f>C151*D151*360/360</f>
        <v>0</v>
      </c>
      <c r="AD151" s="619"/>
      <c r="AE151" s="619"/>
      <c r="AF151" s="619"/>
      <c r="AG151" s="1720"/>
      <c r="AJ151" s="619"/>
    </row>
    <row r="152" spans="1:36" x14ac:dyDescent="0.2">
      <c r="A152" s="1610" t="s">
        <v>554</v>
      </c>
      <c r="B152" s="1516" t="s">
        <v>937</v>
      </c>
      <c r="C152" s="686">
        <v>2261680</v>
      </c>
      <c r="D152" s="1531">
        <v>3.5000000000000003E-2</v>
      </c>
      <c r="E152" s="683"/>
      <c r="F152" s="683"/>
      <c r="G152" s="683"/>
      <c r="H152" s="683"/>
      <c r="I152" s="683"/>
      <c r="J152" s="683"/>
      <c r="K152" s="683"/>
      <c r="L152" s="683"/>
      <c r="M152" s="683"/>
      <c r="N152" s="683"/>
      <c r="O152" s="683"/>
      <c r="P152" s="683"/>
      <c r="Q152" s="683"/>
      <c r="R152" s="683"/>
      <c r="S152" s="683"/>
      <c r="T152" s="683"/>
      <c r="U152" s="683"/>
      <c r="V152" s="683"/>
      <c r="W152" s="683"/>
      <c r="X152" s="683"/>
      <c r="Y152" s="683"/>
      <c r="Z152" s="684"/>
      <c r="AA152" s="1581"/>
      <c r="AB152" s="1620"/>
      <c r="AC152" s="1589">
        <f t="shared" ref="AC152:AC153" si="27">C152*D152*360/360</f>
        <v>79158.8</v>
      </c>
      <c r="AD152" s="687"/>
      <c r="AE152" s="619"/>
      <c r="AF152" s="619"/>
      <c r="AG152" s="1720"/>
      <c r="AJ152" s="619"/>
    </row>
    <row r="153" spans="1:36" x14ac:dyDescent="0.2">
      <c r="A153" s="616" t="s">
        <v>554</v>
      </c>
      <c r="B153" s="688" t="s">
        <v>908</v>
      </c>
      <c r="C153" s="689">
        <v>1759063</v>
      </c>
      <c r="D153" s="1531">
        <v>3.5000000000000003E-2</v>
      </c>
      <c r="E153" s="690"/>
      <c r="F153" s="690"/>
      <c r="G153" s="690"/>
      <c r="H153" s="690"/>
      <c r="I153" s="690"/>
      <c r="J153" s="690"/>
      <c r="K153" s="690"/>
      <c r="L153" s="690"/>
      <c r="M153" s="690"/>
      <c r="N153" s="690"/>
      <c r="O153" s="690"/>
      <c r="P153" s="690"/>
      <c r="Q153" s="690"/>
      <c r="R153" s="690"/>
      <c r="S153" s="690"/>
      <c r="T153" s="690"/>
      <c r="U153" s="690"/>
      <c r="V153" s="690"/>
      <c r="W153" s="690"/>
      <c r="X153" s="690"/>
      <c r="Y153" s="690"/>
      <c r="Z153" s="691"/>
      <c r="AA153" s="1582"/>
      <c r="AB153" s="1621"/>
      <c r="AC153" s="1589">
        <f t="shared" si="27"/>
        <v>61567.205000000009</v>
      </c>
      <c r="AD153" s="687"/>
      <c r="AE153" s="619"/>
      <c r="AF153" s="687"/>
      <c r="AG153" s="1720"/>
      <c r="AJ153" s="619"/>
    </row>
    <row r="154" spans="1:36" x14ac:dyDescent="0.2">
      <c r="B154" s="692"/>
      <c r="C154" s="693"/>
      <c r="D154" s="694"/>
      <c r="E154" s="694"/>
      <c r="F154" s="694"/>
      <c r="G154" s="694"/>
      <c r="H154" s="694"/>
      <c r="I154" s="694"/>
      <c r="J154" s="694"/>
      <c r="K154" s="694"/>
      <c r="L154" s="694"/>
      <c r="M154" s="694"/>
      <c r="N154" s="694"/>
      <c r="O154" s="694"/>
      <c r="P154" s="694"/>
      <c r="Q154" s="694"/>
      <c r="R154" s="694"/>
      <c r="S154" s="694"/>
      <c r="T154" s="694"/>
      <c r="U154" s="694"/>
      <c r="V154" s="694"/>
      <c r="W154" s="694"/>
      <c r="X154" s="694"/>
      <c r="Y154" s="694"/>
      <c r="Z154" s="695"/>
      <c r="AA154" s="1583"/>
      <c r="AB154" s="1591"/>
      <c r="AC154" s="1590"/>
      <c r="AD154" s="619"/>
      <c r="AE154" s="619"/>
      <c r="AF154" s="619"/>
      <c r="AG154" s="1720"/>
      <c r="AJ154" s="619"/>
    </row>
    <row r="155" spans="1:36" ht="10.5" thickBot="1" x14ac:dyDescent="0.25">
      <c r="A155" s="1610" t="s">
        <v>554</v>
      </c>
      <c r="B155" s="1639" t="s">
        <v>1008</v>
      </c>
      <c r="C155" s="694"/>
      <c r="D155" s="694"/>
      <c r="E155" s="694"/>
      <c r="F155" s="694"/>
      <c r="G155" s="694"/>
      <c r="H155" s="694"/>
      <c r="I155" s="694"/>
      <c r="J155" s="694"/>
      <c r="K155" s="694"/>
      <c r="L155" s="694"/>
      <c r="M155" s="694"/>
      <c r="N155" s="694"/>
      <c r="O155" s="694"/>
      <c r="P155" s="694"/>
      <c r="Q155" s="694"/>
      <c r="R155" s="694"/>
      <c r="S155" s="694"/>
      <c r="T155" s="694"/>
      <c r="U155" s="694"/>
      <c r="V155" s="694"/>
      <c r="W155" s="694"/>
      <c r="X155" s="694"/>
      <c r="Y155" s="694"/>
      <c r="Z155" s="695"/>
      <c r="AA155" s="1583">
        <f>SUM(AA137:AA153)</f>
        <v>0</v>
      </c>
      <c r="AB155" s="1591"/>
      <c r="AC155" s="1591">
        <f>(AC152+AC153)*0 + 53613</f>
        <v>53613</v>
      </c>
      <c r="AD155" s="687">
        <v>10000</v>
      </c>
      <c r="AE155" s="687"/>
      <c r="AF155" s="619"/>
      <c r="AG155" s="1720"/>
      <c r="AJ155" s="619"/>
    </row>
    <row r="156" spans="1:36" x14ac:dyDescent="0.2">
      <c r="B156" s="696"/>
      <c r="C156" s="679"/>
      <c r="D156" s="679"/>
      <c r="E156" s="679"/>
      <c r="F156" s="679"/>
      <c r="G156" s="679"/>
      <c r="H156" s="679"/>
      <c r="I156" s="679"/>
      <c r="J156" s="679"/>
      <c r="K156" s="679"/>
      <c r="L156" s="679"/>
      <c r="M156" s="679"/>
      <c r="N156" s="679"/>
      <c r="O156" s="679"/>
      <c r="P156" s="679"/>
      <c r="Q156" s="679"/>
      <c r="R156" s="679"/>
      <c r="S156" s="679"/>
      <c r="T156" s="679"/>
      <c r="U156" s="679"/>
      <c r="V156" s="679"/>
      <c r="W156" s="679"/>
      <c r="X156" s="679"/>
      <c r="Y156" s="679"/>
      <c r="Z156" s="680"/>
      <c r="AA156" s="1584"/>
      <c r="AB156" s="1587"/>
      <c r="AC156" s="619"/>
      <c r="AD156" s="619"/>
      <c r="AE156" s="619"/>
      <c r="AF156" s="619"/>
      <c r="AG156" s="1720"/>
    </row>
    <row r="157" spans="1:36" x14ac:dyDescent="0.2">
      <c r="B157" s="681"/>
      <c r="C157" s="682"/>
      <c r="D157" s="683"/>
      <c r="E157" s="683"/>
      <c r="F157" s="683"/>
      <c r="G157" s="683"/>
      <c r="H157" s="683"/>
      <c r="I157" s="683"/>
      <c r="J157" s="683"/>
      <c r="K157" s="683"/>
      <c r="L157" s="683"/>
      <c r="M157" s="683"/>
      <c r="N157" s="683"/>
      <c r="O157" s="683"/>
      <c r="P157" s="683"/>
      <c r="Q157" s="683"/>
      <c r="R157" s="683"/>
      <c r="S157" s="683"/>
      <c r="T157" s="683"/>
      <c r="U157" s="683"/>
      <c r="V157" s="683"/>
      <c r="W157" s="683"/>
      <c r="X157" s="683"/>
      <c r="Y157" s="683"/>
      <c r="Z157" s="684"/>
      <c r="AA157" s="1581">
        <v>19000</v>
      </c>
      <c r="AB157" s="1588"/>
      <c r="AC157" s="619"/>
      <c r="AD157" s="619"/>
      <c r="AE157" s="619"/>
      <c r="AF157" s="619"/>
      <c r="AG157" s="1720"/>
    </row>
    <row r="158" spans="1:36" x14ac:dyDescent="0.2">
      <c r="B158" s="681"/>
      <c r="C158" s="683"/>
      <c r="D158" s="683"/>
      <c r="E158" s="683"/>
      <c r="F158" s="683"/>
      <c r="G158" s="683"/>
      <c r="H158" s="683"/>
      <c r="I158" s="683"/>
      <c r="J158" s="683"/>
      <c r="K158" s="683"/>
      <c r="L158" s="683"/>
      <c r="M158" s="683"/>
      <c r="N158" s="683"/>
      <c r="O158" s="683"/>
      <c r="P158" s="683"/>
      <c r="Q158" s="683"/>
      <c r="R158" s="683"/>
      <c r="S158" s="683"/>
      <c r="T158" s="683"/>
      <c r="U158" s="683"/>
      <c r="V158" s="683"/>
      <c r="W158" s="683"/>
      <c r="X158" s="683"/>
      <c r="Y158" s="683"/>
      <c r="Z158" s="684"/>
      <c r="AA158" s="1581">
        <v>27000</v>
      </c>
      <c r="AB158" s="1588"/>
      <c r="AC158" s="619"/>
      <c r="AD158" s="619"/>
      <c r="AE158" s="619"/>
      <c r="AF158" s="619"/>
      <c r="AG158" s="1720"/>
    </row>
    <row r="159" spans="1:36" x14ac:dyDescent="0.2">
      <c r="B159" s="688"/>
      <c r="C159" s="683"/>
      <c r="D159" s="683"/>
      <c r="E159" s="683"/>
      <c r="F159" s="683"/>
      <c r="G159" s="683"/>
      <c r="H159" s="683"/>
      <c r="I159" s="683"/>
      <c r="J159" s="683"/>
      <c r="K159" s="683"/>
      <c r="L159" s="683"/>
      <c r="M159" s="683"/>
      <c r="N159" s="683"/>
      <c r="O159" s="683"/>
      <c r="P159" s="683"/>
      <c r="Q159" s="683"/>
      <c r="R159" s="683"/>
      <c r="S159" s="683"/>
      <c r="T159" s="683"/>
      <c r="U159" s="683"/>
      <c r="V159" s="683"/>
      <c r="W159" s="683"/>
      <c r="X159" s="683"/>
      <c r="Y159" s="683"/>
      <c r="Z159" s="684"/>
      <c r="AA159" s="1585">
        <v>50000</v>
      </c>
      <c r="AB159" s="1588"/>
      <c r="AC159" s="619"/>
      <c r="AD159" s="619"/>
      <c r="AE159" s="619"/>
      <c r="AF159" s="619"/>
      <c r="AG159" s="1720"/>
    </row>
    <row r="160" spans="1:36" ht="10.5" thickBot="1" x14ac:dyDescent="0.25">
      <c r="B160" s="697"/>
      <c r="C160" s="698"/>
      <c r="D160" s="698"/>
      <c r="E160" s="698"/>
      <c r="F160" s="698"/>
      <c r="G160" s="698"/>
      <c r="H160" s="698"/>
      <c r="I160" s="698"/>
      <c r="J160" s="698"/>
      <c r="K160" s="698"/>
      <c r="L160" s="698"/>
      <c r="M160" s="698"/>
      <c r="N160" s="698"/>
      <c r="O160" s="698"/>
      <c r="P160" s="698"/>
      <c r="Q160" s="698"/>
      <c r="R160" s="698"/>
      <c r="S160" s="698"/>
      <c r="T160" s="698"/>
      <c r="U160" s="698"/>
      <c r="V160" s="698"/>
      <c r="W160" s="698"/>
      <c r="X160" s="698"/>
      <c r="Y160" s="698"/>
      <c r="Z160" s="699"/>
      <c r="AA160" s="1586">
        <f>SUM(AA157:AA159)</f>
        <v>96000</v>
      </c>
      <c r="AB160" s="1592"/>
      <c r="AC160" s="619"/>
      <c r="AD160" s="619"/>
      <c r="AE160" s="619"/>
      <c r="AF160" s="619"/>
      <c r="AG160" s="1720"/>
    </row>
    <row r="162" spans="1:33" x14ac:dyDescent="0.2">
      <c r="B162" s="619"/>
      <c r="C162" s="713">
        <f>SUM(C151:C153)</f>
        <v>4020743</v>
      </c>
      <c r="D162" s="619"/>
      <c r="E162" s="619"/>
      <c r="F162" s="619"/>
      <c r="G162" s="619"/>
      <c r="H162" s="619"/>
      <c r="I162" s="619"/>
      <c r="J162" s="619"/>
      <c r="K162" s="619"/>
      <c r="L162" s="619"/>
      <c r="M162" s="619"/>
      <c r="N162" s="619"/>
      <c r="O162" s="619"/>
      <c r="P162" s="619"/>
      <c r="Q162" s="619"/>
      <c r="R162" s="619"/>
      <c r="S162" s="619"/>
      <c r="T162" s="619"/>
      <c r="U162" s="619"/>
      <c r="V162" s="619"/>
      <c r="W162" s="619"/>
      <c r="X162" s="619"/>
      <c r="Y162" s="619"/>
      <c r="Z162" s="619"/>
      <c r="AA162" s="1578"/>
      <c r="AB162" s="619"/>
      <c r="AC162" s="619"/>
      <c r="AD162" s="619"/>
      <c r="AE162" s="619"/>
      <c r="AF162" s="619"/>
      <c r="AG162" s="1720"/>
    </row>
    <row r="163" spans="1:33" x14ac:dyDescent="0.2">
      <c r="B163" s="619"/>
      <c r="C163" s="1517">
        <f>C162*0.035</f>
        <v>140726.005</v>
      </c>
      <c r="D163" s="619"/>
      <c r="E163" s="619"/>
      <c r="F163" s="619"/>
      <c r="G163" s="619"/>
      <c r="H163" s="619"/>
      <c r="I163" s="619"/>
      <c r="J163" s="619"/>
      <c r="K163" s="619"/>
      <c r="L163" s="619"/>
      <c r="M163" s="619"/>
      <c r="N163" s="619"/>
      <c r="O163" s="619"/>
      <c r="P163" s="619"/>
      <c r="Q163" s="619"/>
      <c r="R163" s="619"/>
      <c r="S163" s="619"/>
      <c r="T163" s="619"/>
      <c r="U163" s="619"/>
      <c r="V163" s="619"/>
      <c r="W163" s="619"/>
      <c r="X163" s="619"/>
      <c r="Y163" s="619"/>
      <c r="Z163" s="619"/>
      <c r="AA163" s="1578"/>
      <c r="AB163" s="619"/>
      <c r="AC163" s="619"/>
      <c r="AD163" s="619"/>
      <c r="AE163" s="619"/>
      <c r="AF163" s="619"/>
      <c r="AG163" s="1720"/>
    </row>
    <row r="164" spans="1:33" x14ac:dyDescent="0.2">
      <c r="B164" s="619"/>
      <c r="C164" s="619"/>
      <c r="D164" s="619"/>
      <c r="E164" s="619"/>
      <c r="F164" s="619"/>
      <c r="G164" s="619"/>
      <c r="H164" s="619"/>
      <c r="I164" s="619"/>
      <c r="J164" s="619"/>
      <c r="K164" s="619"/>
      <c r="L164" s="619"/>
      <c r="M164" s="619"/>
      <c r="N164" s="619"/>
      <c r="O164" s="619"/>
      <c r="P164" s="619"/>
      <c r="Q164" s="619"/>
      <c r="R164" s="619"/>
      <c r="S164" s="619"/>
      <c r="T164" s="619"/>
      <c r="U164" s="619"/>
      <c r="V164" s="619"/>
      <c r="W164" s="619"/>
      <c r="X164" s="619"/>
      <c r="Y164" s="619"/>
      <c r="Z164" s="619"/>
      <c r="AA164" s="1578"/>
      <c r="AB164" s="619"/>
      <c r="AC164" s="619"/>
      <c r="AD164" s="619"/>
      <c r="AE164" s="619"/>
      <c r="AF164" s="619"/>
      <c r="AG164" s="1720"/>
    </row>
    <row r="165" spans="1:33" x14ac:dyDescent="0.2">
      <c r="B165" s="619"/>
      <c r="C165" s="619"/>
      <c r="D165" s="619"/>
      <c r="E165" s="619"/>
      <c r="F165" s="619"/>
      <c r="G165" s="619"/>
      <c r="H165" s="619"/>
      <c r="I165" s="619"/>
      <c r="J165" s="619"/>
      <c r="K165" s="619"/>
      <c r="L165" s="619"/>
      <c r="M165" s="619"/>
      <c r="N165" s="619"/>
      <c r="O165" s="619"/>
      <c r="P165" s="619"/>
      <c r="Q165" s="619"/>
      <c r="R165" s="619"/>
      <c r="S165" s="619"/>
      <c r="T165" s="619"/>
      <c r="U165" s="619"/>
      <c r="V165" s="619"/>
      <c r="W165" s="619"/>
      <c r="X165" s="619"/>
      <c r="Y165" s="619"/>
      <c r="Z165" s="619"/>
      <c r="AA165" s="1578"/>
      <c r="AB165" s="619"/>
      <c r="AC165" s="619"/>
      <c r="AD165" s="619"/>
      <c r="AE165" s="619"/>
      <c r="AF165" s="619"/>
      <c r="AG165" s="1720"/>
    </row>
    <row r="166" spans="1:33" x14ac:dyDescent="0.2">
      <c r="B166" s="619"/>
      <c r="C166" s="619"/>
      <c r="D166" s="619"/>
      <c r="E166" s="619"/>
      <c r="F166" s="619"/>
      <c r="G166" s="619"/>
      <c r="H166" s="619"/>
      <c r="I166" s="619"/>
      <c r="J166" s="619"/>
      <c r="K166" s="619"/>
      <c r="L166" s="619"/>
      <c r="M166" s="619"/>
      <c r="N166" s="619"/>
      <c r="O166" s="619"/>
      <c r="P166" s="619"/>
      <c r="Q166" s="619"/>
      <c r="R166" s="619"/>
      <c r="S166" s="619"/>
      <c r="T166" s="619"/>
      <c r="U166" s="619"/>
      <c r="V166" s="619"/>
      <c r="W166" s="619"/>
      <c r="X166" s="619"/>
      <c r="Y166" s="619"/>
      <c r="Z166" s="619"/>
      <c r="AA166" s="1578"/>
      <c r="AB166" s="619"/>
      <c r="AC166" s="619"/>
      <c r="AD166" s="619"/>
      <c r="AE166" s="619"/>
      <c r="AF166" s="619"/>
      <c r="AG166" s="1720"/>
    </row>
    <row r="167" spans="1:33" x14ac:dyDescent="0.2">
      <c r="B167" s="1608" t="s">
        <v>958</v>
      </c>
      <c r="C167" s="619"/>
      <c r="D167" s="619"/>
      <c r="E167" s="619"/>
      <c r="F167" s="619"/>
      <c r="G167" s="619"/>
      <c r="H167" s="619"/>
      <c r="I167" s="619"/>
      <c r="J167" s="619"/>
      <c r="K167" s="619"/>
      <c r="L167" s="619"/>
      <c r="M167" s="619"/>
      <c r="N167" s="619"/>
      <c r="O167" s="619"/>
      <c r="P167" s="619"/>
      <c r="Q167" s="619"/>
      <c r="R167" s="619"/>
      <c r="S167" s="619"/>
      <c r="T167" s="619"/>
      <c r="U167" s="619"/>
      <c r="V167" s="619"/>
      <c r="W167" s="619"/>
      <c r="X167" s="619"/>
      <c r="Y167" s="619"/>
      <c r="Z167" s="619"/>
      <c r="AA167" s="1578"/>
      <c r="AB167" s="619"/>
      <c r="AC167" s="619"/>
      <c r="AD167" s="619"/>
      <c r="AE167" s="619"/>
      <c r="AF167" s="619"/>
      <c r="AG167" s="1720"/>
    </row>
    <row r="168" spans="1:33" x14ac:dyDescent="0.2">
      <c r="A168" s="1607"/>
      <c r="B168" s="1606" t="s">
        <v>959</v>
      </c>
      <c r="C168" s="619"/>
      <c r="D168" s="619"/>
      <c r="E168" s="619"/>
      <c r="F168" s="619"/>
      <c r="G168" s="619"/>
      <c r="H168" s="619"/>
      <c r="I168" s="619"/>
      <c r="J168" s="619"/>
      <c r="K168" s="619"/>
      <c r="L168" s="619"/>
      <c r="M168" s="619"/>
      <c r="N168" s="619"/>
      <c r="O168" s="619"/>
      <c r="P168" s="619"/>
      <c r="Q168" s="619"/>
      <c r="R168" s="619"/>
      <c r="S168" s="619"/>
      <c r="T168" s="619"/>
      <c r="U168" s="619"/>
      <c r="V168" s="619"/>
      <c r="W168" s="619"/>
      <c r="X168" s="619"/>
      <c r="Y168" s="619"/>
      <c r="Z168" s="619"/>
      <c r="AA168" s="1578"/>
      <c r="AB168" s="619"/>
      <c r="AC168" s="1687">
        <v>2085000</v>
      </c>
      <c r="AD168" s="1687">
        <v>1405000</v>
      </c>
      <c r="AE168" s="1687">
        <v>1470000</v>
      </c>
      <c r="AF168" s="1687">
        <v>755000</v>
      </c>
      <c r="AG168" s="1720"/>
    </row>
    <row r="169" spans="1:33" x14ac:dyDescent="0.2">
      <c r="A169" s="1607"/>
      <c r="B169" s="1606" t="s">
        <v>960</v>
      </c>
      <c r="C169" s="619"/>
      <c r="D169" s="619"/>
      <c r="E169" s="619"/>
      <c r="F169" s="619"/>
      <c r="G169" s="619"/>
      <c r="H169" s="619"/>
      <c r="I169" s="619"/>
      <c r="J169" s="619"/>
      <c r="K169" s="619"/>
      <c r="L169" s="619"/>
      <c r="M169" s="619"/>
      <c r="N169" s="619"/>
      <c r="O169" s="619"/>
      <c r="P169" s="619"/>
      <c r="Q169" s="619"/>
      <c r="R169" s="619"/>
      <c r="S169" s="619"/>
      <c r="T169" s="619"/>
      <c r="U169" s="619"/>
      <c r="V169" s="619"/>
      <c r="W169" s="619"/>
      <c r="X169" s="619"/>
      <c r="Y169" s="619"/>
      <c r="Z169" s="619"/>
      <c r="AA169" s="1578"/>
      <c r="AB169" s="619"/>
      <c r="AC169" s="1687">
        <v>283200</v>
      </c>
      <c r="AD169" s="1687">
        <v>182250</v>
      </c>
      <c r="AE169" s="1687">
        <v>112000</v>
      </c>
      <c r="AF169" s="1687">
        <v>37750</v>
      </c>
      <c r="AG169" s="1720"/>
    </row>
    <row r="170" spans="1:33" x14ac:dyDescent="0.2">
      <c r="B170" s="1606" t="s">
        <v>961</v>
      </c>
      <c r="C170" s="619"/>
      <c r="D170" s="619"/>
      <c r="E170" s="619"/>
      <c r="F170" s="619"/>
      <c r="G170" s="619"/>
      <c r="H170" s="619"/>
      <c r="I170" s="619"/>
      <c r="J170" s="619"/>
      <c r="K170" s="619"/>
      <c r="L170" s="619"/>
      <c r="M170" s="619"/>
      <c r="N170" s="619"/>
      <c r="O170" s="619"/>
      <c r="P170" s="619"/>
      <c r="Q170" s="619"/>
      <c r="R170" s="619"/>
      <c r="S170" s="619"/>
      <c r="T170" s="619"/>
      <c r="U170" s="619"/>
      <c r="V170" s="619"/>
      <c r="W170" s="619"/>
      <c r="X170" s="619"/>
      <c r="Y170" s="619"/>
      <c r="Z170" s="619"/>
      <c r="AA170" s="1578"/>
      <c r="AB170" s="619"/>
      <c r="AC170" s="1687">
        <v>1291498</v>
      </c>
      <c r="AD170" s="1687">
        <f>AC170</f>
        <v>1291498</v>
      </c>
      <c r="AE170" s="1687">
        <f>AD170</f>
        <v>1291498</v>
      </c>
      <c r="AF170" s="1687">
        <v>0</v>
      </c>
      <c r="AG170" s="1720"/>
    </row>
    <row r="171" spans="1:33" x14ac:dyDescent="0.2">
      <c r="B171" s="1606" t="s">
        <v>315</v>
      </c>
      <c r="C171" s="619"/>
      <c r="D171" s="619"/>
      <c r="E171" s="619"/>
      <c r="F171" s="619"/>
      <c r="G171" s="619"/>
      <c r="H171" s="619"/>
      <c r="I171" s="619"/>
      <c r="J171" s="619"/>
      <c r="K171" s="619"/>
      <c r="L171" s="619"/>
      <c r="M171" s="619"/>
      <c r="N171" s="619"/>
      <c r="O171" s="619"/>
      <c r="P171" s="619"/>
      <c r="Q171" s="619"/>
      <c r="R171" s="619"/>
      <c r="S171" s="619"/>
      <c r="T171" s="619"/>
      <c r="U171" s="619"/>
      <c r="V171" s="619"/>
      <c r="W171" s="619"/>
      <c r="X171" s="619"/>
      <c r="Y171" s="619"/>
      <c r="Z171" s="619"/>
      <c r="AA171" s="1578"/>
      <c r="AB171" s="619"/>
      <c r="AC171" s="1687">
        <f>AC168+AC169-AC170</f>
        <v>1076702</v>
      </c>
      <c r="AD171" s="1687">
        <f>AD168+AD169-AD170</f>
        <v>295752</v>
      </c>
      <c r="AE171" s="1687">
        <f>AE168+AE169-AE170</f>
        <v>290502</v>
      </c>
      <c r="AF171" s="1687">
        <f>AF168+AF169-AF170</f>
        <v>792750</v>
      </c>
      <c r="AG171" s="1720"/>
    </row>
    <row r="172" spans="1:33" x14ac:dyDescent="0.2">
      <c r="A172" s="1607" t="s">
        <v>554</v>
      </c>
      <c r="B172" s="1606" t="s">
        <v>971</v>
      </c>
      <c r="C172" s="1690">
        <v>0.28849999999999998</v>
      </c>
      <c r="D172" s="619"/>
      <c r="E172" s="619"/>
      <c r="F172" s="619"/>
      <c r="G172" s="619"/>
      <c r="H172" s="619"/>
      <c r="I172" s="619"/>
      <c r="J172" s="619"/>
      <c r="K172" s="619"/>
      <c r="L172" s="619"/>
      <c r="M172" s="619"/>
      <c r="N172" s="619"/>
      <c r="O172" s="619"/>
      <c r="P172" s="619"/>
      <c r="Q172" s="619"/>
      <c r="R172" s="619"/>
      <c r="S172" s="619"/>
      <c r="T172" s="619"/>
      <c r="U172" s="619"/>
      <c r="V172" s="619"/>
      <c r="W172" s="619"/>
      <c r="X172" s="619"/>
      <c r="Y172" s="619"/>
      <c r="Z172" s="619"/>
      <c r="AA172" s="1578"/>
      <c r="AB172" s="619"/>
      <c r="AC172" s="1687">
        <f>BUDGET!AJ437</f>
        <v>285306</v>
      </c>
      <c r="AD172" s="1687">
        <f>AD171*$C172</f>
        <v>85324.45199999999</v>
      </c>
      <c r="AE172" s="1687">
        <f>AE171*$C172</f>
        <v>83809.82699999999</v>
      </c>
      <c r="AF172" s="1687">
        <f>AF171*$C172</f>
        <v>228708.37499999997</v>
      </c>
      <c r="AG172" s="1720"/>
    </row>
    <row r="173" spans="1:33" x14ac:dyDescent="0.2">
      <c r="B173" s="619"/>
      <c r="C173" s="619"/>
      <c r="D173" s="619"/>
      <c r="E173" s="619"/>
      <c r="F173" s="619"/>
      <c r="G173" s="619"/>
      <c r="H173" s="619"/>
      <c r="I173" s="619"/>
      <c r="J173" s="619"/>
      <c r="K173" s="619"/>
      <c r="L173" s="619"/>
      <c r="M173" s="619"/>
      <c r="N173" s="619"/>
      <c r="O173" s="619"/>
      <c r="P173" s="619"/>
      <c r="Q173" s="619"/>
      <c r="R173" s="619"/>
      <c r="S173" s="619"/>
      <c r="T173" s="619"/>
      <c r="U173" s="619"/>
      <c r="V173" s="619"/>
      <c r="W173" s="619"/>
      <c r="X173" s="619"/>
      <c r="Y173" s="619"/>
      <c r="Z173" s="619"/>
      <c r="AA173" s="1578"/>
      <c r="AB173" s="619"/>
      <c r="AC173" s="619"/>
      <c r="AD173" s="619"/>
      <c r="AE173" s="619"/>
      <c r="AF173" s="619"/>
      <c r="AG173" s="1720"/>
    </row>
    <row r="174" spans="1:33" x14ac:dyDescent="0.2">
      <c r="B174" s="619"/>
      <c r="C174" s="619"/>
      <c r="D174" s="619"/>
      <c r="E174" s="619"/>
      <c r="F174" s="619"/>
      <c r="G174" s="619"/>
      <c r="H174" s="619"/>
      <c r="I174" s="619"/>
      <c r="J174" s="619"/>
      <c r="K174" s="619"/>
      <c r="L174" s="619"/>
      <c r="M174" s="619"/>
      <c r="N174" s="619"/>
      <c r="O174" s="619"/>
      <c r="P174" s="619"/>
      <c r="Q174" s="619"/>
      <c r="R174" s="619"/>
      <c r="S174" s="619"/>
      <c r="T174" s="619"/>
      <c r="U174" s="619"/>
      <c r="V174" s="619"/>
      <c r="W174" s="619"/>
      <c r="X174" s="619"/>
      <c r="Y174" s="619"/>
      <c r="Z174" s="619"/>
      <c r="AA174" s="1578"/>
      <c r="AB174" s="619"/>
      <c r="AC174" s="619"/>
      <c r="AD174" s="619"/>
      <c r="AE174" s="619"/>
      <c r="AF174" s="619"/>
      <c r="AG174" s="1720"/>
    </row>
    <row r="175" spans="1:33" x14ac:dyDescent="0.2">
      <c r="B175" s="619"/>
      <c r="C175" s="619"/>
      <c r="D175" s="619"/>
      <c r="E175" s="619"/>
      <c r="F175" s="619"/>
      <c r="G175" s="619"/>
      <c r="H175" s="619"/>
      <c r="I175" s="619"/>
      <c r="J175" s="619"/>
      <c r="K175" s="619"/>
      <c r="L175" s="619"/>
      <c r="M175" s="619"/>
      <c r="N175" s="619"/>
      <c r="O175" s="619"/>
      <c r="P175" s="619"/>
      <c r="Q175" s="619"/>
      <c r="R175" s="619"/>
      <c r="S175" s="619"/>
      <c r="T175" s="619"/>
      <c r="U175" s="619"/>
      <c r="V175" s="619"/>
      <c r="W175" s="619"/>
      <c r="X175" s="619"/>
      <c r="Y175" s="619"/>
      <c r="Z175" s="619"/>
      <c r="AA175" s="1578"/>
      <c r="AB175" s="619"/>
      <c r="AC175" s="619"/>
      <c r="AD175" s="619"/>
      <c r="AE175" s="619"/>
      <c r="AF175" s="619"/>
      <c r="AG175" s="1720"/>
    </row>
    <row r="176" spans="1:33" x14ac:dyDescent="0.2">
      <c r="AC176" s="663"/>
    </row>
    <row r="177" spans="1:36" x14ac:dyDescent="0.2">
      <c r="AC177" s="663"/>
    </row>
    <row r="178" spans="1:36" x14ac:dyDescent="0.2">
      <c r="AC178" s="663"/>
    </row>
    <row r="179" spans="1:36" x14ac:dyDescent="0.2">
      <c r="A179" s="631" t="s">
        <v>554</v>
      </c>
      <c r="B179" s="661" t="s">
        <v>586</v>
      </c>
      <c r="C179" s="616" t="s">
        <v>582</v>
      </c>
      <c r="D179" s="616" t="s">
        <v>587</v>
      </c>
      <c r="F179" s="616" t="s">
        <v>588</v>
      </c>
      <c r="G179" s="616" t="s">
        <v>588</v>
      </c>
      <c r="H179" s="616" t="s">
        <v>588</v>
      </c>
      <c r="I179" s="616" t="s">
        <v>588</v>
      </c>
      <c r="J179" s="616" t="s">
        <v>588</v>
      </c>
      <c r="K179" s="616" t="s">
        <v>588</v>
      </c>
      <c r="L179" s="616" t="s">
        <v>588</v>
      </c>
      <c r="M179" s="616" t="s">
        <v>588</v>
      </c>
      <c r="N179" s="616" t="s">
        <v>588</v>
      </c>
      <c r="AC179" s="631"/>
      <c r="AD179" s="631">
        <v>0</v>
      </c>
      <c r="AE179" s="616">
        <f t="shared" ref="AE179:AE180" si="28">AD179-AC179</f>
        <v>0</v>
      </c>
    </row>
    <row r="180" spans="1:36" x14ac:dyDescent="0.2">
      <c r="A180" s="631" t="s">
        <v>554</v>
      </c>
      <c r="B180" s="661" t="s">
        <v>467</v>
      </c>
      <c r="C180" s="616" t="s">
        <v>218</v>
      </c>
      <c r="D180" s="616" t="s">
        <v>361</v>
      </c>
      <c r="E180" s="618" t="s">
        <v>362</v>
      </c>
      <c r="F180" s="616">
        <v>2019</v>
      </c>
      <c r="G180" s="616">
        <v>2020</v>
      </c>
      <c r="H180" s="616">
        <v>2021</v>
      </c>
      <c r="I180" s="616">
        <v>2022</v>
      </c>
      <c r="J180" s="616">
        <v>2023</v>
      </c>
      <c r="K180" s="616">
        <v>2024</v>
      </c>
      <c r="L180" s="616">
        <v>2025</v>
      </c>
      <c r="M180" s="616">
        <v>2026</v>
      </c>
      <c r="N180" s="616">
        <v>2027</v>
      </c>
      <c r="AC180" s="631">
        <v>0</v>
      </c>
      <c r="AD180" s="631">
        <v>0</v>
      </c>
      <c r="AE180" s="616">
        <f t="shared" si="28"/>
        <v>0</v>
      </c>
    </row>
    <row r="181" spans="1:36" x14ac:dyDescent="0.2">
      <c r="A181" s="631" t="s">
        <v>554</v>
      </c>
      <c r="B181" s="661" t="s">
        <v>1067</v>
      </c>
      <c r="C181" s="616">
        <v>740700</v>
      </c>
      <c r="E181" s="618">
        <v>9</v>
      </c>
      <c r="F181" s="616">
        <v>90000</v>
      </c>
      <c r="G181" s="616">
        <v>90000</v>
      </c>
      <c r="H181" s="616">
        <v>0</v>
      </c>
      <c r="AB181" s="616">
        <v>90000</v>
      </c>
      <c r="AC181" s="631">
        <v>90000</v>
      </c>
      <c r="AD181" s="631">
        <v>0</v>
      </c>
    </row>
    <row r="182" spans="1:36" x14ac:dyDescent="0.2">
      <c r="A182" s="631" t="s">
        <v>554</v>
      </c>
      <c r="B182" s="661" t="s">
        <v>156</v>
      </c>
      <c r="C182" s="616">
        <v>649000</v>
      </c>
      <c r="E182" s="618">
        <v>7</v>
      </c>
      <c r="F182" s="616">
        <v>0</v>
      </c>
      <c r="G182" s="616">
        <v>0</v>
      </c>
      <c r="H182" s="616">
        <v>0</v>
      </c>
      <c r="AB182" s="616">
        <v>0</v>
      </c>
      <c r="AC182" s="656">
        <v>0</v>
      </c>
      <c r="AD182" s="656">
        <v>0</v>
      </c>
    </row>
    <row r="183" spans="1:36" x14ac:dyDescent="0.2">
      <c r="A183" s="631" t="s">
        <v>554</v>
      </c>
      <c r="B183" s="657" t="s">
        <v>948</v>
      </c>
      <c r="C183" s="616">
        <v>765000</v>
      </c>
      <c r="E183" s="618">
        <v>10</v>
      </c>
      <c r="F183" s="616">
        <v>80000</v>
      </c>
      <c r="G183" s="616">
        <v>85000</v>
      </c>
      <c r="H183" s="616">
        <v>80000</v>
      </c>
      <c r="AB183" s="616">
        <v>80000</v>
      </c>
      <c r="AC183" s="631">
        <v>85000</v>
      </c>
      <c r="AD183" s="631">
        <v>80000</v>
      </c>
    </row>
    <row r="184" spans="1:36" x14ac:dyDescent="0.2">
      <c r="A184" s="662" t="s">
        <v>554</v>
      </c>
      <c r="B184" s="6" t="s">
        <v>1068</v>
      </c>
      <c r="C184" s="616">
        <v>98000</v>
      </c>
      <c r="E184" s="618">
        <v>4</v>
      </c>
      <c r="AC184" s="6"/>
      <c r="AD184" s="6"/>
    </row>
    <row r="185" spans="1:36" x14ac:dyDescent="0.2">
      <c r="A185" s="662" t="s">
        <v>554</v>
      </c>
      <c r="B185" s="6" t="s">
        <v>399</v>
      </c>
      <c r="C185" s="616">
        <v>400000</v>
      </c>
      <c r="E185" s="618">
        <v>10</v>
      </c>
      <c r="F185" s="616">
        <v>40000</v>
      </c>
      <c r="G185" s="616">
        <v>40000</v>
      </c>
      <c r="H185" s="616">
        <v>40000</v>
      </c>
      <c r="AB185" s="616">
        <v>40000</v>
      </c>
      <c r="AC185" s="6">
        <v>40000</v>
      </c>
      <c r="AD185" s="6">
        <v>40000</v>
      </c>
    </row>
    <row r="186" spans="1:36" x14ac:dyDescent="0.2">
      <c r="A186" s="662" t="s">
        <v>554</v>
      </c>
      <c r="B186" s="6" t="s">
        <v>671</v>
      </c>
      <c r="C186" s="616">
        <v>267000</v>
      </c>
      <c r="E186" s="618">
        <v>10</v>
      </c>
      <c r="F186" s="616">
        <v>30000</v>
      </c>
      <c r="G186" s="616">
        <v>30000</v>
      </c>
      <c r="H186" s="616">
        <v>25000</v>
      </c>
      <c r="I186" s="616">
        <v>30000</v>
      </c>
      <c r="AB186" s="616">
        <v>30000</v>
      </c>
      <c r="AC186" s="6">
        <v>30000</v>
      </c>
      <c r="AD186" s="6">
        <v>25000</v>
      </c>
      <c r="AE186" s="616">
        <v>30000</v>
      </c>
      <c r="AF186" s="2203"/>
      <c r="AH186" s="616"/>
      <c r="AI186" s="616"/>
    </row>
    <row r="187" spans="1:36" x14ac:dyDescent="0.2">
      <c r="A187" s="631" t="s">
        <v>554</v>
      </c>
      <c r="B187" s="670" t="s">
        <v>790</v>
      </c>
      <c r="C187" s="616">
        <v>1543000</v>
      </c>
      <c r="E187" s="618">
        <v>10</v>
      </c>
      <c r="F187" s="616">
        <v>160000</v>
      </c>
      <c r="G187" s="616">
        <v>170000</v>
      </c>
      <c r="H187" s="616">
        <v>165000</v>
      </c>
      <c r="I187" s="616">
        <v>165000</v>
      </c>
      <c r="AB187" s="616">
        <v>160000</v>
      </c>
      <c r="AC187" s="663">
        <v>170000</v>
      </c>
      <c r="AD187" s="663">
        <v>165000</v>
      </c>
      <c r="AE187" s="616">
        <v>165000</v>
      </c>
      <c r="AH187" s="616"/>
      <c r="AI187" s="616"/>
    </row>
    <row r="188" spans="1:36" x14ac:dyDescent="0.2">
      <c r="A188" s="1593" t="s">
        <v>554</v>
      </c>
      <c r="B188" s="1609" t="s">
        <v>791</v>
      </c>
      <c r="C188" s="616">
        <v>70000</v>
      </c>
      <c r="E188" s="618">
        <v>7</v>
      </c>
      <c r="F188" s="616">
        <v>10000</v>
      </c>
      <c r="G188" s="616">
        <v>0</v>
      </c>
      <c r="H188" s="616">
        <v>0</v>
      </c>
      <c r="I188" s="616">
        <v>0</v>
      </c>
      <c r="AB188" s="616">
        <v>10000</v>
      </c>
      <c r="AC188" s="663">
        <v>0</v>
      </c>
      <c r="AD188" s="663">
        <v>0</v>
      </c>
      <c r="AE188" s="616">
        <v>0</v>
      </c>
    </row>
    <row r="189" spans="1:36" x14ac:dyDescent="0.2">
      <c r="A189" s="1593" t="s">
        <v>554</v>
      </c>
      <c r="B189" s="1595" t="s">
        <v>906</v>
      </c>
      <c r="C189" s="616">
        <v>1487000</v>
      </c>
      <c r="E189" s="618">
        <v>25</v>
      </c>
      <c r="F189" s="616">
        <v>37000</v>
      </c>
      <c r="G189" s="616">
        <v>40000</v>
      </c>
      <c r="H189" s="616">
        <v>40000</v>
      </c>
      <c r="I189" s="616">
        <v>45000</v>
      </c>
      <c r="J189" s="616">
        <v>45000</v>
      </c>
      <c r="K189" s="616">
        <v>45000</v>
      </c>
      <c r="L189" s="616">
        <v>50000</v>
      </c>
      <c r="M189" s="616">
        <v>50000</v>
      </c>
      <c r="N189" s="616">
        <v>50000</v>
      </c>
      <c r="AB189" s="616">
        <v>37000</v>
      </c>
      <c r="AC189" s="663">
        <v>40000</v>
      </c>
      <c r="AD189" s="663">
        <v>40000</v>
      </c>
      <c r="AE189" s="616">
        <v>45000</v>
      </c>
      <c r="AF189" s="616">
        <v>45000</v>
      </c>
      <c r="AG189" s="1707">
        <v>45000</v>
      </c>
      <c r="AH189" s="616">
        <v>50000</v>
      </c>
      <c r="AI189" s="616">
        <v>50000</v>
      </c>
      <c r="AJ189" s="616">
        <v>50000</v>
      </c>
    </row>
    <row r="190" spans="1:36" x14ac:dyDescent="0.2">
      <c r="A190" s="1593" t="s">
        <v>554</v>
      </c>
      <c r="B190" s="1596" t="s">
        <v>962</v>
      </c>
      <c r="C190" s="616">
        <v>5800000</v>
      </c>
      <c r="E190" s="618">
        <v>25</v>
      </c>
      <c r="G190" s="616">
        <v>135000</v>
      </c>
      <c r="H190" s="616">
        <v>140000</v>
      </c>
      <c r="I190" s="616">
        <v>145000</v>
      </c>
      <c r="J190" s="616">
        <v>155000</v>
      </c>
      <c r="K190" s="616">
        <v>160000</v>
      </c>
      <c r="L190" s="616">
        <v>170000</v>
      </c>
      <c r="M190" s="616">
        <v>180000</v>
      </c>
      <c r="N190" s="616">
        <v>190000</v>
      </c>
      <c r="AC190" s="663">
        <v>135000</v>
      </c>
      <c r="AD190" s="663">
        <v>140000</v>
      </c>
      <c r="AE190" s="616">
        <v>145000</v>
      </c>
      <c r="AF190" s="616">
        <v>155000</v>
      </c>
      <c r="AG190" s="1707">
        <v>160000</v>
      </c>
      <c r="AH190" s="616">
        <v>170000</v>
      </c>
      <c r="AI190" s="616">
        <v>180000</v>
      </c>
      <c r="AJ190" s="616">
        <v>190000</v>
      </c>
    </row>
    <row r="191" spans="1:36" x14ac:dyDescent="0.2">
      <c r="A191" s="631" t="s">
        <v>554</v>
      </c>
      <c r="B191" s="661" t="s">
        <v>908</v>
      </c>
      <c r="C191" s="616">
        <v>3246000</v>
      </c>
      <c r="E191" s="618">
        <v>19</v>
      </c>
      <c r="G191" s="616">
        <v>56000</v>
      </c>
      <c r="H191" s="616">
        <v>60000</v>
      </c>
      <c r="I191" s="616">
        <v>140000</v>
      </c>
      <c r="J191" s="616">
        <v>150000</v>
      </c>
      <c r="K191" s="616">
        <v>160000</v>
      </c>
      <c r="L191" s="616">
        <v>165000</v>
      </c>
      <c r="M191" s="616">
        <v>175000</v>
      </c>
      <c r="N191" s="616">
        <v>190000</v>
      </c>
      <c r="AC191" s="631">
        <v>56000</v>
      </c>
      <c r="AD191" s="656">
        <v>60000</v>
      </c>
      <c r="AE191" s="616">
        <v>140000</v>
      </c>
      <c r="AF191" s="616">
        <v>150000</v>
      </c>
      <c r="AG191" s="1707">
        <v>160000</v>
      </c>
      <c r="AH191" s="616">
        <v>165000</v>
      </c>
      <c r="AI191" s="616">
        <v>175000</v>
      </c>
      <c r="AJ191" s="616">
        <v>190000</v>
      </c>
    </row>
    <row r="192" spans="1:36" x14ac:dyDescent="0.2">
      <c r="A192" s="631" t="s">
        <v>554</v>
      </c>
      <c r="B192" s="661" t="s">
        <v>767</v>
      </c>
      <c r="C192" s="616">
        <v>2182000</v>
      </c>
      <c r="D192" s="616">
        <v>2.2200000000000001E-2</v>
      </c>
      <c r="E192" s="618">
        <v>25</v>
      </c>
      <c r="H192" s="616">
        <v>55000</v>
      </c>
      <c r="I192" s="616">
        <v>55000</v>
      </c>
      <c r="J192" s="616">
        <v>60000</v>
      </c>
      <c r="K192" s="616">
        <v>65000</v>
      </c>
      <c r="L192" s="616">
        <v>65000</v>
      </c>
      <c r="M192" s="616">
        <v>70000</v>
      </c>
      <c r="N192" s="616">
        <v>75000</v>
      </c>
      <c r="AC192" s="656"/>
      <c r="AD192" s="656">
        <v>55000</v>
      </c>
      <c r="AE192" s="616">
        <v>55000</v>
      </c>
      <c r="AF192" s="616">
        <v>60000</v>
      </c>
      <c r="AG192" s="1707">
        <v>65000</v>
      </c>
      <c r="AH192" s="616">
        <v>65000</v>
      </c>
      <c r="AI192" s="616">
        <v>70000</v>
      </c>
      <c r="AJ192" s="616">
        <v>75000</v>
      </c>
    </row>
    <row r="193" spans="1:36" x14ac:dyDescent="0.2">
      <c r="A193" s="631" t="s">
        <v>554</v>
      </c>
      <c r="B193" s="661" t="s">
        <v>1012</v>
      </c>
      <c r="C193" s="616">
        <v>1665000</v>
      </c>
      <c r="D193" s="616">
        <v>2.2200000000000002</v>
      </c>
      <c r="E193" s="618">
        <v>20</v>
      </c>
      <c r="H193" s="616">
        <v>65000</v>
      </c>
      <c r="I193" s="616">
        <v>70000</v>
      </c>
      <c r="J193" s="616">
        <v>70000</v>
      </c>
      <c r="K193" s="616">
        <v>75000</v>
      </c>
      <c r="L193" s="616">
        <v>80000</v>
      </c>
      <c r="M193" s="616">
        <v>80000</v>
      </c>
      <c r="N193" s="616">
        <v>85000</v>
      </c>
      <c r="AC193" s="631"/>
      <c r="AD193" s="631">
        <v>65000</v>
      </c>
      <c r="AE193" s="616">
        <v>70000</v>
      </c>
      <c r="AF193" s="616">
        <v>70000</v>
      </c>
      <c r="AG193" s="1707">
        <v>75000</v>
      </c>
      <c r="AH193" s="619">
        <v>80000</v>
      </c>
      <c r="AI193" s="619">
        <v>80000</v>
      </c>
      <c r="AJ193" s="616">
        <v>85000</v>
      </c>
    </row>
    <row r="194" spans="1:36" x14ac:dyDescent="0.2">
      <c r="A194" s="631" t="s">
        <v>554</v>
      </c>
      <c r="B194" s="661" t="s">
        <v>1067</v>
      </c>
      <c r="C194" s="616">
        <v>109296</v>
      </c>
      <c r="E194" s="618">
        <v>9</v>
      </c>
      <c r="F194" s="616">
        <v>5400</v>
      </c>
      <c r="G194" s="616">
        <v>2700</v>
      </c>
      <c r="H194" s="616">
        <v>0</v>
      </c>
      <c r="AB194" s="616">
        <v>5400</v>
      </c>
      <c r="AC194" s="656">
        <v>2700</v>
      </c>
      <c r="AD194" s="656">
        <v>0</v>
      </c>
    </row>
    <row r="195" spans="1:36" x14ac:dyDescent="0.2">
      <c r="A195" s="1610" t="s">
        <v>554</v>
      </c>
      <c r="B195" s="657" t="s">
        <v>156</v>
      </c>
      <c r="C195" s="616">
        <v>73945</v>
      </c>
      <c r="E195" s="618">
        <v>7</v>
      </c>
      <c r="F195" s="616">
        <v>0</v>
      </c>
      <c r="G195" s="616">
        <v>0</v>
      </c>
      <c r="H195" s="616">
        <v>0</v>
      </c>
      <c r="AB195" s="616">
        <v>0</v>
      </c>
      <c r="AC195" s="631">
        <v>0</v>
      </c>
      <c r="AD195" s="631">
        <v>0</v>
      </c>
    </row>
    <row r="196" spans="1:36" x14ac:dyDescent="0.2">
      <c r="A196" s="1611" t="s">
        <v>554</v>
      </c>
      <c r="B196" s="6" t="s">
        <v>948</v>
      </c>
      <c r="C196" s="616">
        <v>127200</v>
      </c>
      <c r="E196" s="618">
        <v>10</v>
      </c>
      <c r="F196" s="616">
        <v>7510</v>
      </c>
      <c r="G196" s="616">
        <v>5110</v>
      </c>
      <c r="H196" s="616">
        <v>2560</v>
      </c>
      <c r="AB196" s="616">
        <v>7510</v>
      </c>
      <c r="AC196" s="6">
        <v>5110</v>
      </c>
      <c r="AD196" s="6">
        <v>2560</v>
      </c>
    </row>
    <row r="197" spans="1:36" x14ac:dyDescent="0.2">
      <c r="A197" s="1611" t="s">
        <v>554</v>
      </c>
      <c r="B197" s="6" t="s">
        <v>1068</v>
      </c>
      <c r="C197" s="616">
        <v>9190</v>
      </c>
      <c r="E197" s="618">
        <v>4</v>
      </c>
      <c r="F197" s="616">
        <v>0</v>
      </c>
      <c r="G197" s="616">
        <v>0</v>
      </c>
      <c r="H197" s="616">
        <v>0</v>
      </c>
      <c r="AB197" s="616">
        <v>0</v>
      </c>
      <c r="AC197" s="6">
        <v>0</v>
      </c>
      <c r="AD197" s="6">
        <v>0</v>
      </c>
    </row>
    <row r="198" spans="1:36" x14ac:dyDescent="0.2">
      <c r="A198" s="1611" t="s">
        <v>554</v>
      </c>
      <c r="B198" s="6" t="s">
        <v>399</v>
      </c>
      <c r="C198" s="616">
        <v>65160</v>
      </c>
      <c r="E198" s="618">
        <v>10</v>
      </c>
      <c r="F198" s="616">
        <v>3680</v>
      </c>
      <c r="G198" s="616">
        <v>2480</v>
      </c>
      <c r="H198" s="616">
        <v>1280</v>
      </c>
      <c r="M198" s="616">
        <v>760</v>
      </c>
      <c r="N198" s="616">
        <v>65160</v>
      </c>
      <c r="AB198" s="616">
        <v>3680</v>
      </c>
      <c r="AC198" s="6">
        <v>2480</v>
      </c>
      <c r="AD198" s="6">
        <v>1280</v>
      </c>
      <c r="AI198" s="619">
        <v>760</v>
      </c>
      <c r="AJ198" s="616">
        <v>65160</v>
      </c>
    </row>
    <row r="199" spans="1:36" x14ac:dyDescent="0.2">
      <c r="A199" s="663" t="s">
        <v>554</v>
      </c>
      <c r="B199" s="670" t="s">
        <v>671</v>
      </c>
      <c r="C199" s="616">
        <v>40060.11</v>
      </c>
      <c r="E199" s="618">
        <v>10</v>
      </c>
      <c r="F199" s="616">
        <v>2900</v>
      </c>
      <c r="G199" s="616">
        <v>1700</v>
      </c>
      <c r="H199" s="616">
        <v>1100</v>
      </c>
      <c r="I199" s="616">
        <v>600</v>
      </c>
      <c r="N199" s="616">
        <v>40060.11</v>
      </c>
      <c r="AB199" s="616">
        <v>2900</v>
      </c>
      <c r="AC199" s="663">
        <v>1700</v>
      </c>
      <c r="AD199" s="663">
        <v>1100</v>
      </c>
      <c r="AE199" s="616">
        <v>600</v>
      </c>
      <c r="AJ199" s="616">
        <v>40060.11</v>
      </c>
    </row>
    <row r="200" spans="1:36" x14ac:dyDescent="0.2">
      <c r="A200" s="1545" t="s">
        <v>554</v>
      </c>
      <c r="B200" s="1609" t="s">
        <v>784</v>
      </c>
      <c r="C200" s="616">
        <v>228175.31</v>
      </c>
      <c r="E200" s="618">
        <v>10</v>
      </c>
      <c r="F200" s="616">
        <v>16400</v>
      </c>
      <c r="G200" s="616">
        <v>10000</v>
      </c>
      <c r="H200" s="616">
        <v>6600</v>
      </c>
      <c r="I200" s="616">
        <v>3300</v>
      </c>
      <c r="N200" s="616">
        <v>228175.31</v>
      </c>
      <c r="AB200" s="616">
        <v>16400</v>
      </c>
      <c r="AC200" s="663">
        <v>10000</v>
      </c>
      <c r="AD200" s="663">
        <v>6600</v>
      </c>
      <c r="AE200" s="616">
        <v>3300</v>
      </c>
      <c r="AJ200" s="616">
        <v>228175.31</v>
      </c>
    </row>
    <row r="201" spans="1:36" x14ac:dyDescent="0.2">
      <c r="A201" s="1545" t="s">
        <v>554</v>
      </c>
      <c r="B201" s="1595" t="s">
        <v>791</v>
      </c>
      <c r="C201" s="616">
        <v>9005.83</v>
      </c>
      <c r="E201" s="618">
        <v>7</v>
      </c>
      <c r="F201" s="616">
        <v>400</v>
      </c>
      <c r="G201" s="616">
        <v>0</v>
      </c>
      <c r="H201" s="616">
        <v>0</v>
      </c>
      <c r="I201" s="616">
        <v>0</v>
      </c>
      <c r="N201" s="616">
        <v>9005.83</v>
      </c>
      <c r="AB201" s="616">
        <v>400</v>
      </c>
      <c r="AC201" s="663">
        <v>0</v>
      </c>
      <c r="AD201" s="663">
        <v>0</v>
      </c>
      <c r="AE201" s="616">
        <v>0</v>
      </c>
      <c r="AJ201" s="616">
        <v>9005.83</v>
      </c>
    </row>
    <row r="202" spans="1:36" x14ac:dyDescent="0.2">
      <c r="A202" s="1545" t="s">
        <v>554</v>
      </c>
      <c r="B202" s="1596" t="s">
        <v>906</v>
      </c>
      <c r="C202" s="616">
        <v>300438.65999999997</v>
      </c>
      <c r="E202" s="618">
        <v>25</v>
      </c>
      <c r="F202" s="616">
        <v>47123.76</v>
      </c>
      <c r="G202" s="616">
        <v>45968.76</v>
      </c>
      <c r="H202" s="616">
        <v>44768.76</v>
      </c>
      <c r="I202" s="616">
        <v>43493.760000000002</v>
      </c>
      <c r="J202" s="616">
        <v>41918.76</v>
      </c>
      <c r="K202" s="616">
        <v>40118.76</v>
      </c>
      <c r="L202" s="616">
        <v>38218.76</v>
      </c>
      <c r="M202" s="616">
        <v>36218.76</v>
      </c>
      <c r="N202" s="616">
        <v>34468.76</v>
      </c>
      <c r="AB202" s="616">
        <v>47123.76</v>
      </c>
      <c r="AC202" s="663">
        <v>45968.76</v>
      </c>
      <c r="AD202" s="663">
        <v>44768.76</v>
      </c>
      <c r="AE202" s="616">
        <v>43493.760000000002</v>
      </c>
      <c r="AF202" s="616">
        <v>41918.76</v>
      </c>
      <c r="AG202" s="1707">
        <v>40118.76</v>
      </c>
      <c r="AH202" s="616">
        <v>38218.76</v>
      </c>
      <c r="AI202" s="616">
        <v>36218.76</v>
      </c>
      <c r="AJ202" s="616">
        <v>34468.76</v>
      </c>
    </row>
    <row r="203" spans="1:36" x14ac:dyDescent="0.2">
      <c r="A203" s="616" t="s">
        <v>554</v>
      </c>
      <c r="B203" s="685" t="s">
        <v>962</v>
      </c>
      <c r="C203" s="616">
        <v>5800000</v>
      </c>
      <c r="E203" s="618">
        <v>25</v>
      </c>
      <c r="G203" s="616">
        <v>220437.5</v>
      </c>
      <c r="H203" s="616">
        <v>213687.5</v>
      </c>
      <c r="I203" s="616">
        <v>206687.5</v>
      </c>
      <c r="J203" s="616">
        <v>199437.5</v>
      </c>
      <c r="K203" s="616">
        <v>191687.5</v>
      </c>
      <c r="L203" s="616">
        <v>183687.5</v>
      </c>
      <c r="M203" s="616">
        <v>175187.5</v>
      </c>
      <c r="N203" s="616">
        <v>166187.5</v>
      </c>
      <c r="AC203" s="635">
        <v>220437.5</v>
      </c>
      <c r="AD203" s="616">
        <v>213687.5</v>
      </c>
      <c r="AE203" s="616">
        <v>206687.5</v>
      </c>
      <c r="AF203" s="616">
        <v>199437.5</v>
      </c>
      <c r="AG203" s="1707">
        <v>191687.5</v>
      </c>
      <c r="AH203" s="616">
        <v>183687.5</v>
      </c>
      <c r="AI203" s="616">
        <v>175187.5</v>
      </c>
      <c r="AJ203" s="616">
        <v>166187.5</v>
      </c>
    </row>
    <row r="204" spans="1:36" x14ac:dyDescent="0.2">
      <c r="A204" s="1610" t="s">
        <v>554</v>
      </c>
      <c r="B204" s="1516" t="s">
        <v>908</v>
      </c>
      <c r="C204" s="616">
        <v>3246000</v>
      </c>
      <c r="E204" s="618">
        <v>19</v>
      </c>
      <c r="G204" s="616">
        <v>131075</v>
      </c>
      <c r="H204" s="616">
        <v>128275</v>
      </c>
      <c r="I204" s="616">
        <v>125275</v>
      </c>
      <c r="J204" s="616">
        <v>118275</v>
      </c>
      <c r="K204" s="616">
        <v>110775</v>
      </c>
      <c r="L204" s="616">
        <v>102775</v>
      </c>
      <c r="M204" s="616">
        <v>94525</v>
      </c>
      <c r="N204" s="616">
        <v>85775</v>
      </c>
      <c r="AC204" s="635">
        <v>131075</v>
      </c>
      <c r="AD204" s="616">
        <v>128275</v>
      </c>
      <c r="AE204" s="616">
        <v>125275</v>
      </c>
      <c r="AF204" s="616">
        <v>118275</v>
      </c>
      <c r="AG204" s="1707">
        <v>110775</v>
      </c>
      <c r="AH204" s="616">
        <v>102775</v>
      </c>
      <c r="AI204" s="616">
        <v>94525</v>
      </c>
      <c r="AJ204" s="616">
        <v>85775</v>
      </c>
    </row>
    <row r="205" spans="1:36" x14ac:dyDescent="0.2">
      <c r="A205" s="616" t="s">
        <v>554</v>
      </c>
      <c r="B205" s="688" t="s">
        <v>767</v>
      </c>
      <c r="C205" s="616">
        <v>2182000</v>
      </c>
      <c r="D205" s="616">
        <v>2.2229700000000002E-2</v>
      </c>
      <c r="E205" s="618">
        <v>25</v>
      </c>
      <c r="G205" s="616">
        <v>33238.35</v>
      </c>
      <c r="H205" s="616">
        <v>67394</v>
      </c>
      <c r="I205" s="616">
        <v>64644</v>
      </c>
      <c r="J205" s="616">
        <v>61769</v>
      </c>
      <c r="K205" s="616">
        <v>58644</v>
      </c>
      <c r="L205" s="616">
        <v>55394</v>
      </c>
      <c r="M205" s="616">
        <v>52019</v>
      </c>
      <c r="N205" s="616">
        <v>48394</v>
      </c>
      <c r="AC205" s="635">
        <v>33238.35</v>
      </c>
      <c r="AD205" s="616">
        <v>67394</v>
      </c>
      <c r="AE205" s="616">
        <v>64644</v>
      </c>
      <c r="AF205" s="616">
        <v>61769</v>
      </c>
      <c r="AG205" s="1707">
        <v>58644</v>
      </c>
      <c r="AH205" s="616">
        <v>55394</v>
      </c>
      <c r="AI205" s="616">
        <v>52019</v>
      </c>
      <c r="AJ205" s="616">
        <v>48394</v>
      </c>
    </row>
    <row r="206" spans="1:36" x14ac:dyDescent="0.2">
      <c r="A206" s="1610" t="s">
        <v>554</v>
      </c>
      <c r="B206" s="1639" t="s">
        <v>1012</v>
      </c>
      <c r="C206" s="616">
        <v>1665000</v>
      </c>
      <c r="D206" s="616">
        <v>2.2229700000000002E-2</v>
      </c>
      <c r="E206" s="618">
        <v>20</v>
      </c>
      <c r="G206" s="616">
        <v>26698.13</v>
      </c>
      <c r="H206" s="616">
        <v>53612.5</v>
      </c>
      <c r="I206" s="616">
        <v>50237.5</v>
      </c>
      <c r="J206" s="616">
        <v>46737.5</v>
      </c>
      <c r="K206" s="616">
        <v>43112.5</v>
      </c>
      <c r="L206" s="616">
        <v>39237.5</v>
      </c>
      <c r="M206" s="616">
        <v>35237.5</v>
      </c>
      <c r="N206" s="616">
        <v>31112.5</v>
      </c>
      <c r="AC206" s="1691">
        <v>26698.13</v>
      </c>
      <c r="AD206" s="616">
        <v>53612.5</v>
      </c>
      <c r="AE206" s="616">
        <v>50237.5</v>
      </c>
      <c r="AF206" s="616">
        <v>46737.5</v>
      </c>
      <c r="AG206" s="1707">
        <v>43112.5</v>
      </c>
      <c r="AH206" s="616">
        <v>39237.5</v>
      </c>
      <c r="AI206" s="616">
        <v>35237.5</v>
      </c>
      <c r="AJ206" s="616">
        <v>31112.5</v>
      </c>
    </row>
    <row r="207" spans="1:36" x14ac:dyDescent="0.2">
      <c r="A207" s="1607" t="s">
        <v>554</v>
      </c>
      <c r="B207" s="1606" t="s">
        <v>907</v>
      </c>
      <c r="G207" s="616">
        <v>0</v>
      </c>
      <c r="AB207" s="687"/>
      <c r="AC207" s="1692">
        <v>0</v>
      </c>
      <c r="AD207" s="1693"/>
      <c r="AE207" s="619"/>
      <c r="AF207" s="619"/>
      <c r="AG207" s="1720"/>
      <c r="AJ207" s="619"/>
    </row>
    <row r="208" spans="1:36" x14ac:dyDescent="0.2">
      <c r="A208" s="616" t="s">
        <v>554</v>
      </c>
      <c r="B208" s="616" t="s">
        <v>937</v>
      </c>
      <c r="C208" s="616">
        <v>2261680</v>
      </c>
      <c r="D208" s="616">
        <v>3.5000000000000003E-2</v>
      </c>
      <c r="G208" s="616">
        <v>79158.8</v>
      </c>
      <c r="AB208" s="687"/>
      <c r="AC208" s="687">
        <v>79158.8</v>
      </c>
      <c r="AD208" s="687"/>
      <c r="AE208" s="619"/>
      <c r="AF208" s="619"/>
      <c r="AG208" s="1720"/>
      <c r="AJ208" s="619"/>
    </row>
    <row r="209" spans="1:36" x14ac:dyDescent="0.2">
      <c r="A209" s="616" t="s">
        <v>554</v>
      </c>
      <c r="B209" s="616" t="s">
        <v>908</v>
      </c>
      <c r="C209" s="616">
        <v>1759063</v>
      </c>
      <c r="D209" s="616">
        <v>3.5000000000000003E-2</v>
      </c>
      <c r="G209" s="616">
        <v>61567.205000000009</v>
      </c>
      <c r="AB209" s="687"/>
      <c r="AC209" s="687">
        <v>61567.205000000009</v>
      </c>
      <c r="AD209" s="687"/>
      <c r="AE209" s="619"/>
      <c r="AF209" s="687"/>
      <c r="AG209" s="1720"/>
      <c r="AJ209" s="619"/>
    </row>
    <row r="210" spans="1:36" x14ac:dyDescent="0.2">
      <c r="A210" s="616" t="s">
        <v>554</v>
      </c>
      <c r="B210" s="616" t="s">
        <v>1008</v>
      </c>
      <c r="G210" s="616">
        <v>53613</v>
      </c>
      <c r="H210" s="616">
        <v>10000</v>
      </c>
      <c r="AB210" s="687"/>
      <c r="AC210" s="687">
        <v>53613</v>
      </c>
      <c r="AD210" s="687">
        <v>10000</v>
      </c>
      <c r="AE210" s="687"/>
      <c r="AF210" s="619"/>
      <c r="AG210" s="1720"/>
      <c r="AJ210" s="619"/>
    </row>
    <row r="211" spans="1:36" x14ac:dyDescent="0.2">
      <c r="A211" s="616" t="s">
        <v>554</v>
      </c>
      <c r="B211" s="616" t="s">
        <v>971</v>
      </c>
      <c r="C211" s="616">
        <v>0.27229999999999999</v>
      </c>
      <c r="G211" s="616">
        <v>285306</v>
      </c>
      <c r="H211" s="616">
        <v>80533.2696</v>
      </c>
      <c r="I211" s="616">
        <v>48606.094599999997</v>
      </c>
      <c r="J211" s="616">
        <v>215865.82499999998</v>
      </c>
      <c r="AB211" s="619"/>
      <c r="AC211" s="713">
        <v>285306</v>
      </c>
      <c r="AD211" s="713">
        <v>80533.2696</v>
      </c>
      <c r="AE211" s="713">
        <v>79103.694600000003</v>
      </c>
      <c r="AF211" s="713">
        <f>AF172</f>
        <v>228708.37499999997</v>
      </c>
      <c r="AG211" s="1720"/>
    </row>
    <row r="214" spans="1:36" x14ac:dyDescent="0.2">
      <c r="AE214" s="1723">
        <f>SUM(AE179:AE211)</f>
        <v>1223341.4546000001</v>
      </c>
      <c r="AF214" s="616">
        <f>SUM(AF178:AF211)</f>
        <v>1176846.135</v>
      </c>
      <c r="AG214" s="1707">
        <f>SUBTOTAL(109,AG65:AG206)</f>
        <v>4237526.04</v>
      </c>
    </row>
  </sheetData>
  <autoFilter ref="A5:BD130"/>
  <phoneticPr fontId="39" type="noConversion"/>
  <printOptions gridLines="1"/>
  <pageMargins left="0.23622047244094491" right="0.23622047244094491" top="0.70866141732283472" bottom="0" header="0.19685039370078741" footer="0"/>
  <pageSetup scale="73" fitToWidth="3" fitToHeight="2" orientation="landscape" horizontalDpi="300" verticalDpi="300" r:id="rId1"/>
  <headerFooter alignWithMargins="0">
    <oddHeader xml:space="preserve">&amp;L29-Mar-2022
&amp;A
&amp;CTOWN OF TOPSFIELD FINANCE COMMITTEE
BUDGET WORKSHEETS
&amp;R&amp;"Arial,Bold"&amp;12VERSION 2.5
FY 2023
</oddHeader>
    <oddFooter xml:space="preserve">&amp;R
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0 E A A B Q S w M E F A A C A A g A t J 0 p T P V Z J D 6 n A A A A + A A A A B I A H A B D b 2 5 m a W c v U G F j a 2 F n Z S 5 4 b W w g o h g A K K A U A A A A A A A A A A A A A A A A A A A A A A A A A A A A h Y + x D o I w G I R f h X S n L V U T J D 9 l c J X E h G h c m 1 K h E Y q h x f J u D j 6 S r y C J o m 6 O d / d d c v e 4 3 S E b 2 y a 4 q t 7 q z q Q o w h Q F y s i u 1 K Z K 0 e B O Y Y w y D j s h z 6 J S w Q Q b m 4 x W p 6 h 2 7 p I Q 4 r 3 H f o G 7 v i K M 0 o g c 8 2 0 h a 9 W K U B v r h J E K f V r l / x b i c H i N 4 Q y v G F 6 u W Y S j m A G Z b c i 1 + S J T S j E F 8 m P C Z m j c 0 C u u T L g v g M w S y P s F f w J Q S w M E F A A C A A g A t J 0 p T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S d K U y V i q w h p A E A A N M J A A A T A B w A R m 9 y b X V s Y X M v U 2 V j d G l v b j E u b S C i G A A o o B Q A A A A A A A A A A A A A A A A A A A A A A A A A A A D t l F 1 r w j A U h u 8 F / 0 P o b h Q 6 M Y m f G 1 7 M t o 4 y d Y P W j W F F q m Z a b J P R R F D E / 7 5 I 5 3 D Q w 3 a x 3 d m b w H t y P p 4 k f S W b q 0 h w 5 G U r v i 0 W i g W 5 C l O 2 Q F e G 7 f h 3 b h 9 1 R / a 9 4 6 O + O 3 S Q 6 z s D z 0 A d F D N V L C D 9 e W K T z p l W n O 2 c x Z U X k a 5 n Q q x L v S h m F U t w x b i S J c O 6 C U a S p T J I l r p 8 Y D O 5 V u I 9 6 E X c E k n Q e y V V 3 E a P g 6 H b H X m f H a 9 t 5 0 m 3 d Z 6 d P t L h V h V X a W U b y 6 1 R N h H f x L G J V L p h Z T M b B J 5 3 6 q 0 Y U 8 e p s 2 H 3 Y 1 e x p A P z m Q 8 R X 3 S M L G 1 y G N u h C i d f b a x V y J f 6 g P z d O z s W 9 c O Z R v X T k M s 3 k S a W i D c J P w Z l 6 c e Z z P 3 e y B K w o X F 0 E g r 5 7 m C i k 0 z y Z a p l l 6 t G r X J s d B a o Q Y H 6 q Z B i W 3 W m N / I b N I H t r f z t 7 X w Z V w E d o M U A L q a A D u L i O p A B 8 O I m o A P A G C A m A D G B 7 h c g J g A x q Q E 6 w E s a 0 A k R g J g A x A Q g p g A x B Y g p 9 K Q B Y g o Q U + h F 0 2 9 X f C g X C x H P / X d / 5 3 a o R M r / 5 X h T k f D o 4 m k X T 7 t 4 2 s X T / s b T P g B Q S w E C L Q A U A A I A C A C 0 n S l M 9 V k k P q c A A A D 4 A A A A E g A A A A A A A A A A A A A A A A A A A A A A Q 2 9 u Z m l n L 1 B h Y 2 t h Z 2 U u e G 1 s U E s B A i 0 A F A A C A A g A t J 0 p T A / K 6 a u k A A A A 6 Q A A A B M A A A A A A A A A A A A A A A A A 8 w A A A F t D b 2 5 0 Z W 5 0 X 1 R 5 c G V z X S 5 4 b W x Q S w E C L Q A U A A I A C A C 0 n S l M l Y q s I a Q B A A D T C Q A A E w A A A A A A A A A A A A A A A A D k A Q A A R m 9 y b X V s Y X M v U 2 V j d G l v b j E u b V B L B Q Y A A A A A A w A D A M I A A A D V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X P w A A A A A A A P U +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E R V R B S U w l M j B C V U R H R V Q l M j B M S U 5 F J T I w S V R F T V M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E x h c 3 R V c G R h d G V k I i B W Y W x 1 Z T 0 i Z D I w M T g t M D E t M T B U M D A 6 M D c 6 M j I u O T g y M T U w M 1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s s J n F 1 b 3 Q 7 Q 2 9 s d W 1 u M j c m c X V v d D s s J n F 1 b 3 Q 7 Q 2 9 s d W 1 u M j g m c X V v d D s s J n F 1 b 3 Q 7 Q 2 9 s d W 1 u M j k m c X V v d D s s J n F 1 b 3 Q 7 Q 2 9 s d W 1 u M z A m c X V v d D s s J n F 1 b 3 Q 7 Q 2 9 s d W 1 u M z E m c X V v d D s s J n F 1 b 3 Q 7 Q 2 9 s d W 1 u M z I m c X V v d D s s J n F 1 b 3 Q 7 Q 2 9 s d W 1 u M z M m c X V v d D s s J n F 1 b 3 Q 7 Q 2 9 s d W 1 u M z Q m c X V v d D s s J n F 1 b 3 Q 7 Q 2 9 s d W 1 u M z U m c X V v d D s s J n F 1 b 3 Q 7 Q 2 9 s d W 1 u M z Y m c X V v d D t d I i A v P j x F b n R y e S B U e X B l P S J G a W x s R X J y b 3 J D b 2 R l I i B W Y W x 1 Z T 0 i c 1 V u a 2 5 v d 2 4 i I C 8 + P E V u d H J 5 I F R 5 c G U 9 I k Z p b G x D b 2 x 1 b W 5 U e X B l c y I g V m F s d W U 9 I n N B Q U F E Q X d Z Q U J n Q U F B Q U F B Q U F N Q U F B Q U F B Q U F B Q U F B Q U F B T U F B Q U F B Q U F B Q U F B W U E i I C 8 + P E V u d H J 5 I F R 5 c G U 9 I k Z p b G x F c n J v c k N v d W 5 0 I i B W Y W x 1 Z T 0 i b D A i I C 8 + P E V u d H J 5 I F R 5 c G U 9 I k Z p b G x D b 3 V u d C I g V m F s d W U 9 I m w 4 N z g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V U Q U l M I E J V R E d F V C B M S U 5 F I E l U R U 1 T L 0 N o Y W 5 n Z W Q g V H l w Z S 5 7 Q 2 9 s d W 1 u M S w w f S Z x d W 9 0 O y w m c X V v d D t T Z W N 0 a W 9 u M S 9 E R V R B S U w g Q l V E R 0 V U I E x J T k U g S V R F T V M v Q 2 h h b m d l Z C B U e X B l L n t D b 2 x 1 b W 4 y L D F 9 J n F 1 b 3 Q 7 L C Z x d W 9 0 O 1 N l Y 3 R p b 2 4 x L 0 R F V E F J T C B C V U R H R V Q g T E l O R S B J V E V N U y 9 D a G F u Z 2 V k I F R 5 c G U u e 0 N v b H V t b j M s M n 0 m c X V v d D s s J n F 1 b 3 Q 7 U 2 V j d G l v b j E v R E V U Q U l M I E J V R E d F V C B M S U 5 F I E l U R U 1 T L 0 N o Y W 5 n Z W Q g V H l w Z S 5 7 Q 2 9 s d W 1 u N C w z f S Z x d W 9 0 O y w m c X V v d D t T Z W N 0 a W 9 u M S 9 E R V R B S U w g Q l V E R 0 V U I E x J T k U g S V R F T V M v Q 2 h h b m d l Z C B U e X B l L n t D b 2 x 1 b W 4 1 L D R 9 J n F 1 b 3 Q 7 L C Z x d W 9 0 O 1 N l Y 3 R p b 2 4 x L 0 R F V E F J T C B C V U R H R V Q g T E l O R S B J V E V N U y 9 D a G F u Z 2 V k I F R 5 c G U u e 0 N v b H V t b j Y s N X 0 m c X V v d D s s J n F 1 b 3 Q 7 U 2 V j d G l v b j E v R E V U Q U l M I E J V R E d F V C B M S U 5 F I E l U R U 1 T L 0 N o Y W 5 n Z W Q g V H l w Z S 5 7 Q 2 9 s d W 1 u N y w 2 f S Z x d W 9 0 O y w m c X V v d D t T Z W N 0 a W 9 u M S 9 E R V R B S U w g Q l V E R 0 V U I E x J T k U g S V R F T V M v Q 2 h h b m d l Z C B U e X B l L n t D b 2 x 1 b W 4 4 L D d 9 J n F 1 b 3 Q 7 L C Z x d W 9 0 O 1 N l Y 3 R p b 2 4 x L 0 R F V E F J T C B C V U R H R V Q g T E l O R S B J V E V N U y 9 D a G F u Z 2 V k I F R 5 c G U u e 0 N v b H V t b j k s O H 0 m c X V v d D s s J n F 1 b 3 Q 7 U 2 V j d G l v b j E v R E V U Q U l M I E J V R E d F V C B M S U 5 F I E l U R U 1 T L 0 N o Y W 5 n Z W Q g V H l w Z S 5 7 Q 2 9 s d W 1 u M T A s O X 0 m c X V v d D s s J n F 1 b 3 Q 7 U 2 V j d G l v b j E v R E V U Q U l M I E J V R E d F V C B M S U 5 F I E l U R U 1 T L 0 N o Y W 5 n Z W Q g V H l w Z S 5 7 Q 2 9 s d W 1 u M T E s M T B 9 J n F 1 b 3 Q 7 L C Z x d W 9 0 O 1 N l Y 3 R p b 2 4 x L 0 R F V E F J T C B C V U R H R V Q g T E l O R S B J V E V N U y 9 D a G F u Z 2 V k I F R 5 c G U u e 0 N v b H V t b j E y L D E x f S Z x d W 9 0 O y w m c X V v d D t T Z W N 0 a W 9 u M S 9 E R V R B S U w g Q l V E R 0 V U I E x J T k U g S V R F T V M v Q 2 h h b m d l Z C B U e X B l L n t D b 2 x 1 b W 4 x M y w x M n 0 m c X V v d D s s J n F 1 b 3 Q 7 U 2 V j d G l v b j E v R E V U Q U l M I E J V R E d F V C B M S U 5 F I E l U R U 1 T L 0 N o Y W 5 n Z W Q g V H l w Z S 5 7 Q 2 9 s d W 1 u M T Q s M T N 9 J n F 1 b 3 Q 7 L C Z x d W 9 0 O 1 N l Y 3 R p b 2 4 x L 0 R F V E F J T C B C V U R H R V Q g T E l O R S B J V E V N U y 9 D a G F u Z 2 V k I F R 5 c G U u e 0 N v b H V t b j E 1 L D E 0 f S Z x d W 9 0 O y w m c X V v d D t T Z W N 0 a W 9 u M S 9 E R V R B S U w g Q l V E R 0 V U I E x J T k U g S V R F T V M v Q 2 h h b m d l Z C B U e X B l L n t D b 2 x 1 b W 4 x N i w x N X 0 m c X V v d D s s J n F 1 b 3 Q 7 U 2 V j d G l v b j E v R E V U Q U l M I E J V R E d F V C B M S U 5 F I E l U R U 1 T L 0 N o Y W 5 n Z W Q g V H l w Z S 5 7 Q 2 9 s d W 1 u M T c s M T Z 9 J n F 1 b 3 Q 7 L C Z x d W 9 0 O 1 N l Y 3 R p b 2 4 x L 0 R F V E F J T C B C V U R H R V Q g T E l O R S B J V E V N U y 9 D a G F u Z 2 V k I F R 5 c G U u e 0 N v b H V t b j E 4 L D E 3 f S Z x d W 9 0 O y w m c X V v d D t T Z W N 0 a W 9 u M S 9 E R V R B S U w g Q l V E R 0 V U I E x J T k U g S V R F T V M v Q 2 h h b m d l Z C B U e X B l L n t D b 2 x 1 b W 4 x O S w x O H 0 m c X V v d D s s J n F 1 b 3 Q 7 U 2 V j d G l v b j E v R E V U Q U l M I E J V R E d F V C B M S U 5 F I E l U R U 1 T L 0 N o Y W 5 n Z W Q g V H l w Z S 5 7 Q 2 9 s d W 1 u M j A s M T l 9 J n F 1 b 3 Q 7 L C Z x d W 9 0 O 1 N l Y 3 R p b 2 4 x L 0 R F V E F J T C B C V U R H R V Q g T E l O R S B J V E V N U y 9 D a G F u Z 2 V k I F R 5 c G U u e 0 N v b H V t b j I x L D I w f S Z x d W 9 0 O y w m c X V v d D t T Z W N 0 a W 9 u M S 9 E R V R B S U w g Q l V E R 0 V U I E x J T k U g S V R F T V M v Q 2 h h b m d l Z C B U e X B l L n t D b 2 x 1 b W 4 y M i w y M X 0 m c X V v d D s s J n F 1 b 3 Q 7 U 2 V j d G l v b j E v R E V U Q U l M I E J V R E d F V C B M S U 5 F I E l U R U 1 T L 0 N o Y W 5 n Z W Q g V H l w Z S 5 7 Q 2 9 s d W 1 u M j M s M j J 9 J n F 1 b 3 Q 7 L C Z x d W 9 0 O 1 N l Y 3 R p b 2 4 x L 0 R F V E F J T C B C V U R H R V Q g T E l O R S B J V E V N U y 9 D a G F u Z 2 V k I F R 5 c G U u e 0 N v b H V t b j I 0 L D I z f S Z x d W 9 0 O y w m c X V v d D t T Z W N 0 a W 9 u M S 9 E R V R B S U w g Q l V E R 0 V U I E x J T k U g S V R F T V M v Q 2 h h b m d l Z C B U e X B l L n t D b 2 x 1 b W 4 y N S w y N H 0 m c X V v d D s s J n F 1 b 3 Q 7 U 2 V j d G l v b j E v R E V U Q U l M I E J V R E d F V C B M S U 5 F I E l U R U 1 T L 0 N o Y W 5 n Z W Q g V H l w Z S 5 7 Q 2 9 s d W 1 u M j Y s M j V 9 J n F 1 b 3 Q 7 L C Z x d W 9 0 O 1 N l Y 3 R p b 2 4 x L 0 R F V E F J T C B C V U R H R V Q g T E l O R S B J V E V N U y 9 D a G F u Z 2 V k I F R 5 c G U u e 0 N v b H V t b j I 3 L D I 2 f S Z x d W 9 0 O y w m c X V v d D t T Z W N 0 a W 9 u M S 9 E R V R B S U w g Q l V E R 0 V U I E x J T k U g S V R F T V M v Q 2 h h b m d l Z C B U e X B l L n t D b 2 x 1 b W 4 y O C w y N 3 0 m c X V v d D s s J n F 1 b 3 Q 7 U 2 V j d G l v b j E v R E V U Q U l M I E J V R E d F V C B M S U 5 F I E l U R U 1 T L 0 N o Y W 5 n Z W Q g V H l w Z S 5 7 Q 2 9 s d W 1 u M j k s M j h 9 J n F 1 b 3 Q 7 L C Z x d W 9 0 O 1 N l Y 3 R p b 2 4 x L 0 R F V E F J T C B C V U R H R V Q g T E l O R S B J V E V N U y 9 D a G F u Z 2 V k I F R 5 c G U u e 0 N v b H V t b j M w L D I 5 f S Z x d W 9 0 O y w m c X V v d D t T Z W N 0 a W 9 u M S 9 E R V R B S U w g Q l V E R 0 V U I E x J T k U g S V R F T V M v Q 2 h h b m d l Z C B U e X B l L n t D b 2 x 1 b W 4 z M S w z M H 0 m c X V v d D s s J n F 1 b 3 Q 7 U 2 V j d G l v b j E v R E V U Q U l M I E J V R E d F V C B M S U 5 F I E l U R U 1 T L 0 N o Y W 5 n Z W Q g V H l w Z S 5 7 Q 2 9 s d W 1 u M z I s M z F 9 J n F 1 b 3 Q 7 L C Z x d W 9 0 O 1 N l Y 3 R p b 2 4 x L 0 R F V E F J T C B C V U R H R V Q g T E l O R S B J V E V N U y 9 D a G F u Z 2 V k I F R 5 c G U u e 0 N v b H V t b j M z L D M y f S Z x d W 9 0 O y w m c X V v d D t T Z W N 0 a W 9 u M S 9 E R V R B S U w g Q l V E R 0 V U I E x J T k U g S V R F T V M v Q 2 h h b m d l Z C B U e X B l L n t D b 2 x 1 b W 4 z N C w z M 3 0 m c X V v d D s s J n F 1 b 3 Q 7 U 2 V j d G l v b j E v R E V U Q U l M I E J V R E d F V C B M S U 5 F I E l U R U 1 T L 0 N o Y W 5 n Z W Q g V H l w Z S 5 7 Q 2 9 s d W 1 u M z U s M z R 9 J n F 1 b 3 Q 7 L C Z x d W 9 0 O 1 N l Y 3 R p b 2 4 x L 0 R F V E F J T C B C V U R H R V Q g T E l O R S B J V E V N U y 9 D a G F u Z 2 V k I F R 5 c G U u e 0 N v b H V t b j M 2 L D M 1 f S Z x d W 9 0 O 1 0 s J n F 1 b 3 Q 7 Q 2 9 s d W 1 u Q 2 9 1 b n Q m c X V v d D s 6 M z Y s J n F 1 b 3 Q 7 S 2 V 5 Q 2 9 s d W 1 u T m F t Z X M m c X V v d D s 6 W 1 0 s J n F 1 b 3 Q 7 Q 2 9 s d W 1 u S W R l b n R p d G l l c y Z x d W 9 0 O z p b J n F 1 b 3 Q 7 U 2 V j d G l v b j E v R E V U Q U l M I E J V R E d F V C B M S U 5 F I E l U R U 1 T L 0 N o Y W 5 n Z W Q g V H l w Z S 5 7 Q 2 9 s d W 1 u M S w w f S Z x d W 9 0 O y w m c X V v d D t T Z W N 0 a W 9 u M S 9 E R V R B S U w g Q l V E R 0 V U I E x J T k U g S V R F T V M v Q 2 h h b m d l Z C B U e X B l L n t D b 2 x 1 b W 4 y L D F 9 J n F 1 b 3 Q 7 L C Z x d W 9 0 O 1 N l Y 3 R p b 2 4 x L 0 R F V E F J T C B C V U R H R V Q g T E l O R S B J V E V N U y 9 D a G F u Z 2 V k I F R 5 c G U u e 0 N v b H V t b j M s M n 0 m c X V v d D s s J n F 1 b 3 Q 7 U 2 V j d G l v b j E v R E V U Q U l M I E J V R E d F V C B M S U 5 F I E l U R U 1 T L 0 N o Y W 5 n Z W Q g V H l w Z S 5 7 Q 2 9 s d W 1 u N C w z f S Z x d W 9 0 O y w m c X V v d D t T Z W N 0 a W 9 u M S 9 E R V R B S U w g Q l V E R 0 V U I E x J T k U g S V R F T V M v Q 2 h h b m d l Z C B U e X B l L n t D b 2 x 1 b W 4 1 L D R 9 J n F 1 b 3 Q 7 L C Z x d W 9 0 O 1 N l Y 3 R p b 2 4 x L 0 R F V E F J T C B C V U R H R V Q g T E l O R S B J V E V N U y 9 D a G F u Z 2 V k I F R 5 c G U u e 0 N v b H V t b j Y s N X 0 m c X V v d D s s J n F 1 b 3 Q 7 U 2 V j d G l v b j E v R E V U Q U l M I E J V R E d F V C B M S U 5 F I E l U R U 1 T L 0 N o Y W 5 n Z W Q g V H l w Z S 5 7 Q 2 9 s d W 1 u N y w 2 f S Z x d W 9 0 O y w m c X V v d D t T Z W N 0 a W 9 u M S 9 E R V R B S U w g Q l V E R 0 V U I E x J T k U g S V R F T V M v Q 2 h h b m d l Z C B U e X B l L n t D b 2 x 1 b W 4 4 L D d 9 J n F 1 b 3 Q 7 L C Z x d W 9 0 O 1 N l Y 3 R p b 2 4 x L 0 R F V E F J T C B C V U R H R V Q g T E l O R S B J V E V N U y 9 D a G F u Z 2 V k I F R 5 c G U u e 0 N v b H V t b j k s O H 0 m c X V v d D s s J n F 1 b 3 Q 7 U 2 V j d G l v b j E v R E V U Q U l M I E J V R E d F V C B M S U 5 F I E l U R U 1 T L 0 N o Y W 5 n Z W Q g V H l w Z S 5 7 Q 2 9 s d W 1 u M T A s O X 0 m c X V v d D s s J n F 1 b 3 Q 7 U 2 V j d G l v b j E v R E V U Q U l M I E J V R E d F V C B M S U 5 F I E l U R U 1 T L 0 N o Y W 5 n Z W Q g V H l w Z S 5 7 Q 2 9 s d W 1 u M T E s M T B 9 J n F 1 b 3 Q 7 L C Z x d W 9 0 O 1 N l Y 3 R p b 2 4 x L 0 R F V E F J T C B C V U R H R V Q g T E l O R S B J V E V N U y 9 D a G F u Z 2 V k I F R 5 c G U u e 0 N v b H V t b j E y L D E x f S Z x d W 9 0 O y w m c X V v d D t T Z W N 0 a W 9 u M S 9 E R V R B S U w g Q l V E R 0 V U I E x J T k U g S V R F T V M v Q 2 h h b m d l Z C B U e X B l L n t D b 2 x 1 b W 4 x M y w x M n 0 m c X V v d D s s J n F 1 b 3 Q 7 U 2 V j d G l v b j E v R E V U Q U l M I E J V R E d F V C B M S U 5 F I E l U R U 1 T L 0 N o Y W 5 n Z W Q g V H l w Z S 5 7 Q 2 9 s d W 1 u M T Q s M T N 9 J n F 1 b 3 Q 7 L C Z x d W 9 0 O 1 N l Y 3 R p b 2 4 x L 0 R F V E F J T C B C V U R H R V Q g T E l O R S B J V E V N U y 9 D a G F u Z 2 V k I F R 5 c G U u e 0 N v b H V t b j E 1 L D E 0 f S Z x d W 9 0 O y w m c X V v d D t T Z W N 0 a W 9 u M S 9 E R V R B S U w g Q l V E R 0 V U I E x J T k U g S V R F T V M v Q 2 h h b m d l Z C B U e X B l L n t D b 2 x 1 b W 4 x N i w x N X 0 m c X V v d D s s J n F 1 b 3 Q 7 U 2 V j d G l v b j E v R E V U Q U l M I E J V R E d F V C B M S U 5 F I E l U R U 1 T L 0 N o Y W 5 n Z W Q g V H l w Z S 5 7 Q 2 9 s d W 1 u M T c s M T Z 9 J n F 1 b 3 Q 7 L C Z x d W 9 0 O 1 N l Y 3 R p b 2 4 x L 0 R F V E F J T C B C V U R H R V Q g T E l O R S B J V E V N U y 9 D a G F u Z 2 V k I F R 5 c G U u e 0 N v b H V t b j E 4 L D E 3 f S Z x d W 9 0 O y w m c X V v d D t T Z W N 0 a W 9 u M S 9 E R V R B S U w g Q l V E R 0 V U I E x J T k U g S V R F T V M v Q 2 h h b m d l Z C B U e X B l L n t D b 2 x 1 b W 4 x O S w x O H 0 m c X V v d D s s J n F 1 b 3 Q 7 U 2 V j d G l v b j E v R E V U Q U l M I E J V R E d F V C B M S U 5 F I E l U R U 1 T L 0 N o Y W 5 n Z W Q g V H l w Z S 5 7 Q 2 9 s d W 1 u M j A s M T l 9 J n F 1 b 3 Q 7 L C Z x d W 9 0 O 1 N l Y 3 R p b 2 4 x L 0 R F V E F J T C B C V U R H R V Q g T E l O R S B J V E V N U y 9 D a G F u Z 2 V k I F R 5 c G U u e 0 N v b H V t b j I x L D I w f S Z x d W 9 0 O y w m c X V v d D t T Z W N 0 a W 9 u M S 9 E R V R B S U w g Q l V E R 0 V U I E x J T k U g S V R F T V M v Q 2 h h b m d l Z C B U e X B l L n t D b 2 x 1 b W 4 y M i w y M X 0 m c X V v d D s s J n F 1 b 3 Q 7 U 2 V j d G l v b j E v R E V U Q U l M I E J V R E d F V C B M S U 5 F I E l U R U 1 T L 0 N o Y W 5 n Z W Q g V H l w Z S 5 7 Q 2 9 s d W 1 u M j M s M j J 9 J n F 1 b 3 Q 7 L C Z x d W 9 0 O 1 N l Y 3 R p b 2 4 x L 0 R F V E F J T C B C V U R H R V Q g T E l O R S B J V E V N U y 9 D a G F u Z 2 V k I F R 5 c G U u e 0 N v b H V t b j I 0 L D I z f S Z x d W 9 0 O y w m c X V v d D t T Z W N 0 a W 9 u M S 9 E R V R B S U w g Q l V E R 0 V U I E x J T k U g S V R F T V M v Q 2 h h b m d l Z C B U e X B l L n t D b 2 x 1 b W 4 y N S w y N H 0 m c X V v d D s s J n F 1 b 3 Q 7 U 2 V j d G l v b j E v R E V U Q U l M I E J V R E d F V C B M S U 5 F I E l U R U 1 T L 0 N o Y W 5 n Z W Q g V H l w Z S 5 7 Q 2 9 s d W 1 u M j Y s M j V 9 J n F 1 b 3 Q 7 L C Z x d W 9 0 O 1 N l Y 3 R p b 2 4 x L 0 R F V E F J T C B C V U R H R V Q g T E l O R S B J V E V N U y 9 D a G F u Z 2 V k I F R 5 c G U u e 0 N v b H V t b j I 3 L D I 2 f S Z x d W 9 0 O y w m c X V v d D t T Z W N 0 a W 9 u M S 9 E R V R B S U w g Q l V E R 0 V U I E x J T k U g S V R F T V M v Q 2 h h b m d l Z C B U e X B l L n t D b 2 x 1 b W 4 y O C w y N 3 0 m c X V v d D s s J n F 1 b 3 Q 7 U 2 V j d G l v b j E v R E V U Q U l M I E J V R E d F V C B M S U 5 F I E l U R U 1 T L 0 N o Y W 5 n Z W Q g V H l w Z S 5 7 Q 2 9 s d W 1 u M j k s M j h 9 J n F 1 b 3 Q 7 L C Z x d W 9 0 O 1 N l Y 3 R p b 2 4 x L 0 R F V E F J T C B C V U R H R V Q g T E l O R S B J V E V N U y 9 D a G F u Z 2 V k I F R 5 c G U u e 0 N v b H V t b j M w L D I 5 f S Z x d W 9 0 O y w m c X V v d D t T Z W N 0 a W 9 u M S 9 E R V R B S U w g Q l V E R 0 V U I E x J T k U g S V R F T V M v Q 2 h h b m d l Z C B U e X B l L n t D b 2 x 1 b W 4 z M S w z M H 0 m c X V v d D s s J n F 1 b 3 Q 7 U 2 V j d G l v b j E v R E V U Q U l M I E J V R E d F V C B M S U 5 F I E l U R U 1 T L 0 N o Y W 5 n Z W Q g V H l w Z S 5 7 Q 2 9 s d W 1 u M z I s M z F 9 J n F 1 b 3 Q 7 L C Z x d W 9 0 O 1 N l Y 3 R p b 2 4 x L 0 R F V E F J T C B C V U R H R V Q g T E l O R S B J V E V N U y 9 D a G F u Z 2 V k I F R 5 c G U u e 0 N v b H V t b j M z L D M y f S Z x d W 9 0 O y w m c X V v d D t T Z W N 0 a W 9 u M S 9 E R V R B S U w g Q l V E R 0 V U I E x J T k U g S V R F T V M v Q 2 h h b m d l Z C B U e X B l L n t D b 2 x 1 b W 4 z N C w z M 3 0 m c X V v d D s s J n F 1 b 3 Q 7 U 2 V j d G l v b j E v R E V U Q U l M I E J V R E d F V C B M S U 5 F I E l U R U 1 T L 0 N o Y W 5 n Z W Q g V H l w Z S 5 7 Q 2 9 s d W 1 u M z U s M z R 9 J n F 1 b 3 Q 7 L C Z x d W 9 0 O 1 N l Y 3 R p b 2 4 x L 0 R F V E F J T C B C V U R H R V Q g T E l O R S B J V E V N U y 9 D a G F u Z 2 V k I F R 5 c G U u e 0 N v b H V t b j M 2 L D M 1 f S Z x d W 9 0 O 1 0 s J n F 1 b 3 Q 7 U m V s Y X R p b 2 5 z a G l w S W 5 m b y Z x d W 9 0 O z p b X X 0 i I C 8 + P E V u d H J 5 I F R 5 c G U 9 I k J 1 Z m Z l c k 5 l e H R S Z W Z y Z X N o I i B W Y W x 1 Z T 0 i b D E i I C 8 + P E V u d H J 5 I F R 5 c G U 9 I l J l c 3 V s d F R 5 c G U i I F Z h b H V l P S J z V G F i b G U i I C 8 + P C 9 T d G F i b G V F b n R y a W V z P j w v S X R l b T 4 8 S X R l b T 4 8 S X R l b U x v Y 2 F 0 a W 9 u P j x J d G V t V H l w Z T 5 G b 3 J t d W x h P C 9 J d G V t V H l w Z T 4 8 S X R l b V B h d G g + U 2 V j d G l v b j E v R E V U Q U l M J T I w Q l V E R 0 V U J T I w T E l O R S U y M E l U R U 1 T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J T C U y M E J V R E d F V C U y M E x J T k U l M j B J V E V N U y 9 E R V R B S U w l M j B C V U R H R V Q l M j B M S U 5 F J T I w S V R F T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S U w l M j B C V U R H R V Q l M j B M S U 5 F J T I w S V R F T V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S U w l M j B C V U R H R V Q l M j B M S U 5 F J T I w S V R F T V M l M j A o M i k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g t M D E t M T B U M D A 6 N D Q 6 M z k u N T E 2 M z g 5 M V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s s J n F 1 b 3 Q 7 Q 2 9 s d W 1 u M j c m c X V v d D s s J n F 1 b 3 Q 7 Q 2 9 s d W 1 u M j g m c X V v d D s s J n F 1 b 3 Q 7 Q 2 9 s d W 1 u M j k m c X V v d D s s J n F 1 b 3 Q 7 Q 2 9 s d W 1 u M z A m c X V v d D s s J n F 1 b 3 Q 7 Q 2 9 s d W 1 u M z E m c X V v d D s s J n F 1 b 3 Q 7 Q 2 9 s d W 1 u M z I m c X V v d D s s J n F 1 b 3 Q 7 Q 2 9 s d W 1 u M z M m c X V v d D s s J n F 1 b 3 Q 7 Q 2 9 s d W 1 u M z Q m c X V v d D s s J n F 1 b 3 Q 7 Q 2 9 s d W 1 u M z U m c X V v d D s s J n F 1 b 3 Q 7 Q 2 9 s d W 1 u M z Y m c X V v d D t d I i A v P j x F b n R y e S B U e X B l P S J G a W x s R X J y b 3 J D b 2 R l I i B W Y W x 1 Z T 0 i c 1 V u a 2 5 v d 2 4 i I C 8 + P E V u d H J 5 I F R 5 c G U 9 I k Z p b G x D b 2 x 1 b W 5 U e X B l c y I g V m F s d W U 9 I n N B Q U F E Q X d Z Q U J n Q U F B Q U F B Q U F N Q U F B Q U F B Q U F B Q U F B Q U F B T U F B Q U F B Q U F B Q U F B W U E i I C 8 + P E V u d H J 5 I F R 5 c G U 9 I k Z p b G x F c n J v c k N v d W 5 0 I i B W Y W x 1 Z T 0 i b D A i I C 8 + P E V u d H J 5 I F R 5 c G U 9 I k Z p b G x D b 3 V u d C I g V m F s d W U 9 I m w 4 N z g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V U Q U l M I E J V R E d F V C B M S U 5 F I E l U R U 1 T I C g y K S 9 D a G F u Z 2 V k I F R 5 c G U u e 0 N v b H V t b j E s M H 0 m c X V v d D s s J n F 1 b 3 Q 7 U 2 V j d G l v b j E v R E V U Q U l M I E J V R E d F V C B M S U 5 F I E l U R U 1 T I C g y K S 9 D a G F u Z 2 V k I F R 5 c G U u e 0 N v b H V t b j I s M X 0 m c X V v d D s s J n F 1 b 3 Q 7 U 2 V j d G l v b j E v R E V U Q U l M I E J V R E d F V C B M S U 5 F I E l U R U 1 T I C g y K S 9 D a G F u Z 2 V k I F R 5 c G U u e 0 N v b H V t b j M s M n 0 m c X V v d D s s J n F 1 b 3 Q 7 U 2 V j d G l v b j E v R E V U Q U l M I E J V R E d F V C B M S U 5 F I E l U R U 1 T I C g y K S 9 D a G F u Z 2 V k I F R 5 c G U u e 0 N v b H V t b j Q s M 3 0 m c X V v d D s s J n F 1 b 3 Q 7 U 2 V j d G l v b j E v R E V U Q U l M I E J V R E d F V C B M S U 5 F I E l U R U 1 T I C g y K S 9 D a G F u Z 2 V k I F R 5 c G U u e 0 N v b H V t b j U s N H 0 m c X V v d D s s J n F 1 b 3 Q 7 U 2 V j d G l v b j E v R E V U Q U l M I E J V R E d F V C B M S U 5 F I E l U R U 1 T I C g y K S 9 D a G F u Z 2 V k I F R 5 c G U u e 0 N v b H V t b j Y s N X 0 m c X V v d D s s J n F 1 b 3 Q 7 U 2 V j d G l v b j E v R E V U Q U l M I E J V R E d F V C B M S U 5 F I E l U R U 1 T I C g y K S 9 D a G F u Z 2 V k I F R 5 c G U u e 0 N v b H V t b j c s N n 0 m c X V v d D s s J n F 1 b 3 Q 7 U 2 V j d G l v b j E v R E V U Q U l M I E J V R E d F V C B M S U 5 F I E l U R U 1 T I C g y K S 9 D a G F u Z 2 V k I F R 5 c G U u e 0 N v b H V t b j g s N 3 0 m c X V v d D s s J n F 1 b 3 Q 7 U 2 V j d G l v b j E v R E V U Q U l M I E J V R E d F V C B M S U 5 F I E l U R U 1 T I C g y K S 9 D a G F u Z 2 V k I F R 5 c G U u e 0 N v b H V t b j k s O H 0 m c X V v d D s s J n F 1 b 3 Q 7 U 2 V j d G l v b j E v R E V U Q U l M I E J V R E d F V C B M S U 5 F I E l U R U 1 T I C g y K S 9 D a G F u Z 2 V k I F R 5 c G U u e 0 N v b H V t b j E w L D l 9 J n F 1 b 3 Q 7 L C Z x d W 9 0 O 1 N l Y 3 R p b 2 4 x L 0 R F V E F J T C B C V U R H R V Q g T E l O R S B J V E V N U y A o M i k v Q 2 h h b m d l Z C B U e X B l L n t D b 2 x 1 b W 4 x M S w x M H 0 m c X V v d D s s J n F 1 b 3 Q 7 U 2 V j d G l v b j E v R E V U Q U l M I E J V R E d F V C B M S U 5 F I E l U R U 1 T I C g y K S 9 D a G F u Z 2 V k I F R 5 c G U u e 0 N v b H V t b j E y L D E x f S Z x d W 9 0 O y w m c X V v d D t T Z W N 0 a W 9 u M S 9 E R V R B S U w g Q l V E R 0 V U I E x J T k U g S V R F T V M g K D I p L 0 N o Y W 5 n Z W Q g V H l w Z S 5 7 Q 2 9 s d W 1 u M T M s M T J 9 J n F 1 b 3 Q 7 L C Z x d W 9 0 O 1 N l Y 3 R p b 2 4 x L 0 R F V E F J T C B C V U R H R V Q g T E l O R S B J V E V N U y A o M i k v Q 2 h h b m d l Z C B U e X B l L n t D b 2 x 1 b W 4 x N C w x M 3 0 m c X V v d D s s J n F 1 b 3 Q 7 U 2 V j d G l v b j E v R E V U Q U l M I E J V R E d F V C B M S U 5 F I E l U R U 1 T I C g y K S 9 D a G F u Z 2 V k I F R 5 c G U u e 0 N v b H V t b j E 1 L D E 0 f S Z x d W 9 0 O y w m c X V v d D t T Z W N 0 a W 9 u M S 9 E R V R B S U w g Q l V E R 0 V U I E x J T k U g S V R F T V M g K D I p L 0 N o Y W 5 n Z W Q g V H l w Z S 5 7 Q 2 9 s d W 1 u M T Y s M T V 9 J n F 1 b 3 Q 7 L C Z x d W 9 0 O 1 N l Y 3 R p b 2 4 x L 0 R F V E F J T C B C V U R H R V Q g T E l O R S B J V E V N U y A o M i k v Q 2 h h b m d l Z C B U e X B l L n t D b 2 x 1 b W 4 x N y w x N n 0 m c X V v d D s s J n F 1 b 3 Q 7 U 2 V j d G l v b j E v R E V U Q U l M I E J V R E d F V C B M S U 5 F I E l U R U 1 T I C g y K S 9 D a G F u Z 2 V k I F R 5 c G U u e 0 N v b H V t b j E 4 L D E 3 f S Z x d W 9 0 O y w m c X V v d D t T Z W N 0 a W 9 u M S 9 E R V R B S U w g Q l V E R 0 V U I E x J T k U g S V R F T V M g K D I p L 0 N o Y W 5 n Z W Q g V H l w Z S 5 7 Q 2 9 s d W 1 u M T k s M T h 9 J n F 1 b 3 Q 7 L C Z x d W 9 0 O 1 N l Y 3 R p b 2 4 x L 0 R F V E F J T C B C V U R H R V Q g T E l O R S B J V E V N U y A o M i k v Q 2 h h b m d l Z C B U e X B l L n t D b 2 x 1 b W 4 y M C w x O X 0 m c X V v d D s s J n F 1 b 3 Q 7 U 2 V j d G l v b j E v R E V U Q U l M I E J V R E d F V C B M S U 5 F I E l U R U 1 T I C g y K S 9 D a G F u Z 2 V k I F R 5 c G U u e 0 N v b H V t b j I x L D I w f S Z x d W 9 0 O y w m c X V v d D t T Z W N 0 a W 9 u M S 9 E R V R B S U w g Q l V E R 0 V U I E x J T k U g S V R F T V M g K D I p L 0 N o Y W 5 n Z W Q g V H l w Z S 5 7 Q 2 9 s d W 1 u M j I s M j F 9 J n F 1 b 3 Q 7 L C Z x d W 9 0 O 1 N l Y 3 R p b 2 4 x L 0 R F V E F J T C B C V U R H R V Q g T E l O R S B J V E V N U y A o M i k v Q 2 h h b m d l Z C B U e X B l L n t D b 2 x 1 b W 4 y M y w y M n 0 m c X V v d D s s J n F 1 b 3 Q 7 U 2 V j d G l v b j E v R E V U Q U l M I E J V R E d F V C B M S U 5 F I E l U R U 1 T I C g y K S 9 D a G F u Z 2 V k I F R 5 c G U u e 0 N v b H V t b j I 0 L D I z f S Z x d W 9 0 O y w m c X V v d D t T Z W N 0 a W 9 u M S 9 E R V R B S U w g Q l V E R 0 V U I E x J T k U g S V R F T V M g K D I p L 0 N o Y W 5 n Z W Q g V H l w Z S 5 7 Q 2 9 s d W 1 u M j U s M j R 9 J n F 1 b 3 Q 7 L C Z x d W 9 0 O 1 N l Y 3 R p b 2 4 x L 0 R F V E F J T C B C V U R H R V Q g T E l O R S B J V E V N U y A o M i k v Q 2 h h b m d l Z C B U e X B l L n t D b 2 x 1 b W 4 y N i w y N X 0 m c X V v d D s s J n F 1 b 3 Q 7 U 2 V j d G l v b j E v R E V U Q U l M I E J V R E d F V C B M S U 5 F I E l U R U 1 T I C g y K S 9 D a G F u Z 2 V k I F R 5 c G U u e 0 N v b H V t b j I 3 L D I 2 f S Z x d W 9 0 O y w m c X V v d D t T Z W N 0 a W 9 u M S 9 E R V R B S U w g Q l V E R 0 V U I E x J T k U g S V R F T V M g K D I p L 0 N o Y W 5 n Z W Q g V H l w Z S 5 7 Q 2 9 s d W 1 u M j g s M j d 9 J n F 1 b 3 Q 7 L C Z x d W 9 0 O 1 N l Y 3 R p b 2 4 x L 0 R F V E F J T C B C V U R H R V Q g T E l O R S B J V E V N U y A o M i k v Q 2 h h b m d l Z C B U e X B l L n t D b 2 x 1 b W 4 y O S w y O H 0 m c X V v d D s s J n F 1 b 3 Q 7 U 2 V j d G l v b j E v R E V U Q U l M I E J V R E d F V C B M S U 5 F I E l U R U 1 T I C g y K S 9 D a G F u Z 2 V k I F R 5 c G U u e 0 N v b H V t b j M w L D I 5 f S Z x d W 9 0 O y w m c X V v d D t T Z W N 0 a W 9 u M S 9 E R V R B S U w g Q l V E R 0 V U I E x J T k U g S V R F T V M g K D I p L 0 N o Y W 5 n Z W Q g V H l w Z S 5 7 Q 2 9 s d W 1 u M z E s M z B 9 J n F 1 b 3 Q 7 L C Z x d W 9 0 O 1 N l Y 3 R p b 2 4 x L 0 R F V E F J T C B C V U R H R V Q g T E l O R S B J V E V N U y A o M i k v Q 2 h h b m d l Z C B U e X B l L n t D b 2 x 1 b W 4 z M i w z M X 0 m c X V v d D s s J n F 1 b 3 Q 7 U 2 V j d G l v b j E v R E V U Q U l M I E J V R E d F V C B M S U 5 F I E l U R U 1 T I C g y K S 9 D a G F u Z 2 V k I F R 5 c G U u e 0 N v b H V t b j M z L D M y f S Z x d W 9 0 O y w m c X V v d D t T Z W N 0 a W 9 u M S 9 E R V R B S U w g Q l V E R 0 V U I E x J T k U g S V R F T V M g K D I p L 0 N o Y W 5 n Z W Q g V H l w Z S 5 7 Q 2 9 s d W 1 u M z Q s M z N 9 J n F 1 b 3 Q 7 L C Z x d W 9 0 O 1 N l Y 3 R p b 2 4 x L 0 R F V E F J T C B C V U R H R V Q g T E l O R S B J V E V N U y A o M i k v Q 2 h h b m d l Z C B U e X B l L n t D b 2 x 1 b W 4 z N S w z N H 0 m c X V v d D s s J n F 1 b 3 Q 7 U 2 V j d G l v b j E v R E V U Q U l M I E J V R E d F V C B M S U 5 F I E l U R U 1 T I C g y K S 9 D a G F u Z 2 V k I F R 5 c G U u e 0 N v b H V t b j M 2 L D M 1 f S Z x d W 9 0 O 1 0 s J n F 1 b 3 Q 7 Q 2 9 s d W 1 u Q 2 9 1 b n Q m c X V v d D s 6 M z Y s J n F 1 b 3 Q 7 S 2 V 5 Q 2 9 s d W 1 u T m F t Z X M m c X V v d D s 6 W 1 0 s J n F 1 b 3 Q 7 Q 2 9 s d W 1 u S W R l b n R p d G l l c y Z x d W 9 0 O z p b J n F 1 b 3 Q 7 U 2 V j d G l v b j E v R E V U Q U l M I E J V R E d F V C B M S U 5 F I E l U R U 1 T I C g y K S 9 D a G F u Z 2 V k I F R 5 c G U u e 0 N v b H V t b j E s M H 0 m c X V v d D s s J n F 1 b 3 Q 7 U 2 V j d G l v b j E v R E V U Q U l M I E J V R E d F V C B M S U 5 F I E l U R U 1 T I C g y K S 9 D a G F u Z 2 V k I F R 5 c G U u e 0 N v b H V t b j I s M X 0 m c X V v d D s s J n F 1 b 3 Q 7 U 2 V j d G l v b j E v R E V U Q U l M I E J V R E d F V C B M S U 5 F I E l U R U 1 T I C g y K S 9 D a G F u Z 2 V k I F R 5 c G U u e 0 N v b H V t b j M s M n 0 m c X V v d D s s J n F 1 b 3 Q 7 U 2 V j d G l v b j E v R E V U Q U l M I E J V R E d F V C B M S U 5 F I E l U R U 1 T I C g y K S 9 D a G F u Z 2 V k I F R 5 c G U u e 0 N v b H V t b j Q s M 3 0 m c X V v d D s s J n F 1 b 3 Q 7 U 2 V j d G l v b j E v R E V U Q U l M I E J V R E d F V C B M S U 5 F I E l U R U 1 T I C g y K S 9 D a G F u Z 2 V k I F R 5 c G U u e 0 N v b H V t b j U s N H 0 m c X V v d D s s J n F 1 b 3 Q 7 U 2 V j d G l v b j E v R E V U Q U l M I E J V R E d F V C B M S U 5 F I E l U R U 1 T I C g y K S 9 D a G F u Z 2 V k I F R 5 c G U u e 0 N v b H V t b j Y s N X 0 m c X V v d D s s J n F 1 b 3 Q 7 U 2 V j d G l v b j E v R E V U Q U l M I E J V R E d F V C B M S U 5 F I E l U R U 1 T I C g y K S 9 D a G F u Z 2 V k I F R 5 c G U u e 0 N v b H V t b j c s N n 0 m c X V v d D s s J n F 1 b 3 Q 7 U 2 V j d G l v b j E v R E V U Q U l M I E J V R E d F V C B M S U 5 F I E l U R U 1 T I C g y K S 9 D a G F u Z 2 V k I F R 5 c G U u e 0 N v b H V t b j g s N 3 0 m c X V v d D s s J n F 1 b 3 Q 7 U 2 V j d G l v b j E v R E V U Q U l M I E J V R E d F V C B M S U 5 F I E l U R U 1 T I C g y K S 9 D a G F u Z 2 V k I F R 5 c G U u e 0 N v b H V t b j k s O H 0 m c X V v d D s s J n F 1 b 3 Q 7 U 2 V j d G l v b j E v R E V U Q U l M I E J V R E d F V C B M S U 5 F I E l U R U 1 T I C g y K S 9 D a G F u Z 2 V k I F R 5 c G U u e 0 N v b H V t b j E w L D l 9 J n F 1 b 3 Q 7 L C Z x d W 9 0 O 1 N l Y 3 R p b 2 4 x L 0 R F V E F J T C B C V U R H R V Q g T E l O R S B J V E V N U y A o M i k v Q 2 h h b m d l Z C B U e X B l L n t D b 2 x 1 b W 4 x M S w x M H 0 m c X V v d D s s J n F 1 b 3 Q 7 U 2 V j d G l v b j E v R E V U Q U l M I E J V R E d F V C B M S U 5 F I E l U R U 1 T I C g y K S 9 D a G F u Z 2 V k I F R 5 c G U u e 0 N v b H V t b j E y L D E x f S Z x d W 9 0 O y w m c X V v d D t T Z W N 0 a W 9 u M S 9 E R V R B S U w g Q l V E R 0 V U I E x J T k U g S V R F T V M g K D I p L 0 N o Y W 5 n Z W Q g V H l w Z S 5 7 Q 2 9 s d W 1 u M T M s M T J 9 J n F 1 b 3 Q 7 L C Z x d W 9 0 O 1 N l Y 3 R p b 2 4 x L 0 R F V E F J T C B C V U R H R V Q g T E l O R S B J V E V N U y A o M i k v Q 2 h h b m d l Z C B U e X B l L n t D b 2 x 1 b W 4 x N C w x M 3 0 m c X V v d D s s J n F 1 b 3 Q 7 U 2 V j d G l v b j E v R E V U Q U l M I E J V R E d F V C B M S U 5 F I E l U R U 1 T I C g y K S 9 D a G F u Z 2 V k I F R 5 c G U u e 0 N v b H V t b j E 1 L D E 0 f S Z x d W 9 0 O y w m c X V v d D t T Z W N 0 a W 9 u M S 9 E R V R B S U w g Q l V E R 0 V U I E x J T k U g S V R F T V M g K D I p L 0 N o Y W 5 n Z W Q g V H l w Z S 5 7 Q 2 9 s d W 1 u M T Y s M T V 9 J n F 1 b 3 Q 7 L C Z x d W 9 0 O 1 N l Y 3 R p b 2 4 x L 0 R F V E F J T C B C V U R H R V Q g T E l O R S B J V E V N U y A o M i k v Q 2 h h b m d l Z C B U e X B l L n t D b 2 x 1 b W 4 x N y w x N n 0 m c X V v d D s s J n F 1 b 3 Q 7 U 2 V j d G l v b j E v R E V U Q U l M I E J V R E d F V C B M S U 5 F I E l U R U 1 T I C g y K S 9 D a G F u Z 2 V k I F R 5 c G U u e 0 N v b H V t b j E 4 L D E 3 f S Z x d W 9 0 O y w m c X V v d D t T Z W N 0 a W 9 u M S 9 E R V R B S U w g Q l V E R 0 V U I E x J T k U g S V R F T V M g K D I p L 0 N o Y W 5 n Z W Q g V H l w Z S 5 7 Q 2 9 s d W 1 u M T k s M T h 9 J n F 1 b 3 Q 7 L C Z x d W 9 0 O 1 N l Y 3 R p b 2 4 x L 0 R F V E F J T C B C V U R H R V Q g T E l O R S B J V E V N U y A o M i k v Q 2 h h b m d l Z C B U e X B l L n t D b 2 x 1 b W 4 y M C w x O X 0 m c X V v d D s s J n F 1 b 3 Q 7 U 2 V j d G l v b j E v R E V U Q U l M I E J V R E d F V C B M S U 5 F I E l U R U 1 T I C g y K S 9 D a G F u Z 2 V k I F R 5 c G U u e 0 N v b H V t b j I x L D I w f S Z x d W 9 0 O y w m c X V v d D t T Z W N 0 a W 9 u M S 9 E R V R B S U w g Q l V E R 0 V U I E x J T k U g S V R F T V M g K D I p L 0 N o Y W 5 n Z W Q g V H l w Z S 5 7 Q 2 9 s d W 1 u M j I s M j F 9 J n F 1 b 3 Q 7 L C Z x d W 9 0 O 1 N l Y 3 R p b 2 4 x L 0 R F V E F J T C B C V U R H R V Q g T E l O R S B J V E V N U y A o M i k v Q 2 h h b m d l Z C B U e X B l L n t D b 2 x 1 b W 4 y M y w y M n 0 m c X V v d D s s J n F 1 b 3 Q 7 U 2 V j d G l v b j E v R E V U Q U l M I E J V R E d F V C B M S U 5 F I E l U R U 1 T I C g y K S 9 D a G F u Z 2 V k I F R 5 c G U u e 0 N v b H V t b j I 0 L D I z f S Z x d W 9 0 O y w m c X V v d D t T Z W N 0 a W 9 u M S 9 E R V R B S U w g Q l V E R 0 V U I E x J T k U g S V R F T V M g K D I p L 0 N o Y W 5 n Z W Q g V H l w Z S 5 7 Q 2 9 s d W 1 u M j U s M j R 9 J n F 1 b 3 Q 7 L C Z x d W 9 0 O 1 N l Y 3 R p b 2 4 x L 0 R F V E F J T C B C V U R H R V Q g T E l O R S B J V E V N U y A o M i k v Q 2 h h b m d l Z C B U e X B l L n t D b 2 x 1 b W 4 y N i w y N X 0 m c X V v d D s s J n F 1 b 3 Q 7 U 2 V j d G l v b j E v R E V U Q U l M I E J V R E d F V C B M S U 5 F I E l U R U 1 T I C g y K S 9 D a G F u Z 2 V k I F R 5 c G U u e 0 N v b H V t b j I 3 L D I 2 f S Z x d W 9 0 O y w m c X V v d D t T Z W N 0 a W 9 u M S 9 E R V R B S U w g Q l V E R 0 V U I E x J T k U g S V R F T V M g K D I p L 0 N o Y W 5 n Z W Q g V H l w Z S 5 7 Q 2 9 s d W 1 u M j g s M j d 9 J n F 1 b 3 Q 7 L C Z x d W 9 0 O 1 N l Y 3 R p b 2 4 x L 0 R F V E F J T C B C V U R H R V Q g T E l O R S B J V E V N U y A o M i k v Q 2 h h b m d l Z C B U e X B l L n t D b 2 x 1 b W 4 y O S w y O H 0 m c X V v d D s s J n F 1 b 3 Q 7 U 2 V j d G l v b j E v R E V U Q U l M I E J V R E d F V C B M S U 5 F I E l U R U 1 T I C g y K S 9 D a G F u Z 2 V k I F R 5 c G U u e 0 N v b H V t b j M w L D I 5 f S Z x d W 9 0 O y w m c X V v d D t T Z W N 0 a W 9 u M S 9 E R V R B S U w g Q l V E R 0 V U I E x J T k U g S V R F T V M g K D I p L 0 N o Y W 5 n Z W Q g V H l w Z S 5 7 Q 2 9 s d W 1 u M z E s M z B 9 J n F 1 b 3 Q 7 L C Z x d W 9 0 O 1 N l Y 3 R p b 2 4 x L 0 R F V E F J T C B C V U R H R V Q g T E l O R S B J V E V N U y A o M i k v Q 2 h h b m d l Z C B U e X B l L n t D b 2 x 1 b W 4 z M i w z M X 0 m c X V v d D s s J n F 1 b 3 Q 7 U 2 V j d G l v b j E v R E V U Q U l M I E J V R E d F V C B M S U 5 F I E l U R U 1 T I C g y K S 9 D a G F u Z 2 V k I F R 5 c G U u e 0 N v b H V t b j M z L D M y f S Z x d W 9 0 O y w m c X V v d D t T Z W N 0 a W 9 u M S 9 E R V R B S U w g Q l V E R 0 V U I E x J T k U g S V R F T V M g K D I p L 0 N o Y W 5 n Z W Q g V H l w Z S 5 7 Q 2 9 s d W 1 u M z Q s M z N 9 J n F 1 b 3 Q 7 L C Z x d W 9 0 O 1 N l Y 3 R p b 2 4 x L 0 R F V E F J T C B C V U R H R V Q g T E l O R S B J V E V N U y A o M i k v Q 2 h h b m d l Z C B U e X B l L n t D b 2 x 1 b W 4 z N S w z N H 0 m c X V v d D s s J n F 1 b 3 Q 7 U 2 V j d G l v b j E v R E V U Q U l M I E J V R E d F V C B M S U 5 F I E l U R U 1 T I C g y K S 9 D a G F u Z 2 V k I F R 5 c G U u e 0 N v b H V t b j M 2 L D M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E V U Q U l M J T I w Q l V E R 0 V U J T I w T E l O R S U y M E l U R U 1 T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J T C U y M E J V R E d F V C U y M E x J T k U l M j B J V E V N U y U y M C g y K S 9 E R V R B S U w l M j B C V U R H R V Q l M j B M S U 5 F J T I w S V R F T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S U w l M j B C V U R H R V Q l M j B M S U 5 F J T I w S V R F T V M l M j A o M i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M D L u 5 t R u t 0 G 6 a h 6 v G Q c t M w A A A A A C A A A A A A A Q Z g A A A A E A A C A A A A B N Z 2 S e N 2 k B Y e Y Y 8 f O O D Z y C c y K 2 o t G Z u 0 K D z o Y l c o H 9 S g A A A A A O g A A A A A I A A C A A A A B C K h w h I W 9 g N 9 o u 8 L a E x k c F B u Q n I Z j H 6 U R u R m A 3 o z u n 0 l A A A A D U X C q y Z G S O l n 3 W e Z + N 4 Y G n c J 0 0 j O N T A + O L I 1 4 R / U H i P S N N A y E e j n u a + z H o a 1 b j o c m e U n e G l H + F L 4 Z g / 2 6 w T x d S L Q M w 2 U n t O I f 8 / T z g I B x b P 0 A A A A A Y 0 w C u V q G B J 4 T Y 7 i w 5 n C W 2 T w g g c Z h A F Q r C r N b G H 6 g M T e v N + b 2 H O q 0 F p 3 R X W d 3 Q s B w 0 U 8 P 2 i / t T 3 P i m c + C 5 k w N f < / D a t a M a s h u p > 
</file>

<file path=customXml/itemProps1.xml><?xml version="1.0" encoding="utf-8"?>
<ds:datastoreItem xmlns:ds="http://schemas.openxmlformats.org/officeDocument/2006/customXml" ds:itemID="{E47BB615-8183-4EF3-9B3C-D90885EDCC6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34</vt:i4>
      </vt:variant>
    </vt:vector>
  </HeadingPairs>
  <TitlesOfParts>
    <vt:vector size="59" baseType="lpstr">
      <vt:lpstr>Changes</vt:lpstr>
      <vt:lpstr>Omnibus BUDGET DETAIL</vt:lpstr>
      <vt:lpstr>RECAP SUMMARY</vt:lpstr>
      <vt:lpstr>LEVY LIMIT</vt:lpstr>
      <vt:lpstr>DE 1</vt:lpstr>
      <vt:lpstr>BUDGET</vt:lpstr>
      <vt:lpstr>PROJECTED SCH. B</vt:lpstr>
      <vt:lpstr>PROJECTED SCH. A2 WATER</vt:lpstr>
      <vt:lpstr>LONG-TERM DEBT</vt:lpstr>
      <vt:lpstr>SCH. A LOCAL RECEIPTS</vt:lpstr>
      <vt:lpstr>STATE RECEIPTS</vt:lpstr>
      <vt:lpstr>Masco Calculation</vt:lpstr>
      <vt:lpstr>Vote track budget</vt:lpstr>
      <vt:lpstr>Vote track warrant</vt:lpstr>
      <vt:lpstr>Track budget template</vt:lpstr>
      <vt:lpstr>Track warrant template</vt:lpstr>
      <vt:lpstr>PROJECTED SCH. A2 SOLID WASTE</vt:lpstr>
      <vt:lpstr>PROJECTED SCH. A3</vt:lpstr>
      <vt:lpstr>PROJECTED SCH. B1</vt:lpstr>
      <vt:lpstr>SCH. B</vt:lpstr>
      <vt:lpstr>SCH. A2 WATER</vt:lpstr>
      <vt:lpstr>SCH. A2 SOLID WASTE</vt:lpstr>
      <vt:lpstr>SCH. A3</vt:lpstr>
      <vt:lpstr>SCH. B1</vt:lpstr>
      <vt:lpstr>Assumptions</vt:lpstr>
      <vt:lpstr>BUDGET!_Print_Area</vt:lpstr>
      <vt:lpstr>'PROJECTED SCH. A2 WATER'!_Print_Area</vt:lpstr>
      <vt:lpstr>'PROJECTED SCH. B'!_Print_Area</vt:lpstr>
      <vt:lpstr>'RECAP SUMMARY'!_Print_Area</vt:lpstr>
      <vt:lpstr>'SCH. A2 WATER'!_Print_Area</vt:lpstr>
      <vt:lpstr>BUDGET!_Print_Titles</vt:lpstr>
      <vt:lpstr>'LONG-TERM DEBT'!_Print_Titles</vt:lpstr>
      <vt:lpstr>Assumptions!Print_Area</vt:lpstr>
      <vt:lpstr>BUDGET!Print_Area</vt:lpstr>
      <vt:lpstr>'DE 1'!Print_Area</vt:lpstr>
      <vt:lpstr>'LEVY LIMIT'!Print_Area</vt:lpstr>
      <vt:lpstr>'LONG-TERM DEBT'!Print_Area</vt:lpstr>
      <vt:lpstr>'Omnibus BUDGET DETAIL'!Print_Area</vt:lpstr>
      <vt:lpstr>'PROJECTED SCH. A2 WATER'!Print_Area</vt:lpstr>
      <vt:lpstr>'PROJECTED SCH. B'!Print_Area</vt:lpstr>
      <vt:lpstr>'RECAP SUMMARY'!Print_Area</vt:lpstr>
      <vt:lpstr>'SCH. A LOCAL RECEIPTS'!Print_Area</vt:lpstr>
      <vt:lpstr>'STATE RECEIPTS'!Print_Area</vt:lpstr>
      <vt:lpstr>'Track budget template'!Print_Area</vt:lpstr>
      <vt:lpstr>'Track warrant template'!Print_Area</vt:lpstr>
      <vt:lpstr>'Vote track budget'!Print_Area</vt:lpstr>
      <vt:lpstr>'Vote track warrant'!Print_Area</vt:lpstr>
      <vt:lpstr>BUDGET!Print_Titles</vt:lpstr>
      <vt:lpstr>'LEVY LIMIT'!Print_Titles</vt:lpstr>
      <vt:lpstr>'LONG-TERM DEBT'!Print_Titles</vt:lpstr>
      <vt:lpstr>'Omnibus BUDGET DETAIL'!Print_Titles</vt:lpstr>
      <vt:lpstr>'PROJECTED SCH. B'!Print_Titles</vt:lpstr>
      <vt:lpstr>'RECAP SUMMARY'!Print_Titles</vt:lpstr>
      <vt:lpstr>'SCH. A LOCAL RECEIPTS'!Print_Titles</vt:lpstr>
      <vt:lpstr>'STATE RECEIPTS'!Print_Titles</vt:lpstr>
      <vt:lpstr>'Track budget template'!Print_Titles</vt:lpstr>
      <vt:lpstr>'Track warrant template'!Print_Titles</vt:lpstr>
      <vt:lpstr>'Vote track budget'!Print_Titles</vt:lpstr>
      <vt:lpstr>'Vote track warrant'!Print_Titles</vt:lpstr>
    </vt:vector>
  </TitlesOfParts>
  <Company>Assessor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Mike Hartmann</cp:lastModifiedBy>
  <cp:lastPrinted>2023-03-20T14:55:32Z</cp:lastPrinted>
  <dcterms:created xsi:type="dcterms:W3CDTF">2005-04-08T19:25:00Z</dcterms:created>
  <dcterms:modified xsi:type="dcterms:W3CDTF">2023-03-30T18:06:20Z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